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Business\10_Specialty_Cooperation\14_IndustryCooperations\Githui\Akquisitionen und Aktionsplan\Akquisitionen\2024\"/>
    </mc:Choice>
  </mc:AlternateContent>
  <bookViews>
    <workbookView xWindow="0" yWindow="0" windowWidth="28800" windowHeight="12345" activeTab="3"/>
  </bookViews>
  <sheets>
    <sheet name="Tabelle für LE2 2022" sheetId="2" r:id="rId1"/>
    <sheet name="Tabelle1" sheetId="1" r:id="rId2"/>
    <sheet name="LE1_2024" sheetId="3" r:id="rId3"/>
    <sheet name="Budget 2025" sheetId="5" r:id="rId4"/>
  </sheets>
  <definedNames>
    <definedName name="_xlnm._FilterDatabase" localSheetId="3" hidden="1">'Budget 2025'!$A$1:$AL$275</definedName>
    <definedName name="_xlnm._FilterDatabase" localSheetId="2" hidden="1">LE1_2024!$A$1:$AO$253</definedName>
    <definedName name="_xlnm._FilterDatabase" localSheetId="0" hidden="1">'Tabelle für LE2 2022'!$A$1:$AU$1</definedName>
    <definedName name="_xlnm._FilterDatabase" localSheetId="1" hidden="1">Tabelle1!$A$1:$AP$1</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275" i="5" l="1"/>
  <c r="AJ260" i="5"/>
  <c r="AJ259" i="5"/>
  <c r="AJ254" i="5"/>
  <c r="AJ256" i="5"/>
  <c r="AJ255" i="5"/>
  <c r="AJ253" i="5"/>
  <c r="AJ252" i="5"/>
  <c r="AJ251" i="5"/>
  <c r="AJ250" i="5"/>
  <c r="AJ249" i="5"/>
  <c r="AJ248" i="5"/>
  <c r="R236" i="5"/>
  <c r="P236" i="5"/>
  <c r="R235" i="5"/>
  <c r="P235" i="5"/>
  <c r="R232" i="5"/>
  <c r="P232" i="5"/>
  <c r="R231" i="5"/>
  <c r="N231" i="5"/>
  <c r="P231" i="5"/>
  <c r="R230" i="5"/>
  <c r="S230" i="5"/>
  <c r="R227" i="5"/>
  <c r="N227" i="5"/>
  <c r="P227" i="5"/>
  <c r="R226" i="5"/>
  <c r="S226" i="5"/>
  <c r="N226" i="5"/>
  <c r="R224" i="5"/>
  <c r="P224" i="5"/>
  <c r="R223" i="5"/>
  <c r="P223" i="5"/>
  <c r="R222" i="5"/>
  <c r="N222" i="5"/>
  <c r="P222" i="5"/>
  <c r="R221" i="5"/>
  <c r="N221" i="5"/>
  <c r="P221" i="5"/>
  <c r="S220" i="5"/>
  <c r="R218" i="5"/>
  <c r="P218" i="5"/>
  <c r="R217" i="5"/>
  <c r="N217" i="5"/>
  <c r="P217" i="5"/>
  <c r="R215" i="5"/>
  <c r="N215" i="5"/>
  <c r="P215" i="5"/>
  <c r="R213" i="5"/>
  <c r="N213" i="5"/>
  <c r="P213" i="5"/>
  <c r="R212" i="5"/>
  <c r="N212" i="5"/>
  <c r="P212" i="5"/>
  <c r="R211" i="5"/>
  <c r="N211" i="5"/>
  <c r="P211" i="5"/>
  <c r="R210" i="5"/>
  <c r="N210" i="5"/>
  <c r="P210" i="5"/>
  <c r="R209" i="5"/>
  <c r="P209" i="5"/>
  <c r="R208" i="5"/>
  <c r="N208" i="5"/>
  <c r="P208" i="5"/>
  <c r="R207" i="5"/>
  <c r="P207" i="5"/>
  <c r="AJ206" i="5"/>
  <c r="R205" i="5"/>
  <c r="N205" i="5"/>
  <c r="P205" i="5"/>
  <c r="AJ204" i="5"/>
  <c r="R201" i="5"/>
  <c r="P201" i="5"/>
  <c r="R200" i="5"/>
  <c r="P200" i="5"/>
  <c r="AJ199" i="5"/>
  <c r="R197" i="5"/>
  <c r="P197" i="5"/>
  <c r="R196" i="5"/>
  <c r="N196" i="5"/>
  <c r="P196" i="5"/>
  <c r="AJ195" i="5"/>
  <c r="R194" i="5"/>
  <c r="N194" i="5"/>
  <c r="P194" i="5"/>
  <c r="R193" i="5"/>
  <c r="N193" i="5"/>
  <c r="P193" i="5"/>
  <c r="S191" i="5"/>
  <c r="R189" i="5"/>
  <c r="N189" i="5"/>
  <c r="P189" i="5"/>
  <c r="R187" i="5"/>
  <c r="N187" i="5"/>
  <c r="P187" i="5"/>
  <c r="AJ185" i="5"/>
  <c r="R184" i="5"/>
  <c r="N184" i="5"/>
  <c r="P184" i="5"/>
  <c r="R183" i="5"/>
  <c r="N183" i="5"/>
  <c r="P183" i="5"/>
  <c r="R182" i="5"/>
  <c r="N182" i="5"/>
  <c r="P182" i="5"/>
  <c r="R178" i="5"/>
  <c r="P178" i="5"/>
  <c r="R177" i="5"/>
  <c r="P177" i="5"/>
  <c r="AJ175" i="5"/>
  <c r="R174" i="5"/>
  <c r="N174" i="5"/>
  <c r="P174" i="5"/>
  <c r="AJ173" i="5"/>
  <c r="R171" i="5"/>
  <c r="N171" i="5"/>
  <c r="P171" i="5"/>
  <c r="R170" i="5"/>
  <c r="N170" i="5"/>
  <c r="P170" i="5"/>
  <c r="AJ169" i="5"/>
  <c r="R167" i="5"/>
  <c r="P167" i="5"/>
  <c r="AJ165" i="5"/>
  <c r="R164" i="5"/>
  <c r="P164" i="5"/>
  <c r="R163" i="5"/>
  <c r="N163" i="5"/>
  <c r="P163" i="5"/>
  <c r="R161" i="5"/>
  <c r="P161" i="5"/>
  <c r="R160" i="5"/>
  <c r="N160" i="5"/>
  <c r="P160" i="5"/>
  <c r="AJ158" i="5"/>
  <c r="R157" i="5"/>
  <c r="P157" i="5"/>
  <c r="R155" i="5"/>
  <c r="N155" i="5"/>
  <c r="P155" i="5"/>
  <c r="R154" i="5"/>
  <c r="P154" i="5"/>
  <c r="S153" i="5"/>
  <c r="AJ151" i="5"/>
  <c r="R150" i="5"/>
  <c r="P150" i="5"/>
  <c r="R149" i="5"/>
  <c r="P149" i="5"/>
  <c r="AJ146" i="5"/>
  <c r="R144" i="5"/>
  <c r="N144" i="5"/>
  <c r="P144" i="5"/>
  <c r="AJ141" i="5"/>
  <c r="R140" i="5"/>
  <c r="P140" i="5"/>
  <c r="R139" i="5"/>
  <c r="P139" i="5"/>
  <c r="R138" i="5"/>
  <c r="N138" i="5"/>
  <c r="P138" i="5"/>
  <c r="R137" i="5"/>
  <c r="P137" i="5"/>
  <c r="AJ134" i="5"/>
  <c r="R130" i="5"/>
  <c r="P130" i="5"/>
  <c r="S129" i="5"/>
  <c r="AJ128" i="5"/>
  <c r="R126" i="5"/>
  <c r="P126" i="5"/>
  <c r="AJ125" i="5"/>
  <c r="AJ123" i="5"/>
  <c r="R122" i="5"/>
  <c r="N122" i="5"/>
  <c r="P122" i="5"/>
  <c r="R120" i="5"/>
  <c r="P120" i="5"/>
  <c r="R119" i="5"/>
  <c r="P119" i="5"/>
  <c r="R118" i="5"/>
  <c r="P118" i="5"/>
  <c r="R117" i="5"/>
  <c r="N117" i="5"/>
  <c r="P117" i="5"/>
  <c r="R116" i="5"/>
  <c r="N116" i="5"/>
  <c r="P116" i="5"/>
  <c r="R115" i="5"/>
  <c r="N115" i="5"/>
  <c r="P115" i="5"/>
  <c r="R114" i="5"/>
  <c r="N114" i="5"/>
  <c r="P114" i="5"/>
  <c r="R113" i="5"/>
  <c r="P113" i="5"/>
  <c r="AJ112" i="5"/>
  <c r="R108" i="5"/>
  <c r="N108" i="5"/>
  <c r="P108" i="5"/>
  <c r="AJ107" i="5"/>
  <c r="R106" i="5"/>
  <c r="S106" i="5"/>
  <c r="R102" i="5"/>
  <c r="N102" i="5"/>
  <c r="P102" i="5"/>
  <c r="R101" i="5"/>
  <c r="N101" i="5"/>
  <c r="P101" i="5"/>
  <c r="R100" i="5"/>
  <c r="N100" i="5"/>
  <c r="P100" i="5"/>
  <c r="R99" i="5"/>
  <c r="P99" i="5"/>
  <c r="R98" i="5"/>
  <c r="N98" i="5"/>
  <c r="P98" i="5"/>
  <c r="AJ97" i="5"/>
  <c r="R96" i="5"/>
  <c r="N96" i="5"/>
  <c r="P96" i="5"/>
  <c r="R95" i="5"/>
  <c r="P95" i="5"/>
  <c r="R93" i="5"/>
  <c r="N93" i="5"/>
  <c r="P93" i="5"/>
  <c r="R91" i="5"/>
  <c r="P91" i="5"/>
  <c r="R90" i="5"/>
  <c r="S90" i="5"/>
  <c r="N90" i="5"/>
  <c r="R89" i="5"/>
  <c r="P89" i="5"/>
  <c r="AJ88" i="5"/>
  <c r="AJ86" i="5"/>
  <c r="R85" i="5"/>
  <c r="N85" i="5"/>
  <c r="P85" i="5"/>
  <c r="R84" i="5"/>
  <c r="N84" i="5"/>
  <c r="P84" i="5"/>
  <c r="R82" i="5"/>
  <c r="N82" i="5"/>
  <c r="P82" i="5"/>
  <c r="R81" i="5"/>
  <c r="N81" i="5"/>
  <c r="P81" i="5"/>
  <c r="R80" i="5"/>
  <c r="N80" i="5"/>
  <c r="P80" i="5"/>
  <c r="R79" i="5"/>
  <c r="N79" i="5"/>
  <c r="P79" i="5"/>
  <c r="R78" i="5"/>
  <c r="N78" i="5"/>
  <c r="P78" i="5"/>
  <c r="R77" i="5"/>
  <c r="N77" i="5"/>
  <c r="P77" i="5"/>
  <c r="AJ76" i="5"/>
  <c r="R75" i="5"/>
  <c r="N75" i="5"/>
  <c r="P75" i="5"/>
  <c r="AJ74" i="5"/>
  <c r="R73" i="5"/>
  <c r="S73" i="5"/>
  <c r="R72" i="5"/>
  <c r="P72" i="5"/>
  <c r="AJ69" i="5"/>
  <c r="R68" i="5"/>
  <c r="P68" i="5"/>
  <c r="AJ67" i="5"/>
  <c r="R66" i="5"/>
  <c r="N66" i="5"/>
  <c r="P66" i="5"/>
  <c r="AJ65" i="5"/>
  <c r="AJ64" i="5"/>
  <c r="AJ63" i="5"/>
  <c r="R62" i="5"/>
  <c r="N62" i="5"/>
  <c r="P62" i="5"/>
  <c r="R61" i="5"/>
  <c r="N61" i="5"/>
  <c r="P61" i="5"/>
  <c r="R60" i="5"/>
  <c r="N60" i="5"/>
  <c r="P60" i="5"/>
  <c r="R58" i="5"/>
  <c r="N58" i="5"/>
  <c r="P58" i="5"/>
  <c r="R57" i="5"/>
  <c r="N57" i="5"/>
  <c r="P57" i="5"/>
  <c r="R55" i="5"/>
  <c r="P55" i="5"/>
  <c r="S55" i="5"/>
  <c r="R54" i="5"/>
  <c r="P54" i="5"/>
  <c r="R53" i="5"/>
  <c r="N53" i="5"/>
  <c r="P53" i="5"/>
  <c r="R50" i="5"/>
  <c r="N50" i="5"/>
  <c r="P50" i="5"/>
  <c r="R49" i="5"/>
  <c r="N49" i="5"/>
  <c r="P49" i="5"/>
  <c r="R48" i="5"/>
  <c r="N48" i="5"/>
  <c r="P48" i="5"/>
  <c r="R47" i="5"/>
  <c r="N47" i="5"/>
  <c r="P47" i="5"/>
  <c r="R46" i="5"/>
  <c r="N46" i="5"/>
  <c r="P46" i="5"/>
  <c r="AJ45" i="5"/>
  <c r="R44" i="5"/>
  <c r="S44" i="5"/>
  <c r="N44" i="5"/>
  <c r="R39" i="5"/>
  <c r="P39" i="5"/>
  <c r="R38" i="5"/>
  <c r="N38" i="5"/>
  <c r="P38" i="5"/>
  <c r="R37" i="5"/>
  <c r="P37" i="5"/>
  <c r="R36" i="5"/>
  <c r="N36" i="5"/>
  <c r="P36" i="5"/>
  <c r="R35" i="5"/>
  <c r="N35" i="5"/>
  <c r="P35" i="5"/>
  <c r="R34" i="5"/>
  <c r="S34" i="5"/>
  <c r="N34" i="5"/>
  <c r="AJ33" i="5"/>
  <c r="S33" i="5"/>
  <c r="R32" i="5"/>
  <c r="P32" i="5"/>
  <c r="R31" i="5"/>
  <c r="P31" i="5"/>
  <c r="R30" i="5"/>
  <c r="P30" i="5"/>
  <c r="AJ29" i="5"/>
  <c r="R28" i="5"/>
  <c r="P28" i="5"/>
  <c r="AJ27" i="5"/>
  <c r="AJ26" i="5"/>
  <c r="S25" i="5"/>
  <c r="R23" i="5"/>
  <c r="S23" i="5"/>
  <c r="R22" i="5"/>
  <c r="S22" i="5"/>
  <c r="R21" i="5"/>
  <c r="S21" i="5"/>
  <c r="R20" i="5"/>
  <c r="S20" i="5"/>
  <c r="AJ17" i="5"/>
  <c r="AJ13" i="5"/>
  <c r="S12" i="5"/>
  <c r="AJ11" i="5"/>
  <c r="AJ10" i="5"/>
  <c r="R8" i="5"/>
  <c r="S8" i="5"/>
  <c r="N8" i="5"/>
  <c r="R7" i="5"/>
  <c r="S7" i="5"/>
  <c r="N7" i="5"/>
  <c r="AJ4" i="5"/>
  <c r="AJ3" i="5"/>
  <c r="AJ2" i="5"/>
  <c r="S2" i="5"/>
  <c r="S157" i="5"/>
  <c r="S200" i="5"/>
  <c r="S114" i="5"/>
  <c r="S118" i="5"/>
  <c r="S95" i="5"/>
  <c r="S58" i="5"/>
  <c r="S161" i="5"/>
  <c r="S120" i="5"/>
  <c r="S72" i="5"/>
  <c r="S177" i="5"/>
  <c r="S218" i="5"/>
  <c r="S223" i="5"/>
  <c r="S99" i="5"/>
  <c r="S189" i="5"/>
  <c r="S232" i="5"/>
  <c r="S201" i="5"/>
  <c r="S227" i="5"/>
  <c r="S139" i="5"/>
  <c r="S178" i="5"/>
  <c r="S193" i="5"/>
  <c r="S38" i="5"/>
  <c r="S210" i="5"/>
  <c r="S215" i="5"/>
  <c r="S85" i="5"/>
  <c r="S35" i="5"/>
  <c r="S54" i="5"/>
  <c r="S81" i="5"/>
  <c r="S91" i="5"/>
  <c r="S236" i="5"/>
  <c r="S154" i="5"/>
  <c r="S78" i="5"/>
  <c r="S137" i="5"/>
  <c r="S205" i="5"/>
  <c r="S209" i="5"/>
  <c r="S213" i="5"/>
  <c r="S224" i="5"/>
  <c r="S79" i="5"/>
  <c r="S183" i="5"/>
  <c r="S30" i="5"/>
  <c r="S75" i="5"/>
  <c r="S31" i="5"/>
  <c r="S102" i="5"/>
  <c r="S113" i="5"/>
  <c r="S138" i="5"/>
  <c r="S164" i="5"/>
  <c r="S184" i="5"/>
  <c r="S66" i="5"/>
  <c r="S140" i="5"/>
  <c r="S167" i="5"/>
  <c r="S82" i="5"/>
  <c r="S53" i="5"/>
  <c r="S68" i="5"/>
  <c r="S89" i="5"/>
  <c r="S160" i="5"/>
  <c r="S48" i="5"/>
  <c r="S93" i="5"/>
  <c r="S150" i="5"/>
  <c r="S28" i="5"/>
  <c r="S32" i="5"/>
  <c r="S119" i="5"/>
  <c r="S126" i="5"/>
  <c r="S235" i="5"/>
  <c r="S100" i="5"/>
  <c r="S39" i="5"/>
  <c r="S144" i="5"/>
  <c r="S170" i="5"/>
  <c r="S194" i="5"/>
  <c r="S46" i="5"/>
  <c r="S80" i="5"/>
  <c r="S98" i="5"/>
  <c r="S101" i="5"/>
  <c r="S196" i="5"/>
  <c r="S207" i="5"/>
  <c r="S222" i="5"/>
  <c r="S61" i="5"/>
  <c r="S187" i="5"/>
  <c r="S37" i="5"/>
  <c r="S47" i="5"/>
  <c r="S50" i="5"/>
  <c r="S208" i="5"/>
  <c r="S212" i="5"/>
  <c r="S96" i="5"/>
  <c r="S130" i="5"/>
  <c r="S149" i="5"/>
  <c r="S197" i="5"/>
  <c r="S49" i="5"/>
  <c r="S115" i="5"/>
  <c r="S221" i="5"/>
  <c r="S60" i="5"/>
  <c r="S77" i="5"/>
  <c r="S108" i="5"/>
  <c r="S171" i="5"/>
  <c r="S231" i="5"/>
  <c r="S84" i="5"/>
  <c r="S155" i="5"/>
  <c r="S36" i="5"/>
  <c r="S116" i="5"/>
  <c r="S211" i="5"/>
  <c r="S217" i="5"/>
  <c r="S174" i="5"/>
  <c r="S117" i="5"/>
  <c r="S122" i="5"/>
  <c r="S163" i="5"/>
  <c r="S182" i="5"/>
  <c r="S57" i="5"/>
  <c r="S62" i="5"/>
  <c r="AM70" i="3"/>
  <c r="AM118" i="3"/>
  <c r="AM160" i="3"/>
  <c r="AM140" i="3"/>
  <c r="AM134" i="3"/>
  <c r="AM194" i="3"/>
  <c r="AM21" i="3"/>
  <c r="AM94" i="3"/>
  <c r="AM103" i="3"/>
  <c r="Z154" i="3"/>
  <c r="Z24" i="3"/>
  <c r="AM178" i="3"/>
  <c r="Z178" i="3"/>
  <c r="Z57" i="3"/>
  <c r="AM113" i="3"/>
  <c r="AM182" i="3"/>
  <c r="AM82" i="3"/>
  <c r="AM30" i="3"/>
  <c r="AM33" i="3"/>
  <c r="AM50" i="3"/>
  <c r="AM92" i="3"/>
  <c r="AM209" i="3"/>
  <c r="AB209" i="3"/>
  <c r="AM75" i="3"/>
  <c r="AM37" i="3"/>
  <c r="AM184" i="3"/>
  <c r="AM131" i="3"/>
  <c r="AM47" i="3"/>
  <c r="AB47" i="3"/>
  <c r="AM80" i="3"/>
  <c r="AB236" i="3"/>
  <c r="AM204" i="3"/>
  <c r="AM155" i="3"/>
  <c r="AM147" i="3"/>
  <c r="AM167" i="3"/>
  <c r="AA19" i="3"/>
  <c r="Z3" i="3"/>
  <c r="Z4" i="3"/>
  <c r="Z250" i="3"/>
  <c r="Z248" i="3"/>
  <c r="R247" i="3"/>
  <c r="S247" i="3"/>
  <c r="P247" i="3"/>
  <c r="R246" i="3"/>
  <c r="S246" i="3"/>
  <c r="P246" i="3"/>
  <c r="AM245" i="3"/>
  <c r="Z245" i="3"/>
  <c r="R242" i="3"/>
  <c r="S242" i="3"/>
  <c r="P242" i="3"/>
  <c r="R241" i="3"/>
  <c r="S241" i="3"/>
  <c r="N241" i="3"/>
  <c r="P241" i="3"/>
  <c r="Z240" i="3"/>
  <c r="R240" i="3"/>
  <c r="S240" i="3"/>
  <c r="R237" i="3"/>
  <c r="N237" i="3"/>
  <c r="P237" i="3"/>
  <c r="R236" i="3"/>
  <c r="S236" i="3"/>
  <c r="N236" i="3"/>
  <c r="R234" i="3"/>
  <c r="S234" i="3"/>
  <c r="P234" i="3"/>
  <c r="R233" i="3"/>
  <c r="P233" i="3"/>
  <c r="S233" i="3"/>
  <c r="R232" i="3"/>
  <c r="S232" i="3"/>
  <c r="N232" i="3"/>
  <c r="P232" i="3"/>
  <c r="R231" i="3"/>
  <c r="P231" i="3"/>
  <c r="N231" i="3"/>
  <c r="S230" i="3"/>
  <c r="R228" i="3"/>
  <c r="P228" i="3"/>
  <c r="S228" i="3"/>
  <c r="R227" i="3"/>
  <c r="N227" i="3"/>
  <c r="P227" i="3"/>
  <c r="R225" i="3"/>
  <c r="S225" i="3"/>
  <c r="P225" i="3"/>
  <c r="N225" i="3"/>
  <c r="R223" i="3"/>
  <c r="S223" i="3"/>
  <c r="N223" i="3"/>
  <c r="P223" i="3"/>
  <c r="R222" i="3"/>
  <c r="S222" i="3"/>
  <c r="N222" i="3"/>
  <c r="P222" i="3"/>
  <c r="R221" i="3"/>
  <c r="P221" i="3"/>
  <c r="N221" i="3"/>
  <c r="R220" i="3"/>
  <c r="S220" i="3"/>
  <c r="N220" i="3"/>
  <c r="P220" i="3"/>
  <c r="R219" i="3"/>
  <c r="P219" i="3"/>
  <c r="R218" i="3"/>
  <c r="N218" i="3"/>
  <c r="P218" i="3"/>
  <c r="S218" i="3"/>
  <c r="R217" i="3"/>
  <c r="S217" i="3"/>
  <c r="P217" i="3"/>
  <c r="AM216" i="3"/>
  <c r="R215" i="3"/>
  <c r="S215" i="3"/>
  <c r="N215" i="3"/>
  <c r="P215" i="3"/>
  <c r="AM214" i="3"/>
  <c r="R211" i="3"/>
  <c r="P211" i="3"/>
  <c r="S211" i="3"/>
  <c r="R210" i="3"/>
  <c r="S210" i="3"/>
  <c r="P210" i="3"/>
  <c r="R207" i="3"/>
  <c r="P207" i="3"/>
  <c r="AM206" i="3"/>
  <c r="R205" i="3"/>
  <c r="S205" i="3"/>
  <c r="N205" i="3"/>
  <c r="P205" i="3"/>
  <c r="R203" i="3"/>
  <c r="P203" i="3"/>
  <c r="N203" i="3"/>
  <c r="R202" i="3"/>
  <c r="N202" i="3"/>
  <c r="P202" i="3"/>
  <c r="Z200" i="3"/>
  <c r="S200" i="3"/>
  <c r="R198" i="3"/>
  <c r="N198" i="3"/>
  <c r="P198" i="3"/>
  <c r="R196" i="3"/>
  <c r="N196" i="3"/>
  <c r="P196" i="3"/>
  <c r="S196" i="3"/>
  <c r="R193" i="3"/>
  <c r="N193" i="3"/>
  <c r="P193" i="3"/>
  <c r="R192" i="3"/>
  <c r="S192" i="3"/>
  <c r="P192" i="3"/>
  <c r="N192" i="3"/>
  <c r="R191" i="3"/>
  <c r="N191" i="3"/>
  <c r="P191" i="3"/>
  <c r="S191" i="3"/>
  <c r="R187" i="3"/>
  <c r="P187" i="3"/>
  <c r="R186" i="3"/>
  <c r="P186" i="3"/>
  <c r="R183" i="3"/>
  <c r="N183" i="3"/>
  <c r="P183" i="3"/>
  <c r="S183" i="3"/>
  <c r="R180" i="3"/>
  <c r="S180" i="3"/>
  <c r="N180" i="3"/>
  <c r="P180" i="3"/>
  <c r="R179" i="3"/>
  <c r="S179" i="3"/>
  <c r="P179" i="3"/>
  <c r="N179" i="3"/>
  <c r="Z177" i="3"/>
  <c r="R176" i="3"/>
  <c r="P176" i="3"/>
  <c r="S176" i="3"/>
  <c r="AM174" i="3"/>
  <c r="Z174" i="3"/>
  <c r="R173" i="3"/>
  <c r="P173" i="3"/>
  <c r="R172" i="3"/>
  <c r="N172" i="3"/>
  <c r="P172" i="3"/>
  <c r="S172" i="3"/>
  <c r="R170" i="3"/>
  <c r="S170" i="3"/>
  <c r="P170" i="3"/>
  <c r="R169" i="3"/>
  <c r="P169" i="3"/>
  <c r="N169" i="3"/>
  <c r="R166" i="3"/>
  <c r="P166" i="3"/>
  <c r="Z165" i="3"/>
  <c r="R164" i="3"/>
  <c r="S164" i="3"/>
  <c r="N164" i="3"/>
  <c r="P164" i="3"/>
  <c r="R163" i="3"/>
  <c r="P163" i="3"/>
  <c r="Z162" i="3"/>
  <c r="S162" i="3"/>
  <c r="Z161" i="3"/>
  <c r="R159" i="3"/>
  <c r="P159" i="3"/>
  <c r="R158" i="3"/>
  <c r="S158" i="3"/>
  <c r="P158" i="3"/>
  <c r="AA157" i="3"/>
  <c r="Z157" i="3"/>
  <c r="R153" i="3"/>
  <c r="N153" i="3"/>
  <c r="P153" i="3"/>
  <c r="Z152" i="3"/>
  <c r="Z151" i="3"/>
  <c r="R146" i="3"/>
  <c r="S146" i="3"/>
  <c r="P146" i="3"/>
  <c r="R145" i="3"/>
  <c r="P145" i="3"/>
  <c r="R144" i="3"/>
  <c r="S144" i="3"/>
  <c r="N144" i="3"/>
  <c r="P144" i="3"/>
  <c r="R143" i="3"/>
  <c r="P143" i="3"/>
  <c r="Z140" i="3"/>
  <c r="R136" i="3"/>
  <c r="P136" i="3"/>
  <c r="Z135" i="3"/>
  <c r="S135" i="3"/>
  <c r="R132" i="3"/>
  <c r="P132" i="3"/>
  <c r="AM129" i="3"/>
  <c r="R128" i="3"/>
  <c r="N128" i="3"/>
  <c r="P128" i="3"/>
  <c r="R126" i="3"/>
  <c r="P126" i="3"/>
  <c r="R125" i="3"/>
  <c r="P125" i="3"/>
  <c r="R124" i="3"/>
  <c r="P124" i="3"/>
  <c r="R123" i="3"/>
  <c r="N123" i="3"/>
  <c r="P123" i="3"/>
  <c r="S123" i="3"/>
  <c r="R122" i="3"/>
  <c r="S122" i="3"/>
  <c r="N122" i="3"/>
  <c r="P122" i="3"/>
  <c r="R121" i="3"/>
  <c r="P121" i="3"/>
  <c r="N121" i="3"/>
  <c r="R120" i="3"/>
  <c r="N120" i="3"/>
  <c r="P120" i="3"/>
  <c r="R119" i="3"/>
  <c r="P119" i="3"/>
  <c r="R114" i="3"/>
  <c r="P114" i="3"/>
  <c r="N114" i="3"/>
  <c r="R112" i="3"/>
  <c r="S112" i="3"/>
  <c r="R108" i="3"/>
  <c r="S108" i="3"/>
  <c r="N108" i="3"/>
  <c r="P108" i="3"/>
  <c r="R107" i="3"/>
  <c r="N107" i="3"/>
  <c r="P107" i="3"/>
  <c r="R106" i="3"/>
  <c r="N106" i="3"/>
  <c r="P106" i="3"/>
  <c r="R105" i="3"/>
  <c r="P105" i="3"/>
  <c r="R104" i="3"/>
  <c r="N104" i="3"/>
  <c r="P104" i="3"/>
  <c r="R102" i="3"/>
  <c r="N102" i="3"/>
  <c r="P102" i="3"/>
  <c r="R101" i="3"/>
  <c r="S101" i="3"/>
  <c r="P101" i="3"/>
  <c r="Z100" i="3"/>
  <c r="R99" i="3"/>
  <c r="N99" i="3"/>
  <c r="P99" i="3"/>
  <c r="R97" i="3"/>
  <c r="P97" i="3"/>
  <c r="Z96" i="3"/>
  <c r="R96" i="3"/>
  <c r="S96" i="3"/>
  <c r="N96" i="3"/>
  <c r="R95" i="3"/>
  <c r="P95" i="3"/>
  <c r="R91" i="3"/>
  <c r="N91" i="3"/>
  <c r="P91" i="3"/>
  <c r="S91" i="3"/>
  <c r="R90" i="3"/>
  <c r="N90" i="3"/>
  <c r="P90" i="3"/>
  <c r="R88" i="3"/>
  <c r="P88" i="3"/>
  <c r="S88" i="3"/>
  <c r="N88" i="3"/>
  <c r="R87" i="3"/>
  <c r="N87" i="3"/>
  <c r="P87" i="3"/>
  <c r="S87" i="3"/>
  <c r="R86" i="3"/>
  <c r="N86" i="3"/>
  <c r="P86" i="3"/>
  <c r="R85" i="3"/>
  <c r="N85" i="3"/>
  <c r="P85" i="3"/>
  <c r="R84" i="3"/>
  <c r="S84" i="3"/>
  <c r="N84" i="3"/>
  <c r="P84" i="3"/>
  <c r="R83" i="3"/>
  <c r="N83" i="3"/>
  <c r="P83" i="3"/>
  <c r="R81" i="3"/>
  <c r="N81" i="3"/>
  <c r="P81" i="3"/>
  <c r="S81" i="3"/>
  <c r="R79" i="3"/>
  <c r="S79" i="3"/>
  <c r="R78" i="3"/>
  <c r="P78" i="3"/>
  <c r="R74" i="3"/>
  <c r="P74" i="3"/>
  <c r="AM73" i="3"/>
  <c r="Z73" i="3"/>
  <c r="R72" i="3"/>
  <c r="N72" i="3"/>
  <c r="P72" i="3"/>
  <c r="AM71" i="3"/>
  <c r="AM69" i="3"/>
  <c r="AM68" i="3"/>
  <c r="R67" i="3"/>
  <c r="N67" i="3"/>
  <c r="P67" i="3"/>
  <c r="R66" i="3"/>
  <c r="S66" i="3"/>
  <c r="N66" i="3"/>
  <c r="P66" i="3"/>
  <c r="R65" i="3"/>
  <c r="P65" i="3"/>
  <c r="N65" i="3"/>
  <c r="R63" i="3"/>
  <c r="N63" i="3"/>
  <c r="P63" i="3"/>
  <c r="R62" i="3"/>
  <c r="S62" i="3"/>
  <c r="N62" i="3"/>
  <c r="P62" i="3"/>
  <c r="R60" i="3"/>
  <c r="P60" i="3"/>
  <c r="R59" i="3"/>
  <c r="P59" i="3"/>
  <c r="S59" i="3"/>
  <c r="R58" i="3"/>
  <c r="N58" i="3"/>
  <c r="P58" i="3"/>
  <c r="R55" i="3"/>
  <c r="N55" i="3"/>
  <c r="P55" i="3"/>
  <c r="R54" i="3"/>
  <c r="N54" i="3"/>
  <c r="P54" i="3"/>
  <c r="R53" i="3"/>
  <c r="S53" i="3"/>
  <c r="P53" i="3"/>
  <c r="N53" i="3"/>
  <c r="R52" i="3"/>
  <c r="N52" i="3"/>
  <c r="P52" i="3"/>
  <c r="R51" i="3"/>
  <c r="N51" i="3"/>
  <c r="P51" i="3"/>
  <c r="Z49" i="3"/>
  <c r="R49" i="3"/>
  <c r="S49" i="3"/>
  <c r="N49" i="3"/>
  <c r="Z48" i="3"/>
  <c r="R43" i="3"/>
  <c r="S43" i="3"/>
  <c r="P43" i="3"/>
  <c r="R42" i="3"/>
  <c r="N42" i="3"/>
  <c r="P42" i="3"/>
  <c r="R41" i="3"/>
  <c r="P41" i="3"/>
  <c r="S41" i="3"/>
  <c r="R40" i="3"/>
  <c r="S40" i="3"/>
  <c r="N40" i="3"/>
  <c r="P40" i="3"/>
  <c r="R39" i="3"/>
  <c r="S39" i="3"/>
  <c r="P39" i="3"/>
  <c r="N39" i="3"/>
  <c r="R38" i="3"/>
  <c r="S38" i="3"/>
  <c r="N38" i="3"/>
  <c r="Z37" i="3"/>
  <c r="S37" i="3"/>
  <c r="R36" i="3"/>
  <c r="P36" i="3"/>
  <c r="R35" i="3"/>
  <c r="P35" i="3"/>
  <c r="S35" i="3"/>
  <c r="R34" i="3"/>
  <c r="S34" i="3"/>
  <c r="P34" i="3"/>
  <c r="R32" i="3"/>
  <c r="P32" i="3"/>
  <c r="AM31" i="3"/>
  <c r="S29" i="3"/>
  <c r="Z27" i="3"/>
  <c r="R27" i="3"/>
  <c r="S27" i="3"/>
  <c r="R26" i="3"/>
  <c r="S26" i="3"/>
  <c r="Z25" i="3"/>
  <c r="R25" i="3"/>
  <c r="S25" i="3"/>
  <c r="R24" i="3"/>
  <c r="S24" i="3"/>
  <c r="AM17" i="3"/>
  <c r="AM16" i="3"/>
  <c r="Z16" i="3"/>
  <c r="Z15" i="3"/>
  <c r="S15" i="3"/>
  <c r="AM14" i="3"/>
  <c r="AM13" i="3"/>
  <c r="Z11" i="3"/>
  <c r="R11" i="3"/>
  <c r="S11" i="3"/>
  <c r="N11" i="3"/>
  <c r="Z9" i="3"/>
  <c r="R9" i="3"/>
  <c r="S9" i="3"/>
  <c r="N9" i="3"/>
  <c r="Z8" i="3"/>
  <c r="Z7" i="3"/>
  <c r="AM6" i="3"/>
  <c r="Z6" i="3"/>
  <c r="Z5" i="3"/>
  <c r="AM4" i="3"/>
  <c r="AM3" i="3"/>
  <c r="AM2" i="3"/>
  <c r="S2" i="3"/>
  <c r="AG57" i="2"/>
  <c r="AG177" i="2"/>
  <c r="AG153" i="2"/>
  <c r="AG110" i="2"/>
  <c r="AG87" i="2"/>
  <c r="AG265" i="2"/>
  <c r="AG260" i="2"/>
  <c r="AG114" i="2"/>
  <c r="AG263" i="2"/>
  <c r="AG186" i="2"/>
  <c r="AG166" i="2"/>
  <c r="AE218" i="2"/>
  <c r="AE216" i="2"/>
  <c r="AE207" i="2"/>
  <c r="AG207" i="2"/>
  <c r="AE191" i="2"/>
  <c r="AE175" i="2"/>
  <c r="AE174" i="2"/>
  <c r="AE172" i="2"/>
  <c r="AG172" i="2"/>
  <c r="AE171" i="2"/>
  <c r="AG171" i="2"/>
  <c r="AH168" i="2"/>
  <c r="AE158" i="2"/>
  <c r="AE156" i="2"/>
  <c r="AG148" i="2"/>
  <c r="AE105" i="2"/>
  <c r="AE96" i="2"/>
  <c r="AE95" i="2"/>
  <c r="AE92" i="2"/>
  <c r="AE91" i="2"/>
  <c r="AE76" i="2"/>
  <c r="AE72" i="2"/>
  <c r="AE65" i="2"/>
  <c r="AE61" i="2"/>
  <c r="AG58" i="2"/>
  <c r="AE58" i="2"/>
  <c r="AG47" i="2"/>
  <c r="AG37" i="2"/>
  <c r="AE35" i="2"/>
  <c r="AE31" i="2"/>
  <c r="AE28" i="2"/>
  <c r="AE27" i="2"/>
  <c r="AE22" i="2"/>
  <c r="AE21" i="2"/>
  <c r="AE15" i="2"/>
  <c r="AE12" i="2"/>
  <c r="AE11" i="2"/>
  <c r="AE10" i="2"/>
  <c r="AE9" i="2"/>
  <c r="AE6" i="2"/>
  <c r="AE2" i="2"/>
  <c r="AS5" i="2"/>
  <c r="S5" i="2"/>
  <c r="AS212" i="2"/>
  <c r="AS225" i="2"/>
  <c r="AS260" i="2"/>
  <c r="AS20" i="2"/>
  <c r="Z38" i="2"/>
  <c r="AB35" i="2"/>
  <c r="AB28" i="2"/>
  <c r="AB37" i="2"/>
  <c r="AB38" i="2"/>
  <c r="AC235" i="2"/>
  <c r="AB6" i="2"/>
  <c r="AB3" i="2"/>
  <c r="AE3" i="2"/>
  <c r="AC92" i="2"/>
  <c r="AB10" i="2"/>
  <c r="AB2" i="2"/>
  <c r="Z76" i="2"/>
  <c r="AB7" i="2"/>
  <c r="AB18" i="2"/>
  <c r="AG18" i="2"/>
  <c r="AB9" i="2"/>
  <c r="AB23" i="2"/>
  <c r="AG23" i="2"/>
  <c r="AB12" i="2"/>
  <c r="Z12" i="2"/>
  <c r="AB21" i="2"/>
  <c r="AB22" i="2"/>
  <c r="AB30" i="2"/>
  <c r="AE30" i="2"/>
  <c r="Z32" i="2"/>
  <c r="AB32" i="2"/>
  <c r="AE32" i="2"/>
  <c r="R262" i="2"/>
  <c r="P262" i="2"/>
  <c r="R261" i="2"/>
  <c r="P261" i="2"/>
  <c r="R257" i="2"/>
  <c r="P257" i="2"/>
  <c r="R256" i="2"/>
  <c r="N256" i="2"/>
  <c r="P256" i="2"/>
  <c r="Z255" i="2"/>
  <c r="AG255" i="2"/>
  <c r="R255" i="2"/>
  <c r="S255" i="2"/>
  <c r="R35" i="2"/>
  <c r="R253" i="2"/>
  <c r="N253" i="2"/>
  <c r="P253" i="2"/>
  <c r="R252" i="2"/>
  <c r="N252" i="2"/>
  <c r="P252" i="2"/>
  <c r="R250" i="2"/>
  <c r="N250" i="2"/>
  <c r="P250" i="2"/>
  <c r="R28" i="2"/>
  <c r="R249" i="2"/>
  <c r="P249" i="2"/>
  <c r="R247" i="2"/>
  <c r="P247" i="2"/>
  <c r="R246" i="2"/>
  <c r="N246" i="2"/>
  <c r="P246" i="2"/>
  <c r="R245" i="2"/>
  <c r="N245" i="2"/>
  <c r="P245" i="2"/>
  <c r="Z244" i="2"/>
  <c r="S244" i="2"/>
  <c r="R242" i="2"/>
  <c r="P242" i="2"/>
  <c r="R241" i="2"/>
  <c r="N241" i="2"/>
  <c r="P241" i="2"/>
  <c r="R37" i="2"/>
  <c r="AS25" i="2"/>
  <c r="AB25" i="2"/>
  <c r="AE25" i="2"/>
  <c r="R239" i="2"/>
  <c r="N239" i="2"/>
  <c r="P239" i="2"/>
  <c r="R237" i="2"/>
  <c r="N237" i="2"/>
  <c r="P237" i="2"/>
  <c r="R236" i="2"/>
  <c r="N236" i="2"/>
  <c r="P236" i="2"/>
  <c r="R235" i="2"/>
  <c r="N235" i="2"/>
  <c r="AB34" i="2"/>
  <c r="AE34" i="2"/>
  <c r="AG34" i="2"/>
  <c r="R34" i="2"/>
  <c r="S34" i="2"/>
  <c r="R234" i="2"/>
  <c r="N234" i="2"/>
  <c r="P234" i="2"/>
  <c r="R233" i="2"/>
  <c r="N233" i="2"/>
  <c r="P233" i="2"/>
  <c r="R232" i="2"/>
  <c r="P232" i="2"/>
  <c r="R231" i="2"/>
  <c r="N231" i="2"/>
  <c r="P231" i="2"/>
  <c r="R230" i="2"/>
  <c r="P230" i="2"/>
  <c r="AS229" i="2"/>
  <c r="R227" i="2"/>
  <c r="N227" i="2"/>
  <c r="P227" i="2"/>
  <c r="R226" i="2"/>
  <c r="N226" i="2"/>
  <c r="P226" i="2"/>
  <c r="AS8" i="2"/>
  <c r="AB8" i="2"/>
  <c r="AS19" i="2"/>
  <c r="AB19" i="2"/>
  <c r="AE19" i="2"/>
  <c r="R222" i="2"/>
  <c r="P222" i="2"/>
  <c r="R221" i="2"/>
  <c r="P221" i="2"/>
  <c r="R220" i="2"/>
  <c r="N220" i="2"/>
  <c r="P220" i="2"/>
  <c r="R219" i="2"/>
  <c r="P219" i="2"/>
  <c r="R218" i="2"/>
  <c r="N218" i="2"/>
  <c r="P218" i="2"/>
  <c r="R217" i="2"/>
  <c r="P217" i="2"/>
  <c r="R216" i="2"/>
  <c r="N216" i="2"/>
  <c r="P216" i="2"/>
  <c r="R215" i="2"/>
  <c r="P215" i="2"/>
  <c r="AB16" i="2"/>
  <c r="AE16" i="2"/>
  <c r="R213" i="2"/>
  <c r="P213" i="2"/>
  <c r="R211" i="2"/>
  <c r="N211" i="2"/>
  <c r="P211" i="2"/>
  <c r="R210" i="2"/>
  <c r="N210" i="2"/>
  <c r="P210" i="2"/>
  <c r="R209" i="2"/>
  <c r="N209" i="2"/>
  <c r="P209" i="2"/>
  <c r="R6" i="2"/>
  <c r="N6" i="2"/>
  <c r="S207" i="2"/>
  <c r="R205" i="2"/>
  <c r="N205" i="2"/>
  <c r="P205" i="2"/>
  <c r="R203" i="2"/>
  <c r="N203" i="2"/>
  <c r="P203" i="2"/>
  <c r="R201" i="2"/>
  <c r="N201" i="2"/>
  <c r="P201" i="2"/>
  <c r="R200" i="2"/>
  <c r="N200" i="2"/>
  <c r="P200" i="2"/>
  <c r="R199" i="2"/>
  <c r="N199" i="2"/>
  <c r="P199" i="2"/>
  <c r="R197" i="2"/>
  <c r="P197" i="2"/>
  <c r="R196" i="2"/>
  <c r="P196" i="2"/>
  <c r="R194" i="2"/>
  <c r="N194" i="2"/>
  <c r="P194" i="2"/>
  <c r="R193" i="2"/>
  <c r="N193" i="2"/>
  <c r="P193" i="2"/>
  <c r="R192" i="2"/>
  <c r="P192" i="2"/>
  <c r="R191" i="2"/>
  <c r="P191" i="2"/>
  <c r="R190" i="2"/>
  <c r="N190" i="2"/>
  <c r="P190" i="2"/>
  <c r="AB29" i="2"/>
  <c r="AE29" i="2"/>
  <c r="Z189" i="2"/>
  <c r="AG189" i="2"/>
  <c r="R188" i="2"/>
  <c r="P188" i="2"/>
  <c r="AS186" i="2"/>
  <c r="R185" i="2"/>
  <c r="P185" i="2"/>
  <c r="R184" i="2"/>
  <c r="N184" i="2"/>
  <c r="P184" i="2"/>
  <c r="R182" i="2"/>
  <c r="P182" i="2"/>
  <c r="R181" i="2"/>
  <c r="N181" i="2"/>
  <c r="P181" i="2"/>
  <c r="R179" i="2"/>
  <c r="N179" i="2"/>
  <c r="P179" i="2"/>
  <c r="R178" i="2"/>
  <c r="P178" i="2"/>
  <c r="R176" i="2"/>
  <c r="N176" i="2"/>
  <c r="P176" i="2"/>
  <c r="R175" i="2"/>
  <c r="N175" i="2"/>
  <c r="P175" i="2"/>
  <c r="R174" i="2"/>
  <c r="P174" i="2"/>
  <c r="R3" i="2"/>
  <c r="R173" i="2"/>
  <c r="P173" i="2"/>
  <c r="AB27" i="2"/>
  <c r="S172" i="2"/>
  <c r="Z172" i="2"/>
  <c r="R170" i="2"/>
  <c r="P170" i="2"/>
  <c r="R169" i="2"/>
  <c r="P169" i="2"/>
  <c r="Z168" i="2"/>
  <c r="AG168" i="2"/>
  <c r="R167" i="2"/>
  <c r="N167" i="2"/>
  <c r="P167" i="2"/>
  <c r="Z165" i="2"/>
  <c r="AG165" i="2"/>
  <c r="R161" i="2"/>
  <c r="P161" i="2"/>
  <c r="R160" i="2"/>
  <c r="P160" i="2"/>
  <c r="R159" i="2"/>
  <c r="N159" i="2"/>
  <c r="P159" i="2"/>
  <c r="AB31" i="2"/>
  <c r="R158" i="2"/>
  <c r="N158" i="2"/>
  <c r="P158" i="2"/>
  <c r="R157" i="2"/>
  <c r="P157" i="2"/>
  <c r="R156" i="2"/>
  <c r="N156" i="2"/>
  <c r="P156" i="2"/>
  <c r="R149" i="2"/>
  <c r="P149" i="2"/>
  <c r="S148" i="2"/>
  <c r="R146" i="2"/>
  <c r="P146" i="2"/>
  <c r="R144" i="2"/>
  <c r="N144" i="2"/>
  <c r="P144" i="2"/>
  <c r="AS143" i="2"/>
  <c r="R142" i="2"/>
  <c r="N142" i="2"/>
  <c r="P142" i="2"/>
  <c r="R140" i="2"/>
  <c r="P140" i="2"/>
  <c r="AS15" i="2"/>
  <c r="AB15" i="2"/>
  <c r="Z40" i="2"/>
  <c r="R139" i="2"/>
  <c r="P139" i="2"/>
  <c r="R138" i="2"/>
  <c r="P138" i="2"/>
  <c r="AS11" i="2"/>
  <c r="AB11" i="2"/>
  <c r="R137" i="2"/>
  <c r="N137" i="2"/>
  <c r="P137" i="2"/>
  <c r="R136" i="2"/>
  <c r="N136" i="2"/>
  <c r="P136" i="2"/>
  <c r="Z39" i="2"/>
  <c r="AB39" i="2"/>
  <c r="S39" i="2"/>
  <c r="R134" i="2"/>
  <c r="N134" i="2"/>
  <c r="P134" i="2"/>
  <c r="R133" i="2"/>
  <c r="N133" i="2"/>
  <c r="P133" i="2"/>
  <c r="R132" i="2"/>
  <c r="P132" i="2"/>
  <c r="Z13" i="2"/>
  <c r="AB13" i="2"/>
  <c r="AG13" i="2"/>
  <c r="R128" i="2"/>
  <c r="N128" i="2"/>
  <c r="P128" i="2"/>
  <c r="R127" i="2"/>
  <c r="N127" i="2"/>
  <c r="P127" i="2"/>
  <c r="R126" i="2"/>
  <c r="N126" i="2"/>
  <c r="P126" i="2"/>
  <c r="R122" i="2"/>
  <c r="N122" i="2"/>
  <c r="P122" i="2"/>
  <c r="R121" i="2"/>
  <c r="N121" i="2"/>
  <c r="P121" i="2"/>
  <c r="R120" i="2"/>
  <c r="N120" i="2"/>
  <c r="P120" i="2"/>
  <c r="R118" i="2"/>
  <c r="P118" i="2"/>
  <c r="R117" i="2"/>
  <c r="N117" i="2"/>
  <c r="P117" i="2"/>
  <c r="R116" i="2"/>
  <c r="N116" i="2"/>
  <c r="P116" i="2"/>
  <c r="R115" i="2"/>
  <c r="P115" i="2"/>
  <c r="R113" i="2"/>
  <c r="N113" i="2"/>
  <c r="P113" i="2"/>
  <c r="R111" i="2"/>
  <c r="P111" i="2"/>
  <c r="R110" i="2"/>
  <c r="N110" i="2"/>
  <c r="R109" i="2"/>
  <c r="P109" i="2"/>
  <c r="Z108" i="2"/>
  <c r="R107" i="2"/>
  <c r="N107" i="2"/>
  <c r="P107" i="2"/>
  <c r="R106" i="2"/>
  <c r="N106" i="2"/>
  <c r="P106" i="2"/>
  <c r="Z105" i="2"/>
  <c r="R104" i="2"/>
  <c r="N104" i="2"/>
  <c r="P104" i="2"/>
  <c r="R103" i="2"/>
  <c r="N103" i="2"/>
  <c r="P103" i="2"/>
  <c r="R100" i="2"/>
  <c r="N100" i="2"/>
  <c r="P100" i="2"/>
  <c r="R99" i="2"/>
  <c r="N99" i="2"/>
  <c r="P99" i="2"/>
  <c r="R98" i="2"/>
  <c r="N98" i="2"/>
  <c r="P98" i="2"/>
  <c r="R97" i="2"/>
  <c r="N97" i="2"/>
  <c r="P97" i="2"/>
  <c r="R96" i="2"/>
  <c r="P96" i="2"/>
  <c r="R95" i="2"/>
  <c r="N95" i="2"/>
  <c r="P95" i="2"/>
  <c r="R94" i="2"/>
  <c r="S94" i="2"/>
  <c r="Z94" i="2"/>
  <c r="AE94" i="2"/>
  <c r="R93" i="2"/>
  <c r="P93" i="2"/>
  <c r="R92" i="2"/>
  <c r="R91" i="2"/>
  <c r="N91" i="2"/>
  <c r="P91" i="2"/>
  <c r="R10" i="2"/>
  <c r="N10" i="2"/>
  <c r="R88" i="2"/>
  <c r="P88" i="2"/>
  <c r="AS87" i="2"/>
  <c r="R86" i="2"/>
  <c r="N86" i="2"/>
  <c r="P86" i="2"/>
  <c r="AS24" i="2"/>
  <c r="AB24" i="2"/>
  <c r="AG24" i="2"/>
  <c r="AS85" i="2"/>
  <c r="AS83" i="2"/>
  <c r="AS82" i="2"/>
  <c r="AS17" i="2"/>
  <c r="AB17" i="2"/>
  <c r="R81" i="2"/>
  <c r="N81" i="2"/>
  <c r="P81" i="2"/>
  <c r="R2" i="2"/>
  <c r="R80" i="2"/>
  <c r="N80" i="2"/>
  <c r="P80" i="2"/>
  <c r="R79" i="2"/>
  <c r="N79" i="2"/>
  <c r="P79" i="2"/>
  <c r="Z26" i="2"/>
  <c r="AB26" i="2"/>
  <c r="AE26" i="2"/>
  <c r="AB33" i="2"/>
  <c r="AG33" i="2"/>
  <c r="R33" i="2"/>
  <c r="S33" i="2"/>
  <c r="R77" i="2"/>
  <c r="N77" i="2"/>
  <c r="P77" i="2"/>
  <c r="R4" i="2"/>
  <c r="S4" i="2"/>
  <c r="Z4" i="2"/>
  <c r="AB4" i="2"/>
  <c r="N4" i="2"/>
  <c r="R76" i="2"/>
  <c r="R74" i="2"/>
  <c r="N74" i="2"/>
  <c r="P74" i="2"/>
  <c r="Z9" i="2"/>
  <c r="R73" i="2"/>
  <c r="P73" i="2"/>
  <c r="R72" i="2"/>
  <c r="N72" i="2"/>
  <c r="P72" i="2"/>
  <c r="R71" i="2"/>
  <c r="P71" i="2"/>
  <c r="R70" i="2"/>
  <c r="P70" i="2"/>
  <c r="Z23" i="2"/>
  <c r="S23" i="2"/>
  <c r="R69" i="2"/>
  <c r="N69" i="2"/>
  <c r="P69" i="2"/>
  <c r="AB14" i="2"/>
  <c r="AG14" i="2"/>
  <c r="R14" i="2"/>
  <c r="S14" i="2"/>
  <c r="N14" i="2"/>
  <c r="R68" i="2"/>
  <c r="N68" i="2"/>
  <c r="P68" i="2"/>
  <c r="AB36" i="2"/>
  <c r="AE36" i="2"/>
  <c r="R36" i="2"/>
  <c r="S36" i="2"/>
  <c r="R65" i="2"/>
  <c r="N65" i="2"/>
  <c r="P65" i="2"/>
  <c r="R64" i="2"/>
  <c r="N64" i="2"/>
  <c r="P64" i="2"/>
  <c r="R63" i="2"/>
  <c r="N63" i="2"/>
  <c r="P63" i="2"/>
  <c r="R62" i="2"/>
  <c r="N62" i="2"/>
  <c r="P62" i="2"/>
  <c r="N61" i="2"/>
  <c r="S61" i="2"/>
  <c r="R60" i="2"/>
  <c r="N60" i="2"/>
  <c r="P60" i="2"/>
  <c r="R59" i="2"/>
  <c r="N59" i="2"/>
  <c r="P59" i="2"/>
  <c r="Z58" i="2"/>
  <c r="R58" i="2"/>
  <c r="S58" i="2"/>
  <c r="N58" i="2"/>
  <c r="AS7" i="2"/>
  <c r="AS21" i="2"/>
  <c r="Z21" i="2"/>
  <c r="R55" i="2"/>
  <c r="P55" i="2"/>
  <c r="R18" i="2"/>
  <c r="N18" i="2"/>
  <c r="R54" i="2"/>
  <c r="N54" i="2"/>
  <c r="P54" i="2"/>
  <c r="R53" i="2"/>
  <c r="N53" i="2"/>
  <c r="P53" i="2"/>
  <c r="S22" i="2"/>
  <c r="N22" i="2"/>
  <c r="R52" i="2"/>
  <c r="N52" i="2"/>
  <c r="P52" i="2"/>
  <c r="R51" i="2"/>
  <c r="P51" i="2"/>
  <c r="R50" i="2"/>
  <c r="N50" i="2"/>
  <c r="P50" i="2"/>
  <c r="Z30" i="2"/>
  <c r="R49" i="2"/>
  <c r="N49" i="2"/>
  <c r="P49" i="2"/>
  <c r="R48" i="2"/>
  <c r="N48" i="2"/>
  <c r="S47" i="2"/>
  <c r="R46" i="2"/>
  <c r="P46" i="2"/>
  <c r="R45" i="2"/>
  <c r="P45" i="2"/>
  <c r="R44" i="2"/>
  <c r="P44" i="2"/>
  <c r="R43" i="2"/>
  <c r="N43" i="2"/>
  <c r="P43" i="2"/>
  <c r="R42" i="2"/>
  <c r="P42" i="2"/>
  <c r="AS41" i="2"/>
  <c r="AB40" i="2"/>
  <c r="AG40" i="2"/>
  <c r="AG244" i="2"/>
  <c r="AE244" i="2"/>
  <c r="AE17" i="2"/>
  <c r="AG17" i="2"/>
  <c r="S91" i="2"/>
  <c r="S48" i="2"/>
  <c r="S222" i="2"/>
  <c r="S261" i="2"/>
  <c r="S96" i="2"/>
  <c r="S149" i="2"/>
  <c r="S191" i="2"/>
  <c r="S88" i="2"/>
  <c r="S106" i="2"/>
  <c r="S133" i="2"/>
  <c r="S169" i="2"/>
  <c r="S46" i="2"/>
  <c r="S52" i="2"/>
  <c r="S53" i="2"/>
  <c r="S54" i="2"/>
  <c r="S60" i="2"/>
  <c r="S65" i="2"/>
  <c r="S170" i="2"/>
  <c r="S178" i="2"/>
  <c r="S215" i="2"/>
  <c r="S221" i="2"/>
  <c r="S262" i="2"/>
  <c r="S45" i="2"/>
  <c r="S70" i="2"/>
  <c r="S49" i="2"/>
  <c r="S2" i="2"/>
  <c r="S10" i="2"/>
  <c r="S252" i="2"/>
  <c r="S42" i="2"/>
  <c r="S55" i="2"/>
  <c r="S64" i="2"/>
  <c r="S68" i="2"/>
  <c r="S81" i="2"/>
  <c r="S109" i="2"/>
  <c r="S118" i="2"/>
  <c r="S121" i="2"/>
  <c r="S126" i="2"/>
  <c r="S174" i="2"/>
  <c r="S188" i="2"/>
  <c r="S192" i="2"/>
  <c r="S200" i="2"/>
  <c r="S250" i="2"/>
  <c r="S253" i="2"/>
  <c r="S257" i="2"/>
  <c r="S104" i="2"/>
  <c r="S193" i="2"/>
  <c r="S201" i="2"/>
  <c r="S231" i="2"/>
  <c r="S93" i="2"/>
  <c r="S95" i="2"/>
  <c r="S97" i="2"/>
  <c r="S99" i="2"/>
  <c r="S111" i="2"/>
  <c r="S115" i="2"/>
  <c r="S140" i="2"/>
  <c r="S181" i="2"/>
  <c r="S184" i="2"/>
  <c r="S194" i="2"/>
  <c r="S197" i="2"/>
  <c r="S51" i="2"/>
  <c r="S18" i="2"/>
  <c r="S59" i="2"/>
  <c r="S63" i="2"/>
  <c r="S71" i="2"/>
  <c r="S132" i="2"/>
  <c r="S142" i="2"/>
  <c r="S144" i="2"/>
  <c r="S210" i="2"/>
  <c r="S213" i="2"/>
  <c r="S216" i="2"/>
  <c r="S227" i="2"/>
  <c r="S230" i="2"/>
  <c r="S242" i="2"/>
  <c r="S245" i="2"/>
  <c r="S247" i="2"/>
  <c r="S28" i="2"/>
  <c r="S44" i="2"/>
  <c r="S62" i="2"/>
  <c r="S185" i="2"/>
  <c r="S50" i="2"/>
  <c r="S100" i="2"/>
  <c r="S146" i="2"/>
  <c r="S226" i="2"/>
  <c r="S249" i="2"/>
  <c r="S190" i="2"/>
  <c r="S220" i="2"/>
  <c r="S237" i="2"/>
  <c r="S69" i="2"/>
  <c r="S92" i="2"/>
  <c r="S116" i="2"/>
  <c r="S139" i="2"/>
  <c r="S161" i="2"/>
  <c r="S176" i="2"/>
  <c r="S205" i="2"/>
  <c r="S217" i="2"/>
  <c r="S219" i="2"/>
  <c r="S232" i="2"/>
  <c r="S236" i="2"/>
  <c r="S35" i="2"/>
  <c r="S72" i="2"/>
  <c r="S86" i="2"/>
  <c r="S98" i="2"/>
  <c r="S103" i="2"/>
  <c r="S134" i="2"/>
  <c r="S158" i="2"/>
  <c r="S235" i="2"/>
  <c r="S241" i="2"/>
  <c r="S136" i="2"/>
  <c r="S74" i="2"/>
  <c r="S110" i="2"/>
  <c r="S138" i="2"/>
  <c r="S157" i="2"/>
  <c r="S160" i="2"/>
  <c r="S167" i="2"/>
  <c r="S3" i="2"/>
  <c r="S175" i="2"/>
  <c r="S196" i="2"/>
  <c r="S199" i="2"/>
  <c r="S203" i="2"/>
  <c r="S218" i="2"/>
  <c r="S233" i="2"/>
  <c r="S239" i="2"/>
  <c r="S37" i="2"/>
  <c r="S76" i="2"/>
  <c r="S80" i="2"/>
  <c r="S179" i="2"/>
  <c r="S182" i="2"/>
  <c r="S6" i="2"/>
  <c r="S234" i="2"/>
  <c r="S256" i="2"/>
  <c r="S73" i="2"/>
  <c r="S79" i="2"/>
  <c r="S107" i="2"/>
  <c r="S113" i="2"/>
  <c r="S117" i="2"/>
  <c r="S120" i="2"/>
  <c r="S122" i="2"/>
  <c r="S127" i="2"/>
  <c r="S128" i="2"/>
  <c r="S137" i="2"/>
  <c r="S156" i="2"/>
  <c r="S159" i="2"/>
  <c r="S173" i="2"/>
  <c r="S209" i="2"/>
  <c r="S211" i="2"/>
  <c r="S246" i="2"/>
  <c r="S43" i="2"/>
  <c r="S77" i="2"/>
  <c r="AN241" i="1"/>
  <c r="AB241" i="1"/>
  <c r="AN225" i="1"/>
  <c r="AB225" i="1"/>
  <c r="AN224" i="1"/>
  <c r="AB224" i="1"/>
  <c r="AN181" i="1"/>
  <c r="AB214" i="1"/>
  <c r="AB236" i="1"/>
  <c r="AB185" i="1"/>
  <c r="AB61" i="1"/>
  <c r="AB55" i="1"/>
  <c r="AB25" i="1"/>
  <c r="AB150" i="1"/>
  <c r="AN130" i="1"/>
  <c r="AB130" i="1"/>
  <c r="AN126" i="1"/>
  <c r="AB126" i="1"/>
  <c r="AN63" i="1"/>
  <c r="AN62" i="1"/>
  <c r="AN2" i="1"/>
  <c r="AN65" i="1"/>
  <c r="AB65" i="1"/>
  <c r="AB41" i="1"/>
  <c r="AB38" i="1"/>
  <c r="AN67" i="1"/>
  <c r="AN64" i="1"/>
  <c r="AN23" i="1"/>
  <c r="AB164" i="1"/>
  <c r="AN25" i="1"/>
  <c r="Z56" i="1"/>
  <c r="Z14" i="1"/>
  <c r="Z260" i="1"/>
  <c r="Z268" i="1"/>
  <c r="Z156" i="1"/>
  <c r="Z30" i="1"/>
  <c r="Z91" i="1"/>
  <c r="Z87" i="1"/>
  <c r="Z184" i="1"/>
  <c r="Z115" i="1"/>
  <c r="Z23" i="1"/>
  <c r="Z129" i="1"/>
  <c r="Z48" i="1"/>
  <c r="Z159" i="1"/>
  <c r="S138" i="1"/>
  <c r="S163" i="1"/>
  <c r="Z163" i="1"/>
  <c r="Z26" i="1"/>
  <c r="S204" i="1"/>
  <c r="Z43" i="1"/>
  <c r="S43" i="1"/>
  <c r="Z122" i="1"/>
  <c r="S122" i="1"/>
  <c r="Z247" i="1"/>
  <c r="S247" i="1"/>
  <c r="S11" i="1"/>
  <c r="R107" i="1"/>
  <c r="N107" i="1"/>
  <c r="P107" i="1"/>
  <c r="R21" i="1"/>
  <c r="N21" i="1"/>
  <c r="R239" i="1"/>
  <c r="N239" i="1"/>
  <c r="P239" i="1"/>
  <c r="R136" i="1"/>
  <c r="P136" i="1"/>
  <c r="R222" i="1"/>
  <c r="P222" i="1"/>
  <c r="R6" i="1"/>
  <c r="N6" i="1"/>
  <c r="P6" i="1"/>
  <c r="R128" i="1"/>
  <c r="P128" i="1"/>
  <c r="R5" i="1"/>
  <c r="P5" i="1"/>
  <c r="R161" i="1"/>
  <c r="P161" i="1"/>
  <c r="R4" i="1"/>
  <c r="P4" i="1"/>
  <c r="R27" i="1"/>
  <c r="N27" i="1"/>
  <c r="P27" i="1"/>
  <c r="R256" i="1"/>
  <c r="N256" i="1"/>
  <c r="P256" i="1"/>
  <c r="R177" i="1"/>
  <c r="N177" i="1"/>
  <c r="P177" i="1"/>
  <c r="AN230" i="1"/>
  <c r="R183" i="1"/>
  <c r="P183" i="1"/>
  <c r="R257" i="1"/>
  <c r="N257" i="1"/>
  <c r="P257" i="1"/>
  <c r="R160" i="1"/>
  <c r="P160" i="1"/>
  <c r="R103" i="1"/>
  <c r="P103" i="1"/>
  <c r="R18" i="1"/>
  <c r="N18" i="1"/>
  <c r="P18" i="1"/>
  <c r="R26" i="1"/>
  <c r="N26" i="1"/>
  <c r="R31" i="1"/>
  <c r="N31" i="1"/>
  <c r="P31" i="1"/>
  <c r="R140" i="1"/>
  <c r="N140" i="1"/>
  <c r="P140" i="1"/>
  <c r="R101" i="1"/>
  <c r="N101" i="1"/>
  <c r="P101" i="1"/>
  <c r="R190" i="1"/>
  <c r="N190" i="1"/>
  <c r="P190" i="1"/>
  <c r="R189" i="1"/>
  <c r="N189" i="1"/>
  <c r="P189" i="1"/>
  <c r="R188" i="1"/>
  <c r="P188" i="1"/>
  <c r="R117" i="1"/>
  <c r="P117" i="1"/>
  <c r="R41" i="1"/>
  <c r="N41" i="1"/>
  <c r="R99" i="1"/>
  <c r="N99" i="1"/>
  <c r="P99" i="1"/>
  <c r="R114" i="1"/>
  <c r="N114" i="1"/>
  <c r="P114" i="1"/>
  <c r="R148" i="1"/>
  <c r="P148" i="1"/>
  <c r="R82" i="1"/>
  <c r="N82" i="1"/>
  <c r="P82" i="1"/>
  <c r="R221" i="1"/>
  <c r="P221" i="1"/>
  <c r="R250" i="1"/>
  <c r="P250" i="1"/>
  <c r="R127" i="1"/>
  <c r="P127" i="1"/>
  <c r="R234" i="1"/>
  <c r="N234" i="1"/>
  <c r="P234" i="1"/>
  <c r="R232" i="1"/>
  <c r="N232" i="1"/>
  <c r="P232" i="1"/>
  <c r="R78" i="1"/>
  <c r="P78" i="1"/>
  <c r="R203" i="1"/>
  <c r="N203" i="1"/>
  <c r="P203" i="1"/>
  <c r="R29" i="1"/>
  <c r="N29" i="1"/>
  <c r="P29" i="1"/>
  <c r="R3" i="1"/>
  <c r="N3" i="1"/>
  <c r="P3" i="1"/>
  <c r="R55" i="1"/>
  <c r="R90" i="1"/>
  <c r="N90" i="1"/>
  <c r="P90" i="1"/>
  <c r="R180" i="1"/>
  <c r="P180" i="1"/>
  <c r="R179" i="1"/>
  <c r="N179" i="1"/>
  <c r="P179" i="1"/>
  <c r="R254" i="1"/>
  <c r="N254" i="1"/>
  <c r="P254" i="1"/>
  <c r="R15" i="1"/>
  <c r="N15" i="1"/>
  <c r="P15" i="1"/>
  <c r="R33" i="1"/>
  <c r="N33" i="1"/>
  <c r="P33" i="1"/>
  <c r="R199" i="1"/>
  <c r="N199" i="1"/>
  <c r="P199" i="1"/>
  <c r="R86" i="1"/>
  <c r="N86" i="1"/>
  <c r="P86" i="1"/>
  <c r="AN61" i="1"/>
  <c r="R211" i="1"/>
  <c r="N211" i="1"/>
  <c r="P211" i="1"/>
  <c r="R192" i="1"/>
  <c r="P192" i="1"/>
  <c r="R231" i="1"/>
  <c r="P231" i="1"/>
  <c r="R85" i="1"/>
  <c r="N85" i="1"/>
  <c r="P85" i="1"/>
  <c r="R49" i="1"/>
  <c r="N49" i="1"/>
  <c r="P49" i="1"/>
  <c r="R58" i="1"/>
  <c r="N58" i="1"/>
  <c r="P58" i="1"/>
  <c r="R172" i="1"/>
  <c r="N172" i="1"/>
  <c r="P172" i="1"/>
  <c r="R97" i="1"/>
  <c r="P97" i="1"/>
  <c r="R245" i="1"/>
  <c r="P245" i="1"/>
  <c r="R80" i="1"/>
  <c r="N80" i="1"/>
  <c r="P80" i="1"/>
  <c r="R89" i="1"/>
  <c r="N89" i="1"/>
  <c r="P89" i="1"/>
  <c r="R22" i="1"/>
  <c r="P22" i="1"/>
  <c r="R238" i="1"/>
  <c r="N238" i="1"/>
  <c r="P238" i="1"/>
  <c r="R171" i="1"/>
  <c r="P171" i="1"/>
  <c r="R81" i="1"/>
  <c r="N81" i="1"/>
  <c r="P81" i="1"/>
  <c r="R68" i="1"/>
  <c r="P68" i="1"/>
  <c r="R195" i="1"/>
  <c r="P195" i="1"/>
  <c r="R106" i="1"/>
  <c r="N106" i="1"/>
  <c r="P106" i="1"/>
  <c r="R40" i="1"/>
  <c r="N40" i="1"/>
  <c r="P40" i="1"/>
  <c r="R96" i="1"/>
  <c r="N96" i="1"/>
  <c r="P96" i="1"/>
  <c r="R220" i="1"/>
  <c r="N220" i="1"/>
  <c r="P220" i="1"/>
  <c r="R75" i="1"/>
  <c r="P75" i="1"/>
  <c r="R235" i="1"/>
  <c r="N235" i="1"/>
  <c r="P235" i="1"/>
  <c r="R233" i="1"/>
  <c r="P233" i="1"/>
  <c r="R125" i="1"/>
  <c r="N125" i="1"/>
  <c r="P125" i="1"/>
  <c r="R187" i="1"/>
  <c r="P187" i="1"/>
  <c r="R170" i="1"/>
  <c r="N170" i="1"/>
  <c r="P170" i="1"/>
  <c r="R100" i="1"/>
  <c r="P100" i="1"/>
  <c r="R152" i="1"/>
  <c r="P152" i="1"/>
  <c r="R92" i="1"/>
  <c r="P92" i="1"/>
  <c r="R47" i="1"/>
  <c r="P47" i="1"/>
  <c r="R8" i="1"/>
  <c r="P8" i="1"/>
  <c r="R139" i="1"/>
  <c r="P139" i="1"/>
  <c r="R237" i="1"/>
  <c r="N237" i="1"/>
  <c r="P237" i="1"/>
  <c r="R263" i="1"/>
  <c r="P263" i="1"/>
  <c r="R12" i="1"/>
  <c r="N12" i="1"/>
  <c r="P12" i="1"/>
  <c r="R133" i="1"/>
  <c r="N133" i="1"/>
  <c r="P133" i="1"/>
  <c r="R102" i="1"/>
  <c r="N102" i="1"/>
  <c r="P102" i="1"/>
  <c r="R135" i="1"/>
  <c r="N135" i="1"/>
  <c r="P135" i="1"/>
  <c r="R113" i="1"/>
  <c r="N113" i="1"/>
  <c r="P113" i="1"/>
  <c r="R236" i="1"/>
  <c r="R147" i="1"/>
  <c r="N147" i="1"/>
  <c r="P147" i="1"/>
  <c r="R10" i="1"/>
  <c r="P10" i="1"/>
  <c r="R20" i="1"/>
  <c r="N20" i="1"/>
  <c r="P20" i="1"/>
  <c r="R95" i="1"/>
  <c r="N95" i="1"/>
  <c r="P95" i="1"/>
  <c r="R94" i="1"/>
  <c r="P94" i="1"/>
  <c r="R253" i="1"/>
  <c r="P253" i="1"/>
  <c r="R219" i="1"/>
  <c r="P219" i="1"/>
  <c r="R228" i="1"/>
  <c r="N228" i="1"/>
  <c r="P228" i="1"/>
  <c r="R210" i="1"/>
  <c r="N210" i="1"/>
  <c r="P210" i="1"/>
  <c r="R32" i="1"/>
  <c r="N32" i="1"/>
  <c r="P32" i="1"/>
  <c r="R227" i="1"/>
  <c r="N227" i="1"/>
  <c r="P227" i="1"/>
  <c r="R153" i="1"/>
  <c r="P153" i="1"/>
  <c r="R176" i="1"/>
  <c r="P176" i="1"/>
  <c r="R175" i="1"/>
  <c r="P175" i="1"/>
  <c r="R131" i="1"/>
  <c r="P131" i="1"/>
  <c r="R194" i="1"/>
  <c r="P194" i="1"/>
  <c r="R74" i="1"/>
  <c r="N74" i="1"/>
  <c r="P74" i="1"/>
  <c r="R240" i="1"/>
  <c r="N240" i="1"/>
  <c r="P240" i="1"/>
  <c r="R218" i="1"/>
  <c r="N218" i="1"/>
  <c r="P218" i="1"/>
  <c r="R53" i="1"/>
  <c r="N53" i="1"/>
  <c r="P53" i="1"/>
  <c r="R244" i="1"/>
  <c r="N244" i="1"/>
  <c r="P244" i="1"/>
  <c r="R158" i="1"/>
  <c r="N158" i="1"/>
  <c r="P158" i="1"/>
  <c r="R261" i="1"/>
  <c r="N261" i="1"/>
  <c r="P261" i="1"/>
  <c r="R36" i="1"/>
  <c r="P36" i="1"/>
  <c r="R252" i="1"/>
  <c r="P252" i="1"/>
  <c r="R198" i="1"/>
  <c r="N198" i="1"/>
  <c r="P198" i="1"/>
  <c r="R46" i="1"/>
  <c r="N46" i="1"/>
  <c r="P46" i="1"/>
  <c r="R186" i="1"/>
  <c r="N186" i="1"/>
  <c r="P186" i="1"/>
  <c r="R77" i="1"/>
  <c r="N77" i="1"/>
  <c r="P77" i="1"/>
  <c r="R249" i="1"/>
  <c r="N249" i="1"/>
  <c r="P249" i="1"/>
  <c r="R209" i="1"/>
  <c r="N209" i="1"/>
  <c r="P209" i="1"/>
  <c r="R45" i="1"/>
  <c r="P45" i="1"/>
  <c r="R266" i="1"/>
  <c r="P266" i="1"/>
  <c r="R155" i="1"/>
  <c r="P155" i="1"/>
  <c r="R121" i="1"/>
  <c r="N121" i="1"/>
  <c r="P121" i="1"/>
  <c r="R57" i="1"/>
  <c r="N57" i="1"/>
  <c r="P57" i="1"/>
  <c r="R217" i="1"/>
  <c r="P217" i="1"/>
  <c r="R174" i="1"/>
  <c r="N174" i="1"/>
  <c r="P174" i="1"/>
  <c r="R216" i="1"/>
  <c r="N216" i="1"/>
  <c r="P216" i="1"/>
  <c r="R120" i="1"/>
  <c r="N120" i="1"/>
  <c r="P120" i="1"/>
  <c r="R151" i="1"/>
  <c r="N151" i="1"/>
  <c r="P151" i="1"/>
  <c r="R248" i="1"/>
  <c r="N248" i="1"/>
  <c r="P248" i="1"/>
  <c r="R212" i="1"/>
  <c r="P212" i="1"/>
  <c r="R60" i="1"/>
  <c r="N60" i="1"/>
  <c r="P60" i="1"/>
  <c r="R193" i="1"/>
  <c r="P193" i="1"/>
  <c r="R260" i="1"/>
  <c r="R267" i="1"/>
  <c r="P267" i="1"/>
  <c r="R35" i="1"/>
  <c r="N35" i="1"/>
  <c r="P35" i="1"/>
  <c r="R76" i="1"/>
  <c r="R28" i="1"/>
  <c r="N28" i="1"/>
  <c r="P28" i="1"/>
  <c r="R197" i="1"/>
  <c r="N197" i="1"/>
  <c r="P197" i="1"/>
  <c r="R124" i="1"/>
  <c r="N124" i="1"/>
  <c r="P124" i="1"/>
  <c r="R243" i="1"/>
  <c r="P243" i="1"/>
  <c r="R146" i="1"/>
  <c r="P146" i="1"/>
  <c r="R157" i="1"/>
  <c r="N157" i="1"/>
  <c r="P157" i="1"/>
  <c r="R38" i="1"/>
  <c r="R112" i="1"/>
  <c r="N112" i="1"/>
  <c r="P112" i="1"/>
  <c r="R79" i="1"/>
  <c r="N79" i="1"/>
  <c r="P79" i="1"/>
  <c r="R169" i="1"/>
  <c r="N169" i="1"/>
  <c r="P169" i="1"/>
  <c r="R208" i="1"/>
  <c r="P208" i="1"/>
  <c r="R13" i="1"/>
  <c r="N13" i="1"/>
  <c r="P13" i="1"/>
  <c r="R9" i="1"/>
  <c r="P9" i="1"/>
  <c r="R66" i="1"/>
  <c r="N66" i="1"/>
  <c r="P66" i="1"/>
  <c r="R52" i="1"/>
  <c r="N52" i="1"/>
  <c r="R42" i="1"/>
  <c r="N42" i="1"/>
  <c r="P42" i="1"/>
  <c r="R17" i="1"/>
  <c r="N17" i="1"/>
  <c r="P17" i="1"/>
  <c r="R93" i="1"/>
  <c r="N93" i="1"/>
  <c r="P93" i="1"/>
  <c r="R201" i="1"/>
  <c r="N201" i="1"/>
  <c r="P201" i="1"/>
  <c r="AN207" i="1"/>
  <c r="R262" i="1"/>
  <c r="P262" i="1"/>
  <c r="R16" i="1"/>
  <c r="P16" i="1"/>
  <c r="R168" i="1"/>
  <c r="P168" i="1"/>
  <c r="R259" i="1"/>
  <c r="P259" i="1"/>
  <c r="R206" i="1"/>
  <c r="N206" i="1"/>
  <c r="P206" i="1"/>
  <c r="R105" i="1"/>
  <c r="N105" i="1"/>
  <c r="P105" i="1"/>
  <c r="R73" i="1"/>
  <c r="P73" i="1"/>
  <c r="R167" i="1"/>
  <c r="P167" i="1"/>
  <c r="AN134" i="1"/>
  <c r="R149" i="1"/>
  <c r="N149" i="1"/>
  <c r="P149" i="1"/>
  <c r="R72" i="1"/>
  <c r="N72" i="1"/>
  <c r="P72" i="1"/>
  <c r="R19" i="1"/>
  <c r="N19" i="1"/>
  <c r="P19" i="1"/>
  <c r="R88" i="1"/>
  <c r="N88" i="1"/>
  <c r="P88" i="1"/>
  <c r="R215" i="1"/>
  <c r="P215" i="1"/>
  <c r="R34" i="1"/>
  <c r="N34" i="1"/>
  <c r="P34" i="1"/>
  <c r="R111" i="1"/>
  <c r="N111" i="1"/>
  <c r="P111" i="1"/>
  <c r="R71" i="1"/>
  <c r="N71" i="1"/>
  <c r="P71" i="1"/>
  <c r="R119" i="1"/>
  <c r="P119" i="1"/>
  <c r="R51" i="1"/>
  <c r="P51" i="1"/>
  <c r="R44" i="1"/>
  <c r="P44" i="1"/>
  <c r="R166" i="1"/>
  <c r="P166" i="1"/>
  <c r="R165" i="1"/>
  <c r="N165" i="1"/>
  <c r="P165" i="1"/>
  <c r="R59" i="1"/>
  <c r="P59" i="1"/>
  <c r="P21" i="1"/>
  <c r="AB21" i="1"/>
  <c r="S148" i="1"/>
  <c r="S101" i="1"/>
  <c r="S16" i="1"/>
  <c r="S86" i="1"/>
  <c r="S92" i="1"/>
  <c r="S187" i="1"/>
  <c r="S160" i="1"/>
  <c r="S119" i="1"/>
  <c r="S72" i="1"/>
  <c r="S6" i="1"/>
  <c r="S266" i="1"/>
  <c r="S172" i="1"/>
  <c r="S120" i="1"/>
  <c r="S233" i="1"/>
  <c r="S221" i="1"/>
  <c r="S95" i="1"/>
  <c r="S261" i="1"/>
  <c r="S220" i="1"/>
  <c r="S180" i="1"/>
  <c r="S219" i="1"/>
  <c r="S254" i="1"/>
  <c r="S73" i="1"/>
  <c r="S235" i="1"/>
  <c r="S215" i="1"/>
  <c r="S197" i="1"/>
  <c r="S158" i="1"/>
  <c r="S208" i="1"/>
  <c r="S166" i="1"/>
  <c r="S88" i="1"/>
  <c r="S267" i="1"/>
  <c r="S212" i="1"/>
  <c r="S253" i="1"/>
  <c r="S10" i="1"/>
  <c r="S252" i="1"/>
  <c r="S94" i="1"/>
  <c r="S78" i="1"/>
  <c r="S188" i="1"/>
  <c r="S103" i="1"/>
  <c r="S167" i="1"/>
  <c r="S259" i="1"/>
  <c r="S186" i="1"/>
  <c r="S53" i="1"/>
  <c r="S28" i="1"/>
  <c r="S131" i="1"/>
  <c r="S227" i="1"/>
  <c r="S102" i="1"/>
  <c r="S263" i="1"/>
  <c r="S47" i="1"/>
  <c r="S195" i="1"/>
  <c r="S179" i="1"/>
  <c r="S55" i="1"/>
  <c r="S44" i="1"/>
  <c r="S206" i="1"/>
  <c r="S244" i="1"/>
  <c r="S240" i="1"/>
  <c r="S177" i="1"/>
  <c r="S34" i="1"/>
  <c r="S121" i="1"/>
  <c r="S209" i="1"/>
  <c r="S133" i="1"/>
  <c r="S40" i="1"/>
  <c r="S49" i="1"/>
  <c r="S211" i="1"/>
  <c r="S3" i="1"/>
  <c r="S99" i="1"/>
  <c r="S174" i="1"/>
  <c r="S152" i="1"/>
  <c r="S75" i="1"/>
  <c r="S81" i="1"/>
  <c r="S15" i="1"/>
  <c r="S234" i="1"/>
  <c r="S82" i="1"/>
  <c r="S89" i="1"/>
  <c r="S71" i="1"/>
  <c r="S112" i="1"/>
  <c r="S146" i="1"/>
  <c r="S217" i="1"/>
  <c r="S77" i="1"/>
  <c r="S218" i="1"/>
  <c r="S194" i="1"/>
  <c r="S153" i="1"/>
  <c r="S147" i="1"/>
  <c r="S80" i="1"/>
  <c r="S203" i="1"/>
  <c r="S127" i="1"/>
  <c r="S183" i="1"/>
  <c r="S128" i="1"/>
  <c r="S111" i="1"/>
  <c r="S51" i="1"/>
  <c r="S262" i="1"/>
  <c r="S17" i="1"/>
  <c r="S66" i="1"/>
  <c r="S169" i="1"/>
  <c r="S260" i="1"/>
  <c r="S36" i="1"/>
  <c r="S175" i="1"/>
  <c r="S236" i="1"/>
  <c r="S12" i="1"/>
  <c r="S8" i="1"/>
  <c r="S100" i="1"/>
  <c r="S106" i="1"/>
  <c r="S171" i="1"/>
  <c r="S90" i="1"/>
  <c r="S18" i="1"/>
  <c r="S165" i="1"/>
  <c r="S9" i="1"/>
  <c r="S157" i="1"/>
  <c r="S124" i="1"/>
  <c r="S76" i="1"/>
  <c r="Z76" i="1"/>
  <c r="S248" i="1"/>
  <c r="S249" i="1"/>
  <c r="S46" i="1"/>
  <c r="S74" i="1"/>
  <c r="S176" i="1"/>
  <c r="S32" i="1"/>
  <c r="S20" i="1"/>
  <c r="S238" i="1"/>
  <c r="S231" i="1"/>
  <c r="S140" i="1"/>
  <c r="S4" i="1"/>
  <c r="S59" i="1"/>
  <c r="S149" i="1"/>
  <c r="S168" i="1"/>
  <c r="S42" i="1"/>
  <c r="S193" i="1"/>
  <c r="S216" i="1"/>
  <c r="S45" i="1"/>
  <c r="S237" i="1"/>
  <c r="S96" i="1"/>
  <c r="S68" i="1"/>
  <c r="S22" i="1"/>
  <c r="S245" i="1"/>
  <c r="S192" i="1"/>
  <c r="S33" i="1"/>
  <c r="S161" i="1"/>
  <c r="S222" i="1"/>
  <c r="S113" i="1"/>
  <c r="S190" i="1"/>
  <c r="S19" i="1"/>
  <c r="S13" i="1"/>
  <c r="S243" i="1"/>
  <c r="S35" i="1"/>
  <c r="S151" i="1"/>
  <c r="S198" i="1"/>
  <c r="S139" i="1"/>
  <c r="S97" i="1"/>
  <c r="S250" i="1"/>
  <c r="S117" i="1"/>
  <c r="S257" i="1"/>
  <c r="S5" i="1"/>
  <c r="S136" i="1"/>
  <c r="S21" i="1"/>
  <c r="S93" i="1"/>
  <c r="S38" i="1"/>
  <c r="S155" i="1"/>
  <c r="S228" i="1"/>
  <c r="S135" i="1"/>
  <c r="S125" i="1"/>
  <c r="S26" i="1"/>
  <c r="S27" i="1"/>
  <c r="S189" i="1"/>
  <c r="S105" i="1"/>
  <c r="S170" i="1"/>
  <c r="S58" i="1"/>
  <c r="S199" i="1"/>
  <c r="S239" i="1"/>
  <c r="S201" i="1"/>
  <c r="S79" i="1"/>
  <c r="S57" i="1"/>
  <c r="S210" i="1"/>
  <c r="S41" i="1"/>
  <c r="S31" i="1"/>
  <c r="S52" i="1"/>
  <c r="Z52" i="1"/>
  <c r="S60" i="1"/>
  <c r="S256" i="1"/>
  <c r="S85" i="1"/>
  <c r="S29" i="1"/>
  <c r="S232" i="1"/>
  <c r="S114" i="1"/>
  <c r="S107" i="1"/>
  <c r="S78" i="3"/>
  <c r="S207" i="3"/>
  <c r="S67" i="3"/>
  <c r="S202" i="3"/>
  <c r="S128" i="3"/>
  <c r="S198" i="3"/>
  <c r="S72" i="3"/>
  <c r="Z230" i="3"/>
  <c r="S125" i="3"/>
  <c r="S104" i="3"/>
  <c r="S136" i="3"/>
  <c r="S145" i="3"/>
  <c r="S166" i="3"/>
  <c r="Z10" i="3"/>
  <c r="S237" i="3"/>
  <c r="S97" i="3"/>
  <c r="S107" i="3"/>
  <c r="S83" i="3"/>
  <c r="S85" i="3"/>
  <c r="S99" i="3"/>
  <c r="S52" i="3"/>
  <c r="S105" i="3"/>
  <c r="S119" i="3"/>
  <c r="S132" i="3"/>
  <c r="S60" i="3"/>
  <c r="S65" i="3"/>
  <c r="S106" i="3"/>
  <c r="S221" i="3"/>
  <c r="S42" i="3"/>
  <c r="S55" i="3"/>
  <c r="S173" i="3"/>
  <c r="S58" i="3"/>
  <c r="S74" i="3"/>
  <c r="S121" i="3"/>
  <c r="S124" i="3"/>
  <c r="S203" i="3"/>
  <c r="S219" i="3"/>
  <c r="S227" i="3"/>
  <c r="S126" i="3"/>
  <c r="S102" i="3"/>
  <c r="S153" i="3"/>
  <c r="S159" i="3"/>
  <c r="S186" i="3"/>
  <c r="S63" i="3"/>
  <c r="S95" i="3"/>
  <c r="S187" i="3"/>
  <c r="S193" i="3"/>
  <c r="S86" i="3"/>
  <c r="S90" i="3"/>
  <c r="S114" i="3"/>
  <c r="S36" i="3"/>
  <c r="S32" i="3"/>
  <c r="S143" i="3"/>
  <c r="S163" i="3"/>
  <c r="S169" i="3"/>
  <c r="S231" i="3"/>
  <c r="S51" i="3"/>
  <c r="S54" i="3"/>
  <c r="S120" i="3"/>
</calcChain>
</file>

<file path=xl/comments1.xml><?xml version="1.0" encoding="utf-8"?>
<comments xmlns="http://schemas.openxmlformats.org/spreadsheetml/2006/main">
  <authors>
    <author>Matius P. Stürchler</author>
    <author>Stürchler Matius</author>
    <author>Githui Moses</author>
    <author>Burkhard Patrick</author>
  </authors>
  <commentList>
    <comment ref="T1" authorId="0" shapeId="0">
      <text>
        <r>
          <rPr>
            <b/>
            <sz val="9"/>
            <color indexed="81"/>
            <rFont val="Tahoma"/>
            <family val="2"/>
          </rPr>
          <t>Matius P. Stürchler:</t>
        </r>
        <r>
          <rPr>
            <sz val="9"/>
            <color indexed="81"/>
            <rFont val="Tahoma"/>
            <family val="2"/>
          </rPr>
          <t xml:space="preserve">
0 = nein
1 = ja</t>
        </r>
      </text>
    </comment>
    <comment ref="U1" authorId="0" shapeId="0">
      <text>
        <r>
          <rPr>
            <b/>
            <sz val="9"/>
            <color indexed="81"/>
            <rFont val="Tahoma"/>
            <family val="2"/>
          </rPr>
          <t>Matius P. Stürchler:</t>
        </r>
        <r>
          <rPr>
            <sz val="9"/>
            <color indexed="81"/>
            <rFont val="Tahoma"/>
            <family val="2"/>
          </rPr>
          <t xml:space="preserve">
0 = nein
1 = ja</t>
        </r>
      </text>
    </comment>
    <comment ref="N2" authorId="0" shapeId="0">
      <text>
        <r>
          <rPr>
            <b/>
            <sz val="9"/>
            <color indexed="81"/>
            <rFont val="Tahoma"/>
            <family val="2"/>
          </rPr>
          <t>Matius P. Stürchler:</t>
        </r>
        <r>
          <rPr>
            <sz val="9"/>
            <color indexed="81"/>
            <rFont val="Tahoma"/>
            <family val="2"/>
          </rPr>
          <t xml:space="preserve">
https://www.onkopedia.com/de/onkopedia/guidelines/gastrointestinale-stromatumoren-gist/@@guideline/html/index.html</t>
        </r>
      </text>
    </comment>
    <comment ref="N3" authorId="1" shapeId="0">
      <text>
        <r>
          <rPr>
            <b/>
            <sz val="9"/>
            <color indexed="81"/>
            <rFont val="Segoe UI"/>
            <family val="2"/>
          </rPr>
          <t>Stürchler Matius:</t>
        </r>
        <r>
          <rPr>
            <sz val="9"/>
            <color indexed="81"/>
            <rFont val="Segoe UI"/>
            <family val="2"/>
          </rPr>
          <t xml:space="preserve">
Kaufmann et al. (2019) A Framework for Estimating the Burden of Chronic Diseases: Design and Application in the Context of Multiple Sclerosis.</t>
        </r>
      </text>
    </comment>
    <comment ref="AE3" authorId="2" shapeId="0">
      <text>
        <r>
          <rPr>
            <b/>
            <sz val="9"/>
            <color indexed="81"/>
            <rFont val="Segoe UI"/>
            <family val="2"/>
          </rPr>
          <t>Githui Moses:</t>
        </r>
        <r>
          <rPr>
            <sz val="9"/>
            <color indexed="81"/>
            <rFont val="Segoe UI"/>
            <family val="2"/>
          </rPr>
          <t xml:space="preserve">
Bis 230 Patienten bis Ende Jahr.</t>
        </r>
      </text>
    </comment>
    <comment ref="N4"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6" authorId="3" shapeId="0">
      <text>
        <r>
          <rPr>
            <b/>
            <sz val="9"/>
            <color indexed="81"/>
            <rFont val="Segoe UI"/>
            <family val="2"/>
          </rPr>
          <t>Burkhard Patrick:</t>
        </r>
        <r>
          <rPr>
            <sz val="9"/>
            <color indexed="81"/>
            <rFont val="Segoe UI"/>
            <family val="2"/>
          </rPr>
          <t xml:space="preserve">
1/10000 Neugeburten
https://www.sma-schweiz.ch/spinale-muskelatrophie/typen-der-proximalen-sma/</t>
        </r>
      </text>
    </comment>
    <comment ref="N8" authorId="2" shapeId="0">
      <text>
        <r>
          <rPr>
            <b/>
            <sz val="9"/>
            <color indexed="81"/>
            <rFont val="Segoe UI"/>
            <family val="2"/>
          </rPr>
          <t>Githui Moses:</t>
        </r>
        <r>
          <rPr>
            <sz val="9"/>
            <color indexed="81"/>
            <rFont val="Segoe UI"/>
            <family val="2"/>
          </rPr>
          <t xml:space="preserve">
Vielleicht nur 10% der Patienten, weil es sehr teuer ist</t>
        </r>
      </text>
    </comment>
    <comment ref="N10" authorId="3" shapeId="0">
      <text>
        <r>
          <rPr>
            <b/>
            <sz val="9"/>
            <color indexed="81"/>
            <rFont val="Segoe UI"/>
            <family val="2"/>
          </rPr>
          <t>Burkhard Patrick:</t>
        </r>
        <r>
          <rPr>
            <sz val="9"/>
            <color indexed="81"/>
            <rFont val="Segoe UI"/>
            <family val="2"/>
          </rPr>
          <t xml:space="preserve">
https://cf1f168c-09e8-45b2-b54b-20b9a6e57f66.filesusr.com/ugd/29e31e_037d2618f05d40998b7a51e8db5aa418.pdf</t>
        </r>
      </text>
    </comment>
    <comment ref="N15" authorId="2" shapeId="0">
      <text>
        <r>
          <rPr>
            <b/>
            <sz val="9"/>
            <color indexed="81"/>
            <rFont val="Segoe UI"/>
            <family val="2"/>
          </rPr>
          <t>Githui Moses:</t>
        </r>
        <r>
          <rPr>
            <sz val="9"/>
            <color indexed="81"/>
            <rFont val="Segoe UI"/>
            <family val="2"/>
          </rPr>
          <t xml:space="preserve">
7-8 Fälle pro 100000</t>
        </r>
      </text>
    </comment>
    <comment ref="N18" authorId="0" shapeId="0">
      <text>
        <r>
          <rPr>
            <b/>
            <sz val="9"/>
            <color indexed="81"/>
            <rFont val="Tahoma"/>
            <family val="2"/>
          </rPr>
          <t>Matius P. Stürchler:</t>
        </r>
        <r>
          <rPr>
            <sz val="9"/>
            <color indexed="81"/>
            <rFont val="Tahoma"/>
            <family val="2"/>
          </rPr>
          <t xml:space="preserve">
https://www.pharmazeutische-zeitung.de/eine-seltene-erkrankung-zwei-neue-orphan-drugs/</t>
        </r>
      </text>
    </comment>
    <comment ref="N19" authorId="2" shapeId="0">
      <text>
        <r>
          <rPr>
            <b/>
            <sz val="9"/>
            <color indexed="81"/>
            <rFont val="Segoe UI"/>
            <family val="2"/>
          </rPr>
          <t>Githui Moses:</t>
        </r>
        <r>
          <rPr>
            <sz val="9"/>
            <color indexed="81"/>
            <rFont val="Segoe UI"/>
            <family val="2"/>
          </rPr>
          <t xml:space="preserve">
1 in 250000 </t>
        </r>
      </text>
    </comment>
    <comment ref="N22" authorId="3" shapeId="0">
      <text>
        <r>
          <rPr>
            <b/>
            <sz val="9"/>
            <color indexed="81"/>
            <rFont val="Segoe UI"/>
            <family val="2"/>
          </rPr>
          <t>Burkhard Patrick:</t>
        </r>
        <r>
          <rPr>
            <sz val="9"/>
            <color indexed="81"/>
            <rFont val="Segoe UI"/>
            <family val="2"/>
          </rPr>
          <t xml:space="preserve">
https://www.beobachter.ch/gesundheit/krankheit/schuppenflechte-psoriasis</t>
        </r>
      </text>
    </comment>
    <comment ref="N28" authorId="0" shapeId="0">
      <text>
        <r>
          <rPr>
            <b/>
            <sz val="9"/>
            <color indexed="81"/>
            <rFont val="Tahoma"/>
            <family val="2"/>
          </rPr>
          <t>Matius P. Stürchler:</t>
        </r>
        <r>
          <rPr>
            <sz val="9"/>
            <color indexed="81"/>
            <rFont val="Tahoma"/>
            <family val="2"/>
          </rPr>
          <t xml:space="preserve">
https://www.headache.ch/migraene</t>
        </r>
      </text>
    </comment>
    <comment ref="N33" authorId="0" shapeId="0">
      <text>
        <r>
          <rPr>
            <b/>
            <sz val="9"/>
            <color indexed="81"/>
            <rFont val="Tahoma"/>
            <family val="2"/>
          </rPr>
          <t>Matius P. Stürchler:</t>
        </r>
        <r>
          <rPr>
            <sz val="9"/>
            <color indexed="81"/>
            <rFont val="Tahoma"/>
            <family val="2"/>
          </rPr>
          <t xml:space="preserve">
https://www.headache.ch/migraene</t>
        </r>
      </text>
    </comment>
    <comment ref="N35" authorId="3" shapeId="0">
      <text>
        <r>
          <rPr>
            <b/>
            <sz val="9"/>
            <color indexed="81"/>
            <rFont val="Segoe UI"/>
            <family val="2"/>
          </rPr>
          <t>Burkhard Patrick:</t>
        </r>
        <r>
          <rPr>
            <sz val="9"/>
            <color indexed="81"/>
            <rFont val="Segoe UI"/>
            <family val="2"/>
          </rPr>
          <t xml:space="preserve">
https://www.rheumaliga.ch/rheuma-von-a-z/osteoporose</t>
        </r>
      </text>
    </comment>
    <comment ref="N36" authorId="3" shapeId="0">
      <text>
        <r>
          <rPr>
            <b/>
            <sz val="9"/>
            <color indexed="81"/>
            <rFont val="Segoe UI"/>
            <family val="2"/>
          </rPr>
          <t>Burkhard Patrick:</t>
        </r>
        <r>
          <rPr>
            <sz val="9"/>
            <color indexed="81"/>
            <rFont val="Segoe UI"/>
            <family val="2"/>
          </rPr>
          <t xml:space="preserve">
https://www.rheumaliga.ch/rheuma-von-a-z/lupus</t>
        </r>
      </text>
    </comment>
    <comment ref="N37" authorId="3" shapeId="0">
      <text>
        <r>
          <rPr>
            <b/>
            <sz val="9"/>
            <color indexed="81"/>
            <rFont val="Segoe UI"/>
            <family val="2"/>
          </rPr>
          <t>Burkhard Patrick:</t>
        </r>
        <r>
          <rPr>
            <sz val="9"/>
            <color indexed="81"/>
            <rFont val="Segoe UI"/>
            <family val="2"/>
          </rPr>
          <t xml:space="preserve">
https://www.parkinson.ch/</t>
        </r>
      </text>
    </comment>
    <comment ref="N42" authorId="0" shapeId="0">
      <text>
        <r>
          <rPr>
            <b/>
            <sz val="9"/>
            <color indexed="81"/>
            <rFont val="Tahoma"/>
            <family val="2"/>
          </rPr>
          <t>Matius P. Stürchler:</t>
        </r>
        <r>
          <rPr>
            <sz val="9"/>
            <color indexed="81"/>
            <rFont val="Tahoma"/>
            <family val="2"/>
          </rPr>
          <t xml:space="preserve">
Das Ovarialkarzinom
Sara Imboden, Urban Novak, Michael D. Mueller
Inzidenz</t>
        </r>
      </text>
    </comment>
    <comment ref="N44" authorId="0" shapeId="0">
      <text>
        <r>
          <rPr>
            <b/>
            <sz val="9"/>
            <color indexed="81"/>
            <rFont val="Tahoma"/>
            <family val="2"/>
          </rPr>
          <t>Matius P. Stürchler:</t>
        </r>
        <r>
          <rPr>
            <sz val="9"/>
            <color indexed="81"/>
            <rFont val="Tahoma"/>
            <family val="2"/>
          </rPr>
          <t xml:space="preserve">
Huntington-Krankheit SMF 2015</t>
        </r>
      </text>
    </comment>
    <comment ref="N48"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
1.5/100'000</t>
        </r>
      </text>
    </comment>
    <comment ref="N49"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50" authorId="0" shapeId="0">
      <text>
        <r>
          <rPr>
            <b/>
            <sz val="9"/>
            <color indexed="81"/>
            <rFont val="Tahoma"/>
            <family val="2"/>
          </rPr>
          <t>Matius P. Stürchler:</t>
        </r>
        <r>
          <rPr>
            <sz val="9"/>
            <color indexed="81"/>
            <rFont val="Tahoma"/>
            <family val="2"/>
          </rPr>
          <t xml:space="preserve">
https://www.onkopedia.com/de/onkopedia/guidelines/paroxysmale-naechtliche-haemoglobinurie-pnh/@@guideline/html/index.html</t>
        </r>
      </text>
    </comment>
    <comment ref="N51" authorId="0" shapeId="0">
      <text>
        <r>
          <rPr>
            <b/>
            <sz val="9"/>
            <color indexed="81"/>
            <rFont val="Tahoma"/>
            <family val="2"/>
          </rPr>
          <t>Matius P. Stürchler:</t>
        </r>
        <r>
          <rPr>
            <sz val="9"/>
            <color indexed="81"/>
            <rFont val="Tahoma"/>
            <family val="2"/>
          </rPr>
          <t xml:space="preserve">
https://www.headache.ch/migraene</t>
        </r>
      </text>
    </comment>
    <comment ref="N52" authorId="0" shapeId="0">
      <text>
        <r>
          <rPr>
            <b/>
            <sz val="9"/>
            <color indexed="81"/>
            <rFont val="Tahoma"/>
            <family val="2"/>
          </rPr>
          <t>Matius P. Stürchler:</t>
        </r>
        <r>
          <rPr>
            <sz val="9"/>
            <color indexed="81"/>
            <rFont val="Tahoma"/>
            <family val="2"/>
          </rPr>
          <t xml:space="preserve">
https://de.wikipedia.org/wiki/Makuladegeneration
Altersabhängige Makuladegeneration:
Häufigste Ursache für Blindheit in Mitteleuropa
https://www.beobachter.ch/gesundheit/krankheit/altersbedingte-makuladegeneration-altersabhangige-makuladegeneration-amd</t>
        </r>
      </text>
    </comment>
    <comment ref="N53" authorId="3" shapeId="0">
      <text>
        <r>
          <rPr>
            <b/>
            <sz val="9"/>
            <color indexed="81"/>
            <rFont val="Segoe UI"/>
            <family val="2"/>
          </rPr>
          <t>Burkhard Patrick:</t>
        </r>
        <r>
          <rPr>
            <sz val="9"/>
            <color indexed="81"/>
            <rFont val="Segoe UI"/>
            <family val="2"/>
          </rPr>
          <t xml:space="preserve">
https://www.medizinische-genetik.de//index.php?id=hyperoxalurie-gen-panel</t>
        </r>
      </text>
    </comment>
    <comment ref="N54" authorId="0" shapeId="0">
      <text>
        <r>
          <rPr>
            <b/>
            <sz val="9"/>
            <color indexed="81"/>
            <rFont val="Tahoma"/>
            <family val="2"/>
          </rPr>
          <t>Matius P. Stürchler:</t>
        </r>
        <r>
          <rPr>
            <sz val="9"/>
            <color indexed="81"/>
            <rFont val="Tahoma"/>
            <family val="2"/>
          </rPr>
          <t xml:space="preserve">
https://www.orpha.net/consor/cgi-bin/OC_Exp.php?lng=DE&amp;Expert=95157</t>
        </r>
      </text>
    </comment>
    <comment ref="N55" authorId="3"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58" authorId="0" shapeId="0">
      <text>
        <r>
          <rPr>
            <b/>
            <sz val="9"/>
            <color indexed="81"/>
            <rFont val="Tahoma"/>
            <family val="2"/>
          </rPr>
          <t>Matius P. Stürchler:</t>
        </r>
        <r>
          <rPr>
            <sz val="9"/>
            <color indexed="81"/>
            <rFont val="Tahoma"/>
            <family val="2"/>
          </rPr>
          <t xml:space="preserve">
https://www.lungenliga.ch/uploads/tx_pubshop/Asthma_Broschuere.pdf</t>
        </r>
      </text>
    </comment>
    <comment ref="N59"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60" authorId="3" shapeId="0">
      <text>
        <r>
          <rPr>
            <b/>
            <sz val="9"/>
            <color indexed="81"/>
            <rFont val="Segoe UI"/>
            <family val="2"/>
          </rPr>
          <t>Burkhard Patrick:</t>
        </r>
        <r>
          <rPr>
            <sz val="9"/>
            <color indexed="81"/>
            <rFont val="Segoe UI"/>
            <family val="2"/>
          </rPr>
          <t xml:space="preserve">
https://www.muskelgesellschaft.ch/diagnosen/morbus-pompe-2/</t>
        </r>
      </text>
    </comment>
    <comment ref="N61" authorId="3" shapeId="0">
      <text>
        <r>
          <rPr>
            <b/>
            <sz val="9"/>
            <color indexed="81"/>
            <rFont val="Segoe UI"/>
            <family val="2"/>
          </rPr>
          <t>Burkhard Patrick:</t>
        </r>
        <r>
          <rPr>
            <sz val="9"/>
            <color indexed="81"/>
            <rFont val="Segoe UI"/>
            <family val="2"/>
          </rPr>
          <t xml:space="preserve">
https://de.wikipedia.org/wiki/Polycythaemia_vera#Epidemiologie</t>
        </r>
      </text>
    </comment>
    <comment ref="N62" authorId="0" shapeId="0">
      <text>
        <r>
          <rPr>
            <b/>
            <sz val="9"/>
            <color indexed="81"/>
            <rFont val="Tahoma"/>
            <family val="2"/>
          </rPr>
          <t>Matius P. Stürchler:</t>
        </r>
        <r>
          <rPr>
            <sz val="9"/>
            <color indexed="81"/>
            <rFont val="Tahoma"/>
            <family val="2"/>
          </rPr>
          <t xml:space="preserve">
https://www.drschaer.com/de/institute/a/praevalenz-reizdarmsyndrom</t>
        </r>
      </text>
    </comment>
    <comment ref="N63"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64" authorId="3" shapeId="0">
      <text>
        <r>
          <rPr>
            <b/>
            <sz val="9"/>
            <color indexed="81"/>
            <rFont val="Segoe UI"/>
            <family val="2"/>
          </rPr>
          <t>Burkhard Patrick:</t>
        </r>
        <r>
          <rPr>
            <sz val="9"/>
            <color indexed="81"/>
            <rFont val="Segoe UI"/>
            <family val="2"/>
          </rPr>
          <t xml:space="preserve">
https://de.wikipedia.org/wiki/Pulmonale_Hypertonie</t>
        </r>
      </text>
    </comment>
    <comment ref="N65"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t>
        </r>
      </text>
    </comment>
    <comment ref="N68" authorId="0" shapeId="0">
      <text>
        <r>
          <rPr>
            <b/>
            <sz val="9"/>
            <color indexed="81"/>
            <rFont val="Tahoma"/>
            <family val="2"/>
          </rPr>
          <t>Matius P. Stürchler:</t>
        </r>
        <r>
          <rPr>
            <sz val="9"/>
            <color indexed="81"/>
            <rFont val="Tahoma"/>
            <family val="2"/>
          </rPr>
          <t xml:space="preserve">
https://www.lymphome.ch/lymphome/krankheitsbilder/haarzell-leukaemie-hzl/</t>
        </r>
      </text>
    </comment>
    <comment ref="N69" authorId="0" shapeId="0">
      <text>
        <r>
          <rPr>
            <b/>
            <sz val="9"/>
            <color indexed="81"/>
            <rFont val="Tahoma"/>
            <family val="2"/>
          </rPr>
          <t>Matius P. Stürchler:</t>
        </r>
        <r>
          <rPr>
            <sz val="9"/>
            <color indexed="81"/>
            <rFont val="Tahoma"/>
            <family val="2"/>
          </rPr>
          <t xml:space="preserve">
Smith, A. et al. Lymphoma incidence, survival and prevalence 2004-2014: sub-type analyses from the UK's Haematological Malignancy Research Network. Br J Cancer 112, 1575-1584, doi:10.1038/bjc.2015.94 (2015).</t>
        </r>
      </text>
    </comment>
    <comment ref="N70" authorId="3" shapeId="0">
      <text>
        <r>
          <rPr>
            <b/>
            <sz val="9"/>
            <color indexed="81"/>
            <rFont val="Segoe UI"/>
            <family val="2"/>
          </rPr>
          <t>Burkhard Patrick:</t>
        </r>
        <r>
          <rPr>
            <sz val="9"/>
            <color indexed="81"/>
            <rFont val="Segoe UI"/>
            <family val="2"/>
          </rPr>
          <t xml:space="preserve">
https://www.krebsliga.ch/ueber-krebs/krebsarten/prostatakrebs/</t>
        </r>
      </text>
    </comment>
    <comment ref="N72" authorId="0" shapeId="0">
      <text>
        <r>
          <rPr>
            <b/>
            <sz val="9"/>
            <color indexed="81"/>
            <rFont val="Tahoma"/>
            <family val="2"/>
          </rPr>
          <t>Matius P. Stürchler:</t>
        </r>
        <r>
          <rPr>
            <sz val="9"/>
            <color indexed="81"/>
            <rFont val="Tahoma"/>
            <family val="2"/>
          </rPr>
          <t xml:space="preserve">
https://shg.ch/de/haemophilie</t>
        </r>
      </text>
    </comment>
    <comment ref="N73" authorId="0" shapeId="0">
      <text>
        <r>
          <rPr>
            <b/>
            <sz val="9"/>
            <color indexed="81"/>
            <rFont val="Tahoma"/>
            <family val="2"/>
          </rPr>
          <t>Matius P. Stürchler:</t>
        </r>
        <r>
          <rPr>
            <sz val="9"/>
            <color indexed="81"/>
            <rFont val="Tahoma"/>
            <family val="2"/>
          </rPr>
          <t xml:space="preserve">
https://www.pathologie-dgp.de/media/Dgp/downloads/public/NTRK_tumor-agnostische-arzneimittel-20200113.pdf</t>
        </r>
      </text>
    </comment>
    <comment ref="N74" authorId="0" shapeId="0">
      <text>
        <r>
          <rPr>
            <b/>
            <sz val="9"/>
            <color indexed="81"/>
            <rFont val="Tahoma"/>
            <family val="2"/>
          </rPr>
          <t>Matius P. Stürchler:</t>
        </r>
        <r>
          <rPr>
            <sz val="9"/>
            <color indexed="81"/>
            <rFont val="Tahoma"/>
            <family val="2"/>
          </rPr>
          <t xml:space="preserve">
https://link.springer.com/article/10.1007/s001200050402</t>
        </r>
      </text>
    </comment>
    <comment ref="N76" authorId="1" shapeId="0">
      <text>
        <r>
          <rPr>
            <b/>
            <sz val="9"/>
            <color indexed="81"/>
            <rFont val="Segoe UI"/>
            <family val="2"/>
          </rPr>
          <t>Stürchler Matius:</t>
        </r>
        <r>
          <rPr>
            <sz val="9"/>
            <color indexed="81"/>
            <rFont val="Segoe UI"/>
            <family val="2"/>
          </rPr>
          <t xml:space="preserve">
Kaufmann et al. (2019) A Framework for Estimating the Burden of Chronic Diseases: Design and Application in the Context of Multiple Sclerosis.</t>
        </r>
      </text>
    </comment>
    <comment ref="N77"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79" authorId="3" shapeId="0">
      <text>
        <r>
          <rPr>
            <b/>
            <sz val="9"/>
            <color indexed="81"/>
            <rFont val="Segoe UI"/>
            <family val="2"/>
          </rPr>
          <t>Burkhard Patrick:</t>
        </r>
        <r>
          <rPr>
            <sz val="9"/>
            <color indexed="81"/>
            <rFont val="Segoe UI"/>
            <family val="2"/>
          </rPr>
          <t xml:space="preserve">
1/30000 Lebendgeburten
https://de.m.wikipedia.org/wiki/Neuronale_Ceroid-Lipofuszinose</t>
        </r>
      </text>
    </comment>
    <comment ref="N80" authorId="3" shapeId="0">
      <text>
        <r>
          <rPr>
            <b/>
            <sz val="9"/>
            <color indexed="81"/>
            <rFont val="Segoe UI"/>
            <family val="2"/>
          </rPr>
          <t>Burkhard Patrick:</t>
        </r>
        <r>
          <rPr>
            <sz val="9"/>
            <color indexed="81"/>
            <rFont val="Segoe UI"/>
            <family val="2"/>
          </rPr>
          <t xml:space="preserve">
https://www.beobachter.ch/gesundheit/krankheit/phenylketonurie-pku</t>
        </r>
      </text>
    </comment>
    <comment ref="N81" authorId="3" shapeId="0">
      <text>
        <r>
          <rPr>
            <b/>
            <sz val="9"/>
            <color indexed="81"/>
            <rFont val="Segoe UI"/>
            <family val="2"/>
          </rPr>
          <t>Burkhard Patrick:</t>
        </r>
        <r>
          <rPr>
            <sz val="9"/>
            <color indexed="81"/>
            <rFont val="Segoe UI"/>
            <family val="2"/>
          </rPr>
          <t xml:space="preserve">
https://flexikon.doccheck.com/de/Nicht-kleinzelliges_Bronchialkarzinom</t>
        </r>
      </text>
    </comment>
    <comment ref="N82" authorId="2" shapeId="0">
      <text>
        <r>
          <rPr>
            <b/>
            <sz val="9"/>
            <color indexed="81"/>
            <rFont val="Segoe UI"/>
            <family val="2"/>
          </rPr>
          <t>Githui Moses:</t>
        </r>
        <r>
          <rPr>
            <sz val="9"/>
            <color indexed="81"/>
            <rFont val="Segoe UI"/>
            <family val="2"/>
          </rPr>
          <t xml:space="preserve">
1 in 200000 births. In der Schweiz sind ca. 85000 Geburten pro Jahr
</t>
        </r>
      </text>
    </comment>
    <comment ref="N86" authorId="3" shapeId="0">
      <text>
        <r>
          <rPr>
            <b/>
            <sz val="9"/>
            <color indexed="81"/>
            <rFont val="Segoe UI"/>
            <family val="2"/>
          </rPr>
          <t>Burkhard Patrick:</t>
        </r>
        <r>
          <rPr>
            <sz val="9"/>
            <color indexed="81"/>
            <rFont val="Segoe UI"/>
            <family val="2"/>
          </rPr>
          <t xml:space="preserve">
https://www.lung-cancer.com/squamous-cell.html
https://en.wikipedia.org/wiki/Head_and_neck_cancer#Epidemiology</t>
        </r>
      </text>
    </comment>
    <comment ref="N88" authorId="3" shapeId="0">
      <text>
        <r>
          <rPr>
            <b/>
            <sz val="9"/>
            <color indexed="81"/>
            <rFont val="Segoe UI"/>
            <family val="2"/>
          </rPr>
          <t>Burkhard Patrick:</t>
        </r>
        <r>
          <rPr>
            <sz val="9"/>
            <color indexed="81"/>
            <rFont val="Segoe UI"/>
            <family val="2"/>
          </rPr>
          <t xml:space="preserve">
https://www.krebsliga.ch/ueber-krebs/zahlen-fakten/</t>
        </r>
      </text>
    </comment>
    <comment ref="N91" authorId="0" shapeId="0">
      <text>
        <r>
          <rPr>
            <b/>
            <sz val="9"/>
            <color indexed="81"/>
            <rFont val="Tahoma"/>
            <family val="2"/>
          </rPr>
          <t>Matius P. Stürchler:</t>
        </r>
        <r>
          <rPr>
            <sz val="9"/>
            <color indexed="81"/>
            <rFont val="Tahoma"/>
            <family val="2"/>
          </rPr>
          <t xml:space="preserve">
https://www.onkopedia.com/de/onkopedia/guidelines/beta-thalassaemie/@@guideline/html/index.html</t>
        </r>
      </text>
    </comment>
    <comment ref="N92" authorId="1" shapeId="0">
      <text>
        <r>
          <rPr>
            <b/>
            <sz val="9"/>
            <color indexed="81"/>
            <rFont val="Segoe UI"/>
            <family val="2"/>
          </rPr>
          <t>Stürchler Matius:</t>
        </r>
        <r>
          <rPr>
            <sz val="9"/>
            <color indexed="81"/>
            <rFont val="Segoe UI"/>
            <family val="2"/>
          </rPr>
          <t xml:space="preserve">
Kaufmann et al. (2019) A Framework for Estimating the Burden of Chronic Diseases: Design and Application in the Context of Multiple Sclerosis.</t>
        </r>
      </text>
    </comment>
    <comment ref="N93" authorId="3"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94" authorId="0" shapeId="0">
      <text>
        <r>
          <rPr>
            <b/>
            <sz val="9"/>
            <color indexed="81"/>
            <rFont val="Tahoma"/>
            <family val="2"/>
          </rPr>
          <t>Matius P. Stürchler:</t>
        </r>
        <r>
          <rPr>
            <sz val="9"/>
            <color indexed="81"/>
            <rFont val="Tahoma"/>
            <family val="2"/>
          </rPr>
          <t xml:space="preserve">
https://medicalforum.ch/article/doi/smf.2017.02891</t>
        </r>
      </text>
    </comment>
    <comment ref="N95" authorId="3" shapeId="0">
      <text>
        <r>
          <rPr>
            <b/>
            <sz val="9"/>
            <color indexed="81"/>
            <rFont val="Segoe UI"/>
            <family val="2"/>
          </rPr>
          <t>Burkhard Patrick:</t>
        </r>
        <r>
          <rPr>
            <sz val="9"/>
            <color indexed="81"/>
            <rFont val="Segoe UI"/>
            <family val="2"/>
          </rPr>
          <t xml:space="preserve">
https://flexikon.doccheck.com/de/Cystinose</t>
        </r>
      </text>
    </comment>
    <comment ref="N97" authorId="3" shapeId="0">
      <text>
        <r>
          <rPr>
            <b/>
            <sz val="9"/>
            <color indexed="81"/>
            <rFont val="Segoe UI"/>
            <family val="2"/>
          </rPr>
          <t>Burkhard Patrick:</t>
        </r>
        <r>
          <rPr>
            <sz val="9"/>
            <color indexed="81"/>
            <rFont val="Segoe UI"/>
            <family val="2"/>
          </rPr>
          <t xml:space="preserve">
https://www.rheumaliga.ch/rheuma-von-a-z/sklerodermie</t>
        </r>
      </text>
    </comment>
    <comment ref="N98" authorId="0" shapeId="0">
      <text>
        <r>
          <rPr>
            <b/>
            <sz val="9"/>
            <color indexed="81"/>
            <rFont val="Tahoma"/>
            <family val="2"/>
          </rPr>
          <t>Matius P. Stürchler:</t>
        </r>
        <r>
          <rPr>
            <sz val="9"/>
            <color indexed="81"/>
            <rFont val="Tahoma"/>
            <family val="2"/>
          </rPr>
          <t xml:space="preserve">
https://www.netdoktor.ch/krankheit/formen-der-immunthrombozytopenie-5572</t>
        </r>
      </text>
    </comment>
    <comment ref="N99" authorId="0" shapeId="0">
      <text>
        <r>
          <rPr>
            <b/>
            <sz val="9"/>
            <color indexed="81"/>
            <rFont val="Tahoma"/>
            <family val="2"/>
          </rPr>
          <t>Matius P. Stürchler:</t>
        </r>
        <r>
          <rPr>
            <sz val="9"/>
            <color indexed="81"/>
            <rFont val="Tahoma"/>
            <family val="2"/>
          </rPr>
          <t xml:space="preserve">
https://de.wikipedia.org/wiki/Tyrosin%C3%A4mie_Typ_I</t>
        </r>
      </text>
    </comment>
    <comment ref="N100" authorId="3" shapeId="0">
      <text>
        <r>
          <rPr>
            <b/>
            <sz val="9"/>
            <color indexed="81"/>
            <rFont val="Segoe UI"/>
            <family val="2"/>
          </rPr>
          <t>Burkhard Patrick:</t>
        </r>
        <r>
          <rPr>
            <sz val="9"/>
            <color indexed="81"/>
            <rFont val="Segoe UI"/>
            <family val="2"/>
          </rPr>
          <t xml:space="preserve">
https://flexikon.doccheck.com/de/Prim%C3%A4r_bili%C3%A4re_Cholangitis
https://www.tellmed.ch/tellmed/Fachliteratur/Medizin_Spektrum/25_Nicht_alkoholische_Steatohepatitis_NASH_und_nicht_alkoholische_Fettleber.php</t>
        </r>
      </text>
    </comment>
    <comment ref="N103" authorId="3" shapeId="0">
      <text>
        <r>
          <rPr>
            <b/>
            <sz val="9"/>
            <color indexed="81"/>
            <rFont val="Segoe UI"/>
            <family val="2"/>
          </rPr>
          <t>Burkhard Patrick:</t>
        </r>
        <r>
          <rPr>
            <sz val="9"/>
            <color indexed="81"/>
            <rFont val="Segoe UI"/>
            <family val="2"/>
          </rPr>
          <t xml:space="preserve">
https://orthinform.de/lexikon/tendosynovialer-riesenzelltumor</t>
        </r>
      </text>
    </comment>
    <comment ref="N104"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t>
        </r>
      </text>
    </comment>
    <comment ref="N106" authorId="0" shapeId="0">
      <text>
        <r>
          <rPr>
            <b/>
            <sz val="9"/>
            <color indexed="81"/>
            <rFont val="Tahoma"/>
            <family val="2"/>
          </rPr>
          <t>Matius P. Stürchler:</t>
        </r>
        <r>
          <rPr>
            <sz val="9"/>
            <color indexed="81"/>
            <rFont val="Tahoma"/>
            <family val="2"/>
          </rPr>
          <t xml:space="preserve">
https://www.aha.ch/allergiezentrum-schweiz/info-zu-allergien/ekzem-hautreaktion/neurodermitis-atopische-dermatitis-ekzem/?oid=1579&amp;lang=de</t>
        </r>
      </text>
    </comment>
    <comment ref="N107" authorId="3" shapeId="0">
      <text>
        <r>
          <rPr>
            <b/>
            <sz val="9"/>
            <color indexed="81"/>
            <rFont val="Segoe UI"/>
            <family val="2"/>
          </rPr>
          <t>Burkhard Patrick:</t>
        </r>
        <r>
          <rPr>
            <sz val="9"/>
            <color indexed="81"/>
            <rFont val="Segoe UI"/>
            <family val="2"/>
          </rPr>
          <t xml:space="preserve">
https://de.wikipedia.org/wiki/Neurotrophe_Keratopathie</t>
        </r>
      </text>
    </comment>
    <comment ref="N109" authorId="3" shapeId="0">
      <text>
        <r>
          <rPr>
            <b/>
            <sz val="9"/>
            <color indexed="81"/>
            <rFont val="Segoe UI"/>
            <family val="2"/>
          </rPr>
          <t>Burkhard Patrick:</t>
        </r>
        <r>
          <rPr>
            <sz val="9"/>
            <color indexed="81"/>
            <rFont val="Segoe UI"/>
            <family val="2"/>
          </rPr>
          <t xml:space="preserve">
https://www.krebsliga.ch/ueber-krebs/zahlen-fakten/</t>
        </r>
      </text>
    </comment>
    <comment ref="N111" authorId="3" shapeId="0">
      <text>
        <r>
          <rPr>
            <b/>
            <sz val="9"/>
            <color indexed="81"/>
            <rFont val="Segoe UI"/>
            <family val="2"/>
          </rPr>
          <t>Burkhard Patrick:</t>
        </r>
        <r>
          <rPr>
            <sz val="9"/>
            <color indexed="81"/>
            <rFont val="Segoe UI"/>
            <family val="2"/>
          </rPr>
          <t xml:space="preserve">
https://www.krebsliga.ch/ueber-krebs/zahlen-fakten/</t>
        </r>
      </text>
    </comment>
    <comment ref="N113" authorId="3" shapeId="0">
      <text>
        <r>
          <rPr>
            <b/>
            <sz val="9"/>
            <color indexed="81"/>
            <rFont val="Segoe UI"/>
            <family val="2"/>
          </rPr>
          <t>Burkhard Patrick:</t>
        </r>
        <r>
          <rPr>
            <sz val="9"/>
            <color indexed="81"/>
            <rFont val="Segoe UI"/>
            <family val="2"/>
          </rPr>
          <t xml:space="preserve">
https://bmccancer.biomedcentral.com/articles/10.1186/s12885-015-1146-8</t>
        </r>
      </text>
    </comment>
    <comment ref="N115" authorId="3" shapeId="0">
      <text>
        <r>
          <rPr>
            <b/>
            <sz val="9"/>
            <color indexed="81"/>
            <rFont val="Segoe UI"/>
            <family val="2"/>
          </rPr>
          <t>Burkhard Patrick:</t>
        </r>
        <r>
          <rPr>
            <sz val="9"/>
            <color indexed="81"/>
            <rFont val="Segoe UI"/>
            <family val="2"/>
          </rPr>
          <t xml:space="preserve">
https://www.news.uzh.ch/de/articles/2017/sichelzellanaemie.html</t>
        </r>
      </text>
    </comment>
    <comment ref="N116" authorId="3" shapeId="0">
      <text>
        <r>
          <rPr>
            <b/>
            <sz val="9"/>
            <color indexed="81"/>
            <rFont val="Segoe UI"/>
            <family val="2"/>
          </rPr>
          <t>Burkhard Patrick:</t>
        </r>
        <r>
          <rPr>
            <sz val="9"/>
            <color indexed="81"/>
            <rFont val="Segoe UI"/>
            <family val="2"/>
          </rPr>
          <t xml:space="preserve">
https://www.sarkom-schweiz.ch/index.php/de/diagnose-sarkom</t>
        </r>
      </text>
    </comment>
    <comment ref="N117" authorId="3" shapeId="0">
      <text>
        <r>
          <rPr>
            <b/>
            <sz val="9"/>
            <color indexed="81"/>
            <rFont val="Segoe UI"/>
            <family val="2"/>
          </rPr>
          <t>Burkhard Patrick:</t>
        </r>
        <r>
          <rPr>
            <sz val="9"/>
            <color indexed="81"/>
            <rFont val="Segoe UI"/>
            <family val="2"/>
          </rPr>
          <t xml:space="preserve">
https://www.springermedizin.de/emedpedia/kinderchirurgie/neuroblastom-und-andere-nebennierentumoren-bei-kindern-und-jugendlichen?epediaDoi=10.1007%2F978-3-662-53390-1_84</t>
        </r>
      </text>
    </comment>
    <comment ref="N118" authorId="3" shapeId="0">
      <text>
        <r>
          <rPr>
            <b/>
            <sz val="9"/>
            <color indexed="81"/>
            <rFont val="Segoe UI"/>
            <family val="2"/>
          </rPr>
          <t>Burkhard Patrick:</t>
        </r>
        <r>
          <rPr>
            <sz val="9"/>
            <color indexed="81"/>
            <rFont val="Segoe UI"/>
            <family val="2"/>
          </rPr>
          <t xml:space="preserve">
https://www.krebsliga.ch/ueber-krebs/krebsarten/nierenkrebs-nierenzellkarzinom/</t>
        </r>
      </text>
    </comment>
    <comment ref="N120" authorId="0" shapeId="0">
      <text>
        <r>
          <rPr>
            <b/>
            <sz val="9"/>
            <color indexed="81"/>
            <rFont val="Tahoma"/>
            <family val="2"/>
          </rPr>
          <t>Matius P. Stürchler:</t>
        </r>
        <r>
          <rPr>
            <sz val="9"/>
            <color indexed="81"/>
            <rFont val="Tahoma"/>
            <family val="2"/>
          </rPr>
          <t xml:space="preserve">
https://de.wikipedia.org/wiki/Idiopathische_Lungenfibrose</t>
        </r>
      </text>
    </comment>
    <comment ref="N121" authorId="0" shapeId="0">
      <text>
        <r>
          <rPr>
            <b/>
            <sz val="9"/>
            <color indexed="81"/>
            <rFont val="Tahoma"/>
            <family val="2"/>
          </rPr>
          <t>Matius P. Stürchler:</t>
        </r>
        <r>
          <rPr>
            <sz val="9"/>
            <color indexed="81"/>
            <rFont val="Tahoma"/>
            <family val="2"/>
          </rPr>
          <t xml:space="preserve">
https://www.aha.ch/allergiezentrum-schweiz/info-zu-allergien/ekzem-hautreaktion/neurodermitis-atopische-dermatitis-ekzem/?oid=1579&amp;lang=de</t>
        </r>
      </text>
    </comment>
    <comment ref="N122"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127" authorId="0" shapeId="0">
      <text>
        <r>
          <rPr>
            <b/>
            <sz val="9"/>
            <color indexed="81"/>
            <rFont val="Tahoma"/>
            <family val="2"/>
          </rPr>
          <t>Matius P. Stürchler:</t>
        </r>
        <r>
          <rPr>
            <sz val="9"/>
            <color indexed="81"/>
            <rFont val="Tahoma"/>
            <family val="2"/>
          </rPr>
          <t xml:space="preserve">
Cancer prevalence in Switzerland 2010 - 2025: estimated proportion of prevalent subjects </t>
        </r>
      </text>
    </comment>
    <comment ref="N128"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133" authorId="3" shapeId="0">
      <text>
        <r>
          <rPr>
            <b/>
            <sz val="9"/>
            <color indexed="81"/>
            <rFont val="Segoe UI"/>
            <family val="2"/>
          </rPr>
          <t>Burkhard Patrick:</t>
        </r>
        <r>
          <rPr>
            <sz val="9"/>
            <color indexed="81"/>
            <rFont val="Segoe UI"/>
            <family val="2"/>
          </rPr>
          <t xml:space="preserve">
https://www.diseasemaps.org/lennox-gastaut-syndrome/top-questions/prevalence/</t>
        </r>
      </text>
    </comment>
    <comment ref="N134" authorId="0" shapeId="0">
      <text>
        <r>
          <rPr>
            <b/>
            <sz val="9"/>
            <color indexed="81"/>
            <rFont val="Tahoma"/>
            <family val="2"/>
          </rPr>
          <t>Matius P. Stürchler:</t>
        </r>
        <r>
          <rPr>
            <sz val="9"/>
            <color indexed="81"/>
            <rFont val="Tahoma"/>
            <family val="2"/>
          </rPr>
          <t xml:space="preserve">
Renner, C. &amp; Tinguely, M. Maligne Lymphome: Diagnostik und Therapie. Schweiz Med Forum 14, 862–866 (2014).
1 Cozzio, A. Kutane T-Zell Lymphome. Medizin Forum, 30-33 (2016).</t>
        </r>
      </text>
    </comment>
    <comment ref="N136" authorId="3" shapeId="0">
      <text>
        <r>
          <rPr>
            <b/>
            <sz val="9"/>
            <color indexed="81"/>
            <rFont val="Segoe UI"/>
            <family val="2"/>
          </rPr>
          <t>Burkhard Patrick:</t>
        </r>
        <r>
          <rPr>
            <sz val="9"/>
            <color indexed="81"/>
            <rFont val="Segoe UI"/>
            <family val="2"/>
          </rPr>
          <t xml:space="preserve">
https://medicalforum.ch/article/doi/smf.2018.03451/
https://www.swissheart.ch/herzkrankheiten-hirnschlag/risikofaktoren/blutdruck.html</t>
        </r>
      </text>
    </comment>
    <comment ref="N137" authorId="0" shapeId="0">
      <text>
        <r>
          <rPr>
            <b/>
            <sz val="9"/>
            <color indexed="81"/>
            <rFont val="Tahoma"/>
            <family val="2"/>
          </rPr>
          <t>Matius P. Stürchler:</t>
        </r>
        <r>
          <rPr>
            <sz val="9"/>
            <color indexed="81"/>
            <rFont val="Tahoma"/>
            <family val="2"/>
          </rPr>
          <t xml:space="preserve">
https://de.wikipedia.org/wiki/Morbus_Fabry</t>
        </r>
      </text>
    </comment>
    <comment ref="N138" authorId="3" shapeId="0">
      <text>
        <r>
          <rPr>
            <b/>
            <sz val="9"/>
            <color indexed="81"/>
            <rFont val="Segoe UI"/>
            <family val="2"/>
          </rPr>
          <t>Burkhard Patrick:</t>
        </r>
        <r>
          <rPr>
            <sz val="9"/>
            <color indexed="81"/>
            <rFont val="Segoe UI"/>
            <family val="2"/>
          </rPr>
          <t xml:space="preserve">
https://www.krebsliga.ch/ueber-krebs/zahlen-fakten/</t>
        </r>
      </text>
    </comment>
    <comment ref="N139" authorId="3" shapeId="0">
      <text>
        <r>
          <rPr>
            <b/>
            <sz val="9"/>
            <color indexed="81"/>
            <rFont val="Segoe UI"/>
            <family val="2"/>
          </rPr>
          <t>Burkhard Patrick:</t>
        </r>
        <r>
          <rPr>
            <sz val="9"/>
            <color indexed="81"/>
            <rFont val="Segoe UI"/>
            <family val="2"/>
          </rPr>
          <t xml:space="preserve">
https://www.krebsliga.ch/ueber-krebs/zahlen-fakten/</t>
        </r>
      </text>
    </comment>
    <comment ref="N140" authorId="3" shapeId="0">
      <text>
        <r>
          <rPr>
            <b/>
            <sz val="9"/>
            <color indexed="81"/>
            <rFont val="Segoe UI"/>
            <family val="2"/>
          </rPr>
          <t>Burkhard Patrick:</t>
        </r>
        <r>
          <rPr>
            <sz val="9"/>
            <color indexed="81"/>
            <rFont val="Segoe UI"/>
            <family val="2"/>
          </rPr>
          <t xml:space="preserve">
https://www.krebsliga.ch/ueber-krebs/zahlen-fakten/</t>
        </r>
      </text>
    </comment>
    <comment ref="N142" authorId="0" shapeId="0">
      <text>
        <r>
          <rPr>
            <b/>
            <sz val="9"/>
            <color indexed="81"/>
            <rFont val="Tahoma"/>
            <family val="2"/>
          </rPr>
          <t>https://www.orpha.net/consor/cgi-bin/OC_Exp.php?Lng=DE&amp;Expert=39812</t>
        </r>
      </text>
    </comment>
    <comment ref="N144" authorId="0" shapeId="0">
      <text>
        <r>
          <rPr>
            <b/>
            <sz val="9"/>
            <color indexed="81"/>
            <rFont val="Tahoma"/>
            <family val="2"/>
          </rPr>
          <t>Matius P. Stürchler:</t>
        </r>
        <r>
          <rPr>
            <sz val="9"/>
            <color indexed="81"/>
            <rFont val="Tahoma"/>
            <family val="2"/>
          </rPr>
          <t xml:space="preserve">
https://www.pharmazeutische-zeitung.de/eine-seltene-erkrankung-zwei-neue-orphan-drugs/</t>
        </r>
      </text>
    </comment>
    <comment ref="N146" authorId="0" shapeId="0">
      <text>
        <r>
          <rPr>
            <b/>
            <sz val="9"/>
            <color indexed="81"/>
            <rFont val="Tahoma"/>
            <family val="2"/>
          </rPr>
          <t>Matius P. Stürchler:</t>
        </r>
        <r>
          <rPr>
            <sz val="9"/>
            <color indexed="81"/>
            <rFont val="Tahoma"/>
            <family val="2"/>
          </rPr>
          <t xml:space="preserve">
https://www.orpha.net/consor/cgi-bin/OC_Exp.php?Expert=79084&amp;lng=DE</t>
        </r>
      </text>
    </comment>
    <comment ref="N149" authorId="3" shapeId="0">
      <text>
        <r>
          <rPr>
            <b/>
            <sz val="9"/>
            <color indexed="81"/>
            <rFont val="Segoe UI"/>
            <family val="2"/>
          </rPr>
          <t>Burkhard Patrick:</t>
        </r>
        <r>
          <rPr>
            <sz val="9"/>
            <color indexed="81"/>
            <rFont val="Segoe UI"/>
            <family val="2"/>
          </rPr>
          <t xml:space="preserve">
https://www.ksa.ch/sites/default/files/cms/edm/pocketguide/appendix/22_net_patientenbroschuere_d.pdf</t>
        </r>
      </text>
    </comment>
    <comment ref="N157" authorId="3"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158" authorId="0" shapeId="0">
      <text>
        <r>
          <rPr>
            <b/>
            <sz val="9"/>
            <color indexed="81"/>
            <rFont val="Tahoma"/>
            <family val="2"/>
          </rPr>
          <t>Matius P. Stürchler:</t>
        </r>
        <r>
          <rPr>
            <sz val="9"/>
            <color indexed="81"/>
            <rFont val="Tahoma"/>
            <family val="2"/>
          </rPr>
          <t xml:space="preserve">
Renner, C. &amp; Tinguely, M. Maligne Lymphome: Diagnostik und Therapie. Schweiz Med Forum 14, 862–866 (2014).
1 Cozzio, A. Kutane T-Zell Lymphome. Medizin Forum, 30-33 (2016).</t>
        </r>
      </text>
    </comment>
    <comment ref="N159" authorId="3" shapeId="0">
      <text>
        <r>
          <rPr>
            <b/>
            <sz val="9"/>
            <color indexed="81"/>
            <rFont val="Segoe UI"/>
            <family val="2"/>
          </rPr>
          <t>Burkhard Patrick:</t>
        </r>
        <r>
          <rPr>
            <sz val="9"/>
            <color indexed="81"/>
            <rFont val="Segoe UI"/>
            <family val="2"/>
          </rPr>
          <t xml:space="preserve">
https://www.beobachter.ch/gesundheit/krankheit/schuppenflechte-psoriasis</t>
        </r>
      </text>
    </comment>
    <comment ref="N160" authorId="3" shapeId="0">
      <text>
        <r>
          <rPr>
            <b/>
            <sz val="9"/>
            <color indexed="81"/>
            <rFont val="Segoe UI"/>
            <family val="2"/>
          </rPr>
          <t>Burkhard Patrick:</t>
        </r>
        <r>
          <rPr>
            <sz val="9"/>
            <color indexed="81"/>
            <rFont val="Segoe UI"/>
            <family val="2"/>
          </rPr>
          <t xml:space="preserve">
https://www.parkinson.ch/</t>
        </r>
      </text>
    </comment>
    <comment ref="N161" authorId="0" shapeId="0">
      <text>
        <r>
          <rPr>
            <b/>
            <sz val="9"/>
            <color indexed="81"/>
            <rFont val="Tahoma"/>
            <family val="2"/>
          </rPr>
          <t>Matius P. Stürchler:</t>
        </r>
        <r>
          <rPr>
            <sz val="9"/>
            <color indexed="81"/>
            <rFont val="Tahoma"/>
            <family val="2"/>
          </rPr>
          <t xml:space="preserve">
https://www.headache.ch/migraene</t>
        </r>
      </text>
    </comment>
    <comment ref="N167"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
1.5/100'000</t>
        </r>
      </text>
    </comment>
    <comment ref="Z171" authorId="2" shapeId="0">
      <text>
        <r>
          <rPr>
            <b/>
            <sz val="9"/>
            <color indexed="81"/>
            <rFont val="Segoe UI"/>
            <family val="2"/>
          </rPr>
          <t>Githui Moses:</t>
        </r>
        <r>
          <rPr>
            <sz val="9"/>
            <color indexed="81"/>
            <rFont val="Segoe UI"/>
            <family val="2"/>
          </rPr>
          <t xml:space="preserve">
Circa 30 Packungen im 1. Jahr</t>
        </r>
      </text>
    </comment>
    <comment ref="N173" authorId="3" shapeId="0">
      <text>
        <r>
          <rPr>
            <b/>
            <sz val="9"/>
            <color indexed="81"/>
            <rFont val="Segoe UI"/>
            <family val="2"/>
          </rPr>
          <t>Burkhard Patrick:</t>
        </r>
        <r>
          <rPr>
            <sz val="9"/>
            <color indexed="81"/>
            <rFont val="Segoe UI"/>
            <family val="2"/>
          </rPr>
          <t xml:space="preserve">
https://www.news.uzh.ch/de/articles/2017/sichelzellanaemie.html</t>
        </r>
      </text>
    </comment>
    <comment ref="N174" authorId="1" shapeId="0">
      <text>
        <r>
          <rPr>
            <b/>
            <sz val="9"/>
            <color indexed="81"/>
            <rFont val="Segoe UI"/>
            <family val="2"/>
          </rPr>
          <t>Stürchler Matius:</t>
        </r>
        <r>
          <rPr>
            <sz val="9"/>
            <color indexed="81"/>
            <rFont val="Segoe UI"/>
            <family val="2"/>
          </rPr>
          <t xml:space="preserve">
Kaufmann et al. (2019) A Framework for Estimating the Burden of Chronic Diseases: Design and Application in the Context of Multiple Sclerosis.</t>
        </r>
      </text>
    </comment>
    <comment ref="N175" authorId="0" shapeId="0">
      <text>
        <r>
          <rPr>
            <b/>
            <sz val="9"/>
            <color indexed="81"/>
            <rFont val="Tahoma"/>
            <family val="2"/>
          </rPr>
          <t>Matius P. Stürchler:</t>
        </r>
        <r>
          <rPr>
            <sz val="9"/>
            <color indexed="81"/>
            <rFont val="Tahoma"/>
            <family val="2"/>
          </rPr>
          <t xml:space="preserve">
https://www.ncbi.nlm.nih.gov/pmc/articles/PMC6924325/</t>
        </r>
      </text>
    </comment>
    <comment ref="N176" authorId="0" shapeId="0">
      <text>
        <r>
          <rPr>
            <b/>
            <sz val="9"/>
            <color indexed="81"/>
            <rFont val="Tahoma"/>
            <family val="2"/>
          </rPr>
          <t>Matius P. Stürchler:</t>
        </r>
        <r>
          <rPr>
            <sz val="9"/>
            <color indexed="81"/>
            <rFont val="Tahoma"/>
            <family val="2"/>
          </rPr>
          <t xml:space="preserve">
https://www.novartis.co.uk/partnerships/patient-groups/chronic-spontaneous-urticaria-csu</t>
        </r>
      </text>
    </comment>
    <comment ref="N178" authorId="3" shapeId="0">
      <text>
        <r>
          <rPr>
            <b/>
            <sz val="9"/>
            <color indexed="81"/>
            <rFont val="Segoe UI"/>
            <family val="2"/>
          </rPr>
          <t>Burkhard Patrick:</t>
        </r>
        <r>
          <rPr>
            <sz val="9"/>
            <color indexed="81"/>
            <rFont val="Segoe UI"/>
            <family val="2"/>
          </rPr>
          <t xml:space="preserve">
https://www.krebsliga.ch/ueber-krebs/zahlen-fakten/</t>
        </r>
      </text>
    </comment>
    <comment ref="N179" authorId="0" shapeId="0">
      <text>
        <r>
          <rPr>
            <b/>
            <sz val="9"/>
            <color indexed="81"/>
            <rFont val="Tahoma"/>
            <family val="2"/>
          </rPr>
          <t>Matius P. Stürchler:</t>
        </r>
        <r>
          <rPr>
            <sz val="9"/>
            <color indexed="81"/>
            <rFont val="Tahoma"/>
            <family val="2"/>
          </rPr>
          <t xml:space="preserve">
https://de.wikipedia.org/wiki/Makuladegeneration
Altersabhängige Makuladegeneration:
Häufigste Ursache für Blindheit in Mitteleuropa
https://www.beobachter.ch/gesundheit/krankheit/altersbedingte-makuladegeneration-altersabhangige-makuladegeneration-amd</t>
        </r>
      </text>
    </comment>
    <comment ref="N181" authorId="0" shapeId="0">
      <text>
        <r>
          <rPr>
            <b/>
            <sz val="9"/>
            <color indexed="81"/>
            <rFont val="Tahoma"/>
            <family val="2"/>
          </rPr>
          <t>Matius P. Stürchler:</t>
        </r>
        <r>
          <rPr>
            <sz val="9"/>
            <color indexed="81"/>
            <rFont val="Tahoma"/>
            <family val="2"/>
          </rPr>
          <t xml:space="preserve">
https://shg.ch/de/haemophilie</t>
        </r>
      </text>
    </comment>
    <comment ref="N182" authorId="3" shapeId="0">
      <text>
        <r>
          <rPr>
            <b/>
            <sz val="9"/>
            <color indexed="81"/>
            <rFont val="Segoe UI"/>
            <family val="2"/>
          </rPr>
          <t>Burkhard Patrick:</t>
        </r>
        <r>
          <rPr>
            <sz val="9"/>
            <color indexed="81"/>
            <rFont val="Segoe UI"/>
            <family val="2"/>
          </rPr>
          <t xml:space="preserve">
https://www.news.uzh.ch/de/articles/2017/sichelzellanaemie.html</t>
        </r>
      </text>
    </comment>
    <comment ref="N185" authorId="3" shapeId="0">
      <text>
        <r>
          <rPr>
            <b/>
            <sz val="9"/>
            <color indexed="81"/>
            <rFont val="Segoe UI"/>
            <family val="2"/>
          </rPr>
          <t>Burkhard Patrick:</t>
        </r>
        <r>
          <rPr>
            <sz val="9"/>
            <color indexed="81"/>
            <rFont val="Segoe UI"/>
            <family val="2"/>
          </rPr>
          <t xml:space="preserve">
https://www.mds-switzerland.ch/patienteninformationen/was-ist-mds/</t>
        </r>
      </text>
    </comment>
    <comment ref="D186" authorId="2" shapeId="0">
      <text>
        <r>
          <rPr>
            <b/>
            <sz val="9"/>
            <color indexed="81"/>
            <rFont val="Segoe UI"/>
            <family val="2"/>
          </rPr>
          <t>Githui Moses:</t>
        </r>
        <r>
          <rPr>
            <sz val="9"/>
            <color indexed="81"/>
            <rFont val="Segoe UI"/>
            <family val="2"/>
          </rPr>
          <t xml:space="preserve">
vielleicht i.v.</t>
        </r>
      </text>
    </comment>
    <comment ref="N190" authorId="3" shapeId="0">
      <text>
        <r>
          <rPr>
            <b/>
            <sz val="9"/>
            <color indexed="81"/>
            <rFont val="Segoe UI"/>
            <family val="2"/>
          </rPr>
          <t>Burkhard Patrick:</t>
        </r>
        <r>
          <rPr>
            <sz val="9"/>
            <color indexed="81"/>
            <rFont val="Segoe UI"/>
            <family val="2"/>
          </rPr>
          <t xml:space="preserve">
https://flexikon.doccheck.com/de/Nicht-kleinzelliges_Bronchialkarzinom</t>
        </r>
      </text>
    </comment>
    <comment ref="N191" authorId="3" shapeId="0">
      <text>
        <r>
          <rPr>
            <b/>
            <sz val="9"/>
            <color indexed="81"/>
            <rFont val="Segoe UI"/>
            <family val="2"/>
          </rPr>
          <t>Burkhard Patrick:</t>
        </r>
        <r>
          <rPr>
            <sz val="9"/>
            <color indexed="81"/>
            <rFont val="Segoe UI"/>
            <family val="2"/>
          </rPr>
          <t xml:space="preserve">
https://www.krebsliga.ch/ueber-krebs/zahlen-fakten/</t>
        </r>
      </text>
    </comment>
    <comment ref="N192"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193" authorId="0" shapeId="0">
      <text>
        <r>
          <rPr>
            <b/>
            <sz val="9"/>
            <color indexed="81"/>
            <rFont val="Tahoma"/>
            <family val="2"/>
          </rPr>
          <t>Matius P. Stürchler:</t>
        </r>
        <r>
          <rPr>
            <sz val="9"/>
            <color indexed="81"/>
            <rFont val="Tahoma"/>
            <family val="2"/>
          </rPr>
          <t xml:space="preserve">
https://www.beobachter.ch/gesundheit/krankheit/morbus-gaucher-gaucher-syndrom</t>
        </r>
      </text>
    </comment>
    <comment ref="N194" authorId="0" shapeId="0">
      <text>
        <r>
          <rPr>
            <b/>
            <sz val="9"/>
            <color indexed="81"/>
            <rFont val="Tahoma"/>
            <family val="2"/>
          </rPr>
          <t>Matius P. Stürchler:</t>
        </r>
        <r>
          <rPr>
            <sz val="9"/>
            <color indexed="81"/>
            <rFont val="Tahoma"/>
            <family val="2"/>
          </rPr>
          <t xml:space="preserve">
Eine
bereits klinisch symptomatische Arthrose findet sich bei mehr als 8% der
Bevölkerung im Alter von 50-70 Jahren.
https://www.germanjournalsportsmedicine.com/fileadmin/content/archiv2003/heft06/Engelhardt.pdf</t>
        </r>
      </text>
    </comment>
    <comment ref="N196" authorId="3"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197"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199" authorId="0" shapeId="0">
      <text>
        <r>
          <rPr>
            <b/>
            <sz val="9"/>
            <color indexed="81"/>
            <rFont val="Tahoma"/>
            <family val="2"/>
          </rPr>
          <t>Matius P. Stürchler:</t>
        </r>
        <r>
          <rPr>
            <sz val="9"/>
            <color indexed="81"/>
            <rFont val="Tahoma"/>
            <family val="2"/>
          </rPr>
          <t xml:space="preserve">
https://medicalforum.ch/article/doi/smf.2018.03133</t>
        </r>
      </text>
    </comment>
    <comment ref="N200" authorId="0" shapeId="0">
      <text>
        <r>
          <rPr>
            <b/>
            <sz val="9"/>
            <color indexed="81"/>
            <rFont val="Tahoma"/>
            <family val="2"/>
          </rPr>
          <t>Matius P. Stürchler:</t>
        </r>
        <r>
          <rPr>
            <sz val="9"/>
            <color indexed="81"/>
            <rFont val="Tahoma"/>
            <family val="2"/>
          </rPr>
          <t xml:space="preserve">
https://medicalforum.ch/article/doi/smf.2018.03133</t>
        </r>
      </text>
    </comment>
    <comment ref="N203" authorId="0" shapeId="0">
      <text>
        <r>
          <rPr>
            <b/>
            <sz val="9"/>
            <color indexed="81"/>
            <rFont val="Tahoma"/>
            <family val="2"/>
          </rPr>
          <t>Matius P. Stürchler:</t>
        </r>
        <r>
          <rPr>
            <sz val="9"/>
            <color indexed="81"/>
            <rFont val="Tahoma"/>
            <family val="2"/>
          </rPr>
          <t xml:space="preserve">
https://www.ncbi.nlm.nih.gov/pmc/articles/PMC5290446/</t>
        </r>
      </text>
    </comment>
    <comment ref="N205" authorId="3" shapeId="0">
      <text>
        <r>
          <rPr>
            <b/>
            <sz val="9"/>
            <color indexed="81"/>
            <rFont val="Segoe UI"/>
            <family val="2"/>
          </rPr>
          <t>Burkhard Patrick:</t>
        </r>
        <r>
          <rPr>
            <sz val="9"/>
            <color indexed="81"/>
            <rFont val="Segoe UI"/>
            <family val="2"/>
          </rPr>
          <t xml:space="preserve">
https://de.wikipedia.org/wiki/Pulmonale_Hypertonie</t>
        </r>
      </text>
    </comment>
    <comment ref="N209"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210"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211" authorId="0" shapeId="0">
      <text>
        <r>
          <rPr>
            <b/>
            <sz val="9"/>
            <color indexed="81"/>
            <rFont val="Tahoma"/>
            <family val="2"/>
          </rPr>
          <t>Matius P. Stürchler:</t>
        </r>
        <r>
          <rPr>
            <sz val="9"/>
            <color indexed="81"/>
            <rFont val="Tahoma"/>
            <family val="2"/>
          </rPr>
          <t xml:space="preserve">
https://www.orpha.net/consor/cgi-bin/Disease_Search.php?lng=DE&amp;data_id=8749&amp;Disease(s)/group%20of%20diseases=Diffuse-large-B-cell-lymphoma&amp;title=Diffuse%20large%20B-cell%20lymphoma&amp;search=Disease_Search_Simple&amp;ChdId=0</t>
        </r>
      </text>
    </comment>
    <comment ref="N213" authorId="3" shapeId="0">
      <text>
        <r>
          <rPr>
            <b/>
            <sz val="9"/>
            <color indexed="81"/>
            <rFont val="Segoe UI"/>
            <family val="2"/>
          </rPr>
          <t>Burkhard Patrick:</t>
        </r>
        <r>
          <rPr>
            <sz val="9"/>
            <color indexed="81"/>
            <rFont val="Segoe UI"/>
            <family val="2"/>
          </rPr>
          <t xml:space="preserve">
https://www.postnatale-depression.ch/de/</t>
        </r>
      </text>
    </comment>
    <comment ref="N215" authorId="3"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216" authorId="3" shapeId="0">
      <text>
        <r>
          <rPr>
            <b/>
            <sz val="9"/>
            <color indexed="81"/>
            <rFont val="Segoe UI"/>
            <family val="2"/>
          </rPr>
          <t>Burkhard Patrick:</t>
        </r>
        <r>
          <rPr>
            <sz val="9"/>
            <color indexed="81"/>
            <rFont val="Segoe UI"/>
            <family val="2"/>
          </rPr>
          <t xml:space="preserve">
https://medikamio.com/de-de/krankheiten/thrombotisch-thrombozytopenische-purpura-ttp/grundlagen-ursachen</t>
        </r>
      </text>
    </comment>
    <comment ref="N217" authorId="0" shapeId="0">
      <text>
        <r>
          <rPr>
            <b/>
            <sz val="9"/>
            <color indexed="81"/>
            <rFont val="Tahoma"/>
            <family val="2"/>
          </rPr>
          <t>Matius P. Stürchler:</t>
        </r>
        <r>
          <rPr>
            <sz val="9"/>
            <color indexed="81"/>
            <rFont val="Tahoma"/>
            <family val="2"/>
          </rPr>
          <t xml:space="preserve">
Lieberherr, S. et al. Evaluation of the National Skin Cancer Campaign: a Swiss experience of Euromelanoma. Swiss Med Wkly 147, w14511, doi:10.4414/smw.2017.14511 (2017).</t>
        </r>
      </text>
    </comment>
    <comment ref="N218" authorId="0" shapeId="0">
      <text>
        <r>
          <rPr>
            <b/>
            <sz val="9"/>
            <color indexed="81"/>
            <rFont val="Tahoma"/>
            <family val="2"/>
          </rPr>
          <t>Matius P. Stürchler:</t>
        </r>
        <r>
          <rPr>
            <sz val="9"/>
            <color indexed="81"/>
            <rFont val="Tahoma"/>
            <family val="2"/>
          </rPr>
          <t xml:space="preserve">
https://www.beobachter.ch/gesundheit/krankheit/morbus-gaucher-gaucher-syndrom</t>
        </r>
      </text>
    </comment>
    <comment ref="N219" authorId="0" shapeId="0">
      <text>
        <r>
          <rPr>
            <b/>
            <sz val="9"/>
            <color indexed="81"/>
            <rFont val="Tahoma"/>
            <family val="2"/>
          </rPr>
          <t>Matius P. Stürchler:</t>
        </r>
        <r>
          <rPr>
            <sz val="9"/>
            <color indexed="81"/>
            <rFont val="Tahoma"/>
            <family val="2"/>
          </rPr>
          <t xml:space="preserve">
https://shg.ch/de/haemophilie</t>
        </r>
      </text>
    </comment>
    <comment ref="N220" authorId="0" shapeId="0">
      <text>
        <r>
          <rPr>
            <b/>
            <sz val="9"/>
            <color indexed="81"/>
            <rFont val="Tahoma"/>
            <family val="2"/>
          </rPr>
          <t>Matius P. Stürchler:</t>
        </r>
        <r>
          <rPr>
            <sz val="9"/>
            <color indexed="81"/>
            <rFont val="Tahoma"/>
            <family val="2"/>
          </rPr>
          <t xml:space="preserve">
https://www.ncbi.nlm.nih.gov/pmc/articles/PMC4139706/</t>
        </r>
      </text>
    </comment>
    <comment ref="N221" authorId="0" shapeId="0">
      <text>
        <r>
          <rPr>
            <b/>
            <sz val="9"/>
            <color indexed="81"/>
            <rFont val="Tahoma"/>
            <family val="2"/>
          </rPr>
          <t>Matius P. Stürchler:</t>
        </r>
        <r>
          <rPr>
            <sz val="9"/>
            <color indexed="81"/>
            <rFont val="Tahoma"/>
            <family val="2"/>
          </rPr>
          <t xml:space="preserve">
https://www.rheumaliga.ch/rheuma-von-a-z/arthritis </t>
        </r>
      </text>
    </comment>
    <comment ref="N223" authorId="2" shapeId="0">
      <text>
        <r>
          <rPr>
            <b/>
            <sz val="9"/>
            <color indexed="81"/>
            <rFont val="Segoe UI"/>
            <family val="2"/>
          </rPr>
          <t>Githui Moses:</t>
        </r>
        <r>
          <rPr>
            <sz val="9"/>
            <color indexed="81"/>
            <rFont val="Segoe UI"/>
            <family val="2"/>
          </rPr>
          <t xml:space="preserve">
Etwa 100 / 1000 je nach Alter von den Kindern. Medikament vielleicht für schwere Fälle gedacht</t>
        </r>
      </text>
    </comment>
    <comment ref="N226" authorId="0" shapeId="0">
      <text>
        <r>
          <rPr>
            <b/>
            <sz val="9"/>
            <color indexed="81"/>
            <rFont val="Tahoma"/>
            <family val="2"/>
          </rPr>
          <t>Matius P. Stürchler:</t>
        </r>
        <r>
          <rPr>
            <sz val="9"/>
            <color indexed="81"/>
            <rFont val="Tahoma"/>
            <family val="2"/>
          </rPr>
          <t xml:space="preserve">
https://medicalforum.ch/article/doi/smf.2018.03133</t>
        </r>
      </text>
    </comment>
    <comment ref="N227" authorId="0" shapeId="0">
      <text>
        <r>
          <rPr>
            <b/>
            <sz val="9"/>
            <color indexed="81"/>
            <rFont val="Tahoma"/>
            <family val="2"/>
          </rPr>
          <t>Matius P. Stürchler:</t>
        </r>
        <r>
          <rPr>
            <sz val="9"/>
            <color indexed="81"/>
            <rFont val="Tahoma"/>
            <family val="2"/>
          </rPr>
          <t xml:space="preserve">
https://medicalforum.ch/article/doi/smf.2018.03133</t>
        </r>
      </text>
    </comment>
    <comment ref="N230" authorId="3" shapeId="0">
      <text>
        <r>
          <rPr>
            <b/>
            <sz val="9"/>
            <color indexed="81"/>
            <rFont val="Segoe UI"/>
            <family val="2"/>
          </rPr>
          <t>Burkhard Patrick:</t>
        </r>
        <r>
          <rPr>
            <sz val="9"/>
            <color indexed="81"/>
            <rFont val="Segoe UI"/>
            <family val="2"/>
          </rPr>
          <t xml:space="preserve">
https://www.krebsliga.ch/ueber-krebs/zahlen-fakten/</t>
        </r>
      </text>
    </comment>
    <comment ref="N231" authorId="0" shapeId="0">
      <text>
        <r>
          <rPr>
            <b/>
            <sz val="9"/>
            <color indexed="81"/>
            <rFont val="Tahoma"/>
            <family val="2"/>
          </rPr>
          <t>Matius P. Stürchler:</t>
        </r>
        <r>
          <rPr>
            <sz val="9"/>
            <color indexed="81"/>
            <rFont val="Tahoma"/>
            <family val="2"/>
          </rPr>
          <t xml:space="preserve">
Schilla, C., Bubendorfb, L. &amp; Papachristofilou, A. Nicht-kleinzelliges Bronchialkarzinom. Schweizerisches Medizin-Forum 15, 453– 458 (2015).
http://www.swissbraintumorfoundation.com/Glioblastom.htm</t>
        </r>
      </text>
    </comment>
    <comment ref="N232" authorId="3" shapeId="0">
      <text>
        <r>
          <rPr>
            <b/>
            <sz val="9"/>
            <color indexed="81"/>
            <rFont val="Segoe UI"/>
            <family val="2"/>
          </rPr>
          <t>Burkhard Patrick:</t>
        </r>
        <r>
          <rPr>
            <sz val="9"/>
            <color indexed="81"/>
            <rFont val="Segoe UI"/>
            <family val="2"/>
          </rPr>
          <t xml:space="preserve">
https://www.krebsliga.ch/ueber-krebs/zahlen-fakten/</t>
        </r>
      </text>
    </comment>
    <comment ref="N233" authorId="3" shapeId="0">
      <text>
        <r>
          <rPr>
            <b/>
            <sz val="9"/>
            <color indexed="81"/>
            <rFont val="Segoe UI"/>
            <family val="2"/>
          </rPr>
          <t>Burkhard Patrick:</t>
        </r>
        <r>
          <rPr>
            <sz val="9"/>
            <color indexed="81"/>
            <rFont val="Segoe UI"/>
            <family val="2"/>
          </rPr>
          <t xml:space="preserve">
CLL:
https://medicalforum.ch/journalfile/view/article/ezm_smf/de/smf.2015.02151/debc9d7814df8e4fddfc859fae1a4caa1aa43f8a/smf_2015_02151.pdf/rsrc/jf
NHL:
https://www.krebsliga.ch/ueber-krebs/zahlen-fakten/</t>
        </r>
      </text>
    </comment>
    <comment ref="N234" authorId="3" shapeId="0">
      <text>
        <r>
          <rPr>
            <b/>
            <sz val="9"/>
            <color indexed="81"/>
            <rFont val="Segoe UI"/>
            <family val="2"/>
          </rPr>
          <t>Burkhard Patrick:</t>
        </r>
        <r>
          <rPr>
            <sz val="9"/>
            <color indexed="81"/>
            <rFont val="Segoe UI"/>
            <family val="2"/>
          </rPr>
          <t xml:space="preserve">
https://medicalforum.ch/article/doi/smf.2019.08249/
Annahme: 80% erwachsene Bevölkerung</t>
        </r>
      </text>
    </comment>
    <comment ref="N235" authorId="0" shapeId="0">
      <text>
        <r>
          <rPr>
            <b/>
            <sz val="9"/>
            <color indexed="81"/>
            <rFont val="Tahoma"/>
            <family val="2"/>
          </rPr>
          <t>Matius P. Stürchler:</t>
        </r>
        <r>
          <rPr>
            <sz val="9"/>
            <color indexed="81"/>
            <rFont val="Tahoma"/>
            <family val="2"/>
          </rPr>
          <t xml:space="preserve">
https://www.orpha.net/consor/cgi-bin/OC_Exp.php?lng=en&amp;Expert=91378</t>
        </r>
      </text>
    </comment>
    <comment ref="N236"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237" authorId="3" shapeId="0">
      <text>
        <r>
          <rPr>
            <b/>
            <sz val="9"/>
            <color indexed="81"/>
            <rFont val="Segoe UI"/>
            <family val="2"/>
          </rPr>
          <t>Burkhard Patrick:</t>
        </r>
        <r>
          <rPr>
            <sz val="9"/>
            <color indexed="81"/>
            <rFont val="Segoe UI"/>
            <family val="2"/>
          </rPr>
          <t xml:space="preserve">
http://www.hemoschweiz.ch/haemophilie/formen-der-haemophilie/vererbte-haemophilie/</t>
        </r>
      </text>
    </comment>
    <comment ref="N239" authorId="0" shapeId="0">
      <text>
        <r>
          <rPr>
            <b/>
            <sz val="9"/>
            <color indexed="81"/>
            <rFont val="Tahoma"/>
            <family val="2"/>
          </rPr>
          <t>Matius P. Stürchler:</t>
        </r>
        <r>
          <rPr>
            <sz val="9"/>
            <color indexed="81"/>
            <rFont val="Tahoma"/>
            <family val="2"/>
          </rPr>
          <t xml:space="preserve">
https://primaryimmune.org/disease/hemophagocytic-lymphohistiocytosis-hlh</t>
        </r>
      </text>
    </comment>
    <comment ref="N241" authorId="0" shapeId="0">
      <text>
        <r>
          <rPr>
            <b/>
            <sz val="9"/>
            <color indexed="81"/>
            <rFont val="Tahoma"/>
            <family val="2"/>
          </rPr>
          <t>Matius P. Stürchler:</t>
        </r>
        <r>
          <rPr>
            <sz val="9"/>
            <color indexed="81"/>
            <rFont val="Tahoma"/>
            <family val="2"/>
          </rPr>
          <t xml:space="preserve">
https://www.orpha.net</t>
        </r>
      </text>
    </comment>
    <comment ref="N242" authorId="3" shapeId="0">
      <text>
        <r>
          <rPr>
            <b/>
            <sz val="9"/>
            <color indexed="81"/>
            <rFont val="Segoe UI"/>
            <family val="2"/>
          </rPr>
          <t>Burkhard Patrick:</t>
        </r>
        <r>
          <rPr>
            <sz val="9"/>
            <color indexed="81"/>
            <rFont val="Segoe UI"/>
            <family val="2"/>
          </rPr>
          <t xml:space="preserve">
https://www.krebsliga.ch/ueber-krebs/krebsarten/prostatakrebs/</t>
        </r>
      </text>
    </comment>
    <comment ref="N245" authorId="3" shapeId="0">
      <text>
        <r>
          <rPr>
            <b/>
            <sz val="9"/>
            <color indexed="81"/>
            <rFont val="Segoe UI"/>
            <family val="2"/>
          </rPr>
          <t>Burkhard Patrick:</t>
        </r>
        <r>
          <rPr>
            <sz val="9"/>
            <color indexed="81"/>
            <rFont val="Segoe UI"/>
            <family val="2"/>
          </rPr>
          <t xml:space="preserve">
https://flexikon.doccheck.com/de/Nicht-kleinzelliges_Bronchialkarzinom</t>
        </r>
      </text>
    </comment>
    <comment ref="N246" authorId="0" shapeId="0">
      <text>
        <r>
          <rPr>
            <b/>
            <sz val="9"/>
            <color indexed="81"/>
            <rFont val="Tahoma"/>
            <family val="2"/>
          </rPr>
          <t>Matius P. Stürchler:</t>
        </r>
        <r>
          <rPr>
            <sz val="9"/>
            <color indexed="81"/>
            <rFont val="Tahoma"/>
            <family val="2"/>
          </rPr>
          <t xml:space="preserve">
https://www.ncbi.nlm.nih.gov/pmc/articles/PMC6235801/</t>
        </r>
      </text>
    </comment>
    <comment ref="N247"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249" authorId="0" shapeId="0">
      <text>
        <r>
          <rPr>
            <b/>
            <sz val="9"/>
            <color indexed="81"/>
            <rFont val="Tahoma"/>
            <family val="2"/>
          </rPr>
          <t>Matius P. Stürchler:</t>
        </r>
        <r>
          <rPr>
            <sz val="9"/>
            <color indexed="81"/>
            <rFont val="Tahoma"/>
            <family val="2"/>
          </rPr>
          <t xml:space="preserve">
https://www.beobachter.ch/gesundheit/krankheit/chorea-huntington-huntington-krankheit</t>
        </r>
      </text>
    </comment>
    <comment ref="N250" authorId="3" shapeId="0">
      <text>
        <r>
          <rPr>
            <b/>
            <sz val="9"/>
            <color indexed="81"/>
            <rFont val="Segoe UI"/>
            <family val="2"/>
          </rPr>
          <t>Burkhard Patrick:</t>
        </r>
        <r>
          <rPr>
            <sz val="9"/>
            <color indexed="81"/>
            <rFont val="Segoe UI"/>
            <family val="2"/>
          </rPr>
          <t xml:space="preserve">
Annahmen anhand ausländischer Daten:
https://www.cdc.gov/asthma/data-visualizations/prevalence.htm
https://www.netdoktor.ch/krankheit/schweres-asthma-6835839</t>
        </r>
      </text>
    </comment>
    <comment ref="N252" authorId="0" shapeId="0">
      <text>
        <r>
          <rPr>
            <b/>
            <sz val="9"/>
            <color indexed="81"/>
            <rFont val="Tahoma"/>
            <family val="2"/>
          </rPr>
          <t>Matius P. Stürchler:</t>
        </r>
        <r>
          <rPr>
            <sz val="9"/>
            <color indexed="81"/>
            <rFont val="Tahoma"/>
            <family val="2"/>
          </rPr>
          <t xml:space="preserve">
https://medicalforum.ch/journalfile/view/article/ezm_smf/de/smf.2015.02151/debc9d7814df8e4fddfc859fae1a4caa1aa43f8a/smf_2015_02151.pdf/rsrc/jf</t>
        </r>
      </text>
    </comment>
    <comment ref="N253" authorId="0" shapeId="0">
      <text>
        <r>
          <rPr>
            <b/>
            <sz val="9"/>
            <color indexed="81"/>
            <rFont val="Tahoma"/>
            <family val="2"/>
          </rPr>
          <t>Matius P. Stürchler:</t>
        </r>
        <r>
          <rPr>
            <sz val="9"/>
            <color indexed="81"/>
            <rFont val="Tahoma"/>
            <family val="2"/>
          </rPr>
          <t xml:space="preserve">
https://www.orpha.net/consor/cgi-bin/OC_Exp.php?Expert=98375&amp;lng=DE</t>
        </r>
      </text>
    </comment>
    <comment ref="N256" authorId="0" shapeId="0">
      <text>
        <r>
          <rPr>
            <b/>
            <sz val="9"/>
            <color indexed="81"/>
            <rFont val="Tahoma"/>
            <family val="2"/>
          </rPr>
          <t>Matius P. Stürchler:</t>
        </r>
        <r>
          <rPr>
            <sz val="9"/>
            <color indexed="81"/>
            <rFont val="Tahoma"/>
            <family val="2"/>
          </rPr>
          <t xml:space="preserve">
https://medicalforum.ch/journalfile/view/article/ezm_smf/de/smf.2015.02151/debc9d7814df8e4fddfc859fae1a4caa1aa43f8a/smf_2015_02151.pdf/rsrc/jf</t>
        </r>
      </text>
    </comment>
    <comment ref="N257" authorId="3" shapeId="0">
      <text>
        <r>
          <rPr>
            <b/>
            <sz val="9"/>
            <color indexed="81"/>
            <rFont val="Segoe UI"/>
            <family val="2"/>
          </rPr>
          <t>Burkhard Patrick:</t>
        </r>
        <r>
          <rPr>
            <sz val="9"/>
            <color indexed="81"/>
            <rFont val="Segoe UI"/>
            <family val="2"/>
          </rPr>
          <t xml:space="preserve">
http://www.cfch.ch/cystische-fibrose/</t>
        </r>
      </text>
    </comment>
    <comment ref="N262" authorId="3" shapeId="0">
      <text>
        <r>
          <rPr>
            <b/>
            <sz val="9"/>
            <color indexed="81"/>
            <rFont val="Segoe UI"/>
            <family val="2"/>
          </rPr>
          <t>Burkhard Patrick:</t>
        </r>
        <r>
          <rPr>
            <sz val="9"/>
            <color indexed="81"/>
            <rFont val="Segoe UI"/>
            <family val="2"/>
          </rPr>
          <t xml:space="preserve">
https://www.krebsliga.ch/ueber-krebs/zahlen-fakten/</t>
        </r>
      </text>
    </comment>
  </commentList>
</comments>
</file>

<file path=xl/comments2.xml><?xml version="1.0" encoding="utf-8"?>
<comments xmlns="http://schemas.openxmlformats.org/spreadsheetml/2006/main">
  <authors>
    <author>Matius P. Stürchler</author>
    <author>Burkhard Patrick</author>
    <author>Stürchler Matius</author>
    <author>Githui Moses</author>
  </authors>
  <commentList>
    <comment ref="T1" authorId="0" shapeId="0">
      <text>
        <r>
          <rPr>
            <b/>
            <sz val="9"/>
            <color indexed="81"/>
            <rFont val="Tahoma"/>
            <family val="2"/>
          </rPr>
          <t>Matius P. Stürchler:</t>
        </r>
        <r>
          <rPr>
            <sz val="9"/>
            <color indexed="81"/>
            <rFont val="Tahoma"/>
            <family val="2"/>
          </rPr>
          <t xml:space="preserve">
0 = nein
1 = ja</t>
        </r>
      </text>
    </comment>
    <comment ref="U1" authorId="0" shapeId="0">
      <text>
        <r>
          <rPr>
            <b/>
            <sz val="9"/>
            <color indexed="81"/>
            <rFont val="Tahoma"/>
            <family val="2"/>
          </rPr>
          <t>Matius P. Stürchler:</t>
        </r>
        <r>
          <rPr>
            <sz val="9"/>
            <color indexed="81"/>
            <rFont val="Tahoma"/>
            <family val="2"/>
          </rPr>
          <t xml:space="preserve">
0 = nein
1 = ja</t>
        </r>
      </text>
    </comment>
    <comment ref="N3" authorId="0" shapeId="0">
      <text>
        <r>
          <rPr>
            <b/>
            <sz val="9"/>
            <color indexed="81"/>
            <rFont val="Tahoma"/>
            <family val="2"/>
          </rPr>
          <t>Matius P. Stürchler:</t>
        </r>
        <r>
          <rPr>
            <sz val="9"/>
            <color indexed="81"/>
            <rFont val="Tahoma"/>
            <family val="2"/>
          </rPr>
          <t xml:space="preserve">
Psoriasis Katja Ivanova</t>
        </r>
      </text>
    </comment>
    <comment ref="N4" authorId="0" shapeId="0">
      <text>
        <r>
          <rPr>
            <b/>
            <sz val="9"/>
            <color indexed="81"/>
            <rFont val="Tahoma"/>
            <family val="2"/>
          </rPr>
          <t>Matius P. Stürchler:</t>
        </r>
        <r>
          <rPr>
            <sz val="9"/>
            <color indexed="81"/>
            <rFont val="Tahoma"/>
            <family val="2"/>
          </rPr>
          <t xml:space="preserve">
Universitätsklinik
für Rheumatologie, Klinische
Immunologie und Allergologie</t>
        </r>
      </text>
    </comment>
    <comment ref="N5" authorId="0" shapeId="0">
      <text>
        <r>
          <rPr>
            <b/>
            <sz val="9"/>
            <color indexed="81"/>
            <rFont val="Tahoma"/>
            <family val="2"/>
          </rPr>
          <t>Matius P. Stürchler:</t>
        </r>
        <r>
          <rPr>
            <sz val="9"/>
            <color indexed="81"/>
            <rFont val="Tahoma"/>
            <family val="2"/>
          </rPr>
          <t xml:space="preserve">
Das Ovarialkarzinom
Sara Imboden, Urban Novak, Michael D. Mueller
Inzidenz</t>
        </r>
      </text>
    </comment>
    <comment ref="N8" authorId="0" shapeId="0">
      <text>
        <r>
          <rPr>
            <b/>
            <sz val="9"/>
            <color indexed="81"/>
            <rFont val="Tahoma"/>
            <family val="2"/>
          </rPr>
          <t>Matius P. Stürchler:</t>
        </r>
        <r>
          <rPr>
            <sz val="9"/>
            <color indexed="81"/>
            <rFont val="Tahoma"/>
            <family val="2"/>
          </rPr>
          <t xml:space="preserve">
Huntington-Krankheit SMF 2015</t>
        </r>
      </text>
    </comment>
    <comment ref="N12"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
1.5/100'000</t>
        </r>
      </text>
    </comment>
    <comment ref="N13"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15" authorId="0" shapeId="0">
      <text>
        <r>
          <rPr>
            <b/>
            <sz val="9"/>
            <color indexed="81"/>
            <rFont val="Tahoma"/>
            <family val="2"/>
          </rPr>
          <t>Matius P. Stürchler:</t>
        </r>
        <r>
          <rPr>
            <sz val="9"/>
            <color indexed="81"/>
            <rFont val="Tahoma"/>
            <family val="2"/>
          </rPr>
          <t xml:space="preserve">
https://www.onkopedia.com/de/onkopedia/guidelines/paroxysmale-naechtliche-haemoglobinurie-pnh/@@guideline/html/index.html</t>
        </r>
      </text>
    </comment>
    <comment ref="N16" authorId="0" shapeId="0">
      <text>
        <r>
          <rPr>
            <b/>
            <sz val="9"/>
            <color indexed="81"/>
            <rFont val="Tahoma"/>
            <family val="2"/>
          </rPr>
          <t>Matius P. Stürchler:</t>
        </r>
        <r>
          <rPr>
            <sz val="9"/>
            <color indexed="81"/>
            <rFont val="Tahoma"/>
            <family val="2"/>
          </rPr>
          <t xml:space="preserve">
https://www.headache.ch/migraene</t>
        </r>
      </text>
    </comment>
    <comment ref="N17" authorId="0" shapeId="0">
      <text>
        <r>
          <rPr>
            <b/>
            <sz val="9"/>
            <color indexed="81"/>
            <rFont val="Tahoma"/>
            <family val="2"/>
          </rPr>
          <t>Matius P. Stürchler:</t>
        </r>
        <r>
          <rPr>
            <sz val="9"/>
            <color indexed="81"/>
            <rFont val="Tahoma"/>
            <family val="2"/>
          </rPr>
          <t xml:space="preserve">
https://de.wikipedia.org/wiki/Makuladegeneration
Altersabhängige Makuladegeneration:
Häufigste Ursache für Blindheit in Mitteleuropa
https://www.beobachter.ch/gesundheit/krankheit/altersbedingte-makuladegeneration-altersabhangige-makuladegeneration-amd</t>
        </r>
      </text>
    </comment>
    <comment ref="N18" authorId="1" shapeId="0">
      <text>
        <r>
          <rPr>
            <b/>
            <sz val="9"/>
            <color indexed="81"/>
            <rFont val="Segoe UI"/>
            <family val="2"/>
          </rPr>
          <t>Burkhard Patrick:</t>
        </r>
        <r>
          <rPr>
            <sz val="9"/>
            <color indexed="81"/>
            <rFont val="Segoe UI"/>
            <family val="2"/>
          </rPr>
          <t xml:space="preserve">
https://www.beobachter.ch/gesundheit/krankheit/schuppenflechte-psoriasis</t>
        </r>
      </text>
    </comment>
    <comment ref="N19" authorId="1" shapeId="0">
      <text>
        <r>
          <rPr>
            <b/>
            <sz val="9"/>
            <color indexed="81"/>
            <rFont val="Segoe UI"/>
            <family val="2"/>
          </rPr>
          <t>Burkhard Patrick:</t>
        </r>
        <r>
          <rPr>
            <sz val="9"/>
            <color indexed="81"/>
            <rFont val="Segoe UI"/>
            <family val="2"/>
          </rPr>
          <t xml:space="preserve">
https://www.medizinische-genetik.de//index.php?id=hyperoxalurie-gen-panel</t>
        </r>
      </text>
    </comment>
    <comment ref="N20" authorId="0" shapeId="0">
      <text>
        <r>
          <rPr>
            <b/>
            <sz val="9"/>
            <color indexed="81"/>
            <rFont val="Tahoma"/>
            <family val="2"/>
          </rPr>
          <t>Matius P. Stürchler:</t>
        </r>
        <r>
          <rPr>
            <sz val="9"/>
            <color indexed="81"/>
            <rFont val="Tahoma"/>
            <family val="2"/>
          </rPr>
          <t xml:space="preserve">
https://www.orpha.net/consor/cgi-bin/OC_Exp.php?lng=DE&amp;Expert=95157</t>
        </r>
      </text>
    </comment>
    <comment ref="N21" authorId="0" shapeId="0">
      <text>
        <r>
          <rPr>
            <b/>
            <sz val="9"/>
            <color indexed="81"/>
            <rFont val="Tahoma"/>
            <family val="2"/>
          </rPr>
          <t>Matius P. Stürchler:</t>
        </r>
        <r>
          <rPr>
            <sz val="9"/>
            <color indexed="81"/>
            <rFont val="Tahoma"/>
            <family val="2"/>
          </rPr>
          <t xml:space="preserve">
https://www.pharmazeutische-zeitung.de/eine-seltene-erkrankung-zwei-neue-orphan-drugs/</t>
        </r>
      </text>
    </comment>
    <comment ref="N22" authorId="1"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26" authorId="0" shapeId="0">
      <text>
        <r>
          <rPr>
            <b/>
            <sz val="9"/>
            <color indexed="81"/>
            <rFont val="Tahoma"/>
            <family val="2"/>
          </rPr>
          <t>Matius P. Stürchler:</t>
        </r>
        <r>
          <rPr>
            <sz val="9"/>
            <color indexed="81"/>
            <rFont val="Tahoma"/>
            <family val="2"/>
          </rPr>
          <t xml:space="preserve">
https://www.lungenliga.ch/uploads/tx_pubshop/Asthma_Broschuere.pdf</t>
        </r>
      </text>
    </comment>
    <comment ref="N27"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28" authorId="1" shapeId="0">
      <text>
        <r>
          <rPr>
            <b/>
            <sz val="9"/>
            <color indexed="81"/>
            <rFont val="Segoe UI"/>
            <family val="2"/>
          </rPr>
          <t>Burkhard Patrick:</t>
        </r>
        <r>
          <rPr>
            <sz val="9"/>
            <color indexed="81"/>
            <rFont val="Segoe UI"/>
            <family val="2"/>
          </rPr>
          <t xml:space="preserve">
https://www.muskelgesellschaft.ch/diagnosen/morbus-pompe-2/</t>
        </r>
      </text>
    </comment>
    <comment ref="N29" authorId="1" shapeId="0">
      <text>
        <r>
          <rPr>
            <b/>
            <sz val="9"/>
            <color indexed="81"/>
            <rFont val="Segoe UI"/>
            <family val="2"/>
          </rPr>
          <t>Burkhard Patrick:</t>
        </r>
        <r>
          <rPr>
            <sz val="9"/>
            <color indexed="81"/>
            <rFont val="Segoe UI"/>
            <family val="2"/>
          </rPr>
          <t xml:space="preserve">
https://de.wikipedia.org/wiki/Polycythaemia_vera#Epidemiologie</t>
        </r>
      </text>
    </comment>
    <comment ref="N31" authorId="0" shapeId="0">
      <text>
        <r>
          <rPr>
            <b/>
            <sz val="9"/>
            <color indexed="81"/>
            <rFont val="Tahoma"/>
            <family val="2"/>
          </rPr>
          <t>Matius P. Stürchler:</t>
        </r>
        <r>
          <rPr>
            <sz val="9"/>
            <color indexed="81"/>
            <rFont val="Tahoma"/>
            <family val="2"/>
          </rPr>
          <t xml:space="preserve">
https://www.drschaer.com/de/institute/a/praevalenz-reizdarmsyndrom</t>
        </r>
      </text>
    </comment>
    <comment ref="N32"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33" authorId="1" shapeId="0">
      <text>
        <r>
          <rPr>
            <b/>
            <sz val="9"/>
            <color indexed="81"/>
            <rFont val="Segoe UI"/>
            <family val="2"/>
          </rPr>
          <t>Burkhard Patrick:</t>
        </r>
        <r>
          <rPr>
            <sz val="9"/>
            <color indexed="81"/>
            <rFont val="Segoe UI"/>
            <family val="2"/>
          </rPr>
          <t xml:space="preserve">
https://de.wikipedia.org/wiki/Pulmonale_Hypertonie</t>
        </r>
      </text>
    </comment>
    <comment ref="N34"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t>
        </r>
      </text>
    </comment>
    <comment ref="N35" authorId="1" shapeId="0">
      <text>
        <r>
          <rPr>
            <b/>
            <sz val="9"/>
            <color indexed="81"/>
            <rFont val="Segoe UI"/>
            <family val="2"/>
          </rPr>
          <t>Burkhard Patrick:</t>
        </r>
        <r>
          <rPr>
            <sz val="9"/>
            <color indexed="81"/>
            <rFont val="Segoe UI"/>
            <family val="2"/>
          </rPr>
          <t xml:space="preserve">
Annahmen anhand ausländischer Daten:
https://www.cdc.gov/asthma/data-visualizations/prevalence.htm
https://www.netdoktor.ch/krankheit/schweres-asthma-6835839</t>
        </r>
      </text>
    </comment>
    <comment ref="N36" authorId="1" shapeId="0">
      <text>
        <r>
          <rPr>
            <b/>
            <sz val="9"/>
            <color indexed="81"/>
            <rFont val="Segoe UI"/>
            <family val="2"/>
          </rPr>
          <t>Burkhard Patrick:</t>
        </r>
        <r>
          <rPr>
            <sz val="9"/>
            <color indexed="81"/>
            <rFont val="Segoe UI"/>
            <family val="2"/>
          </rPr>
          <t xml:space="preserve">
https://www.krebsliga.ch/ueber-krebs/krebsarten/blasenkrebs-krebs-der-harnblase/</t>
        </r>
      </text>
    </comment>
    <comment ref="N38" authorId="1" shapeId="0">
      <text>
        <r>
          <rPr>
            <b/>
            <sz val="9"/>
            <color indexed="81"/>
            <rFont val="Segoe UI"/>
            <family val="2"/>
          </rPr>
          <t>Burkhard Patrick:</t>
        </r>
        <r>
          <rPr>
            <sz val="9"/>
            <color indexed="81"/>
            <rFont val="Segoe UI"/>
            <family val="2"/>
          </rPr>
          <t xml:space="preserve">
https://www.rheumaliga.ch/rheuma-von-a-z/lupus</t>
        </r>
      </text>
    </comment>
    <comment ref="N40" authorId="0" shapeId="0">
      <text>
        <r>
          <rPr>
            <b/>
            <sz val="9"/>
            <color indexed="81"/>
            <rFont val="Tahoma"/>
            <family val="2"/>
          </rPr>
          <t>Matius P. Stürchler:</t>
        </r>
        <r>
          <rPr>
            <sz val="9"/>
            <color indexed="81"/>
            <rFont val="Tahoma"/>
            <family val="2"/>
          </rPr>
          <t xml:space="preserve">
https://www.lymphome.ch/lymphome/krankheitsbilder/haarzell-leukaemie-hzl/</t>
        </r>
      </text>
    </comment>
    <comment ref="N42" authorId="0" shapeId="0">
      <text>
        <r>
          <rPr>
            <b/>
            <sz val="9"/>
            <color indexed="81"/>
            <rFont val="Tahoma"/>
            <family val="2"/>
          </rPr>
          <t>Matius P. Stürchler:</t>
        </r>
        <r>
          <rPr>
            <sz val="9"/>
            <color indexed="81"/>
            <rFont val="Tahoma"/>
            <family val="2"/>
          </rPr>
          <t xml:space="preserve">
Smith, A. et al. Lymphoma incidence, survival and prevalence 2004-2014: sub-type analyses from the UK's Haematological Malignancy Research Network. Br J Cancer 112, 1575-1584, doi:10.1038/bjc.2015.94 (2015).</t>
        </r>
      </text>
    </comment>
    <comment ref="N44" authorId="1" shapeId="0">
      <text>
        <r>
          <rPr>
            <b/>
            <sz val="9"/>
            <color indexed="81"/>
            <rFont val="Segoe UI"/>
            <family val="2"/>
          </rPr>
          <t>Burkhard Patrick:</t>
        </r>
        <r>
          <rPr>
            <sz val="9"/>
            <color indexed="81"/>
            <rFont val="Segoe UI"/>
            <family val="2"/>
          </rPr>
          <t xml:space="preserve">
https://www.krebsliga.ch/ueber-krebs/krebsarten/prostatakrebs/</t>
        </r>
      </text>
    </comment>
    <comment ref="N46" authorId="0" shapeId="0">
      <text>
        <r>
          <rPr>
            <b/>
            <sz val="9"/>
            <color indexed="81"/>
            <rFont val="Tahoma"/>
            <family val="2"/>
          </rPr>
          <t>Matius P. Stürchler:</t>
        </r>
        <r>
          <rPr>
            <sz val="9"/>
            <color indexed="81"/>
            <rFont val="Tahoma"/>
            <family val="2"/>
          </rPr>
          <t xml:space="preserve">
https://shg.ch/de/haemophilie</t>
        </r>
      </text>
    </comment>
    <comment ref="N47" authorId="0" shapeId="0">
      <text>
        <r>
          <rPr>
            <b/>
            <sz val="9"/>
            <color indexed="81"/>
            <rFont val="Tahoma"/>
            <family val="2"/>
          </rPr>
          <t>Matius P. Stürchler:</t>
        </r>
        <r>
          <rPr>
            <sz val="9"/>
            <color indexed="81"/>
            <rFont val="Tahoma"/>
            <family val="2"/>
          </rPr>
          <t xml:space="preserve">
https://www.pathologie-dgp.de/media/Dgp/downloads/public/NTRK_tumor-agnostische-arzneimittel-20200113.pdf</t>
        </r>
      </text>
    </comment>
    <comment ref="N49" authorId="0" shapeId="0">
      <text>
        <r>
          <rPr>
            <b/>
            <sz val="9"/>
            <color indexed="81"/>
            <rFont val="Tahoma"/>
            <family val="2"/>
          </rPr>
          <t>Matius P. Stürchler:</t>
        </r>
        <r>
          <rPr>
            <sz val="9"/>
            <color indexed="81"/>
            <rFont val="Tahoma"/>
            <family val="2"/>
          </rPr>
          <t xml:space="preserve">
https://link.springer.com/article/10.1007/s001200050402</t>
        </r>
      </text>
    </comment>
    <comment ref="N51" authorId="2" shapeId="0">
      <text>
        <r>
          <rPr>
            <b/>
            <sz val="9"/>
            <color indexed="81"/>
            <rFont val="Segoe UI"/>
            <family val="2"/>
          </rPr>
          <t>Stürchler Matius:</t>
        </r>
        <r>
          <rPr>
            <sz val="9"/>
            <color indexed="81"/>
            <rFont val="Segoe UI"/>
            <family val="2"/>
          </rPr>
          <t xml:space="preserve">
Kaufmann et al. (2019) A Framework for Estimating the Burden of Chronic Diseases: Design and Application in the Context of Multiple Sclerosis.</t>
        </r>
      </text>
    </comment>
    <comment ref="N52"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53"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55" authorId="0" shapeId="0">
      <text>
        <r>
          <rPr>
            <b/>
            <sz val="9"/>
            <color indexed="81"/>
            <rFont val="Tahoma"/>
            <family val="2"/>
          </rPr>
          <t>Matius P. Stürchler:</t>
        </r>
        <r>
          <rPr>
            <sz val="9"/>
            <color indexed="81"/>
            <rFont val="Tahoma"/>
            <family val="2"/>
          </rPr>
          <t xml:space="preserve">
https://www.headache.ch/migraene</t>
        </r>
      </text>
    </comment>
    <comment ref="N57" authorId="1" shapeId="0">
      <text>
        <r>
          <rPr>
            <b/>
            <sz val="9"/>
            <color indexed="81"/>
            <rFont val="Segoe UI"/>
            <family val="2"/>
          </rPr>
          <t>Burkhard Patrick:</t>
        </r>
        <r>
          <rPr>
            <sz val="9"/>
            <color indexed="81"/>
            <rFont val="Segoe UI"/>
            <family val="2"/>
          </rPr>
          <t xml:space="preserve">
1/30000 Lebendgeburten
https://de.m.wikipedia.org/wiki/Neuronale_Ceroid-Lipofuszinose</t>
        </r>
      </text>
    </comment>
    <comment ref="N58" authorId="1" shapeId="0">
      <text>
        <r>
          <rPr>
            <b/>
            <sz val="9"/>
            <color indexed="81"/>
            <rFont val="Segoe UI"/>
            <family val="2"/>
          </rPr>
          <t>Burkhard Patrick:</t>
        </r>
        <r>
          <rPr>
            <sz val="9"/>
            <color indexed="81"/>
            <rFont val="Segoe UI"/>
            <family val="2"/>
          </rPr>
          <t xml:space="preserve">
https://www.beobachter.ch/gesundheit/krankheit/phenylketonurie-pku</t>
        </r>
      </text>
    </comment>
    <comment ref="N59" authorId="0" shapeId="0">
      <text>
        <r>
          <rPr>
            <b/>
            <sz val="9"/>
            <color indexed="81"/>
            <rFont val="Tahoma"/>
            <family val="2"/>
          </rPr>
          <t>Matius P. Stürchler:</t>
        </r>
        <r>
          <rPr>
            <sz val="9"/>
            <color indexed="81"/>
            <rFont val="Tahoma"/>
            <family val="2"/>
          </rPr>
          <t xml:space="preserve">
https://www.onkopedia.com/de/onkopedia/guidelines/gastrointestinale-stromatumoren-gist/@@guideline/html/index.html</t>
        </r>
      </text>
    </comment>
    <comment ref="N60" authorId="1" shapeId="0">
      <text>
        <r>
          <rPr>
            <b/>
            <sz val="9"/>
            <color indexed="81"/>
            <rFont val="Segoe UI"/>
            <family val="2"/>
          </rPr>
          <t>Burkhard Patrick:</t>
        </r>
        <r>
          <rPr>
            <sz val="9"/>
            <color indexed="81"/>
            <rFont val="Segoe UI"/>
            <family val="2"/>
          </rPr>
          <t xml:space="preserve">
https://flexikon.doccheck.com/de/Nicht-kleinzelliges_Bronchialkarzinom</t>
        </r>
      </text>
    </comment>
    <comment ref="N62" authorId="3" shapeId="0">
      <text>
        <r>
          <rPr>
            <b/>
            <sz val="9"/>
            <color indexed="81"/>
            <rFont val="Segoe UI"/>
            <family val="2"/>
          </rPr>
          <t>Githui Moses:</t>
        </r>
        <r>
          <rPr>
            <sz val="9"/>
            <color indexed="81"/>
            <rFont val="Segoe UI"/>
            <family val="2"/>
          </rPr>
          <t xml:space="preserve">
1 in 200000 births. In der Schweiz sind ca. 85000 Geburten pro Jahr
</t>
        </r>
      </text>
    </comment>
    <comment ref="N66" authorId="1" shapeId="0">
      <text>
        <r>
          <rPr>
            <b/>
            <sz val="9"/>
            <color indexed="81"/>
            <rFont val="Segoe UI"/>
            <family val="2"/>
          </rPr>
          <t>Burkhard Patrick:</t>
        </r>
        <r>
          <rPr>
            <sz val="9"/>
            <color indexed="81"/>
            <rFont val="Segoe UI"/>
            <family val="2"/>
          </rPr>
          <t xml:space="preserve">
https://www.lung-cancer.com/squamous-cell.html
https://en.wikipedia.org/wiki/Head_and_neck_cancer#Epidemiology</t>
        </r>
      </text>
    </comment>
    <comment ref="N68" authorId="1" shapeId="0">
      <text>
        <r>
          <rPr>
            <b/>
            <sz val="9"/>
            <color indexed="81"/>
            <rFont val="Segoe UI"/>
            <family val="2"/>
          </rPr>
          <t>Burkhard Patrick:</t>
        </r>
        <r>
          <rPr>
            <sz val="9"/>
            <color indexed="81"/>
            <rFont val="Segoe UI"/>
            <family val="2"/>
          </rPr>
          <t xml:space="preserve">
https://www.krebsliga.ch/ueber-krebs/zahlen-fakten/</t>
        </r>
      </text>
    </comment>
    <comment ref="N71" authorId="1" shapeId="0">
      <text>
        <r>
          <rPr>
            <b/>
            <sz val="9"/>
            <color indexed="81"/>
            <rFont val="Segoe UI"/>
            <family val="2"/>
          </rPr>
          <t>Burkhard Patrick:</t>
        </r>
        <r>
          <rPr>
            <sz val="9"/>
            <color indexed="81"/>
            <rFont val="Segoe UI"/>
            <family val="2"/>
          </rPr>
          <t xml:space="preserve">
https://cf1f168c-09e8-45b2-b54b-20b9a6e57f66.filesusr.com/ugd/29e31e_037d2618f05d40998b7a51e8db5aa418.pdf</t>
        </r>
      </text>
    </comment>
    <comment ref="N72" authorId="0" shapeId="0">
      <text>
        <r>
          <rPr>
            <b/>
            <sz val="9"/>
            <color indexed="81"/>
            <rFont val="Tahoma"/>
            <family val="2"/>
          </rPr>
          <t>Matius P. Stürchler:</t>
        </r>
        <r>
          <rPr>
            <sz val="9"/>
            <color indexed="81"/>
            <rFont val="Tahoma"/>
            <family val="2"/>
          </rPr>
          <t xml:space="preserve">
https://www.onkopedia.com/de/onkopedia/guidelines/beta-thalassaemie/@@guideline/html/index.html</t>
        </r>
      </text>
    </comment>
    <comment ref="N73" authorId="2" shapeId="0">
      <text>
        <r>
          <rPr>
            <b/>
            <sz val="9"/>
            <color indexed="81"/>
            <rFont val="Segoe UI"/>
            <family val="2"/>
          </rPr>
          <t>Stürchler Matius:</t>
        </r>
        <r>
          <rPr>
            <sz val="9"/>
            <color indexed="81"/>
            <rFont val="Segoe UI"/>
            <family val="2"/>
          </rPr>
          <t xml:space="preserve">
Kaufmann et al. (2019) A Framework for Estimating the Burden of Chronic Diseases: Design and Application in the Context of Multiple Sclerosis.</t>
        </r>
      </text>
    </comment>
    <comment ref="N74"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
1.5/100'000</t>
        </r>
      </text>
    </comment>
    <comment ref="N75" authorId="1"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76" authorId="0" shapeId="0">
      <text>
        <r>
          <rPr>
            <b/>
            <sz val="9"/>
            <color indexed="81"/>
            <rFont val="Tahoma"/>
            <family val="2"/>
          </rPr>
          <t>Matius P. Stürchler:</t>
        </r>
        <r>
          <rPr>
            <sz val="9"/>
            <color indexed="81"/>
            <rFont val="Tahoma"/>
            <family val="2"/>
          </rPr>
          <t xml:space="preserve">
https://medicalforum.ch/article/doi/smf.2017.02891</t>
        </r>
      </text>
    </comment>
    <comment ref="N77" authorId="1" shapeId="0">
      <text>
        <r>
          <rPr>
            <b/>
            <sz val="9"/>
            <color indexed="81"/>
            <rFont val="Segoe UI"/>
            <family val="2"/>
          </rPr>
          <t>Burkhard Patrick:</t>
        </r>
        <r>
          <rPr>
            <sz val="9"/>
            <color indexed="81"/>
            <rFont val="Segoe UI"/>
            <family val="2"/>
          </rPr>
          <t xml:space="preserve">
https://flexikon.doccheck.com/de/Cystinose</t>
        </r>
      </text>
    </comment>
    <comment ref="N79" authorId="1" shapeId="0">
      <text>
        <r>
          <rPr>
            <b/>
            <sz val="9"/>
            <color indexed="81"/>
            <rFont val="Segoe UI"/>
            <family val="2"/>
          </rPr>
          <t>Burkhard Patrick:</t>
        </r>
        <r>
          <rPr>
            <sz val="9"/>
            <color indexed="81"/>
            <rFont val="Segoe UI"/>
            <family val="2"/>
          </rPr>
          <t xml:space="preserve">
https://www.rheumaliga.ch/rheuma-von-a-z/sklerodermie</t>
        </r>
      </text>
    </comment>
    <comment ref="N80" authorId="0" shapeId="0">
      <text>
        <r>
          <rPr>
            <b/>
            <sz val="9"/>
            <color indexed="81"/>
            <rFont val="Tahoma"/>
            <family val="2"/>
          </rPr>
          <t>Matius P. Stürchler:</t>
        </r>
        <r>
          <rPr>
            <sz val="9"/>
            <color indexed="81"/>
            <rFont val="Tahoma"/>
            <family val="2"/>
          </rPr>
          <t xml:space="preserve">
https://www.netdoktor.ch/krankheit/formen-der-immunthrombozytopenie-5572</t>
        </r>
      </text>
    </comment>
    <comment ref="N81" authorId="0" shapeId="0">
      <text>
        <r>
          <rPr>
            <b/>
            <sz val="9"/>
            <color indexed="81"/>
            <rFont val="Tahoma"/>
            <family val="2"/>
          </rPr>
          <t>Matius P. Stürchler:</t>
        </r>
        <r>
          <rPr>
            <sz val="9"/>
            <color indexed="81"/>
            <rFont val="Tahoma"/>
            <family val="2"/>
          </rPr>
          <t xml:space="preserve">
https://de.wikipedia.org/wiki/Tyrosin%C3%A4mie_Typ_I</t>
        </r>
      </text>
    </comment>
    <comment ref="N82" authorId="1" shapeId="0">
      <text>
        <r>
          <rPr>
            <b/>
            <sz val="9"/>
            <color indexed="81"/>
            <rFont val="Segoe UI"/>
            <family val="2"/>
          </rPr>
          <t>Burkhard Patrick:</t>
        </r>
        <r>
          <rPr>
            <sz val="9"/>
            <color indexed="81"/>
            <rFont val="Segoe UI"/>
            <family val="2"/>
          </rPr>
          <t xml:space="preserve">
https://flexikon.doccheck.com/de/Prim%C3%A4r_bili%C3%A4re_Cholangitis
https://www.tellmed.ch/tellmed/Fachliteratur/Medizin_Spektrum/25_Nicht_alkoholische_Steatohepatitis_NASH_und_nicht_alkoholische_Fettleber.php</t>
        </r>
      </text>
    </comment>
    <comment ref="N85" authorId="1" shapeId="0">
      <text>
        <r>
          <rPr>
            <b/>
            <sz val="9"/>
            <color indexed="81"/>
            <rFont val="Segoe UI"/>
            <family val="2"/>
          </rPr>
          <t>Burkhard Patrick:</t>
        </r>
        <r>
          <rPr>
            <sz val="9"/>
            <color indexed="81"/>
            <rFont val="Segoe UI"/>
            <family val="2"/>
          </rPr>
          <t xml:space="preserve">
https://orthinform.de/lexikon/tendosynovialer-riesenzelltumor</t>
        </r>
      </text>
    </comment>
    <comment ref="N86"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t>
        </r>
      </text>
    </comment>
    <comment ref="N88" authorId="0" shapeId="0">
      <text>
        <r>
          <rPr>
            <b/>
            <sz val="9"/>
            <color indexed="81"/>
            <rFont val="Tahoma"/>
            <family val="2"/>
          </rPr>
          <t>Matius P. Stürchler:</t>
        </r>
        <r>
          <rPr>
            <sz val="9"/>
            <color indexed="81"/>
            <rFont val="Tahoma"/>
            <family val="2"/>
          </rPr>
          <t xml:space="preserve">
https://www.aha.ch/allergiezentrum-schweiz/info-zu-allergien/ekzem-hautreaktion/neurodermitis-atopische-dermatitis-ekzem/?oid=1579&amp;lang=de</t>
        </r>
      </text>
    </comment>
    <comment ref="N89" authorId="1" shapeId="0">
      <text>
        <r>
          <rPr>
            <b/>
            <sz val="9"/>
            <color indexed="81"/>
            <rFont val="Segoe UI"/>
            <family val="2"/>
          </rPr>
          <t>Burkhard Patrick:</t>
        </r>
        <r>
          <rPr>
            <sz val="9"/>
            <color indexed="81"/>
            <rFont val="Segoe UI"/>
            <family val="2"/>
          </rPr>
          <t xml:space="preserve">
https://de.wikipedia.org/wiki/Neurotrophe_Keratopathie</t>
        </r>
      </text>
    </comment>
    <comment ref="N90" authorId="0" shapeId="0">
      <text>
        <r>
          <rPr>
            <b/>
            <sz val="9"/>
            <color indexed="81"/>
            <rFont val="Tahoma"/>
            <family val="2"/>
          </rPr>
          <t>Matius P. Stürchler:</t>
        </r>
        <r>
          <rPr>
            <sz val="9"/>
            <color indexed="81"/>
            <rFont val="Tahoma"/>
            <family val="2"/>
          </rPr>
          <t xml:space="preserve">
https://www.orpha.net/consor/cgi-bin/Disease_Search.php?lng=DE&amp;data_id=106&amp;Disease_Disease_Search_diseaseGroup=ALS&amp;Disease_Disease_Search_diseaseType=Pat&amp;Krankheite(n)/Krankheitsgruppe=Amyotrophe-Lateralsklerose&amp;title=Amyotrophe Lateralsklerose&amp;search=Disease_Search_Simple</t>
        </r>
      </text>
    </comment>
    <comment ref="N92" authorId="1" shapeId="0">
      <text>
        <r>
          <rPr>
            <b/>
            <sz val="9"/>
            <color indexed="81"/>
            <rFont val="Segoe UI"/>
            <family val="2"/>
          </rPr>
          <t>Burkhard Patrick:</t>
        </r>
        <r>
          <rPr>
            <sz val="9"/>
            <color indexed="81"/>
            <rFont val="Segoe UI"/>
            <family val="2"/>
          </rPr>
          <t xml:space="preserve">
https://www.krebsliga.ch/ueber-krebs/krebsarten/schilddruesenkrebs/</t>
        </r>
      </text>
    </comment>
    <comment ref="N93" authorId="1" shapeId="0">
      <text>
        <r>
          <rPr>
            <b/>
            <sz val="9"/>
            <color indexed="81"/>
            <rFont val="Segoe UI"/>
            <family val="2"/>
          </rPr>
          <t>Burkhard Patrick:</t>
        </r>
        <r>
          <rPr>
            <sz val="9"/>
            <color indexed="81"/>
            <rFont val="Segoe UI"/>
            <family val="2"/>
          </rPr>
          <t xml:space="preserve">
https://www.cancer.net/cancer-types/breast-cancer-metastatic/statistics</t>
        </r>
      </text>
    </comment>
    <comment ref="N94" authorId="1" shapeId="0">
      <text>
        <r>
          <rPr>
            <b/>
            <sz val="9"/>
            <color indexed="81"/>
            <rFont val="Segoe UI"/>
            <family val="2"/>
          </rPr>
          <t>Burkhard Patrick:</t>
        </r>
        <r>
          <rPr>
            <sz val="9"/>
            <color indexed="81"/>
            <rFont val="Segoe UI"/>
            <family val="2"/>
          </rPr>
          <t xml:space="preserve">
https://www.krebsliga.ch/ueber-krebs/zahlen-fakten/</t>
        </r>
      </text>
    </comment>
    <comment ref="N95" authorId="0" shapeId="0">
      <text>
        <r>
          <rPr>
            <b/>
            <sz val="9"/>
            <color indexed="81"/>
            <rFont val="Tahoma"/>
            <family val="2"/>
          </rPr>
          <t>Matius P. Stürchler:</t>
        </r>
        <r>
          <rPr>
            <sz val="9"/>
            <color indexed="81"/>
            <rFont val="Tahoma"/>
            <family val="2"/>
          </rPr>
          <t xml:space="preserve">
https://www.beobachter.ch/gesundheit/krankheit/migrane</t>
        </r>
      </text>
    </comment>
    <comment ref="N97" authorId="1" shapeId="0">
      <text>
        <r>
          <rPr>
            <b/>
            <sz val="9"/>
            <color indexed="81"/>
            <rFont val="Segoe UI"/>
            <family val="2"/>
          </rPr>
          <t>Burkhard Patrick:</t>
        </r>
        <r>
          <rPr>
            <sz val="9"/>
            <color indexed="81"/>
            <rFont val="Segoe UI"/>
            <family val="2"/>
          </rPr>
          <t xml:space="preserve">
https://www.krebsliga.ch/ueber-krebs/zahlen-fakten/</t>
        </r>
      </text>
    </comment>
    <comment ref="N99" authorId="1" shapeId="0">
      <text>
        <r>
          <rPr>
            <b/>
            <sz val="9"/>
            <color indexed="81"/>
            <rFont val="Segoe UI"/>
            <family val="2"/>
          </rPr>
          <t>Burkhard Patrick:</t>
        </r>
        <r>
          <rPr>
            <sz val="9"/>
            <color indexed="81"/>
            <rFont val="Segoe UI"/>
            <family val="2"/>
          </rPr>
          <t xml:space="preserve">
https://bmccancer.biomedcentral.com/articles/10.1186/s12885-015-1146-8</t>
        </r>
      </text>
    </comment>
    <comment ref="N100" authorId="1" shapeId="0">
      <text>
        <r>
          <rPr>
            <b/>
            <sz val="9"/>
            <color indexed="81"/>
            <rFont val="Segoe UI"/>
            <family val="2"/>
          </rPr>
          <t>Burkhard Patrick:</t>
        </r>
        <r>
          <rPr>
            <sz val="9"/>
            <color indexed="81"/>
            <rFont val="Segoe UI"/>
            <family val="2"/>
          </rPr>
          <t xml:space="preserve">
https://www.news.uzh.ch/de/articles/2017/sichelzellanaemie.html</t>
        </r>
      </text>
    </comment>
    <comment ref="N101" authorId="1" shapeId="0">
      <text>
        <r>
          <rPr>
            <b/>
            <sz val="9"/>
            <color indexed="81"/>
            <rFont val="Segoe UI"/>
            <family val="2"/>
          </rPr>
          <t>Burkhard Patrick:</t>
        </r>
        <r>
          <rPr>
            <sz val="9"/>
            <color indexed="81"/>
            <rFont val="Segoe UI"/>
            <family val="2"/>
          </rPr>
          <t xml:space="preserve">
https://www.sarkom-schweiz.ch/index.php/de/diagnose-sarkom</t>
        </r>
      </text>
    </comment>
    <comment ref="N102" authorId="1" shapeId="0">
      <text>
        <r>
          <rPr>
            <b/>
            <sz val="9"/>
            <color indexed="81"/>
            <rFont val="Segoe UI"/>
            <family val="2"/>
          </rPr>
          <t>Burkhard Patrick:</t>
        </r>
        <r>
          <rPr>
            <sz val="9"/>
            <color indexed="81"/>
            <rFont val="Segoe UI"/>
            <family val="2"/>
          </rPr>
          <t xml:space="preserve">
https://www.springermedizin.de/emedpedia/kinderchirurgie/neuroblastom-und-andere-nebennierentumoren-bei-kindern-und-jugendlichen?epediaDoi=10.1007%2F978-3-662-53390-1_84</t>
        </r>
      </text>
    </comment>
    <comment ref="N103" authorId="1" shapeId="0">
      <text>
        <r>
          <rPr>
            <b/>
            <sz val="9"/>
            <color indexed="81"/>
            <rFont val="Segoe UI"/>
            <family val="2"/>
          </rPr>
          <t>Burkhard Patrick:</t>
        </r>
        <r>
          <rPr>
            <sz val="9"/>
            <color indexed="81"/>
            <rFont val="Segoe UI"/>
            <family val="2"/>
          </rPr>
          <t xml:space="preserve">
https://www.krebsliga.ch/ueber-krebs/krebsarten/nierenkrebs-nierenzellkarzinom/</t>
        </r>
      </text>
    </comment>
    <comment ref="N105" authorId="0" shapeId="0">
      <text>
        <r>
          <rPr>
            <b/>
            <sz val="9"/>
            <color indexed="81"/>
            <rFont val="Tahoma"/>
            <family val="2"/>
          </rPr>
          <t>Matius P. Stürchler:</t>
        </r>
        <r>
          <rPr>
            <sz val="9"/>
            <color indexed="81"/>
            <rFont val="Tahoma"/>
            <family val="2"/>
          </rPr>
          <t xml:space="preserve">
https://de.wikipedia.org/wiki/Idiopathische_Lungenfibrose</t>
        </r>
      </text>
    </comment>
    <comment ref="N106" authorId="0" shapeId="0">
      <text>
        <r>
          <rPr>
            <b/>
            <sz val="9"/>
            <color indexed="81"/>
            <rFont val="Tahoma"/>
            <family val="2"/>
          </rPr>
          <t>Matius P. Stürchler:</t>
        </r>
        <r>
          <rPr>
            <sz val="9"/>
            <color indexed="81"/>
            <rFont val="Tahoma"/>
            <family val="2"/>
          </rPr>
          <t xml:space="preserve">
https://www.aha.ch/allergiezentrum-schweiz/info-zu-allergien/ekzem-hautreaktion/neurodermitis-atopische-dermatitis-ekzem/?oid=1579&amp;lang=de</t>
        </r>
      </text>
    </comment>
    <comment ref="N107"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112" authorId="0" shapeId="0">
      <text>
        <r>
          <rPr>
            <b/>
            <sz val="9"/>
            <color indexed="81"/>
            <rFont val="Tahoma"/>
            <family val="2"/>
          </rPr>
          <t>Matius P. Stürchler:</t>
        </r>
        <r>
          <rPr>
            <sz val="9"/>
            <color indexed="81"/>
            <rFont val="Tahoma"/>
            <family val="2"/>
          </rPr>
          <t xml:space="preserve">
Cancer prevalence in Switzerland 2010 - 2025: estimated proportion of prevalent subjects </t>
        </r>
      </text>
    </comment>
    <comment ref="N113" authorId="1" shapeId="0">
      <text>
        <r>
          <rPr>
            <b/>
            <sz val="9"/>
            <color indexed="81"/>
            <rFont val="Segoe UI"/>
            <family val="2"/>
          </rPr>
          <t>Burkhard Patrick:</t>
        </r>
        <r>
          <rPr>
            <sz val="9"/>
            <color indexed="81"/>
            <rFont val="Segoe UI"/>
            <family val="2"/>
          </rPr>
          <t xml:space="preserve">
Unsicher:
https://www.ncbi.nlm.nih.gov/pmc/articles/PMC3541037/
</t>
        </r>
      </text>
    </comment>
    <comment ref="N114"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120" authorId="1" shapeId="0">
      <text>
        <r>
          <rPr>
            <b/>
            <sz val="9"/>
            <color indexed="81"/>
            <rFont val="Segoe UI"/>
            <family val="2"/>
          </rPr>
          <t>Burkhard Patrick:</t>
        </r>
        <r>
          <rPr>
            <sz val="9"/>
            <color indexed="81"/>
            <rFont val="Segoe UI"/>
            <family val="2"/>
          </rPr>
          <t xml:space="preserve">
https://www.diseasemaps.org/lennox-gastaut-syndrome/top-questions/prevalence/</t>
        </r>
      </text>
    </comment>
    <comment ref="N121" authorId="0" shapeId="0">
      <text>
        <r>
          <rPr>
            <b/>
            <sz val="9"/>
            <color indexed="81"/>
            <rFont val="Tahoma"/>
            <family val="2"/>
          </rPr>
          <t>Matius P. Stürchler:</t>
        </r>
        <r>
          <rPr>
            <sz val="9"/>
            <color indexed="81"/>
            <rFont val="Tahoma"/>
            <family val="2"/>
          </rPr>
          <t xml:space="preserve">
Renner, C. &amp; Tinguely, M. Maligne Lymphome: Diagnostik und Therapie. Schweiz Med Forum 14, 862–866 (2014).
1 Cozzio, A. Kutane T-Zell Lymphome. Medizin Forum, 30-33 (2016).</t>
        </r>
      </text>
    </comment>
    <comment ref="N124" authorId="1" shapeId="0">
      <text>
        <r>
          <rPr>
            <b/>
            <sz val="9"/>
            <color indexed="81"/>
            <rFont val="Segoe UI"/>
            <family val="2"/>
          </rPr>
          <t>Burkhard Patrick:</t>
        </r>
        <r>
          <rPr>
            <sz val="9"/>
            <color indexed="81"/>
            <rFont val="Segoe UI"/>
            <family val="2"/>
          </rPr>
          <t xml:space="preserve">
https://medicalforum.ch/article/doi/smf.2018.03451/
https://www.swissheart.ch/herzkrankheiten-hirnschlag/risikofaktoren/blutdruck.html</t>
        </r>
      </text>
    </comment>
    <comment ref="N125" authorId="0" shapeId="0">
      <text>
        <r>
          <rPr>
            <b/>
            <sz val="9"/>
            <color indexed="81"/>
            <rFont val="Tahoma"/>
            <family val="2"/>
          </rPr>
          <t>Matius P. Stürchler:</t>
        </r>
        <r>
          <rPr>
            <sz val="9"/>
            <color indexed="81"/>
            <rFont val="Tahoma"/>
            <family val="2"/>
          </rPr>
          <t xml:space="preserve">
https://de.wikipedia.org/wiki/Morbus_Fabry</t>
        </r>
      </text>
    </comment>
    <comment ref="N127" authorId="1" shapeId="0">
      <text>
        <r>
          <rPr>
            <b/>
            <sz val="9"/>
            <color indexed="81"/>
            <rFont val="Segoe UI"/>
            <family val="2"/>
          </rPr>
          <t>Burkhard Patrick:</t>
        </r>
        <r>
          <rPr>
            <sz val="9"/>
            <color indexed="81"/>
            <rFont val="Segoe UI"/>
            <family val="2"/>
          </rPr>
          <t xml:space="preserve">
https://www.krebsliga.ch/ueber-krebs/zahlen-fakten/</t>
        </r>
      </text>
    </comment>
    <comment ref="N128" authorId="1" shapeId="0">
      <text>
        <r>
          <rPr>
            <b/>
            <sz val="9"/>
            <color indexed="81"/>
            <rFont val="Segoe UI"/>
            <family val="2"/>
          </rPr>
          <t>Burkhard Patrick:</t>
        </r>
        <r>
          <rPr>
            <sz val="9"/>
            <color indexed="81"/>
            <rFont val="Segoe UI"/>
            <family val="2"/>
          </rPr>
          <t xml:space="preserve">
https://www.krebsliga.ch/ueber-krebs/zahlen-fakten/</t>
        </r>
      </text>
    </comment>
    <comment ref="N130" authorId="3" shapeId="0">
      <text>
        <r>
          <rPr>
            <b/>
            <sz val="9"/>
            <color indexed="81"/>
            <rFont val="Segoe UI"/>
            <family val="2"/>
          </rPr>
          <t>Githui Moses:</t>
        </r>
        <r>
          <rPr>
            <sz val="9"/>
            <color indexed="81"/>
            <rFont val="Segoe UI"/>
            <family val="2"/>
          </rPr>
          <t xml:space="preserve">
7-8 Fälle pro 100000</t>
        </r>
      </text>
    </comment>
    <comment ref="N131" authorId="1" shapeId="0">
      <text>
        <r>
          <rPr>
            <b/>
            <sz val="9"/>
            <color indexed="81"/>
            <rFont val="Segoe UI"/>
            <family val="2"/>
          </rPr>
          <t>Burkhard Patrick:</t>
        </r>
        <r>
          <rPr>
            <sz val="9"/>
            <color indexed="81"/>
            <rFont val="Segoe UI"/>
            <family val="2"/>
          </rPr>
          <t xml:space="preserve">
https://www.krebsliga.ch/ueber-krebs/zahlen-fakten/</t>
        </r>
      </text>
    </comment>
    <comment ref="N133" authorId="0" shapeId="0">
      <text>
        <r>
          <rPr>
            <b/>
            <sz val="9"/>
            <color indexed="81"/>
            <rFont val="Tahoma"/>
            <family val="2"/>
          </rPr>
          <t>https://www.orpha.net/consor/cgi-bin/OC_Exp.php?Lng=DE&amp;Expert=39812</t>
        </r>
      </text>
    </comment>
    <comment ref="N135" authorId="0" shapeId="0">
      <text>
        <r>
          <rPr>
            <b/>
            <sz val="9"/>
            <color indexed="81"/>
            <rFont val="Tahoma"/>
            <family val="2"/>
          </rPr>
          <t>Matius P. Stürchler:</t>
        </r>
        <r>
          <rPr>
            <sz val="9"/>
            <color indexed="81"/>
            <rFont val="Tahoma"/>
            <family val="2"/>
          </rPr>
          <t xml:space="preserve">
https://www.pharmazeutische-zeitung.de/eine-seltene-erkrankung-zwei-neue-orphan-drugs/</t>
        </r>
      </text>
    </comment>
    <comment ref="N136" authorId="0" shapeId="0">
      <text>
        <r>
          <rPr>
            <b/>
            <sz val="9"/>
            <color indexed="81"/>
            <rFont val="Tahoma"/>
            <family val="2"/>
          </rPr>
          <t>Matius P. Stürchler:</t>
        </r>
        <r>
          <rPr>
            <sz val="9"/>
            <color indexed="81"/>
            <rFont val="Tahoma"/>
            <family val="2"/>
          </rPr>
          <t xml:space="preserve">
https://www.orpha.net/consor/cgi-bin/OC_Exp.php?Expert=79084&amp;lng=DE</t>
        </r>
      </text>
    </comment>
    <comment ref="N139" authorId="1" shapeId="0">
      <text>
        <r>
          <rPr>
            <b/>
            <sz val="9"/>
            <color indexed="81"/>
            <rFont val="Segoe UI"/>
            <family val="2"/>
          </rPr>
          <t>Burkhard Patrick:</t>
        </r>
        <r>
          <rPr>
            <sz val="9"/>
            <color indexed="81"/>
            <rFont val="Segoe UI"/>
            <family val="2"/>
          </rPr>
          <t xml:space="preserve">
https://www.ksa.ch/sites/default/files/cms/edm/pocketguide/appendix/22_net_patientenbroschuere_d.pdf</t>
        </r>
      </text>
    </comment>
    <comment ref="N140" authorId="0" shapeId="0">
      <text>
        <r>
          <rPr>
            <b/>
            <sz val="9"/>
            <color indexed="81"/>
            <rFont val="Tahoma"/>
            <family val="2"/>
          </rPr>
          <t>Matius P. Stürchler:</t>
        </r>
        <r>
          <rPr>
            <sz val="9"/>
            <color indexed="81"/>
            <rFont val="Tahoma"/>
            <family val="2"/>
          </rPr>
          <t xml:space="preserve">
https://www.beobachter.ch/gesundheit/krankheit/karzinoid-neuroendokriner-tumor</t>
        </r>
      </text>
    </comment>
    <comment ref="N146" authorId="1" shapeId="0">
      <text>
        <r>
          <rPr>
            <b/>
            <sz val="9"/>
            <color indexed="81"/>
            <rFont val="Segoe UI"/>
            <family val="2"/>
          </rPr>
          <t>Burkhard Patrick:</t>
        </r>
        <r>
          <rPr>
            <sz val="9"/>
            <color indexed="81"/>
            <rFont val="Segoe UI"/>
            <family val="2"/>
          </rPr>
          <t xml:space="preserve">
https://www.krebsliga.ch/ueber-krebs/krebsarten/prostatakrebs/</t>
        </r>
      </text>
    </comment>
    <comment ref="N148" authorId="1"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149" authorId="0" shapeId="0">
      <text>
        <r>
          <rPr>
            <b/>
            <sz val="9"/>
            <color indexed="81"/>
            <rFont val="Tahoma"/>
            <family val="2"/>
          </rPr>
          <t>Matius P. Stürchler:</t>
        </r>
        <r>
          <rPr>
            <sz val="9"/>
            <color indexed="81"/>
            <rFont val="Tahoma"/>
            <family val="2"/>
          </rPr>
          <t xml:space="preserve">
Renner, C. &amp; Tinguely, M. Maligne Lymphome: Diagnostik und Therapie. Schweiz Med Forum 14, 862–866 (2014).
1 Cozzio, A. Kutane T-Zell Lymphome. Medizin Forum, 30-33 (2016).</t>
        </r>
      </text>
    </comment>
    <comment ref="N151" authorId="1" shapeId="0">
      <text>
        <r>
          <rPr>
            <b/>
            <sz val="9"/>
            <color indexed="81"/>
            <rFont val="Segoe UI"/>
            <family val="2"/>
          </rPr>
          <t>Burkhard Patrick:</t>
        </r>
        <r>
          <rPr>
            <sz val="9"/>
            <color indexed="81"/>
            <rFont val="Segoe UI"/>
            <family val="2"/>
          </rPr>
          <t xml:space="preserve">
https://www.beobachter.ch/gesundheit/krankheit/schuppenflechte-psoriasis</t>
        </r>
      </text>
    </comment>
    <comment ref="N152" authorId="1" shapeId="0">
      <text>
        <r>
          <rPr>
            <b/>
            <sz val="9"/>
            <color indexed="81"/>
            <rFont val="Segoe UI"/>
            <family val="2"/>
          </rPr>
          <t>Burkhard Patrick:</t>
        </r>
        <r>
          <rPr>
            <sz val="9"/>
            <color indexed="81"/>
            <rFont val="Segoe UI"/>
            <family val="2"/>
          </rPr>
          <t xml:space="preserve">
https://www.parkinson.ch/</t>
        </r>
      </text>
    </comment>
    <comment ref="N153" authorId="0" shapeId="0">
      <text>
        <r>
          <rPr>
            <b/>
            <sz val="9"/>
            <color indexed="81"/>
            <rFont val="Tahoma"/>
            <family val="2"/>
          </rPr>
          <t>Matius P. Stürchler:</t>
        </r>
        <r>
          <rPr>
            <sz val="9"/>
            <color indexed="81"/>
            <rFont val="Tahoma"/>
            <family val="2"/>
          </rPr>
          <t xml:space="preserve">
https://www.headache.ch/migraene</t>
        </r>
      </text>
    </comment>
    <comment ref="N155" authorId="2" shapeId="0">
      <text>
        <r>
          <rPr>
            <b/>
            <sz val="9"/>
            <color indexed="81"/>
            <rFont val="Segoe UI"/>
            <family val="2"/>
          </rPr>
          <t>Stürchler Matius:</t>
        </r>
        <r>
          <rPr>
            <sz val="9"/>
            <color indexed="81"/>
            <rFont val="Segoe UI"/>
            <family val="2"/>
          </rPr>
          <t xml:space="preserve">
Kaufmann et al. (2019) A Framework for Estimating the Burden of Chronic Diseases: Design and Application in the Context of Multiple Sclerosis.</t>
        </r>
      </text>
    </comment>
    <comment ref="N157"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
1.5/100'000</t>
        </r>
      </text>
    </comment>
    <comment ref="N158" authorId="0" shapeId="0">
      <text>
        <r>
          <rPr>
            <b/>
            <sz val="9"/>
            <color indexed="81"/>
            <rFont val="Tahoma"/>
            <family val="2"/>
          </rPr>
          <t>Matius P. Stürchler:</t>
        </r>
        <r>
          <rPr>
            <sz val="9"/>
            <color indexed="81"/>
            <rFont val="Tahoma"/>
            <family val="2"/>
          </rPr>
          <t xml:space="preserve">
https://www.orpha.net/consor/cgi-bin/Disease_Search.php?lng=DE&amp;data_id=106&amp;Disease_Disease_Search_diseaseGroup=ALS&amp;Disease_Disease_Search_diseaseType=Pat&amp;Krankheite(n)/Krankheitsgruppe=Amyotrophe-Lateralsklerose&amp;title=Amyotrophe Lateralsklerose&amp;search=Disease_Search_Simple</t>
        </r>
      </text>
    </comment>
    <comment ref="Z162" authorId="3" shapeId="0">
      <text>
        <r>
          <rPr>
            <b/>
            <sz val="9"/>
            <color indexed="81"/>
            <rFont val="Segoe UI"/>
            <family val="2"/>
          </rPr>
          <t>Githui Moses:</t>
        </r>
        <r>
          <rPr>
            <sz val="9"/>
            <color indexed="81"/>
            <rFont val="Segoe UI"/>
            <family val="2"/>
          </rPr>
          <t xml:space="preserve">
Circa 30 Packungen im 1. Jahr</t>
        </r>
      </text>
    </comment>
    <comment ref="N165" authorId="0" shapeId="0">
      <text>
        <r>
          <rPr>
            <b/>
            <sz val="9"/>
            <color indexed="81"/>
            <rFont val="Tahoma"/>
            <family val="2"/>
          </rPr>
          <t>Matius P. Stürchler:</t>
        </r>
        <r>
          <rPr>
            <sz val="9"/>
            <color indexed="81"/>
            <rFont val="Tahoma"/>
            <family val="2"/>
          </rPr>
          <t xml:space="preserve">
https://de.wikipedia.org/wiki/Makuladegeneration
Altersabhängige Makuladegeneration:
Häufigste Ursache für Blindheit in Mitteleuropa
https://www.beobachter.ch/gesundheit/krankheit/altersbedingte-makuladegeneration-altersabhangige-makuladegeneration-amd</t>
        </r>
      </text>
    </comment>
    <comment ref="N166" authorId="1" shapeId="0">
      <text>
        <r>
          <rPr>
            <b/>
            <sz val="9"/>
            <color indexed="81"/>
            <rFont val="Segoe UI"/>
            <family val="2"/>
          </rPr>
          <t>Burkhard Patrick:</t>
        </r>
        <r>
          <rPr>
            <sz val="9"/>
            <color indexed="81"/>
            <rFont val="Segoe UI"/>
            <family val="2"/>
          </rPr>
          <t xml:space="preserve">
https://www.news.uzh.ch/de/articles/2017/sichelzellanaemie.html</t>
        </r>
      </text>
    </comment>
    <comment ref="N167" authorId="2" shapeId="0">
      <text>
        <r>
          <rPr>
            <b/>
            <sz val="9"/>
            <color indexed="81"/>
            <rFont val="Segoe UI"/>
            <family val="2"/>
          </rPr>
          <t>Stürchler Matius:</t>
        </r>
        <r>
          <rPr>
            <sz val="9"/>
            <color indexed="81"/>
            <rFont val="Segoe UI"/>
            <family val="2"/>
          </rPr>
          <t xml:space="preserve">
Kaufmann et al. (2019) A Framework for Estimating the Burden of Chronic Diseases: Design and Application in the Context of Multiple Sclerosis.</t>
        </r>
      </text>
    </comment>
    <comment ref="N168" authorId="2" shapeId="0">
      <text>
        <r>
          <rPr>
            <b/>
            <sz val="9"/>
            <color indexed="81"/>
            <rFont val="Segoe UI"/>
            <family val="2"/>
          </rPr>
          <t>Stürchler Matius:</t>
        </r>
        <r>
          <rPr>
            <sz val="9"/>
            <color indexed="81"/>
            <rFont val="Segoe UI"/>
            <family val="2"/>
          </rPr>
          <t xml:space="preserve">
Kaufmann et al. (2019) A Framework for Estimating the Burden of Chronic Diseases: Design and Application in the Context of Multiple Sclerosis.</t>
        </r>
      </text>
    </comment>
    <comment ref="N169" authorId="0" shapeId="0">
      <text>
        <r>
          <rPr>
            <b/>
            <sz val="9"/>
            <color indexed="81"/>
            <rFont val="Tahoma"/>
            <family val="2"/>
          </rPr>
          <t>Matius P. Stürchler:</t>
        </r>
        <r>
          <rPr>
            <sz val="9"/>
            <color indexed="81"/>
            <rFont val="Tahoma"/>
            <family val="2"/>
          </rPr>
          <t xml:space="preserve">
https://www.ncbi.nlm.nih.gov/pmc/articles/PMC6924325/</t>
        </r>
      </text>
    </comment>
    <comment ref="N170" authorId="0" shapeId="0">
      <text>
        <r>
          <rPr>
            <b/>
            <sz val="9"/>
            <color indexed="81"/>
            <rFont val="Tahoma"/>
            <family val="2"/>
          </rPr>
          <t>Matius P. Stürchler:</t>
        </r>
        <r>
          <rPr>
            <sz val="9"/>
            <color indexed="81"/>
            <rFont val="Tahoma"/>
            <family val="2"/>
          </rPr>
          <t xml:space="preserve">
https://www.novartis.co.uk/partnerships/patient-groups/chronic-spontaneous-urticaria-csu</t>
        </r>
      </text>
    </comment>
    <comment ref="N171" authorId="1" shapeId="0">
      <text>
        <r>
          <rPr>
            <b/>
            <sz val="9"/>
            <color indexed="81"/>
            <rFont val="Segoe UI"/>
            <family val="2"/>
          </rPr>
          <t>Burkhard Patrick:</t>
        </r>
        <r>
          <rPr>
            <sz val="9"/>
            <color indexed="81"/>
            <rFont val="Segoe UI"/>
            <family val="2"/>
          </rPr>
          <t xml:space="preserve">
https://www.krebsliga.ch/ueber-krebs/zahlen-fakten/</t>
        </r>
      </text>
    </comment>
    <comment ref="N172" authorId="0" shapeId="0">
      <text>
        <r>
          <rPr>
            <b/>
            <sz val="9"/>
            <color indexed="81"/>
            <rFont val="Tahoma"/>
            <family val="2"/>
          </rPr>
          <t>Matius P. Stürchler:</t>
        </r>
        <r>
          <rPr>
            <sz val="9"/>
            <color indexed="81"/>
            <rFont val="Tahoma"/>
            <family val="2"/>
          </rPr>
          <t xml:space="preserve">
https://de.wikipedia.org/wiki/Makuladegeneration
Altersabhängige Makuladegeneration:
Häufigste Ursache für Blindheit in Mitteleuropa
https://www.beobachter.ch/gesundheit/krankheit/altersbedingte-makuladegeneration-altersabhangige-makuladegeneration-amd</t>
        </r>
      </text>
    </comment>
    <comment ref="N174" authorId="0" shapeId="0">
      <text>
        <r>
          <rPr>
            <b/>
            <sz val="9"/>
            <color indexed="81"/>
            <rFont val="Tahoma"/>
            <family val="2"/>
          </rPr>
          <t>Matius P. Stürchler:</t>
        </r>
        <r>
          <rPr>
            <sz val="9"/>
            <color indexed="81"/>
            <rFont val="Tahoma"/>
            <family val="2"/>
          </rPr>
          <t xml:space="preserve">
https://shg.ch/de/haemophilie</t>
        </r>
      </text>
    </comment>
    <comment ref="N175" authorId="1" shapeId="0">
      <text>
        <r>
          <rPr>
            <b/>
            <sz val="9"/>
            <color indexed="81"/>
            <rFont val="Segoe UI"/>
            <family val="2"/>
          </rPr>
          <t>Burkhard Patrick:</t>
        </r>
        <r>
          <rPr>
            <sz val="9"/>
            <color indexed="81"/>
            <rFont val="Segoe UI"/>
            <family val="2"/>
          </rPr>
          <t xml:space="preserve">
https://www.news.uzh.ch/de/articles/2017/sichelzellanaemie.html</t>
        </r>
      </text>
    </comment>
    <comment ref="N176" authorId="0" shapeId="0">
      <text>
        <r>
          <rPr>
            <b/>
            <sz val="9"/>
            <color indexed="81"/>
            <rFont val="Tahoma"/>
            <family val="2"/>
          </rPr>
          <t>Matius P. Stürchler:</t>
        </r>
        <r>
          <rPr>
            <sz val="9"/>
            <color indexed="81"/>
            <rFont val="Tahoma"/>
            <family val="2"/>
          </rPr>
          <t xml:space="preserve">
https://shg.ch/de/haemophilie</t>
        </r>
      </text>
    </comment>
    <comment ref="N177" authorId="0" shapeId="0">
      <text>
        <r>
          <rPr>
            <b/>
            <sz val="9"/>
            <color indexed="81"/>
            <rFont val="Tahoma"/>
            <family val="2"/>
          </rPr>
          <t>Matius P. Stürchler:</t>
        </r>
        <r>
          <rPr>
            <sz val="9"/>
            <color indexed="81"/>
            <rFont val="Tahoma"/>
            <family val="2"/>
          </rPr>
          <t xml:space="preserve">
https://shg.ch/de/haemophilie</t>
        </r>
      </text>
    </comment>
    <comment ref="N180" authorId="1" shapeId="0">
      <text>
        <r>
          <rPr>
            <b/>
            <sz val="9"/>
            <color indexed="81"/>
            <rFont val="Segoe UI"/>
            <family val="2"/>
          </rPr>
          <t>Burkhard Patrick:</t>
        </r>
        <r>
          <rPr>
            <sz val="9"/>
            <color indexed="81"/>
            <rFont val="Segoe UI"/>
            <family val="2"/>
          </rPr>
          <t xml:space="preserve">
https://www.mds-switzerland.ch/patienteninformationen/was-ist-mds/</t>
        </r>
      </text>
    </comment>
    <comment ref="D181" authorId="3" shapeId="0">
      <text>
        <r>
          <rPr>
            <b/>
            <sz val="9"/>
            <color indexed="81"/>
            <rFont val="Segoe UI"/>
            <family val="2"/>
          </rPr>
          <t>Githui Moses:</t>
        </r>
        <r>
          <rPr>
            <sz val="9"/>
            <color indexed="81"/>
            <rFont val="Segoe UI"/>
            <family val="2"/>
          </rPr>
          <t xml:space="preserve">
vielleicht i.v.</t>
        </r>
      </text>
    </comment>
    <comment ref="N186" authorId="1" shapeId="0">
      <text>
        <r>
          <rPr>
            <b/>
            <sz val="9"/>
            <color indexed="81"/>
            <rFont val="Segoe UI"/>
            <family val="2"/>
          </rPr>
          <t>Burkhard Patrick:</t>
        </r>
        <r>
          <rPr>
            <sz val="9"/>
            <color indexed="81"/>
            <rFont val="Segoe UI"/>
            <family val="2"/>
          </rPr>
          <t xml:space="preserve">
https://flexikon.doccheck.com/de/Nicht-kleinzelliges_Bronchialkarzinom</t>
        </r>
      </text>
    </comment>
    <comment ref="N187" authorId="1" shapeId="0">
      <text>
        <r>
          <rPr>
            <b/>
            <sz val="9"/>
            <color indexed="81"/>
            <rFont val="Segoe UI"/>
            <family val="2"/>
          </rPr>
          <t>Burkhard Patrick:</t>
        </r>
        <r>
          <rPr>
            <sz val="9"/>
            <color indexed="81"/>
            <rFont val="Segoe UI"/>
            <family val="2"/>
          </rPr>
          <t xml:space="preserve">
https://www.krebsliga.ch/ueber-krebs/zahlen-fakten/</t>
        </r>
      </text>
    </comment>
    <comment ref="N188"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189" authorId="0" shapeId="0">
      <text>
        <r>
          <rPr>
            <b/>
            <sz val="9"/>
            <color indexed="81"/>
            <rFont val="Tahoma"/>
            <family val="2"/>
          </rPr>
          <t>Matius P. Stürchler:</t>
        </r>
        <r>
          <rPr>
            <sz val="9"/>
            <color indexed="81"/>
            <rFont val="Tahoma"/>
            <family val="2"/>
          </rPr>
          <t xml:space="preserve">
https://www.beobachter.ch/gesundheit/krankheit/morbus-gaucher-gaucher-syndrom</t>
        </r>
      </text>
    </comment>
    <comment ref="N190" authorId="0" shapeId="0">
      <text>
        <r>
          <rPr>
            <b/>
            <sz val="9"/>
            <color indexed="81"/>
            <rFont val="Tahoma"/>
            <family val="2"/>
          </rPr>
          <t>Matius P. Stürchler:</t>
        </r>
        <r>
          <rPr>
            <sz val="9"/>
            <color indexed="81"/>
            <rFont val="Tahoma"/>
            <family val="2"/>
          </rPr>
          <t xml:space="preserve">
Eine
bereits klinisch symptomatische Arthrose findet sich bei mehr als 8% der
Bevölkerung im Alter von 50-70 Jahren.
https://www.germanjournalsportsmedicine.com/fileadmin/content/archiv2003/heft06/Engelhardt.pdf</t>
        </r>
      </text>
    </comment>
    <comment ref="N192" authorId="1"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193" authorId="1" shapeId="0">
      <text>
        <r>
          <rPr>
            <b/>
            <sz val="9"/>
            <color indexed="81"/>
            <rFont val="Segoe UI"/>
            <family val="2"/>
          </rPr>
          <t>Burkhard Patrick:</t>
        </r>
        <r>
          <rPr>
            <sz val="9"/>
            <color indexed="81"/>
            <rFont val="Segoe UI"/>
            <family val="2"/>
          </rPr>
          <t xml:space="preserve">
https://www.krebsliga.ch/ueber-krebs/zahlen-fakten/</t>
        </r>
      </text>
    </comment>
    <comment ref="N194" authorId="0" shapeId="0">
      <text>
        <r>
          <rPr>
            <b/>
            <sz val="9"/>
            <color indexed="81"/>
            <rFont val="Tahoma"/>
            <family val="2"/>
          </rPr>
          <t>Matius P. Stürchler:</t>
        </r>
        <r>
          <rPr>
            <sz val="9"/>
            <color indexed="81"/>
            <rFont val="Tahoma"/>
            <family val="2"/>
          </rPr>
          <t xml:space="preserve">
Das BRAF-Gen ist bei ca. der Hälfte aller Melanome mutiert.</t>
        </r>
      </text>
    </comment>
    <comment ref="N195"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197" authorId="0" shapeId="0">
      <text>
        <r>
          <rPr>
            <b/>
            <sz val="9"/>
            <color indexed="81"/>
            <rFont val="Tahoma"/>
            <family val="2"/>
          </rPr>
          <t>Matius P. Stürchler:</t>
        </r>
        <r>
          <rPr>
            <sz val="9"/>
            <color indexed="81"/>
            <rFont val="Tahoma"/>
            <family val="2"/>
          </rPr>
          <t xml:space="preserve">
https://medicalforum.ch/article/doi/smf.2018.03133</t>
        </r>
      </text>
    </comment>
    <comment ref="N198" authorId="0" shapeId="0">
      <text>
        <r>
          <rPr>
            <b/>
            <sz val="9"/>
            <color indexed="81"/>
            <rFont val="Tahoma"/>
            <family val="2"/>
          </rPr>
          <t>Matius P. Stürchler:</t>
        </r>
        <r>
          <rPr>
            <sz val="9"/>
            <color indexed="81"/>
            <rFont val="Tahoma"/>
            <family val="2"/>
          </rPr>
          <t xml:space="preserve">
https://medicalforum.ch/article/doi/smf.2018.03133</t>
        </r>
      </text>
    </comment>
    <comment ref="N201" authorId="0" shapeId="0">
      <text>
        <r>
          <rPr>
            <b/>
            <sz val="9"/>
            <color indexed="81"/>
            <rFont val="Tahoma"/>
            <family val="2"/>
          </rPr>
          <t>Matius P. Stürchler:</t>
        </r>
        <r>
          <rPr>
            <sz val="9"/>
            <color indexed="81"/>
            <rFont val="Tahoma"/>
            <family val="2"/>
          </rPr>
          <t xml:space="preserve">
https://www.ncbi.nlm.nih.gov/pmc/articles/PMC5290446/</t>
        </r>
      </text>
    </comment>
    <comment ref="N203" authorId="1" shapeId="0">
      <text>
        <r>
          <rPr>
            <b/>
            <sz val="9"/>
            <color indexed="81"/>
            <rFont val="Segoe UI"/>
            <family val="2"/>
          </rPr>
          <t>Burkhard Patrick:</t>
        </r>
        <r>
          <rPr>
            <sz val="9"/>
            <color indexed="81"/>
            <rFont val="Segoe UI"/>
            <family val="2"/>
          </rPr>
          <t xml:space="preserve">
https://de.wikipedia.org/wiki/Pulmonale_Hypertonie</t>
        </r>
      </text>
    </comment>
    <comment ref="N206" authorId="1" shapeId="0">
      <text>
        <r>
          <rPr>
            <b/>
            <sz val="9"/>
            <color indexed="81"/>
            <rFont val="Segoe UI"/>
            <family val="2"/>
          </rPr>
          <t>Burkhard Patrick:</t>
        </r>
        <r>
          <rPr>
            <sz val="9"/>
            <color indexed="81"/>
            <rFont val="Segoe UI"/>
            <family val="2"/>
          </rPr>
          <t xml:space="preserve">
1/10000 Neugeburten
https://www.sma-schweiz.ch/spinale-muskelatrophie/typen-der-proximalen-sma/</t>
        </r>
      </text>
    </comment>
    <comment ref="N208" authorId="1" shapeId="0">
      <text>
        <r>
          <rPr>
            <b/>
            <sz val="9"/>
            <color indexed="81"/>
            <rFont val="Segoe UI"/>
            <family val="2"/>
          </rPr>
          <t>Burkhard Patrick:</t>
        </r>
        <r>
          <rPr>
            <sz val="9"/>
            <color indexed="81"/>
            <rFont val="Segoe UI"/>
            <family val="2"/>
          </rPr>
          <t xml:space="preserve">
https://www.krebsliga.ch/ueber-krebs/zahlen-fakten/</t>
        </r>
      </text>
    </comment>
    <comment ref="N209"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210"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211" authorId="0" shapeId="0">
      <text>
        <r>
          <rPr>
            <b/>
            <sz val="9"/>
            <color indexed="81"/>
            <rFont val="Tahoma"/>
            <family val="2"/>
          </rPr>
          <t>Matius P. Stürchler:</t>
        </r>
        <r>
          <rPr>
            <sz val="9"/>
            <color indexed="81"/>
            <rFont val="Tahoma"/>
            <family val="2"/>
          </rPr>
          <t xml:space="preserve">
https://www.orpha.net/consor/cgi-bin/Disease_Search.php?lng=DE&amp;data_id=8749&amp;Disease(s)/group%20of%20diseases=Diffuse-large-B-cell-lymphoma&amp;title=Diffuse%20large%20B-cell%20lymphoma&amp;search=Disease_Search_Simple&amp;ChdId=0</t>
        </r>
      </text>
    </comment>
    <comment ref="N212" authorId="1" shapeId="0">
      <text>
        <r>
          <rPr>
            <b/>
            <sz val="9"/>
            <color indexed="81"/>
            <rFont val="Segoe UI"/>
            <family val="2"/>
          </rPr>
          <t>Burkhard Patrick:</t>
        </r>
        <r>
          <rPr>
            <sz val="9"/>
            <color indexed="81"/>
            <rFont val="Segoe UI"/>
            <family val="2"/>
          </rPr>
          <t xml:space="preserve">
https://www.postnatale-depression.ch/de/</t>
        </r>
      </text>
    </comment>
    <comment ref="N215" authorId="1"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216" authorId="1" shapeId="0">
      <text>
        <r>
          <rPr>
            <b/>
            <sz val="9"/>
            <color indexed="81"/>
            <rFont val="Segoe UI"/>
            <family val="2"/>
          </rPr>
          <t>Burkhard Patrick:</t>
        </r>
        <r>
          <rPr>
            <sz val="9"/>
            <color indexed="81"/>
            <rFont val="Segoe UI"/>
            <family val="2"/>
          </rPr>
          <t xml:space="preserve">
https://medikamio.com/de-de/krankheiten/thrombotisch-thrombozytopenische-purpura-ttp/grundlagen-ursachen</t>
        </r>
      </text>
    </comment>
    <comment ref="N217" authorId="0" shapeId="0">
      <text>
        <r>
          <rPr>
            <b/>
            <sz val="9"/>
            <color indexed="81"/>
            <rFont val="Tahoma"/>
            <family val="2"/>
          </rPr>
          <t>Matius P. Stürchler:</t>
        </r>
        <r>
          <rPr>
            <sz val="9"/>
            <color indexed="81"/>
            <rFont val="Tahoma"/>
            <family val="2"/>
          </rPr>
          <t xml:space="preserve">
Lieberherr, S. et al. Evaluation of the National Skin Cancer Campaign: a Swiss experience of Euromelanoma. Swiss Med Wkly 147, w14511, doi:10.4414/smw.2017.14511 (2017).</t>
        </r>
      </text>
    </comment>
    <comment ref="N218" authorId="0" shapeId="0">
      <text>
        <r>
          <rPr>
            <b/>
            <sz val="9"/>
            <color indexed="81"/>
            <rFont val="Tahoma"/>
            <family val="2"/>
          </rPr>
          <t>Matius P. Stürchler:</t>
        </r>
        <r>
          <rPr>
            <sz val="9"/>
            <color indexed="81"/>
            <rFont val="Tahoma"/>
            <family val="2"/>
          </rPr>
          <t xml:space="preserve">
https://www.beobachter.ch/gesundheit/krankheit/morbus-gaucher-gaucher-syndrom</t>
        </r>
      </text>
    </comment>
    <comment ref="N219" authorId="0" shapeId="0">
      <text>
        <r>
          <rPr>
            <b/>
            <sz val="9"/>
            <color indexed="81"/>
            <rFont val="Tahoma"/>
            <family val="2"/>
          </rPr>
          <t>Matius P. Stürchler:</t>
        </r>
        <r>
          <rPr>
            <sz val="9"/>
            <color indexed="81"/>
            <rFont val="Tahoma"/>
            <family val="2"/>
          </rPr>
          <t xml:space="preserve">
https://shg.ch/de/haemophilie</t>
        </r>
      </text>
    </comment>
    <comment ref="N220" authorId="0" shapeId="0">
      <text>
        <r>
          <rPr>
            <b/>
            <sz val="9"/>
            <color indexed="81"/>
            <rFont val="Tahoma"/>
            <family val="2"/>
          </rPr>
          <t>Matius P. Stürchler:</t>
        </r>
        <r>
          <rPr>
            <sz val="9"/>
            <color indexed="81"/>
            <rFont val="Tahoma"/>
            <family val="2"/>
          </rPr>
          <t xml:space="preserve">
https://www.ncbi.nlm.nih.gov/pmc/articles/PMC4139706/</t>
        </r>
      </text>
    </comment>
    <comment ref="N221" authorId="0" shapeId="0">
      <text>
        <r>
          <rPr>
            <b/>
            <sz val="9"/>
            <color indexed="81"/>
            <rFont val="Tahoma"/>
            <family val="2"/>
          </rPr>
          <t>Matius P. Stürchler:</t>
        </r>
        <r>
          <rPr>
            <sz val="9"/>
            <color indexed="81"/>
            <rFont val="Tahoma"/>
            <family val="2"/>
          </rPr>
          <t xml:space="preserve">
https://www.rheumaliga.ch/rheuma-von-a-z/arthritis </t>
        </r>
      </text>
    </comment>
    <comment ref="N223" authorId="3" shapeId="0">
      <text>
        <r>
          <rPr>
            <b/>
            <sz val="9"/>
            <color indexed="81"/>
            <rFont val="Segoe UI"/>
            <family val="2"/>
          </rPr>
          <t>Githui Moses:</t>
        </r>
        <r>
          <rPr>
            <sz val="9"/>
            <color indexed="81"/>
            <rFont val="Segoe UI"/>
            <family val="2"/>
          </rPr>
          <t xml:space="preserve">
Etwa 100 / 1000 je nach Alter von den Kindern. Medikament vielleicht für schwere Fälle gedacht</t>
        </r>
      </text>
    </comment>
    <comment ref="N224" authorId="3" shapeId="0">
      <text>
        <r>
          <rPr>
            <b/>
            <sz val="9"/>
            <color indexed="81"/>
            <rFont val="Segoe UI"/>
            <family val="2"/>
          </rPr>
          <t>Githui Moses:</t>
        </r>
        <r>
          <rPr>
            <sz val="9"/>
            <color indexed="81"/>
            <rFont val="Segoe UI"/>
            <family val="2"/>
          </rPr>
          <t xml:space="preserve">
1 in 250000 </t>
        </r>
      </text>
    </comment>
    <comment ref="N225" authorId="3" shapeId="0">
      <text>
        <r>
          <rPr>
            <b/>
            <sz val="9"/>
            <color indexed="81"/>
            <rFont val="Segoe UI"/>
            <family val="2"/>
          </rPr>
          <t>Githui Moses:</t>
        </r>
        <r>
          <rPr>
            <sz val="9"/>
            <color indexed="81"/>
            <rFont val="Segoe UI"/>
            <family val="2"/>
          </rPr>
          <t xml:space="preserve">
Vielleicht nur 10% der Patienten, weil es sehr teuer ist</t>
        </r>
      </text>
    </comment>
    <comment ref="N227" authorId="0" shapeId="0">
      <text>
        <r>
          <rPr>
            <b/>
            <sz val="9"/>
            <color indexed="81"/>
            <rFont val="Tahoma"/>
            <family val="2"/>
          </rPr>
          <t>Matius P. Stürchler:</t>
        </r>
        <r>
          <rPr>
            <sz val="9"/>
            <color indexed="81"/>
            <rFont val="Tahoma"/>
            <family val="2"/>
          </rPr>
          <t xml:space="preserve">
https://medicalforum.ch/article/doi/smf.2018.03133</t>
        </r>
      </text>
    </comment>
    <comment ref="N228" authorId="0" shapeId="0">
      <text>
        <r>
          <rPr>
            <b/>
            <sz val="9"/>
            <color indexed="81"/>
            <rFont val="Tahoma"/>
            <family val="2"/>
          </rPr>
          <t>Matius P. Stürchler:</t>
        </r>
        <r>
          <rPr>
            <sz val="9"/>
            <color indexed="81"/>
            <rFont val="Tahoma"/>
            <family val="2"/>
          </rPr>
          <t xml:space="preserve">
https://medicalforum.ch/article/doi/smf.2018.03133</t>
        </r>
      </text>
    </comment>
    <comment ref="N231" authorId="1" shapeId="0">
      <text>
        <r>
          <rPr>
            <b/>
            <sz val="9"/>
            <color indexed="81"/>
            <rFont val="Segoe UI"/>
            <family val="2"/>
          </rPr>
          <t>Burkhard Patrick:</t>
        </r>
        <r>
          <rPr>
            <sz val="9"/>
            <color indexed="81"/>
            <rFont val="Segoe UI"/>
            <family val="2"/>
          </rPr>
          <t xml:space="preserve">
https://www.krebsliga.ch/ueber-krebs/zahlen-fakten/</t>
        </r>
      </text>
    </comment>
    <comment ref="N232" authorId="0" shapeId="0">
      <text>
        <r>
          <rPr>
            <b/>
            <sz val="9"/>
            <color indexed="81"/>
            <rFont val="Tahoma"/>
            <family val="2"/>
          </rPr>
          <t>Matius P. Stürchler:</t>
        </r>
        <r>
          <rPr>
            <sz val="9"/>
            <color indexed="81"/>
            <rFont val="Tahoma"/>
            <family val="2"/>
          </rPr>
          <t xml:space="preserve">
Schilla, C., Bubendorfb, L. &amp; Papachristofilou, A. Nicht-kleinzelliges Bronchialkarzinom. Schweizerisches Medizin-Forum 15, 453– 458 (2015).
http://www.swissbraintumorfoundation.com/Glioblastom.htm</t>
        </r>
      </text>
    </comment>
    <comment ref="N233" authorId="1" shapeId="0">
      <text>
        <r>
          <rPr>
            <b/>
            <sz val="9"/>
            <color indexed="81"/>
            <rFont val="Segoe UI"/>
            <family val="2"/>
          </rPr>
          <t>Burkhard Patrick:</t>
        </r>
        <r>
          <rPr>
            <sz val="9"/>
            <color indexed="81"/>
            <rFont val="Segoe UI"/>
            <family val="2"/>
          </rPr>
          <t xml:space="preserve">
https://www.krebsliga.ch/ueber-krebs/zahlen-fakten/</t>
        </r>
      </text>
    </comment>
    <comment ref="N234" authorId="1" shapeId="0">
      <text>
        <r>
          <rPr>
            <b/>
            <sz val="9"/>
            <color indexed="81"/>
            <rFont val="Segoe UI"/>
            <family val="2"/>
          </rPr>
          <t>Burkhard Patrick:</t>
        </r>
        <r>
          <rPr>
            <sz val="9"/>
            <color indexed="81"/>
            <rFont val="Segoe UI"/>
            <family val="2"/>
          </rPr>
          <t xml:space="preserve">
CLL:
https://medicalforum.ch/journalfile/view/article/ezm_smf/de/smf.2015.02151/debc9d7814df8e4fddfc859fae1a4caa1aa43f8a/smf_2015_02151.pdf/rsrc/jf
NHL:
https://www.krebsliga.ch/ueber-krebs/zahlen-fakten/</t>
        </r>
      </text>
    </comment>
    <comment ref="N235" authorId="1" shapeId="0">
      <text>
        <r>
          <rPr>
            <b/>
            <sz val="9"/>
            <color indexed="81"/>
            <rFont val="Segoe UI"/>
            <family val="2"/>
          </rPr>
          <t>Burkhard Patrick:</t>
        </r>
        <r>
          <rPr>
            <sz val="9"/>
            <color indexed="81"/>
            <rFont val="Segoe UI"/>
            <family val="2"/>
          </rPr>
          <t xml:space="preserve">
https://medicalforum.ch/article/doi/smf.2019.08249/
Annahme: 80% erwachsene Bevölkerung</t>
        </r>
      </text>
    </comment>
    <comment ref="N237" authorId="0" shapeId="0">
      <text>
        <r>
          <rPr>
            <b/>
            <sz val="9"/>
            <color indexed="81"/>
            <rFont val="Tahoma"/>
            <family val="2"/>
          </rPr>
          <t>Matius P. Stürchler:</t>
        </r>
        <r>
          <rPr>
            <sz val="9"/>
            <color indexed="81"/>
            <rFont val="Tahoma"/>
            <family val="2"/>
          </rPr>
          <t xml:space="preserve">
https://www.orpha.net/consor/cgi-bin/OC_Exp.php?lng=en&amp;Expert=91378</t>
        </r>
      </text>
    </comment>
    <comment ref="N238"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239" authorId="1" shapeId="0">
      <text>
        <r>
          <rPr>
            <b/>
            <sz val="9"/>
            <color indexed="81"/>
            <rFont val="Segoe UI"/>
            <family val="2"/>
          </rPr>
          <t>Burkhard Patrick:</t>
        </r>
        <r>
          <rPr>
            <sz val="9"/>
            <color indexed="81"/>
            <rFont val="Segoe UI"/>
            <family val="2"/>
          </rPr>
          <t xml:space="preserve">
http://www.hemoschweiz.ch/haemophilie/formen-der-haemophilie/vererbte-haemophilie/</t>
        </r>
      </text>
    </comment>
    <comment ref="N240" authorId="0" shapeId="0">
      <text>
        <r>
          <rPr>
            <b/>
            <sz val="9"/>
            <color indexed="81"/>
            <rFont val="Tahoma"/>
            <family val="2"/>
          </rPr>
          <t>Matius P. Stürchler:</t>
        </r>
        <r>
          <rPr>
            <sz val="9"/>
            <color indexed="81"/>
            <rFont val="Tahoma"/>
            <family val="2"/>
          </rPr>
          <t xml:space="preserve">
https://primaryimmune.org/disease/hemophagocytic-lymphohistiocytosis-hlh</t>
        </r>
      </text>
    </comment>
    <comment ref="N243" authorId="1" shapeId="0">
      <text>
        <r>
          <rPr>
            <b/>
            <sz val="9"/>
            <color indexed="81"/>
            <rFont val="Segoe UI"/>
            <family val="2"/>
          </rPr>
          <t>Burkhard Patrick:</t>
        </r>
        <r>
          <rPr>
            <sz val="9"/>
            <color indexed="81"/>
            <rFont val="Segoe UI"/>
            <family val="2"/>
          </rPr>
          <t xml:space="preserve">
https://www.parkinson.ch/</t>
        </r>
      </text>
    </comment>
    <comment ref="N244" authorId="0" shapeId="0">
      <text>
        <r>
          <rPr>
            <b/>
            <sz val="9"/>
            <color indexed="81"/>
            <rFont val="Tahoma"/>
            <family val="2"/>
          </rPr>
          <t>Matius P. Stürchler:</t>
        </r>
        <r>
          <rPr>
            <sz val="9"/>
            <color indexed="81"/>
            <rFont val="Tahoma"/>
            <family val="2"/>
          </rPr>
          <t xml:space="preserve">
https://www.orpha.net</t>
        </r>
      </text>
    </comment>
    <comment ref="N245" authorId="1" shapeId="0">
      <text>
        <r>
          <rPr>
            <b/>
            <sz val="9"/>
            <color indexed="81"/>
            <rFont val="Segoe UI"/>
            <family val="2"/>
          </rPr>
          <t>Burkhard Patrick:</t>
        </r>
        <r>
          <rPr>
            <sz val="9"/>
            <color indexed="81"/>
            <rFont val="Segoe UI"/>
            <family val="2"/>
          </rPr>
          <t xml:space="preserve">
https://www.krebsliga.ch/ueber-krebs/krebsarten/prostatakrebs/</t>
        </r>
      </text>
    </comment>
    <comment ref="N248" authorId="1" shapeId="0">
      <text>
        <r>
          <rPr>
            <b/>
            <sz val="9"/>
            <color indexed="81"/>
            <rFont val="Segoe UI"/>
            <family val="2"/>
          </rPr>
          <t>Burkhard Patrick:</t>
        </r>
        <r>
          <rPr>
            <sz val="9"/>
            <color indexed="81"/>
            <rFont val="Segoe UI"/>
            <family val="2"/>
          </rPr>
          <t xml:space="preserve">
https://flexikon.doccheck.com/de/Nicht-kleinzelliges_Bronchialkarzinom</t>
        </r>
      </text>
    </comment>
    <comment ref="N249" authorId="0" shapeId="0">
      <text>
        <r>
          <rPr>
            <b/>
            <sz val="9"/>
            <color indexed="81"/>
            <rFont val="Tahoma"/>
            <family val="2"/>
          </rPr>
          <t>Matius P. Stürchler:</t>
        </r>
        <r>
          <rPr>
            <sz val="9"/>
            <color indexed="81"/>
            <rFont val="Tahoma"/>
            <family val="2"/>
          </rPr>
          <t xml:space="preserve">
https://www.ncbi.nlm.nih.gov/pmc/articles/PMC6235801/</t>
        </r>
      </text>
    </comment>
    <comment ref="N250"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252" authorId="0" shapeId="0">
      <text>
        <r>
          <rPr>
            <b/>
            <sz val="9"/>
            <color indexed="81"/>
            <rFont val="Tahoma"/>
            <family val="2"/>
          </rPr>
          <t>Matius P. Stürchler:</t>
        </r>
        <r>
          <rPr>
            <sz val="9"/>
            <color indexed="81"/>
            <rFont val="Tahoma"/>
            <family val="2"/>
          </rPr>
          <t xml:space="preserve">
https://www.beobachter.ch/gesundheit/krankheit/chorea-huntington-huntington-krankheit</t>
        </r>
      </text>
    </comment>
    <comment ref="N253" authorId="0" shapeId="0">
      <text>
        <r>
          <rPr>
            <b/>
            <sz val="9"/>
            <color indexed="81"/>
            <rFont val="Tahoma"/>
            <family val="2"/>
          </rPr>
          <t>Matius P. Stürchler:</t>
        </r>
        <r>
          <rPr>
            <sz val="9"/>
            <color indexed="81"/>
            <rFont val="Tahoma"/>
            <family val="2"/>
          </rPr>
          <t xml:space="preserve">
https://www.headache.ch/migraene</t>
        </r>
      </text>
    </comment>
    <comment ref="N254" authorId="1" shapeId="0">
      <text>
        <r>
          <rPr>
            <b/>
            <sz val="9"/>
            <color indexed="81"/>
            <rFont val="Segoe UI"/>
            <family val="2"/>
          </rPr>
          <t>Burkhard Patrick:</t>
        </r>
        <r>
          <rPr>
            <sz val="9"/>
            <color indexed="81"/>
            <rFont val="Segoe UI"/>
            <family val="2"/>
          </rPr>
          <t xml:space="preserve">
Annahmen anhand ausländischer Daten:
https://www.cdc.gov/asthma/data-visualizations/prevalence.htm
https://www.netdoktor.ch/krankheit/schweres-asthma-6835839</t>
        </r>
      </text>
    </comment>
    <comment ref="N256" authorId="0" shapeId="0">
      <text>
        <r>
          <rPr>
            <b/>
            <sz val="9"/>
            <color indexed="81"/>
            <rFont val="Tahoma"/>
            <family val="2"/>
          </rPr>
          <t>Matius P. Stürchler:</t>
        </r>
        <r>
          <rPr>
            <sz val="9"/>
            <color indexed="81"/>
            <rFont val="Tahoma"/>
            <family val="2"/>
          </rPr>
          <t xml:space="preserve">
https://medicalforum.ch/journalfile/view/article/ezm_smf/de/smf.2015.02151/debc9d7814df8e4fddfc859fae1a4caa1aa43f8a/smf_2015_02151.pdf/rsrc/jf</t>
        </r>
      </text>
    </comment>
    <comment ref="N257" authorId="0" shapeId="0">
      <text>
        <r>
          <rPr>
            <b/>
            <sz val="9"/>
            <color indexed="81"/>
            <rFont val="Tahoma"/>
            <family val="2"/>
          </rPr>
          <t>Matius P. Stürchler:</t>
        </r>
        <r>
          <rPr>
            <sz val="9"/>
            <color indexed="81"/>
            <rFont val="Tahoma"/>
            <family val="2"/>
          </rPr>
          <t xml:space="preserve">
https://www.orpha.net/consor/cgi-bin/OC_Exp.php?Expert=98375&amp;lng=DE</t>
        </r>
      </text>
    </comment>
    <comment ref="N259" authorId="1" shapeId="0">
      <text>
        <r>
          <rPr>
            <b/>
            <sz val="9"/>
            <color indexed="81"/>
            <rFont val="Segoe UI"/>
            <family val="2"/>
          </rPr>
          <t>Burkhard Patrick:</t>
        </r>
        <r>
          <rPr>
            <sz val="9"/>
            <color indexed="81"/>
            <rFont val="Segoe UI"/>
            <family val="2"/>
          </rPr>
          <t xml:space="preserve">
https://www.rheumaliga.ch/rheuma-von-a-z/osteoporose</t>
        </r>
      </text>
    </comment>
    <comment ref="N261" authorId="0" shapeId="0">
      <text>
        <r>
          <rPr>
            <b/>
            <sz val="9"/>
            <color indexed="81"/>
            <rFont val="Tahoma"/>
            <family val="2"/>
          </rPr>
          <t>Matius P. Stürchler:</t>
        </r>
        <r>
          <rPr>
            <sz val="9"/>
            <color indexed="81"/>
            <rFont val="Tahoma"/>
            <family val="2"/>
          </rPr>
          <t xml:space="preserve">
https://medicalforum.ch/journalfile/view/article/ezm_smf/de/smf.2015.02151/debc9d7814df8e4fddfc859fae1a4caa1aa43f8a/smf_2015_02151.pdf/rsrc/jf</t>
        </r>
      </text>
    </comment>
    <comment ref="N262" authorId="1" shapeId="0">
      <text>
        <r>
          <rPr>
            <b/>
            <sz val="9"/>
            <color indexed="81"/>
            <rFont val="Segoe UI"/>
            <family val="2"/>
          </rPr>
          <t>Burkhard Patrick:</t>
        </r>
        <r>
          <rPr>
            <sz val="9"/>
            <color indexed="81"/>
            <rFont val="Segoe UI"/>
            <family val="2"/>
          </rPr>
          <t xml:space="preserve">
http://www.cfch.ch/cystische-fibrose/</t>
        </r>
      </text>
    </comment>
    <comment ref="N263" authorId="1" shapeId="0">
      <text>
        <r>
          <rPr>
            <b/>
            <sz val="9"/>
            <color indexed="81"/>
            <rFont val="Segoe UI"/>
            <family val="2"/>
          </rPr>
          <t>Burkhard Patrick:</t>
        </r>
        <r>
          <rPr>
            <sz val="9"/>
            <color indexed="81"/>
            <rFont val="Segoe UI"/>
            <family val="2"/>
          </rPr>
          <t xml:space="preserve">
http://www.cfch.ch/cystische-fibrose/</t>
        </r>
      </text>
    </comment>
    <comment ref="N267" authorId="1" shapeId="0">
      <text>
        <r>
          <rPr>
            <b/>
            <sz val="9"/>
            <color indexed="81"/>
            <rFont val="Segoe UI"/>
            <family val="2"/>
          </rPr>
          <t>Burkhard Patrick:</t>
        </r>
        <r>
          <rPr>
            <sz val="9"/>
            <color indexed="81"/>
            <rFont val="Segoe UI"/>
            <family val="2"/>
          </rPr>
          <t xml:space="preserve">
https://www.krebsliga.ch/ueber-krebs/zahlen-fakten/</t>
        </r>
      </text>
    </comment>
  </commentList>
</comments>
</file>

<file path=xl/comments3.xml><?xml version="1.0" encoding="utf-8"?>
<comments xmlns="http://schemas.openxmlformats.org/spreadsheetml/2006/main">
  <authors>
    <author>Matius P. Stürchler</author>
    <author>Githui Moses</author>
    <author>Burkhard Patrick</author>
  </authors>
  <commentList>
    <comment ref="T1" authorId="0" shapeId="0">
      <text>
        <r>
          <rPr>
            <b/>
            <sz val="9"/>
            <color indexed="81"/>
            <rFont val="Tahoma"/>
            <family val="2"/>
          </rPr>
          <t>Matius P. Stürchler:</t>
        </r>
        <r>
          <rPr>
            <sz val="9"/>
            <color indexed="81"/>
            <rFont val="Tahoma"/>
            <family val="2"/>
          </rPr>
          <t xml:space="preserve">
0 = nein
1 = ja</t>
        </r>
      </text>
    </comment>
    <comment ref="U1" authorId="0" shapeId="0">
      <text>
        <r>
          <rPr>
            <b/>
            <sz val="9"/>
            <color indexed="81"/>
            <rFont val="Tahoma"/>
            <family val="2"/>
          </rPr>
          <t>Matius P. Stürchler:</t>
        </r>
        <r>
          <rPr>
            <sz val="9"/>
            <color indexed="81"/>
            <rFont val="Tahoma"/>
            <family val="2"/>
          </rPr>
          <t xml:space="preserve">
0 = nein
1 = ja</t>
        </r>
      </text>
    </comment>
    <comment ref="Z2" authorId="1" shapeId="0">
      <text>
        <r>
          <rPr>
            <b/>
            <sz val="9"/>
            <color indexed="81"/>
            <rFont val="Segoe UI"/>
            <family val="2"/>
          </rPr>
          <t>Githui Moses:</t>
        </r>
        <r>
          <rPr>
            <sz val="9"/>
            <color indexed="81"/>
            <rFont val="Segoe UI"/>
            <family val="2"/>
          </rPr>
          <t xml:space="preserve">
Annahme: Patientenjahreskosten von CHF 20'000</t>
        </r>
      </text>
    </comment>
    <comment ref="N4" authorId="1" shapeId="0">
      <text>
        <r>
          <rPr>
            <b/>
            <sz val="9"/>
            <color indexed="81"/>
            <rFont val="Segoe UI"/>
            <family val="2"/>
          </rPr>
          <t>Githui Moses:</t>
        </r>
        <r>
          <rPr>
            <sz val="9"/>
            <color indexed="81"/>
            <rFont val="Segoe UI"/>
            <family val="2"/>
          </rPr>
          <t xml:space="preserve">
Vielleicht nur 10% der Patienten, weil es sehr teuer ist</t>
        </r>
      </text>
    </comment>
    <comment ref="N11" authorId="0" shapeId="0">
      <text>
        <r>
          <rPr>
            <b/>
            <sz val="9"/>
            <color indexed="81"/>
            <rFont val="Tahoma"/>
            <family val="2"/>
          </rPr>
          <t>Matius P. Stürchler:</t>
        </r>
        <r>
          <rPr>
            <sz val="9"/>
            <color indexed="81"/>
            <rFont val="Tahoma"/>
            <family val="2"/>
          </rPr>
          <t xml:space="preserve">
https://www.pharmazeutische-zeitung.de/eine-seltene-erkrankung-zwei-neue-orphan-drugs/</t>
        </r>
      </text>
    </comment>
    <comment ref="N13" authorId="1" shapeId="0">
      <text>
        <r>
          <rPr>
            <b/>
            <sz val="9"/>
            <color indexed="81"/>
            <rFont val="Segoe UI"/>
            <family val="2"/>
          </rPr>
          <t>Githui Moses:</t>
        </r>
        <r>
          <rPr>
            <sz val="9"/>
            <color indexed="81"/>
            <rFont val="Segoe UI"/>
            <family val="2"/>
          </rPr>
          <t xml:space="preserve">
1 in 250000 </t>
        </r>
      </text>
    </comment>
    <comment ref="Q13" authorId="1" shapeId="0">
      <text>
        <r>
          <rPr>
            <b/>
            <sz val="9"/>
            <color indexed="81"/>
            <rFont val="Segoe UI"/>
            <family val="2"/>
          </rPr>
          <t>Githui Moses:</t>
        </r>
        <r>
          <rPr>
            <sz val="9"/>
            <color indexed="81"/>
            <rFont val="Segoe UI"/>
            <family val="2"/>
          </rPr>
          <t xml:space="preserve">
Dosis erw. 3mg/kg Flasche hat 20mg ergo ca. 10 Flaschen pro Patient</t>
        </r>
      </text>
    </comment>
    <comment ref="N24" authorId="0" shapeId="0">
      <text>
        <r>
          <rPr>
            <b/>
            <sz val="9"/>
            <color indexed="81"/>
            <rFont val="Tahoma"/>
            <family val="2"/>
          </rPr>
          <t>Matius P. Stürchler:</t>
        </r>
        <r>
          <rPr>
            <sz val="9"/>
            <color indexed="81"/>
            <rFont val="Tahoma"/>
            <family val="2"/>
          </rPr>
          <t xml:space="preserve">
https://www.headache.ch/migraene</t>
        </r>
      </text>
    </comment>
    <comment ref="N26" authorId="2" shapeId="0">
      <text>
        <r>
          <rPr>
            <b/>
            <sz val="9"/>
            <color indexed="81"/>
            <rFont val="Segoe UI"/>
            <family val="2"/>
          </rPr>
          <t>Burkhard Patrick:</t>
        </r>
        <r>
          <rPr>
            <sz val="9"/>
            <color indexed="81"/>
            <rFont val="Segoe UI"/>
            <family val="2"/>
          </rPr>
          <t xml:space="preserve">
https://www.rheumaliga.ch/rheuma-von-a-z/lupus</t>
        </r>
      </text>
    </comment>
    <comment ref="N27" authorId="2" shapeId="0">
      <text>
        <r>
          <rPr>
            <b/>
            <sz val="9"/>
            <color indexed="81"/>
            <rFont val="Segoe UI"/>
            <family val="2"/>
          </rPr>
          <t>Burkhard Patrick:</t>
        </r>
        <r>
          <rPr>
            <sz val="9"/>
            <color indexed="81"/>
            <rFont val="Segoe UI"/>
            <family val="2"/>
          </rPr>
          <t xml:space="preserve">
https://www.parkinson.ch/</t>
        </r>
      </text>
    </comment>
    <comment ref="N32" authorId="0" shapeId="0">
      <text>
        <r>
          <rPr>
            <b/>
            <sz val="9"/>
            <color indexed="81"/>
            <rFont val="Tahoma"/>
            <family val="2"/>
          </rPr>
          <t>Matius P. Stürchler:</t>
        </r>
        <r>
          <rPr>
            <sz val="9"/>
            <color indexed="81"/>
            <rFont val="Tahoma"/>
            <family val="2"/>
          </rPr>
          <t xml:space="preserve">
Das Ovarialkarzinom
Sara Imboden, Urban Novak, Michael D. Mueller
Inzidenz</t>
        </r>
      </text>
    </comment>
    <comment ref="N34" authorId="0" shapeId="0">
      <text>
        <r>
          <rPr>
            <b/>
            <sz val="9"/>
            <color indexed="81"/>
            <rFont val="Tahoma"/>
            <family val="2"/>
          </rPr>
          <t>Matius P. Stürchler:</t>
        </r>
        <r>
          <rPr>
            <sz val="9"/>
            <color indexed="81"/>
            <rFont val="Tahoma"/>
            <family val="2"/>
          </rPr>
          <t xml:space="preserve">
Huntington-Krankheit SMF 2015</t>
        </r>
      </text>
    </comment>
    <comment ref="N38"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
1.5/100'000</t>
        </r>
      </text>
    </comment>
    <comment ref="N39"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40" authorId="0" shapeId="0">
      <text>
        <r>
          <rPr>
            <b/>
            <sz val="9"/>
            <color indexed="81"/>
            <rFont val="Tahoma"/>
            <family val="2"/>
          </rPr>
          <t>Matius P. Stürchler:</t>
        </r>
        <r>
          <rPr>
            <sz val="9"/>
            <color indexed="81"/>
            <rFont val="Tahoma"/>
            <family val="2"/>
          </rPr>
          <t xml:space="preserve">
https://www.onkopedia.com/de/onkopedia/guidelines/paroxysmale-naechtliche-haemoglobinurie-pnh/@@guideline/html/index.html</t>
        </r>
      </text>
    </comment>
    <comment ref="N41" authorId="0" shapeId="0">
      <text>
        <r>
          <rPr>
            <b/>
            <sz val="9"/>
            <color indexed="81"/>
            <rFont val="Tahoma"/>
            <family val="2"/>
          </rPr>
          <t>Matius P. Stürchler:</t>
        </r>
        <r>
          <rPr>
            <sz val="9"/>
            <color indexed="81"/>
            <rFont val="Tahoma"/>
            <family val="2"/>
          </rPr>
          <t xml:space="preserve">
https://www.headache.ch/migraene</t>
        </r>
      </text>
    </comment>
    <comment ref="N42" authorId="0" shapeId="0">
      <text>
        <r>
          <rPr>
            <b/>
            <sz val="9"/>
            <color indexed="81"/>
            <rFont val="Tahoma"/>
            <family val="2"/>
          </rPr>
          <t>Matius P. Stürchler:</t>
        </r>
        <r>
          <rPr>
            <sz val="9"/>
            <color indexed="81"/>
            <rFont val="Tahoma"/>
            <family val="2"/>
          </rPr>
          <t xml:space="preserve">
https://de.wikipedia.org/wiki/Makuladegeneration
Altersabhängige Makuladegeneration:
Häufigste Ursache für Blindheit in Mitteleuropa
https://www.beobachter.ch/gesundheit/krankheit/altersbedingte-makuladegeneration-altersabhangige-makuladegeneration-amd</t>
        </r>
      </text>
    </comment>
    <comment ref="N43" authorId="2"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47" authorId="1" shapeId="0">
      <text>
        <r>
          <rPr>
            <b/>
            <sz val="9"/>
            <color indexed="81"/>
            <rFont val="Segoe UI"/>
            <family val="2"/>
          </rPr>
          <t>Githui Moses:</t>
        </r>
        <r>
          <rPr>
            <sz val="9"/>
            <color indexed="81"/>
            <rFont val="Segoe UI"/>
            <family val="2"/>
          </rPr>
          <t xml:space="preserve">
5 Millionen Patienten weltweit. </t>
        </r>
      </text>
    </comment>
    <comment ref="N49" authorId="0" shapeId="0">
      <text>
        <r>
          <rPr>
            <b/>
            <sz val="9"/>
            <color indexed="81"/>
            <rFont val="Tahoma"/>
            <family val="2"/>
          </rPr>
          <t>Matius P. Stürchler:</t>
        </r>
        <r>
          <rPr>
            <sz val="9"/>
            <color indexed="81"/>
            <rFont val="Tahoma"/>
            <family val="2"/>
          </rPr>
          <t xml:space="preserve">
https://www.lungenliga.ch/uploads/tx_pubshop/Asthma_Broschuere.pdf</t>
        </r>
      </text>
    </comment>
    <comment ref="N51"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52" authorId="2" shapeId="0">
      <text>
        <r>
          <rPr>
            <b/>
            <sz val="9"/>
            <color indexed="81"/>
            <rFont val="Segoe UI"/>
            <family val="2"/>
          </rPr>
          <t>Burkhard Patrick:</t>
        </r>
        <r>
          <rPr>
            <sz val="9"/>
            <color indexed="81"/>
            <rFont val="Segoe UI"/>
            <family val="2"/>
          </rPr>
          <t xml:space="preserve">
https://www.muskelgesellschaft.ch/diagnosen/morbus-pompe-2/</t>
        </r>
      </text>
    </comment>
    <comment ref="N53" authorId="0" shapeId="0">
      <text>
        <r>
          <rPr>
            <b/>
            <sz val="9"/>
            <color indexed="81"/>
            <rFont val="Tahoma"/>
            <family val="2"/>
          </rPr>
          <t>Matius P. Stürchler:</t>
        </r>
        <r>
          <rPr>
            <sz val="9"/>
            <color indexed="81"/>
            <rFont val="Tahoma"/>
            <family val="2"/>
          </rPr>
          <t xml:space="preserve">
https://www.drschaer.com/de/institute/a/praevalenz-reizdarmsyndrom</t>
        </r>
      </text>
    </comment>
    <comment ref="N54"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55" authorId="2" shapeId="0">
      <text>
        <r>
          <rPr>
            <b/>
            <sz val="9"/>
            <color indexed="81"/>
            <rFont val="Segoe UI"/>
            <family val="2"/>
          </rPr>
          <t>Burkhard Patrick:</t>
        </r>
        <r>
          <rPr>
            <sz val="9"/>
            <color indexed="81"/>
            <rFont val="Segoe UI"/>
            <family val="2"/>
          </rPr>
          <t xml:space="preserve">
https://de.wikipedia.org/wiki/Pulmonale_Hypertonie</t>
        </r>
      </text>
    </comment>
    <comment ref="N58" authorId="0" shapeId="0">
      <text>
        <r>
          <rPr>
            <b/>
            <sz val="9"/>
            <color indexed="81"/>
            <rFont val="Tahoma"/>
            <family val="2"/>
          </rPr>
          <t>Matius P. Stürchler:</t>
        </r>
        <r>
          <rPr>
            <sz val="9"/>
            <color indexed="81"/>
            <rFont val="Tahoma"/>
            <family val="2"/>
          </rPr>
          <t xml:space="preserve">
https://www.lymphome.ch/lymphome/krankheitsbilder/haarzell-leukaemie-hzl/</t>
        </r>
      </text>
    </comment>
    <comment ref="N60" authorId="0" shapeId="0">
      <text>
        <r>
          <rPr>
            <b/>
            <sz val="9"/>
            <color indexed="81"/>
            <rFont val="Tahoma"/>
            <family val="2"/>
          </rPr>
          <t>Matius P. Stürchler:</t>
        </r>
        <r>
          <rPr>
            <sz val="9"/>
            <color indexed="81"/>
            <rFont val="Tahoma"/>
            <family val="2"/>
          </rPr>
          <t xml:space="preserve">
https://www.pathologie-dgp.de/media/Dgp/downloads/public/NTRK_tumor-agnostische-arzneimittel-20200113.pdf</t>
        </r>
      </text>
    </comment>
    <comment ref="N62" authorId="0" shapeId="0">
      <text>
        <r>
          <rPr>
            <b/>
            <sz val="9"/>
            <color indexed="81"/>
            <rFont val="Tahoma"/>
            <family val="2"/>
          </rPr>
          <t>Matius P. Stürchler:</t>
        </r>
        <r>
          <rPr>
            <sz val="9"/>
            <color indexed="81"/>
            <rFont val="Tahoma"/>
            <family val="2"/>
          </rPr>
          <t xml:space="preserve">
https://link.springer.com/article/10.1007/s001200050402</t>
        </r>
      </text>
    </comment>
    <comment ref="N63"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65" authorId="2" shapeId="0">
      <text>
        <r>
          <rPr>
            <b/>
            <sz val="9"/>
            <color indexed="81"/>
            <rFont val="Segoe UI"/>
            <family val="2"/>
          </rPr>
          <t>Burkhard Patrick:</t>
        </r>
        <r>
          <rPr>
            <sz val="9"/>
            <color indexed="81"/>
            <rFont val="Segoe UI"/>
            <family val="2"/>
          </rPr>
          <t xml:space="preserve">
1/30000 Lebendgeburten
https://de.m.wikipedia.org/wiki/Neuronale_Ceroid-Lipofuszinose</t>
        </r>
      </text>
    </comment>
    <comment ref="N66" authorId="2" shapeId="0">
      <text>
        <r>
          <rPr>
            <b/>
            <sz val="9"/>
            <color indexed="81"/>
            <rFont val="Segoe UI"/>
            <family val="2"/>
          </rPr>
          <t>Burkhard Patrick:</t>
        </r>
        <r>
          <rPr>
            <sz val="9"/>
            <color indexed="81"/>
            <rFont val="Segoe UI"/>
            <family val="2"/>
          </rPr>
          <t xml:space="preserve">
https://www.beobachter.ch/gesundheit/krankheit/phenylketonurie-pku</t>
        </r>
      </text>
    </comment>
    <comment ref="N67" authorId="2" shapeId="0">
      <text>
        <r>
          <rPr>
            <b/>
            <sz val="9"/>
            <color indexed="81"/>
            <rFont val="Segoe UI"/>
            <family val="2"/>
          </rPr>
          <t>Burkhard Patrick:</t>
        </r>
        <r>
          <rPr>
            <sz val="9"/>
            <color indexed="81"/>
            <rFont val="Segoe UI"/>
            <family val="2"/>
          </rPr>
          <t xml:space="preserve">
https://flexikon.doccheck.com/de/Nicht-kleinzelliges_Bronchialkarzinom</t>
        </r>
      </text>
    </comment>
    <comment ref="N68" authorId="1" shapeId="0">
      <text>
        <r>
          <rPr>
            <b/>
            <sz val="9"/>
            <color indexed="81"/>
            <rFont val="Segoe UI"/>
            <family val="2"/>
          </rPr>
          <t>Githui Moses:</t>
        </r>
        <r>
          <rPr>
            <sz val="9"/>
            <color indexed="81"/>
            <rFont val="Segoe UI"/>
            <family val="2"/>
          </rPr>
          <t xml:space="preserve">
1 in 200000 births. In der Schweiz sind ca. 85000 Geburten pro Jahr
</t>
        </r>
      </text>
    </comment>
    <comment ref="N72" authorId="2" shapeId="0">
      <text>
        <r>
          <rPr>
            <b/>
            <sz val="9"/>
            <color indexed="81"/>
            <rFont val="Segoe UI"/>
            <family val="2"/>
          </rPr>
          <t>Burkhard Patrick:</t>
        </r>
        <r>
          <rPr>
            <sz val="9"/>
            <color indexed="81"/>
            <rFont val="Segoe UI"/>
            <family val="2"/>
          </rPr>
          <t xml:space="preserve">
https://www.lung-cancer.com/squamous-cell.html
https://en.wikipedia.org/wiki/Head_and_neck_cancer#Epidemiology</t>
        </r>
      </text>
    </comment>
    <comment ref="N74" authorId="2" shapeId="0">
      <text>
        <r>
          <rPr>
            <b/>
            <sz val="9"/>
            <color indexed="81"/>
            <rFont val="Segoe UI"/>
            <family val="2"/>
          </rPr>
          <t>Burkhard Patrick:</t>
        </r>
        <r>
          <rPr>
            <sz val="9"/>
            <color indexed="81"/>
            <rFont val="Segoe UI"/>
            <family val="2"/>
          </rPr>
          <t xml:space="preserve">
https://www.krebsliga.ch/ueber-krebs/zahlen-fakten/</t>
        </r>
      </text>
    </comment>
    <comment ref="N78" authorId="2"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79" authorId="0" shapeId="0">
      <text>
        <r>
          <rPr>
            <b/>
            <sz val="9"/>
            <color indexed="81"/>
            <rFont val="Tahoma"/>
            <family val="2"/>
          </rPr>
          <t>Matius P. Stürchler:</t>
        </r>
        <r>
          <rPr>
            <sz val="9"/>
            <color indexed="81"/>
            <rFont val="Tahoma"/>
            <family val="2"/>
          </rPr>
          <t xml:space="preserve">
https://medicalforum.ch/article/doi/smf.2017.02891</t>
        </r>
      </text>
    </comment>
    <comment ref="N80" authorId="1" shapeId="0">
      <text>
        <r>
          <rPr>
            <b/>
            <sz val="9"/>
            <color indexed="81"/>
            <rFont val="Segoe UI"/>
            <family val="2"/>
          </rPr>
          <t>Githui Moses:</t>
        </r>
        <r>
          <rPr>
            <sz val="9"/>
            <color indexed="81"/>
            <rFont val="Segoe UI"/>
            <family val="2"/>
          </rPr>
          <t xml:space="preserve">
Inzidenz: 2/100000 pro Jahr</t>
        </r>
      </text>
    </comment>
    <comment ref="N81" authorId="2" shapeId="0">
      <text>
        <r>
          <rPr>
            <b/>
            <sz val="9"/>
            <color indexed="81"/>
            <rFont val="Segoe UI"/>
            <family val="2"/>
          </rPr>
          <t>Burkhard Patrick:</t>
        </r>
        <r>
          <rPr>
            <sz val="9"/>
            <color indexed="81"/>
            <rFont val="Segoe UI"/>
            <family val="2"/>
          </rPr>
          <t xml:space="preserve">
https://flexikon.doccheck.com/de/Cystinose</t>
        </r>
      </text>
    </comment>
    <comment ref="N83" authorId="2" shapeId="0">
      <text>
        <r>
          <rPr>
            <b/>
            <sz val="9"/>
            <color indexed="81"/>
            <rFont val="Segoe UI"/>
            <family val="2"/>
          </rPr>
          <t>Burkhard Patrick:</t>
        </r>
        <r>
          <rPr>
            <sz val="9"/>
            <color indexed="81"/>
            <rFont val="Segoe UI"/>
            <family val="2"/>
          </rPr>
          <t xml:space="preserve">
https://www.rheumaliga.ch/rheuma-von-a-z/sklerodermie</t>
        </r>
      </text>
    </comment>
    <comment ref="N84" authorId="0" shapeId="0">
      <text>
        <r>
          <rPr>
            <b/>
            <sz val="9"/>
            <color indexed="81"/>
            <rFont val="Tahoma"/>
            <family val="2"/>
          </rPr>
          <t>Matius P. Stürchler:</t>
        </r>
        <r>
          <rPr>
            <sz val="9"/>
            <color indexed="81"/>
            <rFont val="Tahoma"/>
            <family val="2"/>
          </rPr>
          <t xml:space="preserve">
https://www.netdoktor.ch/krankheit/formen-der-immunthrombozytopenie-5572</t>
        </r>
      </text>
    </comment>
    <comment ref="N85" authorId="0" shapeId="0">
      <text>
        <r>
          <rPr>
            <b/>
            <sz val="9"/>
            <color indexed="81"/>
            <rFont val="Tahoma"/>
            <family val="2"/>
          </rPr>
          <t>Matius P. Stürchler:</t>
        </r>
        <r>
          <rPr>
            <sz val="9"/>
            <color indexed="81"/>
            <rFont val="Tahoma"/>
            <family val="2"/>
          </rPr>
          <t xml:space="preserve">
https://de.wikipedia.org/wiki/Tyrosin%C3%A4mie_Typ_I</t>
        </r>
      </text>
    </comment>
    <comment ref="N86" authorId="2" shapeId="0">
      <text>
        <r>
          <rPr>
            <b/>
            <sz val="9"/>
            <color indexed="81"/>
            <rFont val="Segoe UI"/>
            <family val="2"/>
          </rPr>
          <t>Burkhard Patrick:</t>
        </r>
        <r>
          <rPr>
            <sz val="9"/>
            <color indexed="81"/>
            <rFont val="Segoe UI"/>
            <family val="2"/>
          </rPr>
          <t xml:space="preserve">
https://flexikon.doccheck.com/de/Prim%C3%A4r_bili%C3%A4re_Cholangitis
https://www.tellmed.ch/tellmed/Fachliteratur/Medizin_Spektrum/25_Nicht_alkoholische_Steatohepatitis_NASH_und_nicht_alkoholische_Fettleber.php</t>
        </r>
      </text>
    </comment>
    <comment ref="N87" authorId="2" shapeId="0">
      <text>
        <r>
          <rPr>
            <b/>
            <sz val="9"/>
            <color indexed="81"/>
            <rFont val="Segoe UI"/>
            <family val="2"/>
          </rPr>
          <t>Burkhard Patrick:</t>
        </r>
        <r>
          <rPr>
            <sz val="9"/>
            <color indexed="81"/>
            <rFont val="Segoe UI"/>
            <family val="2"/>
          </rPr>
          <t xml:space="preserve">
https://orthinform.de/lexikon/tendosynovialer-riesenzelltumor</t>
        </r>
      </text>
    </comment>
    <comment ref="N88"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t>
        </r>
      </text>
    </comment>
    <comment ref="N90" authorId="0" shapeId="0">
      <text>
        <r>
          <rPr>
            <b/>
            <sz val="9"/>
            <color indexed="81"/>
            <rFont val="Tahoma"/>
            <family val="2"/>
          </rPr>
          <t>Matius P. Stürchler:</t>
        </r>
        <r>
          <rPr>
            <sz val="9"/>
            <color indexed="81"/>
            <rFont val="Tahoma"/>
            <family val="2"/>
          </rPr>
          <t xml:space="preserve">
https://www.aha.ch/allergiezentrum-schweiz/info-zu-allergien/ekzem-hautreaktion/neurodermitis-atopische-dermatitis-ekzem/?oid=1579&amp;lang=de</t>
        </r>
      </text>
    </comment>
    <comment ref="N91" authorId="2" shapeId="0">
      <text>
        <r>
          <rPr>
            <b/>
            <sz val="9"/>
            <color indexed="81"/>
            <rFont val="Segoe UI"/>
            <family val="2"/>
          </rPr>
          <t>Burkhard Patrick:</t>
        </r>
        <r>
          <rPr>
            <sz val="9"/>
            <color indexed="81"/>
            <rFont val="Segoe UI"/>
            <family val="2"/>
          </rPr>
          <t xml:space="preserve">
https://de.wikipedia.org/wiki/Neurotrophe_Keratopathie</t>
        </r>
      </text>
    </comment>
    <comment ref="N95" authorId="2" shapeId="0">
      <text>
        <r>
          <rPr>
            <b/>
            <sz val="9"/>
            <color indexed="81"/>
            <rFont val="Segoe UI"/>
            <family val="2"/>
          </rPr>
          <t>Burkhard Patrick:</t>
        </r>
        <r>
          <rPr>
            <sz val="9"/>
            <color indexed="81"/>
            <rFont val="Segoe UI"/>
            <family val="2"/>
          </rPr>
          <t xml:space="preserve">
https://www.krebsliga.ch/ueber-krebs/zahlen-fakten/</t>
        </r>
      </text>
    </comment>
    <comment ref="N97" authorId="2" shapeId="0">
      <text>
        <r>
          <rPr>
            <b/>
            <sz val="9"/>
            <color indexed="81"/>
            <rFont val="Segoe UI"/>
            <family val="2"/>
          </rPr>
          <t>Burkhard Patrick:</t>
        </r>
        <r>
          <rPr>
            <sz val="9"/>
            <color indexed="81"/>
            <rFont val="Segoe UI"/>
            <family val="2"/>
          </rPr>
          <t xml:space="preserve">
https://www.krebsliga.ch/ueber-krebs/zahlen-fakten/</t>
        </r>
      </text>
    </comment>
    <comment ref="N99" authorId="2" shapeId="0">
      <text>
        <r>
          <rPr>
            <b/>
            <sz val="9"/>
            <color indexed="81"/>
            <rFont val="Segoe UI"/>
            <family val="2"/>
          </rPr>
          <t>Burkhard Patrick:</t>
        </r>
        <r>
          <rPr>
            <sz val="9"/>
            <color indexed="81"/>
            <rFont val="Segoe UI"/>
            <family val="2"/>
          </rPr>
          <t xml:space="preserve">
https://bmccancer.biomedcentral.com/articles/10.1186/s12885-015-1146-8</t>
        </r>
      </text>
    </comment>
    <comment ref="N101" authorId="2" shapeId="0">
      <text>
        <r>
          <rPr>
            <b/>
            <sz val="9"/>
            <color indexed="81"/>
            <rFont val="Segoe UI"/>
            <family val="2"/>
          </rPr>
          <t>Burkhard Patrick:</t>
        </r>
        <r>
          <rPr>
            <sz val="9"/>
            <color indexed="81"/>
            <rFont val="Segoe UI"/>
            <family val="2"/>
          </rPr>
          <t xml:space="preserve">
https://www.news.uzh.ch/de/articles/2017/sichelzellanaemie.html</t>
        </r>
      </text>
    </comment>
    <comment ref="N102" authorId="2" shapeId="0">
      <text>
        <r>
          <rPr>
            <b/>
            <sz val="9"/>
            <color indexed="81"/>
            <rFont val="Segoe UI"/>
            <family val="2"/>
          </rPr>
          <t>Burkhard Patrick:</t>
        </r>
        <r>
          <rPr>
            <sz val="9"/>
            <color indexed="81"/>
            <rFont val="Segoe UI"/>
            <family val="2"/>
          </rPr>
          <t xml:space="preserve">
https://www.sarkom-schweiz.ch/index.php/de/diagnose-sarkom</t>
        </r>
      </text>
    </comment>
    <comment ref="N104" authorId="2" shapeId="0">
      <text>
        <r>
          <rPr>
            <b/>
            <sz val="9"/>
            <color indexed="81"/>
            <rFont val="Segoe UI"/>
            <family val="2"/>
          </rPr>
          <t>Burkhard Patrick:</t>
        </r>
        <r>
          <rPr>
            <sz val="9"/>
            <color indexed="81"/>
            <rFont val="Segoe UI"/>
            <family val="2"/>
          </rPr>
          <t xml:space="preserve">
https://www.springermedizin.de/emedpedia/kinderchirurgie/neuroblastom-und-andere-nebennierentumoren-bei-kindern-und-jugendlichen?epediaDoi=10.1007%2F978-3-662-53390-1_84</t>
        </r>
      </text>
    </comment>
    <comment ref="N105" authorId="2" shapeId="0">
      <text>
        <r>
          <rPr>
            <b/>
            <sz val="9"/>
            <color indexed="81"/>
            <rFont val="Segoe UI"/>
            <family val="2"/>
          </rPr>
          <t>Burkhard Patrick:</t>
        </r>
        <r>
          <rPr>
            <sz val="9"/>
            <color indexed="81"/>
            <rFont val="Segoe UI"/>
            <family val="2"/>
          </rPr>
          <t xml:space="preserve">
https://www.krebsliga.ch/ueber-krebs/krebsarten/nierenkrebs-nierenzellkarzinom/</t>
        </r>
      </text>
    </comment>
    <comment ref="N106" authorId="0" shapeId="0">
      <text>
        <r>
          <rPr>
            <b/>
            <sz val="9"/>
            <color indexed="81"/>
            <rFont val="Tahoma"/>
            <family val="2"/>
          </rPr>
          <t>Matius P. Stürchler:</t>
        </r>
        <r>
          <rPr>
            <sz val="9"/>
            <color indexed="81"/>
            <rFont val="Tahoma"/>
            <family val="2"/>
          </rPr>
          <t xml:space="preserve">
https://de.wikipedia.org/wiki/Idiopathische_Lungenfibrose</t>
        </r>
      </text>
    </comment>
    <comment ref="N107" authorId="0" shapeId="0">
      <text>
        <r>
          <rPr>
            <b/>
            <sz val="9"/>
            <color indexed="81"/>
            <rFont val="Tahoma"/>
            <family val="2"/>
          </rPr>
          <t>Matius P. Stürchler:</t>
        </r>
        <r>
          <rPr>
            <sz val="9"/>
            <color indexed="81"/>
            <rFont val="Tahoma"/>
            <family val="2"/>
          </rPr>
          <t xml:space="preserve">
https://www.aha.ch/allergiezentrum-schweiz/info-zu-allergien/ekzem-hautreaktion/neurodermitis-atopische-dermatitis-ekzem/?oid=1579&amp;lang=de</t>
        </r>
      </text>
    </comment>
    <comment ref="N108"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114" authorId="0" shapeId="0">
      <text>
        <r>
          <rPr>
            <b/>
            <sz val="9"/>
            <color indexed="81"/>
            <rFont val="Tahoma"/>
            <family val="2"/>
          </rPr>
          <t>Matius P. Stürchler:</t>
        </r>
        <r>
          <rPr>
            <sz val="9"/>
            <color indexed="81"/>
            <rFont val="Tahoma"/>
            <family val="2"/>
          </rPr>
          <t xml:space="preserve">
Cancer prevalence in Switzerland 2010 - 2025: estimated proportion of prevalent subjects </t>
        </r>
      </text>
    </comment>
    <comment ref="N120" authorId="2" shapeId="0">
      <text>
        <r>
          <rPr>
            <b/>
            <sz val="9"/>
            <color indexed="81"/>
            <rFont val="Segoe UI"/>
            <family val="2"/>
          </rPr>
          <t>Burkhard Patrick:</t>
        </r>
        <r>
          <rPr>
            <sz val="9"/>
            <color indexed="81"/>
            <rFont val="Segoe UI"/>
            <family val="2"/>
          </rPr>
          <t xml:space="preserve">
https://www.diseasemaps.org/lennox-gastaut-syndrome/top-questions/prevalence/</t>
        </r>
      </text>
    </comment>
    <comment ref="N121" authorId="0" shapeId="0">
      <text>
        <r>
          <rPr>
            <b/>
            <sz val="9"/>
            <color indexed="81"/>
            <rFont val="Tahoma"/>
            <family val="2"/>
          </rPr>
          <t>Matius P. Stürchler:</t>
        </r>
        <r>
          <rPr>
            <sz val="9"/>
            <color indexed="81"/>
            <rFont val="Tahoma"/>
            <family val="2"/>
          </rPr>
          <t xml:space="preserve">
Renner, C. &amp; Tinguely, M. Maligne Lymphome: Diagnostik und Therapie. Schweiz Med Forum 14, 862–866 (2014).
1 Cozzio, A. Kutane T-Zell Lymphome. Medizin Forum, 30-33 (2016).</t>
        </r>
      </text>
    </comment>
    <comment ref="N122" authorId="2" shapeId="0">
      <text>
        <r>
          <rPr>
            <b/>
            <sz val="9"/>
            <color indexed="81"/>
            <rFont val="Segoe UI"/>
            <family val="2"/>
          </rPr>
          <t>Burkhard Patrick:</t>
        </r>
        <r>
          <rPr>
            <sz val="9"/>
            <color indexed="81"/>
            <rFont val="Segoe UI"/>
            <family val="2"/>
          </rPr>
          <t xml:space="preserve">
https://medicalforum.ch/article/doi/smf.2018.03451/
https://www.swissheart.ch/herzkrankheiten-hirnschlag/risikofaktoren/blutdruck.html</t>
        </r>
      </text>
    </comment>
    <comment ref="N123" authorId="0" shapeId="0">
      <text>
        <r>
          <rPr>
            <b/>
            <sz val="9"/>
            <color indexed="81"/>
            <rFont val="Tahoma"/>
            <family val="2"/>
          </rPr>
          <t>Matius P. Stürchler:</t>
        </r>
        <r>
          <rPr>
            <sz val="9"/>
            <color indexed="81"/>
            <rFont val="Tahoma"/>
            <family val="2"/>
          </rPr>
          <t xml:space="preserve">
https://de.wikipedia.org/wiki/Morbus_Fabry</t>
        </r>
      </text>
    </comment>
    <comment ref="N124" authorId="2" shapeId="0">
      <text>
        <r>
          <rPr>
            <b/>
            <sz val="9"/>
            <color indexed="81"/>
            <rFont val="Segoe UI"/>
            <family val="2"/>
          </rPr>
          <t>Burkhard Patrick:</t>
        </r>
        <r>
          <rPr>
            <sz val="9"/>
            <color indexed="81"/>
            <rFont val="Segoe UI"/>
            <family val="2"/>
          </rPr>
          <t xml:space="preserve">
https://www.krebsliga.ch/ueber-krebs/zahlen-fakten/</t>
        </r>
      </text>
    </comment>
    <comment ref="N125" authorId="2" shapeId="0">
      <text>
        <r>
          <rPr>
            <b/>
            <sz val="9"/>
            <color indexed="81"/>
            <rFont val="Segoe UI"/>
            <family val="2"/>
          </rPr>
          <t>Burkhard Patrick:</t>
        </r>
        <r>
          <rPr>
            <sz val="9"/>
            <color indexed="81"/>
            <rFont val="Segoe UI"/>
            <family val="2"/>
          </rPr>
          <t xml:space="preserve">
https://www.krebsliga.ch/ueber-krebs/zahlen-fakten/</t>
        </r>
      </text>
    </comment>
    <comment ref="N126" authorId="2" shapeId="0">
      <text>
        <r>
          <rPr>
            <b/>
            <sz val="9"/>
            <color indexed="81"/>
            <rFont val="Segoe UI"/>
            <family val="2"/>
          </rPr>
          <t>Burkhard Patrick:</t>
        </r>
        <r>
          <rPr>
            <sz val="9"/>
            <color indexed="81"/>
            <rFont val="Segoe UI"/>
            <family val="2"/>
          </rPr>
          <t xml:space="preserve">
https://www.krebsliga.ch/ueber-krebs/zahlen-fakten/</t>
        </r>
      </text>
    </comment>
    <comment ref="N128" authorId="0" shapeId="0">
      <text>
        <r>
          <rPr>
            <b/>
            <sz val="9"/>
            <color indexed="81"/>
            <rFont val="Tahoma"/>
            <family val="2"/>
          </rPr>
          <t>https://www.orpha.net/consor/cgi-bin/OC_Exp.php?Lng=DE&amp;Expert=39812</t>
        </r>
      </text>
    </comment>
    <comment ref="N132" authorId="0" shapeId="0">
      <text>
        <r>
          <rPr>
            <b/>
            <sz val="9"/>
            <color indexed="81"/>
            <rFont val="Tahoma"/>
            <family val="2"/>
          </rPr>
          <t>Matius P. Stürchler:</t>
        </r>
        <r>
          <rPr>
            <sz val="9"/>
            <color indexed="81"/>
            <rFont val="Tahoma"/>
            <family val="2"/>
          </rPr>
          <t xml:space="preserve">
https://www.orpha.net/consor/cgi-bin/OC_Exp.php?Expert=79084&amp;lng=DE</t>
        </r>
      </text>
    </comment>
    <comment ref="N134" authorId="1" shapeId="0">
      <text>
        <r>
          <rPr>
            <b/>
            <sz val="9"/>
            <color indexed="81"/>
            <rFont val="Segoe UI"/>
            <family val="2"/>
          </rPr>
          <t>Githui Moses:</t>
        </r>
        <r>
          <rPr>
            <sz val="9"/>
            <color indexed="81"/>
            <rFont val="Segoe UI"/>
            <family val="2"/>
          </rPr>
          <t xml:space="preserve">
5 / 100000 Prävalenz</t>
        </r>
      </text>
    </comment>
    <comment ref="N136" authorId="2" shapeId="0">
      <text>
        <r>
          <rPr>
            <b/>
            <sz val="9"/>
            <color indexed="81"/>
            <rFont val="Segoe UI"/>
            <family val="2"/>
          </rPr>
          <t>Burkhard Patrick:</t>
        </r>
        <r>
          <rPr>
            <sz val="9"/>
            <color indexed="81"/>
            <rFont val="Segoe UI"/>
            <family val="2"/>
          </rPr>
          <t xml:space="preserve">
https://www.ksa.ch/sites/default/files/cms/edm/pocketguide/appendix/22_net_patientenbroschuere_d.pdf</t>
        </r>
      </text>
    </comment>
    <comment ref="N143" authorId="2"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144" authorId="2" shapeId="0">
      <text>
        <r>
          <rPr>
            <b/>
            <sz val="9"/>
            <color indexed="81"/>
            <rFont val="Segoe UI"/>
            <family val="2"/>
          </rPr>
          <t>Burkhard Patrick:</t>
        </r>
        <r>
          <rPr>
            <sz val="9"/>
            <color indexed="81"/>
            <rFont val="Segoe UI"/>
            <family val="2"/>
          </rPr>
          <t xml:space="preserve">
https://www.beobachter.ch/gesundheit/krankheit/schuppenflechte-psoriasis</t>
        </r>
      </text>
    </comment>
    <comment ref="N145" authorId="2" shapeId="0">
      <text>
        <r>
          <rPr>
            <b/>
            <sz val="9"/>
            <color indexed="81"/>
            <rFont val="Segoe UI"/>
            <family val="2"/>
          </rPr>
          <t>Burkhard Patrick:</t>
        </r>
        <r>
          <rPr>
            <sz val="9"/>
            <color indexed="81"/>
            <rFont val="Segoe UI"/>
            <family val="2"/>
          </rPr>
          <t xml:space="preserve">
https://www.parkinson.ch/</t>
        </r>
      </text>
    </comment>
    <comment ref="N146" authorId="0" shapeId="0">
      <text>
        <r>
          <rPr>
            <b/>
            <sz val="9"/>
            <color indexed="81"/>
            <rFont val="Tahoma"/>
            <family val="2"/>
          </rPr>
          <t>Matius P. Stürchler:</t>
        </r>
        <r>
          <rPr>
            <sz val="9"/>
            <color indexed="81"/>
            <rFont val="Tahoma"/>
            <family val="2"/>
          </rPr>
          <t xml:space="preserve">
https://www.headache.ch/migraene</t>
        </r>
      </text>
    </comment>
    <comment ref="N153"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
1.5/100'000</t>
        </r>
      </text>
    </comment>
    <comment ref="B154" authorId="1" shapeId="0">
      <text>
        <r>
          <rPr>
            <b/>
            <sz val="9"/>
            <color indexed="81"/>
            <rFont val="Segoe UI"/>
            <family val="2"/>
          </rPr>
          <t>Githui Moses:</t>
        </r>
        <r>
          <rPr>
            <sz val="9"/>
            <color indexed="81"/>
            <rFont val="Segoe UI"/>
            <family val="2"/>
          </rPr>
          <t xml:space="preserve">
a form of renal cell carcinoma</t>
        </r>
      </text>
    </comment>
    <comment ref="N154" authorId="1" shapeId="0">
      <text>
        <r>
          <rPr>
            <b/>
            <sz val="9"/>
            <color indexed="81"/>
            <rFont val="Segoe UI"/>
            <family val="2"/>
          </rPr>
          <t>Githui Moses:</t>
        </r>
        <r>
          <rPr>
            <sz val="9"/>
            <color indexed="81"/>
            <rFont val="Segoe UI"/>
            <family val="2"/>
          </rPr>
          <t xml:space="preserve">
1/27000 bis 1/43000</t>
        </r>
      </text>
    </comment>
    <comment ref="N155" authorId="1" shapeId="0">
      <text>
        <r>
          <rPr>
            <b/>
            <sz val="9"/>
            <color indexed="81"/>
            <rFont val="Segoe UI"/>
            <family val="2"/>
          </rPr>
          <t>Githui Moses:</t>
        </r>
        <r>
          <rPr>
            <sz val="9"/>
            <color indexed="81"/>
            <rFont val="Segoe UI"/>
            <family val="2"/>
          </rPr>
          <t xml:space="preserve">
extrapoliiert auf Opsumit und Adempas Patienten
</t>
        </r>
      </text>
    </comment>
    <comment ref="N160" authorId="1" shapeId="0">
      <text>
        <r>
          <rPr>
            <b/>
            <sz val="9"/>
            <color indexed="81"/>
            <rFont val="Segoe UI"/>
            <family val="2"/>
          </rPr>
          <t>Githui Moses:</t>
        </r>
        <r>
          <rPr>
            <sz val="9"/>
            <color indexed="81"/>
            <rFont val="Segoe UI"/>
            <family val="2"/>
          </rPr>
          <t xml:space="preserve">
1-9 Patienten pro 100000 als Prevalence</t>
        </r>
      </text>
    </comment>
    <comment ref="N163" authorId="2" shapeId="0">
      <text>
        <r>
          <rPr>
            <b/>
            <sz val="9"/>
            <color indexed="81"/>
            <rFont val="Segoe UI"/>
            <family val="2"/>
          </rPr>
          <t>Burkhard Patrick:</t>
        </r>
        <r>
          <rPr>
            <sz val="9"/>
            <color indexed="81"/>
            <rFont val="Segoe UI"/>
            <family val="2"/>
          </rPr>
          <t xml:space="preserve">
https://www.news.uzh.ch/de/articles/2017/sichelzellanaemie.html</t>
        </r>
      </text>
    </comment>
    <comment ref="N164" authorId="0" shapeId="0">
      <text>
        <r>
          <rPr>
            <b/>
            <sz val="9"/>
            <color indexed="81"/>
            <rFont val="Tahoma"/>
            <family val="2"/>
          </rPr>
          <t>Matius P. Stürchler:</t>
        </r>
        <r>
          <rPr>
            <sz val="9"/>
            <color indexed="81"/>
            <rFont val="Tahoma"/>
            <family val="2"/>
          </rPr>
          <t xml:space="preserve">
https://www.novartis.co.uk/partnerships/patient-groups/chronic-spontaneous-urticaria-csu</t>
        </r>
      </text>
    </comment>
    <comment ref="N166" authorId="2" shapeId="0">
      <text>
        <r>
          <rPr>
            <b/>
            <sz val="9"/>
            <color indexed="81"/>
            <rFont val="Segoe UI"/>
            <family val="2"/>
          </rPr>
          <t>Burkhard Patrick:</t>
        </r>
        <r>
          <rPr>
            <sz val="9"/>
            <color indexed="81"/>
            <rFont val="Segoe UI"/>
            <family val="2"/>
          </rPr>
          <t xml:space="preserve">
https://www.krebsliga.ch/ueber-krebs/zahlen-fakten/</t>
        </r>
      </text>
    </comment>
    <comment ref="N169" authorId="0" shapeId="0">
      <text>
        <r>
          <rPr>
            <b/>
            <sz val="9"/>
            <color indexed="81"/>
            <rFont val="Tahoma"/>
            <family val="2"/>
          </rPr>
          <t>Matius P. Stürchler:</t>
        </r>
        <r>
          <rPr>
            <sz val="9"/>
            <color indexed="81"/>
            <rFont val="Tahoma"/>
            <family val="2"/>
          </rPr>
          <t xml:space="preserve">
https://shg.ch/de/haemophilie</t>
        </r>
      </text>
    </comment>
    <comment ref="N170" authorId="2" shapeId="0">
      <text>
        <r>
          <rPr>
            <b/>
            <sz val="9"/>
            <color indexed="81"/>
            <rFont val="Segoe UI"/>
            <family val="2"/>
          </rPr>
          <t>Burkhard Patrick:</t>
        </r>
        <r>
          <rPr>
            <sz val="9"/>
            <color indexed="81"/>
            <rFont val="Segoe UI"/>
            <family val="2"/>
          </rPr>
          <t xml:space="preserve">
https://www.news.uzh.ch/de/articles/2017/sichelzellanaemie.html</t>
        </r>
      </text>
    </comment>
    <comment ref="N173" authorId="2" shapeId="0">
      <text>
        <r>
          <rPr>
            <b/>
            <sz val="9"/>
            <color indexed="81"/>
            <rFont val="Segoe UI"/>
            <family val="2"/>
          </rPr>
          <t>Burkhard Patrick:</t>
        </r>
        <r>
          <rPr>
            <sz val="9"/>
            <color indexed="81"/>
            <rFont val="Segoe UI"/>
            <family val="2"/>
          </rPr>
          <t xml:space="preserve">
https://www.mds-switzerland.ch/patienteninformationen/was-ist-mds/</t>
        </r>
      </text>
    </comment>
    <comment ref="D174" authorId="1" shapeId="0">
      <text>
        <r>
          <rPr>
            <b/>
            <sz val="9"/>
            <color indexed="81"/>
            <rFont val="Segoe UI"/>
            <family val="2"/>
          </rPr>
          <t>Githui Moses:</t>
        </r>
        <r>
          <rPr>
            <sz val="9"/>
            <color indexed="81"/>
            <rFont val="Segoe UI"/>
            <family val="2"/>
          </rPr>
          <t xml:space="preserve">
vielleicht i.v.</t>
        </r>
      </text>
    </comment>
    <comment ref="N178" authorId="1" shapeId="0">
      <text>
        <r>
          <rPr>
            <b/>
            <sz val="9"/>
            <color indexed="81"/>
            <rFont val="Segoe UI"/>
            <family val="2"/>
          </rPr>
          <t>Githui Moses:</t>
        </r>
        <r>
          <rPr>
            <sz val="9"/>
            <color indexed="81"/>
            <rFont val="Segoe UI"/>
            <family val="2"/>
          </rPr>
          <t xml:space="preserve">
4.3 cases per 100,000</t>
        </r>
      </text>
    </comment>
    <comment ref="N179" authorId="2" shapeId="0">
      <text>
        <r>
          <rPr>
            <b/>
            <sz val="9"/>
            <color indexed="81"/>
            <rFont val="Segoe UI"/>
            <family val="2"/>
          </rPr>
          <t>Burkhard Patrick:</t>
        </r>
        <r>
          <rPr>
            <sz val="9"/>
            <color indexed="81"/>
            <rFont val="Segoe UI"/>
            <family val="2"/>
          </rPr>
          <t xml:space="preserve">
https://flexikon.doccheck.com/de/Nicht-kleinzelliges_Bronchialkarzinom</t>
        </r>
      </text>
    </comment>
    <comment ref="N180" authorId="0" shapeId="0">
      <text>
        <r>
          <rPr>
            <b/>
            <sz val="9"/>
            <color indexed="81"/>
            <rFont val="Tahoma"/>
            <family val="2"/>
          </rPr>
          <t>Matius P. Stürchler:</t>
        </r>
        <r>
          <rPr>
            <sz val="9"/>
            <color indexed="81"/>
            <rFont val="Tahoma"/>
            <family val="2"/>
          </rPr>
          <t xml:space="preserve">
https://www.beobachter.ch/gesundheit/krankheit/morbus-gaucher-gaucher-syndrom</t>
        </r>
      </text>
    </comment>
    <comment ref="N183" authorId="0" shapeId="0">
      <text>
        <r>
          <rPr>
            <b/>
            <sz val="9"/>
            <color indexed="81"/>
            <rFont val="Tahoma"/>
            <family val="2"/>
          </rPr>
          <t>Matius P. Stürchler:</t>
        </r>
        <r>
          <rPr>
            <sz val="9"/>
            <color indexed="81"/>
            <rFont val="Tahoma"/>
            <family val="2"/>
          </rPr>
          <t xml:space="preserve">
Eine
bereits klinisch symptomatische Arthrose findet sich bei mehr als 8% der
Bevölkerung im Alter von 50-70 Jahren.
https://www.germanjournalsportsmedicine.com/fileadmin/content/archiv2003/heft06/Engelhardt.pdf</t>
        </r>
      </text>
    </comment>
    <comment ref="N184" authorId="1" shapeId="0">
      <text>
        <r>
          <rPr>
            <b/>
            <sz val="9"/>
            <color indexed="81"/>
            <rFont val="Segoe UI"/>
            <family val="2"/>
          </rPr>
          <t>Githui Moses:</t>
        </r>
        <r>
          <rPr>
            <sz val="9"/>
            <color indexed="81"/>
            <rFont val="Segoe UI"/>
            <family val="2"/>
          </rPr>
          <t xml:space="preserve">
Gemäss Orphanet: 1 zu 1 Million Patienten</t>
        </r>
      </text>
    </comment>
    <comment ref="N186" authorId="2"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187"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191" authorId="0" shapeId="0">
      <text>
        <r>
          <rPr>
            <b/>
            <sz val="9"/>
            <color indexed="81"/>
            <rFont val="Tahoma"/>
            <family val="2"/>
          </rPr>
          <t>Matius P. Stürchler:</t>
        </r>
        <r>
          <rPr>
            <sz val="9"/>
            <color indexed="81"/>
            <rFont val="Tahoma"/>
            <family val="2"/>
          </rPr>
          <t xml:space="preserve">
https://medicalforum.ch/article/doi/smf.2018.03133</t>
        </r>
      </text>
    </comment>
    <comment ref="N192" authorId="0" shapeId="0">
      <text>
        <r>
          <rPr>
            <b/>
            <sz val="9"/>
            <color indexed="81"/>
            <rFont val="Tahoma"/>
            <family val="2"/>
          </rPr>
          <t>Matius P. Stürchler:</t>
        </r>
        <r>
          <rPr>
            <sz val="9"/>
            <color indexed="81"/>
            <rFont val="Tahoma"/>
            <family val="2"/>
          </rPr>
          <t xml:space="preserve">
https://medicalforum.ch/article/doi/smf.2018.03133</t>
        </r>
      </text>
    </comment>
    <comment ref="N194" authorId="1" shapeId="0">
      <text>
        <r>
          <rPr>
            <b/>
            <sz val="9"/>
            <color indexed="81"/>
            <rFont val="Segoe UI"/>
            <family val="2"/>
          </rPr>
          <t>Githui Moses:</t>
        </r>
        <r>
          <rPr>
            <sz val="9"/>
            <color indexed="81"/>
            <rFont val="Segoe UI"/>
            <family val="2"/>
          </rPr>
          <t xml:space="preserve">
Prevalence 1-9/ 100000
</t>
        </r>
      </text>
    </comment>
    <comment ref="N196" authorId="0" shapeId="0">
      <text>
        <r>
          <rPr>
            <b/>
            <sz val="9"/>
            <color indexed="81"/>
            <rFont val="Tahoma"/>
            <family val="2"/>
          </rPr>
          <t>Matius P. Stürchler:</t>
        </r>
        <r>
          <rPr>
            <sz val="9"/>
            <color indexed="81"/>
            <rFont val="Tahoma"/>
            <family val="2"/>
          </rPr>
          <t xml:space="preserve">
https://www.ncbi.nlm.nih.gov/pmc/articles/PMC5290446/</t>
        </r>
      </text>
    </comment>
    <comment ref="N198" authorId="2" shapeId="0">
      <text>
        <r>
          <rPr>
            <b/>
            <sz val="9"/>
            <color indexed="81"/>
            <rFont val="Segoe UI"/>
            <family val="2"/>
          </rPr>
          <t>Burkhard Patrick:</t>
        </r>
        <r>
          <rPr>
            <sz val="9"/>
            <color indexed="81"/>
            <rFont val="Segoe UI"/>
            <family val="2"/>
          </rPr>
          <t xml:space="preserve">
https://de.wikipedia.org/wiki/Pulmonale_Hypertonie</t>
        </r>
      </text>
    </comment>
    <comment ref="N202"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203"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205" authorId="0" shapeId="0">
      <text>
        <r>
          <rPr>
            <b/>
            <sz val="9"/>
            <color indexed="81"/>
            <rFont val="Tahoma"/>
            <family val="2"/>
          </rPr>
          <t>Matius P. Stürchler:</t>
        </r>
        <r>
          <rPr>
            <sz val="9"/>
            <color indexed="81"/>
            <rFont val="Tahoma"/>
            <family val="2"/>
          </rPr>
          <t xml:space="preserve">
https://www.orpha.net/consor/cgi-bin/Disease_Search.php?lng=DE&amp;data_id=8749&amp;Disease(s)/group%20of%20diseases=Diffuse-large-B-cell-lymphoma&amp;title=Diffuse%20large%20B-cell%20lymphoma&amp;search=Disease_Search_Simple&amp;ChdId=0</t>
        </r>
      </text>
    </comment>
    <comment ref="N207" authorId="2" shapeId="0">
      <text>
        <r>
          <rPr>
            <b/>
            <sz val="9"/>
            <color indexed="81"/>
            <rFont val="Segoe UI"/>
            <family val="2"/>
          </rPr>
          <t>Burkhard Patrick:</t>
        </r>
        <r>
          <rPr>
            <sz val="9"/>
            <color indexed="81"/>
            <rFont val="Segoe UI"/>
            <family val="2"/>
          </rPr>
          <t xml:space="preserve">
https://www.postnatale-depression.ch/de/</t>
        </r>
      </text>
    </comment>
    <comment ref="N210" authorId="0" shapeId="0">
      <text>
        <r>
          <rPr>
            <b/>
            <sz val="9"/>
            <color indexed="81"/>
            <rFont val="Tahoma"/>
            <family val="2"/>
          </rPr>
          <t>Matius P. Stürchler:</t>
        </r>
        <r>
          <rPr>
            <sz val="9"/>
            <color indexed="81"/>
            <rFont val="Tahoma"/>
            <family val="2"/>
          </rPr>
          <t xml:space="preserve">
https://shg.ch/de/haemophilie</t>
        </r>
      </text>
    </comment>
    <comment ref="N212" authorId="1" shapeId="0">
      <text>
        <r>
          <rPr>
            <b/>
            <sz val="9"/>
            <color indexed="81"/>
            <rFont val="Segoe UI"/>
            <family val="2"/>
          </rPr>
          <t>Githui Moses:</t>
        </r>
        <r>
          <rPr>
            <sz val="9"/>
            <color indexed="81"/>
            <rFont val="Segoe UI"/>
            <family val="2"/>
          </rPr>
          <t xml:space="preserve">
Bei 20% aller Geburten in der CH</t>
        </r>
      </text>
    </comment>
    <comment ref="N215" authorId="0" shapeId="0">
      <text>
        <r>
          <rPr>
            <b/>
            <sz val="9"/>
            <color indexed="81"/>
            <rFont val="Tahoma"/>
            <family val="2"/>
          </rPr>
          <t>Matius P. Stürchler:</t>
        </r>
        <r>
          <rPr>
            <sz val="9"/>
            <color indexed="81"/>
            <rFont val="Tahoma"/>
            <family val="2"/>
          </rPr>
          <t xml:space="preserve">
https://medicalforum.ch/article/doi/smf.2018.03133</t>
        </r>
      </text>
    </comment>
    <comment ref="N217" authorId="2" shapeId="0">
      <text>
        <r>
          <rPr>
            <b/>
            <sz val="9"/>
            <color indexed="81"/>
            <rFont val="Segoe UI"/>
            <family val="2"/>
          </rPr>
          <t>Burkhard Patrick:</t>
        </r>
        <r>
          <rPr>
            <sz val="9"/>
            <color indexed="81"/>
            <rFont val="Segoe UI"/>
            <family val="2"/>
          </rPr>
          <t xml:space="preserve">
https://www.krebsliga.ch/ueber-krebs/zahlen-fakten/</t>
        </r>
      </text>
    </comment>
    <comment ref="N218" authorId="0" shapeId="0">
      <text>
        <r>
          <rPr>
            <b/>
            <sz val="9"/>
            <color indexed="81"/>
            <rFont val="Tahoma"/>
            <family val="2"/>
          </rPr>
          <t>Matius P. Stürchler:</t>
        </r>
        <r>
          <rPr>
            <sz val="9"/>
            <color indexed="81"/>
            <rFont val="Tahoma"/>
            <family val="2"/>
          </rPr>
          <t xml:space="preserve">
Schilla, C., Bubendorfb, L. &amp; Papachristofilou, A. Nicht-kleinzelliges Bronchialkarzinom. Schweizerisches Medizin-Forum 15, 453– 458 (2015).
http://www.swissbraintumorfoundation.com/Glioblastom.htm</t>
        </r>
      </text>
    </comment>
    <comment ref="N219" authorId="2" shapeId="0">
      <text>
        <r>
          <rPr>
            <b/>
            <sz val="9"/>
            <color indexed="81"/>
            <rFont val="Segoe UI"/>
            <family val="2"/>
          </rPr>
          <t>Burkhard Patrick:</t>
        </r>
        <r>
          <rPr>
            <sz val="9"/>
            <color indexed="81"/>
            <rFont val="Segoe UI"/>
            <family val="2"/>
          </rPr>
          <t xml:space="preserve">
https://www.krebsliga.ch/ueber-krebs/zahlen-fakten/</t>
        </r>
      </text>
    </comment>
    <comment ref="N220" authorId="2" shapeId="0">
      <text>
        <r>
          <rPr>
            <b/>
            <sz val="9"/>
            <color indexed="81"/>
            <rFont val="Segoe UI"/>
            <family val="2"/>
          </rPr>
          <t>Burkhard Patrick:</t>
        </r>
        <r>
          <rPr>
            <sz val="9"/>
            <color indexed="81"/>
            <rFont val="Segoe UI"/>
            <family val="2"/>
          </rPr>
          <t xml:space="preserve">
CLL:
https://medicalforum.ch/journalfile/view/article/ezm_smf/de/smf.2015.02151/debc9d7814df8e4fddfc859fae1a4caa1aa43f8a/smf_2015_02151.pdf/rsrc/jf
NHL:
https://www.krebsliga.ch/ueber-krebs/zahlen-fakten/</t>
        </r>
      </text>
    </comment>
    <comment ref="N221" authorId="2" shapeId="0">
      <text>
        <r>
          <rPr>
            <b/>
            <sz val="9"/>
            <color indexed="81"/>
            <rFont val="Segoe UI"/>
            <family val="2"/>
          </rPr>
          <t>Burkhard Patrick:</t>
        </r>
        <r>
          <rPr>
            <sz val="9"/>
            <color indexed="81"/>
            <rFont val="Segoe UI"/>
            <family val="2"/>
          </rPr>
          <t xml:space="preserve">
https://medicalforum.ch/article/doi/smf.2019.08249/
Annahme: 80% erwachsene Bevölkerung</t>
        </r>
      </text>
    </comment>
    <comment ref="N222"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223" authorId="2" shapeId="0">
      <text>
        <r>
          <rPr>
            <b/>
            <sz val="9"/>
            <color indexed="81"/>
            <rFont val="Segoe UI"/>
            <family val="2"/>
          </rPr>
          <t>Burkhard Patrick:</t>
        </r>
        <r>
          <rPr>
            <sz val="9"/>
            <color indexed="81"/>
            <rFont val="Segoe UI"/>
            <family val="2"/>
          </rPr>
          <t xml:space="preserve">
http://www.hemoschweiz.ch/haemophilie/formen-der-haemophilie/vererbte-haemophilie/</t>
        </r>
      </text>
    </comment>
    <comment ref="N225" authorId="0" shapeId="0">
      <text>
        <r>
          <rPr>
            <b/>
            <sz val="9"/>
            <color indexed="81"/>
            <rFont val="Tahoma"/>
            <family val="2"/>
          </rPr>
          <t>Matius P. Stürchler:</t>
        </r>
        <r>
          <rPr>
            <sz val="9"/>
            <color indexed="81"/>
            <rFont val="Tahoma"/>
            <family val="2"/>
          </rPr>
          <t xml:space="preserve">
https://primaryimmune.org/disease/hemophagocytic-lymphohistiocytosis-hlh</t>
        </r>
      </text>
    </comment>
    <comment ref="N227" authorId="0" shapeId="0">
      <text>
        <r>
          <rPr>
            <b/>
            <sz val="9"/>
            <color indexed="81"/>
            <rFont val="Tahoma"/>
            <family val="2"/>
          </rPr>
          <t>Matius P. Stürchler:</t>
        </r>
        <r>
          <rPr>
            <sz val="9"/>
            <color indexed="81"/>
            <rFont val="Tahoma"/>
            <family val="2"/>
          </rPr>
          <t xml:space="preserve">
https://www.orpha.net</t>
        </r>
      </text>
    </comment>
    <comment ref="N228" authorId="2" shapeId="0">
      <text>
        <r>
          <rPr>
            <b/>
            <sz val="9"/>
            <color indexed="81"/>
            <rFont val="Segoe UI"/>
            <family val="2"/>
          </rPr>
          <t>Burkhard Patrick:</t>
        </r>
        <r>
          <rPr>
            <sz val="9"/>
            <color indexed="81"/>
            <rFont val="Segoe UI"/>
            <family val="2"/>
          </rPr>
          <t xml:space="preserve">
https://www.krebsliga.ch/ueber-krebs/krebsarten/prostatakrebs/</t>
        </r>
      </text>
    </comment>
    <comment ref="N231" authorId="2" shapeId="0">
      <text>
        <r>
          <rPr>
            <b/>
            <sz val="9"/>
            <color indexed="81"/>
            <rFont val="Segoe UI"/>
            <family val="2"/>
          </rPr>
          <t>Burkhard Patrick:</t>
        </r>
        <r>
          <rPr>
            <sz val="9"/>
            <color indexed="81"/>
            <rFont val="Segoe UI"/>
            <family val="2"/>
          </rPr>
          <t xml:space="preserve">
https://flexikon.doccheck.com/de/Nicht-kleinzelliges_Bronchialkarzinom</t>
        </r>
      </text>
    </comment>
    <comment ref="N232" authorId="0" shapeId="0">
      <text>
        <r>
          <rPr>
            <b/>
            <sz val="9"/>
            <color indexed="81"/>
            <rFont val="Tahoma"/>
            <family val="2"/>
          </rPr>
          <t>Matius P. Stürchler:</t>
        </r>
        <r>
          <rPr>
            <sz val="9"/>
            <color indexed="81"/>
            <rFont val="Tahoma"/>
            <family val="2"/>
          </rPr>
          <t xml:space="preserve">
https://www.ncbi.nlm.nih.gov/pmc/articles/PMC6235801/</t>
        </r>
      </text>
    </comment>
    <comment ref="N233"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234" authorId="0" shapeId="0">
      <text>
        <r>
          <rPr>
            <b/>
            <sz val="9"/>
            <color indexed="81"/>
            <rFont val="Tahoma"/>
            <family val="2"/>
          </rPr>
          <t>Matius P. Stürchler:</t>
        </r>
        <r>
          <rPr>
            <sz val="9"/>
            <color indexed="81"/>
            <rFont val="Tahoma"/>
            <family val="2"/>
          </rPr>
          <t xml:space="preserve">
https://www.beobachter.ch/gesundheit/krankheit/chorea-huntington-huntington-krankheit</t>
        </r>
      </text>
    </comment>
    <comment ref="N236" authorId="0" shapeId="0">
      <text>
        <r>
          <rPr>
            <b/>
            <sz val="9"/>
            <color indexed="81"/>
            <rFont val="Tahoma"/>
            <family val="2"/>
          </rPr>
          <t>Matius P. Stürchler:</t>
        </r>
        <r>
          <rPr>
            <sz val="9"/>
            <color indexed="81"/>
            <rFont val="Tahoma"/>
            <family val="2"/>
          </rPr>
          <t xml:space="preserve">
https://medicalforum.ch/journalfile/view/article/ezm_smf/de/smf.2015.02151/debc9d7814df8e4fddfc859fae1a4caa1aa43f8a/smf_2015_02151.pdf/rsrc/jf</t>
        </r>
      </text>
    </comment>
    <comment ref="N237" authorId="0" shapeId="0">
      <text>
        <r>
          <rPr>
            <b/>
            <sz val="9"/>
            <color indexed="81"/>
            <rFont val="Tahoma"/>
            <family val="2"/>
          </rPr>
          <t>Matius P. Stürchler:</t>
        </r>
        <r>
          <rPr>
            <sz val="9"/>
            <color indexed="81"/>
            <rFont val="Tahoma"/>
            <family val="2"/>
          </rPr>
          <t xml:space="preserve">
https://www.orpha.net/consor/cgi-bin/OC_Exp.php?Expert=98375&amp;lng=DE</t>
        </r>
      </text>
    </comment>
    <comment ref="N241" authorId="0" shapeId="0">
      <text>
        <r>
          <rPr>
            <b/>
            <sz val="9"/>
            <color indexed="81"/>
            <rFont val="Tahoma"/>
            <family val="2"/>
          </rPr>
          <t>Matius P. Stürchler:</t>
        </r>
        <r>
          <rPr>
            <sz val="9"/>
            <color indexed="81"/>
            <rFont val="Tahoma"/>
            <family val="2"/>
          </rPr>
          <t xml:space="preserve">
https://medicalforum.ch/journalfile/view/article/ezm_smf/de/smf.2015.02151/debc9d7814df8e4fddfc859fae1a4caa1aa43f8a/smf_2015_02151.pdf/rsrc/jf</t>
        </r>
      </text>
    </comment>
    <comment ref="N242" authorId="2" shapeId="0">
      <text>
        <r>
          <rPr>
            <b/>
            <sz val="9"/>
            <color indexed="81"/>
            <rFont val="Segoe UI"/>
            <family val="2"/>
          </rPr>
          <t>Burkhard Patrick:</t>
        </r>
        <r>
          <rPr>
            <sz val="9"/>
            <color indexed="81"/>
            <rFont val="Segoe UI"/>
            <family val="2"/>
          </rPr>
          <t xml:space="preserve">
http://www.cfch.ch/cystische-fibrose/</t>
        </r>
      </text>
    </comment>
    <comment ref="N247" authorId="2" shapeId="0">
      <text>
        <r>
          <rPr>
            <b/>
            <sz val="9"/>
            <color indexed="81"/>
            <rFont val="Segoe UI"/>
            <family val="2"/>
          </rPr>
          <t>Burkhard Patrick:</t>
        </r>
        <r>
          <rPr>
            <sz val="9"/>
            <color indexed="81"/>
            <rFont val="Segoe UI"/>
            <family val="2"/>
          </rPr>
          <t xml:space="preserve">
https://www.krebsliga.ch/ueber-krebs/zahlen-fakten/</t>
        </r>
      </text>
    </comment>
  </commentList>
</comments>
</file>

<file path=xl/comments4.xml><?xml version="1.0" encoding="utf-8"?>
<comments xmlns="http://schemas.openxmlformats.org/spreadsheetml/2006/main">
  <authors>
    <author>Matius P. Stürchler</author>
    <author>Githui Moses</author>
    <author>Burkhard Patrick</author>
  </authors>
  <commentList>
    <comment ref="T1" authorId="0" shapeId="0">
      <text>
        <r>
          <rPr>
            <b/>
            <sz val="9"/>
            <color indexed="81"/>
            <rFont val="Tahoma"/>
            <family val="2"/>
          </rPr>
          <t>Matius P. Stürchler:</t>
        </r>
        <r>
          <rPr>
            <sz val="9"/>
            <color indexed="81"/>
            <rFont val="Tahoma"/>
            <family val="2"/>
          </rPr>
          <t xml:space="preserve">
0 = nein
1 = ja</t>
        </r>
      </text>
    </comment>
    <comment ref="U1" authorId="0" shapeId="0">
      <text>
        <r>
          <rPr>
            <b/>
            <sz val="9"/>
            <color indexed="81"/>
            <rFont val="Tahoma"/>
            <family val="2"/>
          </rPr>
          <t>Matius P. Stürchler:</t>
        </r>
        <r>
          <rPr>
            <sz val="9"/>
            <color indexed="81"/>
            <rFont val="Tahoma"/>
            <family val="2"/>
          </rPr>
          <t xml:space="preserve">
0 = nein
1 = ja</t>
        </r>
      </text>
    </comment>
    <comment ref="N4" authorId="1" shapeId="0">
      <text>
        <r>
          <rPr>
            <b/>
            <sz val="9"/>
            <color indexed="81"/>
            <rFont val="Segoe UI"/>
            <family val="2"/>
          </rPr>
          <t>Githui Moses:</t>
        </r>
        <r>
          <rPr>
            <sz val="9"/>
            <color indexed="81"/>
            <rFont val="Segoe UI"/>
            <family val="2"/>
          </rPr>
          <t xml:space="preserve">
Vielleicht nur 10% der Patienten, weil es sehr teuer ist</t>
        </r>
      </text>
    </comment>
    <comment ref="N8" authorId="0" shapeId="0">
      <text>
        <r>
          <rPr>
            <b/>
            <sz val="9"/>
            <color indexed="81"/>
            <rFont val="Tahoma"/>
            <family val="2"/>
          </rPr>
          <t>Matius P. Stürchler:</t>
        </r>
        <r>
          <rPr>
            <sz val="9"/>
            <color indexed="81"/>
            <rFont val="Tahoma"/>
            <family val="2"/>
          </rPr>
          <t xml:space="preserve">
https://www.pharmazeutische-zeitung.de/eine-seltene-erkrankung-zwei-neue-orphan-drugs/</t>
        </r>
      </text>
    </comment>
    <comment ref="N10" authorId="1" shapeId="0">
      <text>
        <r>
          <rPr>
            <b/>
            <sz val="9"/>
            <color indexed="81"/>
            <rFont val="Segoe UI"/>
            <family val="2"/>
          </rPr>
          <t>Githui Moses:</t>
        </r>
        <r>
          <rPr>
            <sz val="9"/>
            <color indexed="81"/>
            <rFont val="Segoe UI"/>
            <family val="2"/>
          </rPr>
          <t xml:space="preserve">
1 in 250000 </t>
        </r>
      </text>
    </comment>
    <comment ref="Q10" authorId="1" shapeId="0">
      <text>
        <r>
          <rPr>
            <b/>
            <sz val="9"/>
            <color indexed="81"/>
            <rFont val="Segoe UI"/>
            <family val="2"/>
          </rPr>
          <t>Githui Moses:</t>
        </r>
        <r>
          <rPr>
            <sz val="9"/>
            <color indexed="81"/>
            <rFont val="Segoe UI"/>
            <family val="2"/>
          </rPr>
          <t xml:space="preserve">
Dosis erw. 3mg/kg Flasche hat 20mg ergo ca. 10 Flaschen pro Patient</t>
        </r>
      </text>
    </comment>
    <comment ref="N20" authorId="0" shapeId="0">
      <text>
        <r>
          <rPr>
            <b/>
            <sz val="9"/>
            <color indexed="81"/>
            <rFont val="Tahoma"/>
            <family val="2"/>
          </rPr>
          <t>Matius P. Stürchler:</t>
        </r>
        <r>
          <rPr>
            <sz val="9"/>
            <color indexed="81"/>
            <rFont val="Tahoma"/>
            <family val="2"/>
          </rPr>
          <t xml:space="preserve">
https://www.headache.ch/migraene</t>
        </r>
      </text>
    </comment>
    <comment ref="N22" authorId="2" shapeId="0">
      <text>
        <r>
          <rPr>
            <b/>
            <sz val="9"/>
            <color indexed="81"/>
            <rFont val="Segoe UI"/>
            <family val="2"/>
          </rPr>
          <t>Burkhard Patrick:</t>
        </r>
        <r>
          <rPr>
            <sz val="9"/>
            <color indexed="81"/>
            <rFont val="Segoe UI"/>
            <family val="2"/>
          </rPr>
          <t xml:space="preserve">
https://www.rheumaliga.ch/rheuma-von-a-z/lupus</t>
        </r>
      </text>
    </comment>
    <comment ref="N23" authorId="2" shapeId="0">
      <text>
        <r>
          <rPr>
            <b/>
            <sz val="9"/>
            <color indexed="81"/>
            <rFont val="Segoe UI"/>
            <family val="2"/>
          </rPr>
          <t>Burkhard Patrick:</t>
        </r>
        <r>
          <rPr>
            <sz val="9"/>
            <color indexed="81"/>
            <rFont val="Segoe UI"/>
            <family val="2"/>
          </rPr>
          <t xml:space="preserve">
https://www.parkinson.ch/</t>
        </r>
      </text>
    </comment>
    <comment ref="N28" authorId="0" shapeId="0">
      <text>
        <r>
          <rPr>
            <b/>
            <sz val="9"/>
            <color indexed="81"/>
            <rFont val="Tahoma"/>
            <family val="2"/>
          </rPr>
          <t>Matius P. Stürchler:</t>
        </r>
        <r>
          <rPr>
            <sz val="9"/>
            <color indexed="81"/>
            <rFont val="Tahoma"/>
            <family val="2"/>
          </rPr>
          <t xml:space="preserve">
Das Ovarialkarzinom
Sara Imboden, Urban Novak, Michael D. Mueller
Inzidenz</t>
        </r>
      </text>
    </comment>
    <comment ref="N30" authorId="0" shapeId="0">
      <text>
        <r>
          <rPr>
            <b/>
            <sz val="9"/>
            <color indexed="81"/>
            <rFont val="Tahoma"/>
            <family val="2"/>
          </rPr>
          <t>Matius P. Stürchler:</t>
        </r>
        <r>
          <rPr>
            <sz val="9"/>
            <color indexed="81"/>
            <rFont val="Tahoma"/>
            <family val="2"/>
          </rPr>
          <t xml:space="preserve">
Huntington-Krankheit SMF 2015</t>
        </r>
      </text>
    </comment>
    <comment ref="N34"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
1.5/100'000</t>
        </r>
      </text>
    </comment>
    <comment ref="N35"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36" authorId="0" shapeId="0">
      <text>
        <r>
          <rPr>
            <b/>
            <sz val="9"/>
            <color indexed="81"/>
            <rFont val="Tahoma"/>
            <family val="2"/>
          </rPr>
          <t>Matius P. Stürchler:</t>
        </r>
        <r>
          <rPr>
            <sz val="9"/>
            <color indexed="81"/>
            <rFont val="Tahoma"/>
            <family val="2"/>
          </rPr>
          <t xml:space="preserve">
https://www.onkopedia.com/de/onkopedia/guidelines/paroxysmale-naechtliche-haemoglobinurie-pnh/@@guideline/html/index.html</t>
        </r>
      </text>
    </comment>
    <comment ref="N37" authorId="0" shapeId="0">
      <text>
        <r>
          <rPr>
            <b/>
            <sz val="9"/>
            <color indexed="81"/>
            <rFont val="Tahoma"/>
            <family val="2"/>
          </rPr>
          <t>Matius P. Stürchler:</t>
        </r>
        <r>
          <rPr>
            <sz val="9"/>
            <color indexed="81"/>
            <rFont val="Tahoma"/>
            <family val="2"/>
          </rPr>
          <t xml:space="preserve">
https://www.headache.ch/migraene</t>
        </r>
      </text>
    </comment>
    <comment ref="N38" authorId="0" shapeId="0">
      <text>
        <r>
          <rPr>
            <b/>
            <sz val="9"/>
            <color indexed="81"/>
            <rFont val="Tahoma"/>
            <family val="2"/>
          </rPr>
          <t>Matius P. Stürchler:</t>
        </r>
        <r>
          <rPr>
            <sz val="9"/>
            <color indexed="81"/>
            <rFont val="Tahoma"/>
            <family val="2"/>
          </rPr>
          <t xml:space="preserve">
https://de.wikipedia.org/wiki/Makuladegeneration
Altersabhängige Makuladegeneration:
Häufigste Ursache für Blindheit in Mitteleuropa
https://www.beobachter.ch/gesundheit/krankheit/altersbedingte-makuladegeneration-altersabhangige-makuladegeneration-amd</t>
        </r>
      </text>
    </comment>
    <comment ref="N39" authorId="2"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44" authorId="0" shapeId="0">
      <text>
        <r>
          <rPr>
            <b/>
            <sz val="9"/>
            <color indexed="81"/>
            <rFont val="Tahoma"/>
            <family val="2"/>
          </rPr>
          <t>Matius P. Stürchler:</t>
        </r>
        <r>
          <rPr>
            <sz val="9"/>
            <color indexed="81"/>
            <rFont val="Tahoma"/>
            <family val="2"/>
          </rPr>
          <t xml:space="preserve">
https://www.lungenliga.ch/uploads/tx_pubshop/Asthma_Broschuere.pdf</t>
        </r>
      </text>
    </comment>
    <comment ref="N46"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47" authorId="2" shapeId="0">
      <text>
        <r>
          <rPr>
            <b/>
            <sz val="9"/>
            <color indexed="81"/>
            <rFont val="Segoe UI"/>
            <family val="2"/>
          </rPr>
          <t>Burkhard Patrick:</t>
        </r>
        <r>
          <rPr>
            <sz val="9"/>
            <color indexed="81"/>
            <rFont val="Segoe UI"/>
            <family val="2"/>
          </rPr>
          <t xml:space="preserve">
https://www.muskelgesellschaft.ch/diagnosen/morbus-pompe-2/</t>
        </r>
      </text>
    </comment>
    <comment ref="N48" authorId="0" shapeId="0">
      <text>
        <r>
          <rPr>
            <b/>
            <sz val="9"/>
            <color indexed="81"/>
            <rFont val="Tahoma"/>
            <family val="2"/>
          </rPr>
          <t>Matius P. Stürchler:</t>
        </r>
        <r>
          <rPr>
            <sz val="9"/>
            <color indexed="81"/>
            <rFont val="Tahoma"/>
            <family val="2"/>
          </rPr>
          <t xml:space="preserve">
https://www.drschaer.com/de/institute/a/praevalenz-reizdarmsyndrom</t>
        </r>
      </text>
    </comment>
    <comment ref="N49"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50" authorId="2" shapeId="0">
      <text>
        <r>
          <rPr>
            <b/>
            <sz val="9"/>
            <color indexed="81"/>
            <rFont val="Segoe UI"/>
            <family val="2"/>
          </rPr>
          <t>Burkhard Patrick:</t>
        </r>
        <r>
          <rPr>
            <sz val="9"/>
            <color indexed="81"/>
            <rFont val="Segoe UI"/>
            <family val="2"/>
          </rPr>
          <t xml:space="preserve">
https://de.wikipedia.org/wiki/Pulmonale_Hypertonie</t>
        </r>
      </text>
    </comment>
    <comment ref="N53" authorId="0" shapeId="0">
      <text>
        <r>
          <rPr>
            <b/>
            <sz val="9"/>
            <color indexed="81"/>
            <rFont val="Tahoma"/>
            <family val="2"/>
          </rPr>
          <t>Matius P. Stürchler:</t>
        </r>
        <r>
          <rPr>
            <sz val="9"/>
            <color indexed="81"/>
            <rFont val="Tahoma"/>
            <family val="2"/>
          </rPr>
          <t xml:space="preserve">
https://www.lymphome.ch/lymphome/krankheitsbilder/haarzell-leukaemie-hzl/</t>
        </r>
      </text>
    </comment>
    <comment ref="N55" authorId="0" shapeId="0">
      <text>
        <r>
          <rPr>
            <b/>
            <sz val="9"/>
            <color indexed="81"/>
            <rFont val="Tahoma"/>
            <family val="2"/>
          </rPr>
          <t>Matius P. Stürchler:</t>
        </r>
        <r>
          <rPr>
            <sz val="9"/>
            <color indexed="81"/>
            <rFont val="Tahoma"/>
            <family val="2"/>
          </rPr>
          <t xml:space="preserve">
https://www.pathologie-dgp.de/media/Dgp/downloads/public/NTRK_tumor-agnostische-arzneimittel-20200113.pdf</t>
        </r>
      </text>
    </comment>
    <comment ref="N57" authorId="0" shapeId="0">
      <text>
        <r>
          <rPr>
            <b/>
            <sz val="9"/>
            <color indexed="81"/>
            <rFont val="Tahoma"/>
            <family val="2"/>
          </rPr>
          <t>Matius P. Stürchler:</t>
        </r>
        <r>
          <rPr>
            <sz val="9"/>
            <color indexed="81"/>
            <rFont val="Tahoma"/>
            <family val="2"/>
          </rPr>
          <t xml:space="preserve">
https://link.springer.com/article/10.1007/s001200050402</t>
        </r>
      </text>
    </comment>
    <comment ref="N58"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60" authorId="2" shapeId="0">
      <text>
        <r>
          <rPr>
            <b/>
            <sz val="9"/>
            <color indexed="81"/>
            <rFont val="Segoe UI"/>
            <family val="2"/>
          </rPr>
          <t>Burkhard Patrick:</t>
        </r>
        <r>
          <rPr>
            <sz val="9"/>
            <color indexed="81"/>
            <rFont val="Segoe UI"/>
            <family val="2"/>
          </rPr>
          <t xml:space="preserve">
1/30000 Lebendgeburten
https://de.m.wikipedia.org/wiki/Neuronale_Ceroid-Lipofuszinose</t>
        </r>
      </text>
    </comment>
    <comment ref="N61" authorId="2" shapeId="0">
      <text>
        <r>
          <rPr>
            <b/>
            <sz val="9"/>
            <color indexed="81"/>
            <rFont val="Segoe UI"/>
            <family val="2"/>
          </rPr>
          <t>Burkhard Patrick:</t>
        </r>
        <r>
          <rPr>
            <sz val="9"/>
            <color indexed="81"/>
            <rFont val="Segoe UI"/>
            <family val="2"/>
          </rPr>
          <t xml:space="preserve">
https://www.beobachter.ch/gesundheit/krankheit/phenylketonurie-pku</t>
        </r>
      </text>
    </comment>
    <comment ref="N62" authorId="2" shapeId="0">
      <text>
        <r>
          <rPr>
            <b/>
            <sz val="9"/>
            <color indexed="81"/>
            <rFont val="Segoe UI"/>
            <family val="2"/>
          </rPr>
          <t>Burkhard Patrick:</t>
        </r>
        <r>
          <rPr>
            <sz val="9"/>
            <color indexed="81"/>
            <rFont val="Segoe UI"/>
            <family val="2"/>
          </rPr>
          <t xml:space="preserve">
https://flexikon.doccheck.com/de/Nicht-kleinzelliges_Bronchialkarzinom</t>
        </r>
      </text>
    </comment>
    <comment ref="N63" authorId="1" shapeId="0">
      <text>
        <r>
          <rPr>
            <b/>
            <sz val="9"/>
            <color indexed="81"/>
            <rFont val="Segoe UI"/>
            <family val="2"/>
          </rPr>
          <t>Githui Moses:</t>
        </r>
        <r>
          <rPr>
            <sz val="9"/>
            <color indexed="81"/>
            <rFont val="Segoe UI"/>
            <family val="2"/>
          </rPr>
          <t xml:space="preserve">
1 in 200000 births. In der Schweiz sind ca. 85000 Geburten pro Jahr
</t>
        </r>
      </text>
    </comment>
    <comment ref="N66" authorId="2" shapeId="0">
      <text>
        <r>
          <rPr>
            <b/>
            <sz val="9"/>
            <color indexed="81"/>
            <rFont val="Segoe UI"/>
            <family val="2"/>
          </rPr>
          <t>Burkhard Patrick:</t>
        </r>
        <r>
          <rPr>
            <sz val="9"/>
            <color indexed="81"/>
            <rFont val="Segoe UI"/>
            <family val="2"/>
          </rPr>
          <t xml:space="preserve">
https://www.lung-cancer.com/squamous-cell.html
https://en.wikipedia.org/wiki/Head_and_neck_cancer#Epidemiology</t>
        </r>
      </text>
    </comment>
    <comment ref="N68" authorId="2" shapeId="0">
      <text>
        <r>
          <rPr>
            <b/>
            <sz val="9"/>
            <color indexed="81"/>
            <rFont val="Segoe UI"/>
            <family val="2"/>
          </rPr>
          <t>Burkhard Patrick:</t>
        </r>
        <r>
          <rPr>
            <sz val="9"/>
            <color indexed="81"/>
            <rFont val="Segoe UI"/>
            <family val="2"/>
          </rPr>
          <t xml:space="preserve">
https://www.krebsliga.ch/ueber-krebs/zahlen-fakten/</t>
        </r>
      </text>
    </comment>
    <comment ref="N72" authorId="2"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73" authorId="0" shapeId="0">
      <text>
        <r>
          <rPr>
            <b/>
            <sz val="9"/>
            <color indexed="81"/>
            <rFont val="Tahoma"/>
            <family val="2"/>
          </rPr>
          <t>Matius P. Stürchler:</t>
        </r>
        <r>
          <rPr>
            <sz val="9"/>
            <color indexed="81"/>
            <rFont val="Tahoma"/>
            <family val="2"/>
          </rPr>
          <t xml:space="preserve">
https://medicalforum.ch/article/doi/smf.2017.02891</t>
        </r>
      </text>
    </comment>
    <comment ref="N74" authorId="1" shapeId="0">
      <text>
        <r>
          <rPr>
            <b/>
            <sz val="9"/>
            <color indexed="81"/>
            <rFont val="Segoe UI"/>
            <family val="2"/>
          </rPr>
          <t>Githui Moses:</t>
        </r>
        <r>
          <rPr>
            <sz val="9"/>
            <color indexed="81"/>
            <rFont val="Segoe UI"/>
            <family val="2"/>
          </rPr>
          <t xml:space="preserve">
Inzidenz: 2/100000 pro Jahr</t>
        </r>
      </text>
    </comment>
    <comment ref="N75" authorId="2" shapeId="0">
      <text>
        <r>
          <rPr>
            <b/>
            <sz val="9"/>
            <color indexed="81"/>
            <rFont val="Segoe UI"/>
            <family val="2"/>
          </rPr>
          <t>Burkhard Patrick:</t>
        </r>
        <r>
          <rPr>
            <sz val="9"/>
            <color indexed="81"/>
            <rFont val="Segoe UI"/>
            <family val="2"/>
          </rPr>
          <t xml:space="preserve">
https://flexikon.doccheck.com/de/Cystinose</t>
        </r>
      </text>
    </comment>
    <comment ref="N77" authorId="2" shapeId="0">
      <text>
        <r>
          <rPr>
            <b/>
            <sz val="9"/>
            <color indexed="81"/>
            <rFont val="Segoe UI"/>
            <family val="2"/>
          </rPr>
          <t>Burkhard Patrick:</t>
        </r>
        <r>
          <rPr>
            <sz val="9"/>
            <color indexed="81"/>
            <rFont val="Segoe UI"/>
            <family val="2"/>
          </rPr>
          <t xml:space="preserve">
https://www.rheumaliga.ch/rheuma-von-a-z/sklerodermie</t>
        </r>
      </text>
    </comment>
    <comment ref="N78" authorId="0" shapeId="0">
      <text>
        <r>
          <rPr>
            <b/>
            <sz val="9"/>
            <color indexed="81"/>
            <rFont val="Tahoma"/>
            <family val="2"/>
          </rPr>
          <t>Matius P. Stürchler:</t>
        </r>
        <r>
          <rPr>
            <sz val="9"/>
            <color indexed="81"/>
            <rFont val="Tahoma"/>
            <family val="2"/>
          </rPr>
          <t xml:space="preserve">
https://www.netdoktor.ch/krankheit/formen-der-immunthrombozytopenie-5572</t>
        </r>
      </text>
    </comment>
    <comment ref="N79" authorId="0" shapeId="0">
      <text>
        <r>
          <rPr>
            <b/>
            <sz val="9"/>
            <color indexed="81"/>
            <rFont val="Tahoma"/>
            <family val="2"/>
          </rPr>
          <t>Matius P. Stürchler:</t>
        </r>
        <r>
          <rPr>
            <sz val="9"/>
            <color indexed="81"/>
            <rFont val="Tahoma"/>
            <family val="2"/>
          </rPr>
          <t xml:space="preserve">
https://de.wikipedia.org/wiki/Tyrosin%C3%A4mie_Typ_I</t>
        </r>
      </text>
    </comment>
    <comment ref="N80" authorId="2" shapeId="0">
      <text>
        <r>
          <rPr>
            <b/>
            <sz val="9"/>
            <color indexed="81"/>
            <rFont val="Segoe UI"/>
            <family val="2"/>
          </rPr>
          <t>Burkhard Patrick:</t>
        </r>
        <r>
          <rPr>
            <sz val="9"/>
            <color indexed="81"/>
            <rFont val="Segoe UI"/>
            <family val="2"/>
          </rPr>
          <t xml:space="preserve">
https://flexikon.doccheck.com/de/Prim%C3%A4r_bili%C3%A4re_Cholangitis
https://www.tellmed.ch/tellmed/Fachliteratur/Medizin_Spektrum/25_Nicht_alkoholische_Steatohepatitis_NASH_und_nicht_alkoholische_Fettleber.php</t>
        </r>
      </text>
    </comment>
    <comment ref="N81" authorId="2" shapeId="0">
      <text>
        <r>
          <rPr>
            <b/>
            <sz val="9"/>
            <color indexed="81"/>
            <rFont val="Segoe UI"/>
            <family val="2"/>
          </rPr>
          <t>Burkhard Patrick:</t>
        </r>
        <r>
          <rPr>
            <sz val="9"/>
            <color indexed="81"/>
            <rFont val="Segoe UI"/>
            <family val="2"/>
          </rPr>
          <t xml:space="preserve">
https://orthinform.de/lexikon/tendosynovialer-riesenzelltumor</t>
        </r>
      </text>
    </comment>
    <comment ref="N82"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t>
        </r>
      </text>
    </comment>
    <comment ref="N84" authorId="0" shapeId="0">
      <text>
        <r>
          <rPr>
            <b/>
            <sz val="9"/>
            <color indexed="81"/>
            <rFont val="Tahoma"/>
            <family val="2"/>
          </rPr>
          <t>Matius P. Stürchler:</t>
        </r>
        <r>
          <rPr>
            <sz val="9"/>
            <color indexed="81"/>
            <rFont val="Tahoma"/>
            <family val="2"/>
          </rPr>
          <t xml:space="preserve">
https://www.aha.ch/allergiezentrum-schweiz/info-zu-allergien/ekzem-hautreaktion/neurodermitis-atopische-dermatitis-ekzem/?oid=1579&amp;lang=de</t>
        </r>
      </text>
    </comment>
    <comment ref="N85" authorId="2" shapeId="0">
      <text>
        <r>
          <rPr>
            <b/>
            <sz val="9"/>
            <color indexed="81"/>
            <rFont val="Segoe UI"/>
            <family val="2"/>
          </rPr>
          <t>Burkhard Patrick:</t>
        </r>
        <r>
          <rPr>
            <sz val="9"/>
            <color indexed="81"/>
            <rFont val="Segoe UI"/>
            <family val="2"/>
          </rPr>
          <t xml:space="preserve">
https://de.wikipedia.org/wiki/Neurotrophe_Keratopathie</t>
        </r>
      </text>
    </comment>
    <comment ref="N89" authorId="2" shapeId="0">
      <text>
        <r>
          <rPr>
            <b/>
            <sz val="9"/>
            <color indexed="81"/>
            <rFont val="Segoe UI"/>
            <family val="2"/>
          </rPr>
          <t>Burkhard Patrick:</t>
        </r>
        <r>
          <rPr>
            <sz val="9"/>
            <color indexed="81"/>
            <rFont val="Segoe UI"/>
            <family val="2"/>
          </rPr>
          <t xml:space="preserve">
https://www.krebsliga.ch/ueber-krebs/zahlen-fakten/</t>
        </r>
      </text>
    </comment>
    <comment ref="N91" authorId="2" shapeId="0">
      <text>
        <r>
          <rPr>
            <b/>
            <sz val="9"/>
            <color indexed="81"/>
            <rFont val="Segoe UI"/>
            <family val="2"/>
          </rPr>
          <t>Burkhard Patrick:</t>
        </r>
        <r>
          <rPr>
            <sz val="9"/>
            <color indexed="81"/>
            <rFont val="Segoe UI"/>
            <family val="2"/>
          </rPr>
          <t xml:space="preserve">
https://www.krebsliga.ch/ueber-krebs/zahlen-fakten/</t>
        </r>
      </text>
    </comment>
    <comment ref="N93" authorId="2" shapeId="0">
      <text>
        <r>
          <rPr>
            <b/>
            <sz val="9"/>
            <color indexed="81"/>
            <rFont val="Segoe UI"/>
            <family val="2"/>
          </rPr>
          <t>Burkhard Patrick:</t>
        </r>
        <r>
          <rPr>
            <sz val="9"/>
            <color indexed="81"/>
            <rFont val="Segoe UI"/>
            <family val="2"/>
          </rPr>
          <t xml:space="preserve">
https://bmccancer.biomedcentral.com/articles/10.1186/s12885-015-1146-8</t>
        </r>
      </text>
    </comment>
    <comment ref="N95" authorId="2" shapeId="0">
      <text>
        <r>
          <rPr>
            <b/>
            <sz val="9"/>
            <color indexed="81"/>
            <rFont val="Segoe UI"/>
            <family val="2"/>
          </rPr>
          <t>Burkhard Patrick:</t>
        </r>
        <r>
          <rPr>
            <sz val="9"/>
            <color indexed="81"/>
            <rFont val="Segoe UI"/>
            <family val="2"/>
          </rPr>
          <t xml:space="preserve">
https://www.news.uzh.ch/de/articles/2017/sichelzellanaemie.html</t>
        </r>
      </text>
    </comment>
    <comment ref="N96" authorId="2" shapeId="0">
      <text>
        <r>
          <rPr>
            <b/>
            <sz val="9"/>
            <color indexed="81"/>
            <rFont val="Segoe UI"/>
            <family val="2"/>
          </rPr>
          <t>Burkhard Patrick:</t>
        </r>
        <r>
          <rPr>
            <sz val="9"/>
            <color indexed="81"/>
            <rFont val="Segoe UI"/>
            <family val="2"/>
          </rPr>
          <t xml:space="preserve">
https://www.sarkom-schweiz.ch/index.php/de/diagnose-sarkom</t>
        </r>
      </text>
    </comment>
    <comment ref="N98" authorId="2" shapeId="0">
      <text>
        <r>
          <rPr>
            <b/>
            <sz val="9"/>
            <color indexed="81"/>
            <rFont val="Segoe UI"/>
            <family val="2"/>
          </rPr>
          <t>Burkhard Patrick:</t>
        </r>
        <r>
          <rPr>
            <sz val="9"/>
            <color indexed="81"/>
            <rFont val="Segoe UI"/>
            <family val="2"/>
          </rPr>
          <t xml:space="preserve">
https://www.springermedizin.de/emedpedia/kinderchirurgie/neuroblastom-und-andere-nebennierentumoren-bei-kindern-und-jugendlichen?epediaDoi=10.1007%2F978-3-662-53390-1_84</t>
        </r>
      </text>
    </comment>
    <comment ref="N99" authorId="2" shapeId="0">
      <text>
        <r>
          <rPr>
            <b/>
            <sz val="9"/>
            <color indexed="81"/>
            <rFont val="Segoe UI"/>
            <family val="2"/>
          </rPr>
          <t>Burkhard Patrick:</t>
        </r>
        <r>
          <rPr>
            <sz val="9"/>
            <color indexed="81"/>
            <rFont val="Segoe UI"/>
            <family val="2"/>
          </rPr>
          <t xml:space="preserve">
https://www.krebsliga.ch/ueber-krebs/krebsarten/nierenkrebs-nierenzellkarzinom/</t>
        </r>
      </text>
    </comment>
    <comment ref="N100" authorId="0" shapeId="0">
      <text>
        <r>
          <rPr>
            <b/>
            <sz val="9"/>
            <color indexed="81"/>
            <rFont val="Tahoma"/>
            <family val="2"/>
          </rPr>
          <t>Matius P. Stürchler:</t>
        </r>
        <r>
          <rPr>
            <sz val="9"/>
            <color indexed="81"/>
            <rFont val="Tahoma"/>
            <family val="2"/>
          </rPr>
          <t xml:space="preserve">
https://de.wikipedia.org/wiki/Idiopathische_Lungenfibrose</t>
        </r>
      </text>
    </comment>
    <comment ref="N101" authorId="0" shapeId="0">
      <text>
        <r>
          <rPr>
            <b/>
            <sz val="9"/>
            <color indexed="81"/>
            <rFont val="Tahoma"/>
            <family val="2"/>
          </rPr>
          <t>Matius P. Stürchler:</t>
        </r>
        <r>
          <rPr>
            <sz val="9"/>
            <color indexed="81"/>
            <rFont val="Tahoma"/>
            <family val="2"/>
          </rPr>
          <t xml:space="preserve">
https://www.aha.ch/allergiezentrum-schweiz/info-zu-allergien/ekzem-hautreaktion/neurodermitis-atopische-dermatitis-ekzem/?oid=1579&amp;lang=de</t>
        </r>
      </text>
    </comment>
    <comment ref="N102" authorId="0" shapeId="0">
      <text>
        <r>
          <rPr>
            <b/>
            <sz val="9"/>
            <color indexed="81"/>
            <rFont val="Tahoma"/>
            <family val="2"/>
          </rPr>
          <t>Matius P. Stürchler:</t>
        </r>
        <r>
          <rPr>
            <sz val="9"/>
            <color indexed="81"/>
            <rFont val="Tahoma"/>
            <family val="2"/>
          </rPr>
          <t xml:space="preserve">
NAFLD, Lnage Leberverfettung: Häufig und nicht ganz harmlos</t>
        </r>
      </text>
    </comment>
    <comment ref="N108" authorId="0" shapeId="0">
      <text>
        <r>
          <rPr>
            <b/>
            <sz val="9"/>
            <color indexed="81"/>
            <rFont val="Tahoma"/>
            <family val="2"/>
          </rPr>
          <t>Matius P. Stürchler:</t>
        </r>
        <r>
          <rPr>
            <sz val="9"/>
            <color indexed="81"/>
            <rFont val="Tahoma"/>
            <family val="2"/>
          </rPr>
          <t xml:space="preserve">
Cancer prevalence in Switzerland 2010 - 2025: estimated proportion of prevalent subjects </t>
        </r>
      </text>
    </comment>
    <comment ref="N114" authorId="2" shapeId="0">
      <text>
        <r>
          <rPr>
            <b/>
            <sz val="9"/>
            <color indexed="81"/>
            <rFont val="Segoe UI"/>
            <family val="2"/>
          </rPr>
          <t>Burkhard Patrick:</t>
        </r>
        <r>
          <rPr>
            <sz val="9"/>
            <color indexed="81"/>
            <rFont val="Segoe UI"/>
            <family val="2"/>
          </rPr>
          <t xml:space="preserve">
https://www.diseasemaps.org/lennox-gastaut-syndrome/top-questions/prevalence/</t>
        </r>
      </text>
    </comment>
    <comment ref="N115" authorId="0" shapeId="0">
      <text>
        <r>
          <rPr>
            <b/>
            <sz val="9"/>
            <color indexed="81"/>
            <rFont val="Tahoma"/>
            <family val="2"/>
          </rPr>
          <t>Matius P. Stürchler:</t>
        </r>
        <r>
          <rPr>
            <sz val="9"/>
            <color indexed="81"/>
            <rFont val="Tahoma"/>
            <family val="2"/>
          </rPr>
          <t xml:space="preserve">
Renner, C. &amp; Tinguely, M. Maligne Lymphome: Diagnostik und Therapie. Schweiz Med Forum 14, 862–866 (2014).
1 Cozzio, A. Kutane T-Zell Lymphome. Medizin Forum, 30-33 (2016).</t>
        </r>
      </text>
    </comment>
    <comment ref="N116" authorId="2" shapeId="0">
      <text>
        <r>
          <rPr>
            <b/>
            <sz val="9"/>
            <color indexed="81"/>
            <rFont val="Segoe UI"/>
            <family val="2"/>
          </rPr>
          <t>Burkhard Patrick:</t>
        </r>
        <r>
          <rPr>
            <sz val="9"/>
            <color indexed="81"/>
            <rFont val="Segoe UI"/>
            <family val="2"/>
          </rPr>
          <t xml:space="preserve">
https://medicalforum.ch/article/doi/smf.2018.03451/
https://www.swissheart.ch/herzkrankheiten-hirnschlag/risikofaktoren/blutdruck.html</t>
        </r>
      </text>
    </comment>
    <comment ref="N117" authorId="0" shapeId="0">
      <text>
        <r>
          <rPr>
            <b/>
            <sz val="9"/>
            <color indexed="81"/>
            <rFont val="Tahoma"/>
            <family val="2"/>
          </rPr>
          <t>Matius P. Stürchler:</t>
        </r>
        <r>
          <rPr>
            <sz val="9"/>
            <color indexed="81"/>
            <rFont val="Tahoma"/>
            <family val="2"/>
          </rPr>
          <t xml:space="preserve">
https://de.wikipedia.org/wiki/Morbus_Fabry</t>
        </r>
      </text>
    </comment>
    <comment ref="N118" authorId="2" shapeId="0">
      <text>
        <r>
          <rPr>
            <b/>
            <sz val="9"/>
            <color indexed="81"/>
            <rFont val="Segoe UI"/>
            <family val="2"/>
          </rPr>
          <t>Burkhard Patrick:</t>
        </r>
        <r>
          <rPr>
            <sz val="9"/>
            <color indexed="81"/>
            <rFont val="Segoe UI"/>
            <family val="2"/>
          </rPr>
          <t xml:space="preserve">
https://www.krebsliga.ch/ueber-krebs/zahlen-fakten/</t>
        </r>
      </text>
    </comment>
    <comment ref="N119" authorId="2" shapeId="0">
      <text>
        <r>
          <rPr>
            <b/>
            <sz val="9"/>
            <color indexed="81"/>
            <rFont val="Segoe UI"/>
            <family val="2"/>
          </rPr>
          <t>Burkhard Patrick:</t>
        </r>
        <r>
          <rPr>
            <sz val="9"/>
            <color indexed="81"/>
            <rFont val="Segoe UI"/>
            <family val="2"/>
          </rPr>
          <t xml:space="preserve">
https://www.krebsliga.ch/ueber-krebs/zahlen-fakten/</t>
        </r>
      </text>
    </comment>
    <comment ref="N120" authorId="2" shapeId="0">
      <text>
        <r>
          <rPr>
            <b/>
            <sz val="9"/>
            <color indexed="81"/>
            <rFont val="Segoe UI"/>
            <family val="2"/>
          </rPr>
          <t>Burkhard Patrick:</t>
        </r>
        <r>
          <rPr>
            <sz val="9"/>
            <color indexed="81"/>
            <rFont val="Segoe UI"/>
            <family val="2"/>
          </rPr>
          <t xml:space="preserve">
https://www.krebsliga.ch/ueber-krebs/zahlen-fakten/</t>
        </r>
      </text>
    </comment>
    <comment ref="N122" authorId="0" shapeId="0">
      <text>
        <r>
          <rPr>
            <b/>
            <sz val="9"/>
            <color indexed="81"/>
            <rFont val="Tahoma"/>
            <family val="2"/>
          </rPr>
          <t>https://www.orpha.net/consor/cgi-bin/OC_Exp.php?Lng=DE&amp;Expert=39812</t>
        </r>
      </text>
    </comment>
    <comment ref="N126" authorId="0" shapeId="0">
      <text>
        <r>
          <rPr>
            <b/>
            <sz val="9"/>
            <color indexed="81"/>
            <rFont val="Tahoma"/>
            <family val="2"/>
          </rPr>
          <t>Matius P. Stürchler:</t>
        </r>
        <r>
          <rPr>
            <sz val="9"/>
            <color indexed="81"/>
            <rFont val="Tahoma"/>
            <family val="2"/>
          </rPr>
          <t xml:space="preserve">
https://www.orpha.net/consor/cgi-bin/OC_Exp.php?Expert=79084&amp;lng=DE</t>
        </r>
      </text>
    </comment>
    <comment ref="N128" authorId="1" shapeId="0">
      <text>
        <r>
          <rPr>
            <b/>
            <sz val="9"/>
            <color indexed="81"/>
            <rFont val="Segoe UI"/>
            <family val="2"/>
          </rPr>
          <t>Githui Moses:</t>
        </r>
        <r>
          <rPr>
            <sz val="9"/>
            <color indexed="81"/>
            <rFont val="Segoe UI"/>
            <family val="2"/>
          </rPr>
          <t xml:space="preserve">
5 / 100000 Prävalenz</t>
        </r>
      </text>
    </comment>
    <comment ref="N130" authorId="2" shapeId="0">
      <text>
        <r>
          <rPr>
            <b/>
            <sz val="9"/>
            <color indexed="81"/>
            <rFont val="Segoe UI"/>
            <family val="2"/>
          </rPr>
          <t>Burkhard Patrick:</t>
        </r>
        <r>
          <rPr>
            <sz val="9"/>
            <color indexed="81"/>
            <rFont val="Segoe UI"/>
            <family val="2"/>
          </rPr>
          <t xml:space="preserve">
https://www.ksa.ch/sites/default/files/cms/edm/pocketguide/appendix/22_net_patientenbroschuere_d.pdf</t>
        </r>
      </text>
    </comment>
    <comment ref="N137" authorId="2"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138" authorId="2" shapeId="0">
      <text>
        <r>
          <rPr>
            <b/>
            <sz val="9"/>
            <color indexed="81"/>
            <rFont val="Segoe UI"/>
            <family val="2"/>
          </rPr>
          <t>Burkhard Patrick:</t>
        </r>
        <r>
          <rPr>
            <sz val="9"/>
            <color indexed="81"/>
            <rFont val="Segoe UI"/>
            <family val="2"/>
          </rPr>
          <t xml:space="preserve">
https://www.beobachter.ch/gesundheit/krankheit/schuppenflechte-psoriasis</t>
        </r>
      </text>
    </comment>
    <comment ref="N139" authorId="2" shapeId="0">
      <text>
        <r>
          <rPr>
            <b/>
            <sz val="9"/>
            <color indexed="81"/>
            <rFont val="Segoe UI"/>
            <family val="2"/>
          </rPr>
          <t>Burkhard Patrick:</t>
        </r>
        <r>
          <rPr>
            <sz val="9"/>
            <color indexed="81"/>
            <rFont val="Segoe UI"/>
            <family val="2"/>
          </rPr>
          <t xml:space="preserve">
https://www.parkinson.ch/</t>
        </r>
      </text>
    </comment>
    <comment ref="N140" authorId="0" shapeId="0">
      <text>
        <r>
          <rPr>
            <b/>
            <sz val="9"/>
            <color indexed="81"/>
            <rFont val="Tahoma"/>
            <family val="2"/>
          </rPr>
          <t>Matius P. Stürchler:</t>
        </r>
        <r>
          <rPr>
            <sz val="9"/>
            <color indexed="81"/>
            <rFont val="Tahoma"/>
            <family val="2"/>
          </rPr>
          <t xml:space="preserve">
https://www.headache.ch/migraene</t>
        </r>
      </text>
    </comment>
    <comment ref="N144" authorId="0" shapeId="0">
      <text>
        <r>
          <rPr>
            <b/>
            <sz val="9"/>
            <color indexed="81"/>
            <rFont val="Tahoma"/>
            <family val="2"/>
          </rPr>
          <t>Matius P. Stürchler:</t>
        </r>
        <r>
          <rPr>
            <sz val="9"/>
            <color indexed="81"/>
            <rFont val="Tahoma"/>
            <family val="2"/>
          </rPr>
          <t xml:space="preserve">
http://www.haematologie-onkologie.usz.ch/fachwissen/haemato-onkologische-erkrankungen/Seiten/leukaemien.aspx
1.5/100'000</t>
        </r>
      </text>
    </comment>
    <comment ref="B145" authorId="1" shapeId="0">
      <text>
        <r>
          <rPr>
            <b/>
            <sz val="9"/>
            <color indexed="81"/>
            <rFont val="Segoe UI"/>
            <family val="2"/>
          </rPr>
          <t>Githui Moses:</t>
        </r>
        <r>
          <rPr>
            <sz val="9"/>
            <color indexed="81"/>
            <rFont val="Segoe UI"/>
            <family val="2"/>
          </rPr>
          <t xml:space="preserve">
a form of renal cell carcinoma</t>
        </r>
      </text>
    </comment>
    <comment ref="N145" authorId="1" shapeId="0">
      <text>
        <r>
          <rPr>
            <b/>
            <sz val="9"/>
            <color indexed="81"/>
            <rFont val="Segoe UI"/>
            <family val="2"/>
          </rPr>
          <t>Githui Moses:</t>
        </r>
        <r>
          <rPr>
            <sz val="9"/>
            <color indexed="81"/>
            <rFont val="Segoe UI"/>
            <family val="2"/>
          </rPr>
          <t xml:space="preserve">
1/27000 bis 1/43000</t>
        </r>
      </text>
    </comment>
    <comment ref="N146" authorId="1" shapeId="0">
      <text>
        <r>
          <rPr>
            <b/>
            <sz val="9"/>
            <color indexed="81"/>
            <rFont val="Segoe UI"/>
            <family val="2"/>
          </rPr>
          <t>Githui Moses:</t>
        </r>
        <r>
          <rPr>
            <sz val="9"/>
            <color indexed="81"/>
            <rFont val="Segoe UI"/>
            <family val="2"/>
          </rPr>
          <t xml:space="preserve">
extrapoliiert auf Opsumit und Adempas Patienten
</t>
        </r>
      </text>
    </comment>
    <comment ref="N151" authorId="1" shapeId="0">
      <text>
        <r>
          <rPr>
            <b/>
            <sz val="9"/>
            <color indexed="81"/>
            <rFont val="Segoe UI"/>
            <family val="2"/>
          </rPr>
          <t>Githui Moses:</t>
        </r>
        <r>
          <rPr>
            <sz val="9"/>
            <color indexed="81"/>
            <rFont val="Segoe UI"/>
            <family val="2"/>
          </rPr>
          <t xml:space="preserve">
1-9 Patienten pro 100000 als Prevalence</t>
        </r>
      </text>
    </comment>
    <comment ref="N154" authorId="2" shapeId="0">
      <text>
        <r>
          <rPr>
            <b/>
            <sz val="9"/>
            <color indexed="81"/>
            <rFont val="Segoe UI"/>
            <family val="2"/>
          </rPr>
          <t>Burkhard Patrick:</t>
        </r>
        <r>
          <rPr>
            <sz val="9"/>
            <color indexed="81"/>
            <rFont val="Segoe UI"/>
            <family val="2"/>
          </rPr>
          <t xml:space="preserve">
https://www.news.uzh.ch/de/articles/2017/sichelzellanaemie.html</t>
        </r>
      </text>
    </comment>
    <comment ref="N155" authorId="0" shapeId="0">
      <text>
        <r>
          <rPr>
            <b/>
            <sz val="9"/>
            <color indexed="81"/>
            <rFont val="Tahoma"/>
            <family val="2"/>
          </rPr>
          <t>Matius P. Stürchler:</t>
        </r>
        <r>
          <rPr>
            <sz val="9"/>
            <color indexed="81"/>
            <rFont val="Tahoma"/>
            <family val="2"/>
          </rPr>
          <t xml:space="preserve">
https://www.novartis.co.uk/partnerships/patient-groups/chronic-spontaneous-urticaria-csu</t>
        </r>
      </text>
    </comment>
    <comment ref="N157" authorId="2" shapeId="0">
      <text>
        <r>
          <rPr>
            <b/>
            <sz val="9"/>
            <color indexed="81"/>
            <rFont val="Segoe UI"/>
            <family val="2"/>
          </rPr>
          <t>Burkhard Patrick:</t>
        </r>
        <r>
          <rPr>
            <sz val="9"/>
            <color indexed="81"/>
            <rFont val="Segoe UI"/>
            <family val="2"/>
          </rPr>
          <t xml:space="preserve">
https://www.krebsliga.ch/ueber-krebs/zahlen-fakten/</t>
        </r>
      </text>
    </comment>
    <comment ref="N160" authorId="0" shapeId="0">
      <text>
        <r>
          <rPr>
            <b/>
            <sz val="9"/>
            <color indexed="81"/>
            <rFont val="Tahoma"/>
            <family val="2"/>
          </rPr>
          <t>Matius P. Stürchler:</t>
        </r>
        <r>
          <rPr>
            <sz val="9"/>
            <color indexed="81"/>
            <rFont val="Tahoma"/>
            <family val="2"/>
          </rPr>
          <t xml:space="preserve">
https://shg.ch/de/haemophilie</t>
        </r>
      </text>
    </comment>
    <comment ref="N161" authorId="2" shapeId="0">
      <text>
        <r>
          <rPr>
            <b/>
            <sz val="9"/>
            <color indexed="81"/>
            <rFont val="Segoe UI"/>
            <family val="2"/>
          </rPr>
          <t>Burkhard Patrick:</t>
        </r>
        <r>
          <rPr>
            <sz val="9"/>
            <color indexed="81"/>
            <rFont val="Segoe UI"/>
            <family val="2"/>
          </rPr>
          <t xml:space="preserve">
https://www.news.uzh.ch/de/articles/2017/sichelzellanaemie.html</t>
        </r>
      </text>
    </comment>
    <comment ref="N164" authorId="2" shapeId="0">
      <text>
        <r>
          <rPr>
            <b/>
            <sz val="9"/>
            <color indexed="81"/>
            <rFont val="Segoe UI"/>
            <family val="2"/>
          </rPr>
          <t>Burkhard Patrick:</t>
        </r>
        <r>
          <rPr>
            <sz val="9"/>
            <color indexed="81"/>
            <rFont val="Segoe UI"/>
            <family val="2"/>
          </rPr>
          <t xml:space="preserve">
https://www.mds-switzerland.ch/patienteninformationen/was-ist-mds/</t>
        </r>
      </text>
    </comment>
    <comment ref="D165" authorId="1" shapeId="0">
      <text>
        <r>
          <rPr>
            <b/>
            <sz val="9"/>
            <color indexed="81"/>
            <rFont val="Segoe UI"/>
            <family val="2"/>
          </rPr>
          <t>Githui Moses:</t>
        </r>
        <r>
          <rPr>
            <sz val="9"/>
            <color indexed="81"/>
            <rFont val="Segoe UI"/>
            <family val="2"/>
          </rPr>
          <t xml:space="preserve">
vielleicht i.v.</t>
        </r>
      </text>
    </comment>
    <comment ref="N169" authorId="1" shapeId="0">
      <text>
        <r>
          <rPr>
            <b/>
            <sz val="9"/>
            <color indexed="81"/>
            <rFont val="Segoe UI"/>
            <family val="2"/>
          </rPr>
          <t>Githui Moses:</t>
        </r>
        <r>
          <rPr>
            <sz val="9"/>
            <color indexed="81"/>
            <rFont val="Segoe UI"/>
            <family val="2"/>
          </rPr>
          <t xml:space="preserve">
4.3 cases per 100,000</t>
        </r>
      </text>
    </comment>
    <comment ref="N170" authorId="2" shapeId="0">
      <text>
        <r>
          <rPr>
            <b/>
            <sz val="9"/>
            <color indexed="81"/>
            <rFont val="Segoe UI"/>
            <family val="2"/>
          </rPr>
          <t>Burkhard Patrick:</t>
        </r>
        <r>
          <rPr>
            <sz val="9"/>
            <color indexed="81"/>
            <rFont val="Segoe UI"/>
            <family val="2"/>
          </rPr>
          <t xml:space="preserve">
https://flexikon.doccheck.com/de/Nicht-kleinzelliges_Bronchialkarzinom</t>
        </r>
      </text>
    </comment>
    <comment ref="N171" authorId="0" shapeId="0">
      <text>
        <r>
          <rPr>
            <b/>
            <sz val="9"/>
            <color indexed="81"/>
            <rFont val="Tahoma"/>
            <family val="2"/>
          </rPr>
          <t>Matius P. Stürchler:</t>
        </r>
        <r>
          <rPr>
            <sz val="9"/>
            <color indexed="81"/>
            <rFont val="Tahoma"/>
            <family val="2"/>
          </rPr>
          <t xml:space="preserve">
https://www.beobachter.ch/gesundheit/krankheit/morbus-gaucher-gaucher-syndrom</t>
        </r>
      </text>
    </comment>
    <comment ref="N174" authorId="0" shapeId="0">
      <text>
        <r>
          <rPr>
            <b/>
            <sz val="9"/>
            <color indexed="81"/>
            <rFont val="Tahoma"/>
            <family val="2"/>
          </rPr>
          <t>Matius P. Stürchler:</t>
        </r>
        <r>
          <rPr>
            <sz val="9"/>
            <color indexed="81"/>
            <rFont val="Tahoma"/>
            <family val="2"/>
          </rPr>
          <t xml:space="preserve">
Eine
bereits klinisch symptomatische Arthrose findet sich bei mehr als 8% der
Bevölkerung im Alter von 50-70 Jahren.
https://www.germanjournalsportsmedicine.com/fileadmin/content/archiv2003/heft06/Engelhardt.pdf</t>
        </r>
      </text>
    </comment>
    <comment ref="N175" authorId="1" shapeId="0">
      <text>
        <r>
          <rPr>
            <b/>
            <sz val="9"/>
            <color indexed="81"/>
            <rFont val="Segoe UI"/>
            <family val="2"/>
          </rPr>
          <t>Githui Moses:</t>
        </r>
        <r>
          <rPr>
            <sz val="9"/>
            <color indexed="81"/>
            <rFont val="Segoe UI"/>
            <family val="2"/>
          </rPr>
          <t xml:space="preserve">
Gemäss Orphanet: 1 zu 1 Million Patienten</t>
        </r>
      </text>
    </comment>
    <comment ref="N177" authorId="2" shapeId="0">
      <text>
        <r>
          <rPr>
            <b/>
            <sz val="9"/>
            <color indexed="81"/>
            <rFont val="Segoe UI"/>
            <family val="2"/>
          </rPr>
          <t>Burkhard Patrick:</t>
        </r>
        <r>
          <rPr>
            <sz val="9"/>
            <color indexed="81"/>
            <rFont val="Segoe UI"/>
            <family val="2"/>
          </rPr>
          <t xml:space="preserve">
https://www.krebsliga.ch/ueber-krebs/zahlen-fakten/-dl-/fileadmin/downloads/sheets/zahlen-krebs-in-der-schweiz.pdf</t>
        </r>
      </text>
    </comment>
    <comment ref="N178"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182" authorId="0" shapeId="0">
      <text>
        <r>
          <rPr>
            <b/>
            <sz val="9"/>
            <color indexed="81"/>
            <rFont val="Tahoma"/>
            <family val="2"/>
          </rPr>
          <t>Matius P. Stürchler:</t>
        </r>
        <r>
          <rPr>
            <sz val="9"/>
            <color indexed="81"/>
            <rFont val="Tahoma"/>
            <family val="2"/>
          </rPr>
          <t xml:space="preserve">
https://medicalforum.ch/article/doi/smf.2018.03133</t>
        </r>
      </text>
    </comment>
    <comment ref="N183" authorId="0" shapeId="0">
      <text>
        <r>
          <rPr>
            <b/>
            <sz val="9"/>
            <color indexed="81"/>
            <rFont val="Tahoma"/>
            <family val="2"/>
          </rPr>
          <t>Matius P. Stürchler:</t>
        </r>
        <r>
          <rPr>
            <sz val="9"/>
            <color indexed="81"/>
            <rFont val="Tahoma"/>
            <family val="2"/>
          </rPr>
          <t xml:space="preserve">
https://medicalforum.ch/article/doi/smf.2018.03133</t>
        </r>
      </text>
    </comment>
    <comment ref="N185" authorId="1" shapeId="0">
      <text>
        <r>
          <rPr>
            <b/>
            <sz val="9"/>
            <color indexed="81"/>
            <rFont val="Segoe UI"/>
            <family val="2"/>
          </rPr>
          <t>Githui Moses:</t>
        </r>
        <r>
          <rPr>
            <sz val="9"/>
            <color indexed="81"/>
            <rFont val="Segoe UI"/>
            <family val="2"/>
          </rPr>
          <t xml:space="preserve">
Prevalence 1-9/ 100000
</t>
        </r>
      </text>
    </comment>
    <comment ref="N187" authorId="0" shapeId="0">
      <text>
        <r>
          <rPr>
            <b/>
            <sz val="9"/>
            <color indexed="81"/>
            <rFont val="Tahoma"/>
            <family val="2"/>
          </rPr>
          <t>Matius P. Stürchler:</t>
        </r>
        <r>
          <rPr>
            <sz val="9"/>
            <color indexed="81"/>
            <rFont val="Tahoma"/>
            <family val="2"/>
          </rPr>
          <t xml:space="preserve">
https://www.ncbi.nlm.nih.gov/pmc/articles/PMC5290446/</t>
        </r>
      </text>
    </comment>
    <comment ref="N189" authorId="2" shapeId="0">
      <text>
        <r>
          <rPr>
            <b/>
            <sz val="9"/>
            <color indexed="81"/>
            <rFont val="Segoe UI"/>
            <family val="2"/>
          </rPr>
          <t>Burkhard Patrick:</t>
        </r>
        <r>
          <rPr>
            <sz val="9"/>
            <color indexed="81"/>
            <rFont val="Segoe UI"/>
            <family val="2"/>
          </rPr>
          <t xml:space="preserve">
https://de.wikipedia.org/wiki/Pulmonale_Hypertonie</t>
        </r>
      </text>
    </comment>
    <comment ref="N193" authorId="0" shapeId="0">
      <text>
        <r>
          <rPr>
            <b/>
            <sz val="9"/>
            <color indexed="81"/>
            <rFont val="Tahoma"/>
            <family val="2"/>
          </rPr>
          <t>Matius P. Stürchler:</t>
        </r>
        <r>
          <rPr>
            <sz val="9"/>
            <color indexed="81"/>
            <rFont val="Tahoma"/>
            <family val="2"/>
          </rPr>
          <t xml:space="preserve">
Staehelin, H. B. Epidemiologie der Demenzerkrankungen. Schweiz Med Forum 4, 247–250 (2004).</t>
        </r>
      </text>
    </comment>
    <comment ref="N194"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196" authorId="0" shapeId="0">
      <text>
        <r>
          <rPr>
            <b/>
            <sz val="9"/>
            <color indexed="81"/>
            <rFont val="Tahoma"/>
            <family val="2"/>
          </rPr>
          <t>Matius P. Stürchler:</t>
        </r>
        <r>
          <rPr>
            <sz val="9"/>
            <color indexed="81"/>
            <rFont val="Tahoma"/>
            <family val="2"/>
          </rPr>
          <t xml:space="preserve">
https://www.orpha.net/consor/cgi-bin/Disease_Search.php?lng=DE&amp;data_id=8749&amp;Disease(s)/group%20of%20diseases=Diffuse-large-B-cell-lymphoma&amp;title=Diffuse%20large%20B-cell%20lymphoma&amp;search=Disease_Search_Simple&amp;ChdId=0</t>
        </r>
      </text>
    </comment>
    <comment ref="N197" authorId="2" shapeId="0">
      <text>
        <r>
          <rPr>
            <b/>
            <sz val="9"/>
            <color indexed="81"/>
            <rFont val="Segoe UI"/>
            <family val="2"/>
          </rPr>
          <t>Burkhard Patrick:</t>
        </r>
        <r>
          <rPr>
            <sz val="9"/>
            <color indexed="81"/>
            <rFont val="Segoe UI"/>
            <family val="2"/>
          </rPr>
          <t xml:space="preserve">
https://www.postnatale-depression.ch/de/</t>
        </r>
      </text>
    </comment>
    <comment ref="N200" authorId="0" shapeId="0">
      <text>
        <r>
          <rPr>
            <b/>
            <sz val="9"/>
            <color indexed="81"/>
            <rFont val="Tahoma"/>
            <family val="2"/>
          </rPr>
          <t>Matius P. Stürchler:</t>
        </r>
        <r>
          <rPr>
            <sz val="9"/>
            <color indexed="81"/>
            <rFont val="Tahoma"/>
            <family val="2"/>
          </rPr>
          <t xml:space="preserve">
https://shg.ch/de/haemophilie</t>
        </r>
      </text>
    </comment>
    <comment ref="N202" authorId="1" shapeId="0">
      <text>
        <r>
          <rPr>
            <b/>
            <sz val="9"/>
            <color indexed="81"/>
            <rFont val="Segoe UI"/>
            <family val="2"/>
          </rPr>
          <t>Githui Moses:</t>
        </r>
        <r>
          <rPr>
            <sz val="9"/>
            <color indexed="81"/>
            <rFont val="Segoe UI"/>
            <family val="2"/>
          </rPr>
          <t xml:space="preserve">
Bei 20% aller Geburten in der CH</t>
        </r>
      </text>
    </comment>
    <comment ref="N205" authorId="0" shapeId="0">
      <text>
        <r>
          <rPr>
            <b/>
            <sz val="9"/>
            <color indexed="81"/>
            <rFont val="Tahoma"/>
            <family val="2"/>
          </rPr>
          <t>Matius P. Stürchler:</t>
        </r>
        <r>
          <rPr>
            <sz val="9"/>
            <color indexed="81"/>
            <rFont val="Tahoma"/>
            <family val="2"/>
          </rPr>
          <t xml:space="preserve">
https://medicalforum.ch/article/doi/smf.2018.03133</t>
        </r>
      </text>
    </comment>
    <comment ref="N207" authorId="2" shapeId="0">
      <text>
        <r>
          <rPr>
            <b/>
            <sz val="9"/>
            <color indexed="81"/>
            <rFont val="Segoe UI"/>
            <family val="2"/>
          </rPr>
          <t>Burkhard Patrick:</t>
        </r>
        <r>
          <rPr>
            <sz val="9"/>
            <color indexed="81"/>
            <rFont val="Segoe UI"/>
            <family val="2"/>
          </rPr>
          <t xml:space="preserve">
https://www.krebsliga.ch/ueber-krebs/zahlen-fakten/</t>
        </r>
      </text>
    </comment>
    <comment ref="N208" authorId="0" shapeId="0">
      <text>
        <r>
          <rPr>
            <b/>
            <sz val="9"/>
            <color indexed="81"/>
            <rFont val="Tahoma"/>
            <family val="2"/>
          </rPr>
          <t>Matius P. Stürchler:</t>
        </r>
        <r>
          <rPr>
            <sz val="9"/>
            <color indexed="81"/>
            <rFont val="Tahoma"/>
            <family val="2"/>
          </rPr>
          <t xml:space="preserve">
Schilla, C., Bubendorfb, L. &amp; Papachristofilou, A. Nicht-kleinzelliges Bronchialkarzinom. Schweizerisches Medizin-Forum 15, 453– 458 (2015).
http://www.swissbraintumorfoundation.com/Glioblastom.htm</t>
        </r>
      </text>
    </comment>
    <comment ref="N209" authorId="2" shapeId="0">
      <text>
        <r>
          <rPr>
            <b/>
            <sz val="9"/>
            <color indexed="81"/>
            <rFont val="Segoe UI"/>
            <family val="2"/>
          </rPr>
          <t>Burkhard Patrick:</t>
        </r>
        <r>
          <rPr>
            <sz val="9"/>
            <color indexed="81"/>
            <rFont val="Segoe UI"/>
            <family val="2"/>
          </rPr>
          <t xml:space="preserve">
https://www.krebsliga.ch/ueber-krebs/zahlen-fakten/</t>
        </r>
      </text>
    </comment>
    <comment ref="N210" authorId="2" shapeId="0">
      <text>
        <r>
          <rPr>
            <b/>
            <sz val="9"/>
            <color indexed="81"/>
            <rFont val="Segoe UI"/>
            <family val="2"/>
          </rPr>
          <t>Burkhard Patrick:</t>
        </r>
        <r>
          <rPr>
            <sz val="9"/>
            <color indexed="81"/>
            <rFont val="Segoe UI"/>
            <family val="2"/>
          </rPr>
          <t xml:space="preserve">
CLL:
https://medicalforum.ch/journalfile/view/article/ezm_smf/de/smf.2015.02151/debc9d7814df8e4fddfc859fae1a4caa1aa43f8a/smf_2015_02151.pdf/rsrc/jf
NHL:
https://www.krebsliga.ch/ueber-krebs/zahlen-fakten/</t>
        </r>
      </text>
    </comment>
    <comment ref="N211" authorId="2" shapeId="0">
      <text>
        <r>
          <rPr>
            <b/>
            <sz val="9"/>
            <color indexed="81"/>
            <rFont val="Segoe UI"/>
            <family val="2"/>
          </rPr>
          <t>Burkhard Patrick:</t>
        </r>
        <r>
          <rPr>
            <sz val="9"/>
            <color indexed="81"/>
            <rFont val="Segoe UI"/>
            <family val="2"/>
          </rPr>
          <t xml:space="preserve">
https://medicalforum.ch/article/doi/smf.2019.08249/
Annahme: 80% erwachsene Bevölkerung</t>
        </r>
      </text>
    </comment>
    <comment ref="N212" authorId="0" shapeId="0">
      <text>
        <r>
          <rPr>
            <b/>
            <sz val="9"/>
            <color indexed="81"/>
            <rFont val="Tahoma"/>
            <family val="2"/>
          </rPr>
          <t>Matius P. Stürchler:</t>
        </r>
        <r>
          <rPr>
            <sz val="9"/>
            <color indexed="81"/>
            <rFont val="Tahoma"/>
            <family val="2"/>
          </rPr>
          <t xml:space="preserve">
Schöpfer, A. Neuigkeiten betreffend Morbus Crohn und Colitis ulcerosa. Swiss Medical Forum 15, 898-902 (2015).</t>
        </r>
      </text>
    </comment>
    <comment ref="N213" authorId="2" shapeId="0">
      <text>
        <r>
          <rPr>
            <b/>
            <sz val="9"/>
            <color indexed="81"/>
            <rFont val="Segoe UI"/>
            <family val="2"/>
          </rPr>
          <t>Burkhard Patrick:</t>
        </r>
        <r>
          <rPr>
            <sz val="9"/>
            <color indexed="81"/>
            <rFont val="Segoe UI"/>
            <family val="2"/>
          </rPr>
          <t xml:space="preserve">
http://www.hemoschweiz.ch/haemophilie/formen-der-haemophilie/vererbte-haemophilie/</t>
        </r>
      </text>
    </comment>
    <comment ref="N215" authorId="0" shapeId="0">
      <text>
        <r>
          <rPr>
            <b/>
            <sz val="9"/>
            <color indexed="81"/>
            <rFont val="Tahoma"/>
            <family val="2"/>
          </rPr>
          <t>Matius P. Stürchler:</t>
        </r>
        <r>
          <rPr>
            <sz val="9"/>
            <color indexed="81"/>
            <rFont val="Tahoma"/>
            <family val="2"/>
          </rPr>
          <t xml:space="preserve">
https://primaryimmune.org/disease/hemophagocytic-lymphohistiocytosis-hlh</t>
        </r>
      </text>
    </comment>
    <comment ref="N217" authorId="0" shapeId="0">
      <text>
        <r>
          <rPr>
            <b/>
            <sz val="9"/>
            <color indexed="81"/>
            <rFont val="Tahoma"/>
            <family val="2"/>
          </rPr>
          <t>Matius P. Stürchler:</t>
        </r>
        <r>
          <rPr>
            <sz val="9"/>
            <color indexed="81"/>
            <rFont val="Tahoma"/>
            <family val="2"/>
          </rPr>
          <t xml:space="preserve">
https://www.orpha.net</t>
        </r>
      </text>
    </comment>
    <comment ref="N218" authorId="2" shapeId="0">
      <text>
        <r>
          <rPr>
            <b/>
            <sz val="9"/>
            <color indexed="81"/>
            <rFont val="Segoe UI"/>
            <family val="2"/>
          </rPr>
          <t>Burkhard Patrick:</t>
        </r>
        <r>
          <rPr>
            <sz val="9"/>
            <color indexed="81"/>
            <rFont val="Segoe UI"/>
            <family val="2"/>
          </rPr>
          <t xml:space="preserve">
https://www.krebsliga.ch/ueber-krebs/krebsarten/prostatakrebs/</t>
        </r>
      </text>
    </comment>
    <comment ref="N221" authorId="2" shapeId="0">
      <text>
        <r>
          <rPr>
            <b/>
            <sz val="9"/>
            <color indexed="81"/>
            <rFont val="Segoe UI"/>
            <family val="2"/>
          </rPr>
          <t>Burkhard Patrick:</t>
        </r>
        <r>
          <rPr>
            <sz val="9"/>
            <color indexed="81"/>
            <rFont val="Segoe UI"/>
            <family val="2"/>
          </rPr>
          <t xml:space="preserve">
https://flexikon.doccheck.com/de/Nicht-kleinzelliges_Bronchialkarzinom</t>
        </r>
      </text>
    </comment>
    <comment ref="N222" authorId="0" shapeId="0">
      <text>
        <r>
          <rPr>
            <b/>
            <sz val="9"/>
            <color indexed="81"/>
            <rFont val="Tahoma"/>
            <family val="2"/>
          </rPr>
          <t>Matius P. Stürchler:</t>
        </r>
        <r>
          <rPr>
            <sz val="9"/>
            <color indexed="81"/>
            <rFont val="Tahoma"/>
            <family val="2"/>
          </rPr>
          <t xml:space="preserve">
https://www.ncbi.nlm.nih.gov/pmc/articles/PMC6235801/</t>
        </r>
      </text>
    </comment>
    <comment ref="N223" authorId="0" shapeId="0">
      <text>
        <r>
          <rPr>
            <b/>
            <sz val="9"/>
            <color indexed="81"/>
            <rFont val="Tahoma"/>
            <family val="2"/>
          </rPr>
          <t>Matius P. Stürchler:</t>
        </r>
        <r>
          <rPr>
            <sz val="9"/>
            <color indexed="81"/>
            <rFont val="Tahoma"/>
            <family val="2"/>
          </rPr>
          <t xml:space="preserve">
https://www.nicer.org/assets/files/publications/presentations/af_presi_fortbildung_buelach_2016.pdf</t>
        </r>
      </text>
    </comment>
    <comment ref="N224" authorId="0" shapeId="0">
      <text>
        <r>
          <rPr>
            <b/>
            <sz val="9"/>
            <color indexed="81"/>
            <rFont val="Tahoma"/>
            <family val="2"/>
          </rPr>
          <t>Matius P. Stürchler:</t>
        </r>
        <r>
          <rPr>
            <sz val="9"/>
            <color indexed="81"/>
            <rFont val="Tahoma"/>
            <family val="2"/>
          </rPr>
          <t xml:space="preserve">
https://www.beobachter.ch/gesundheit/krankheit/chorea-huntington-huntington-krankheit</t>
        </r>
      </text>
    </comment>
    <comment ref="N226" authorId="0" shapeId="0">
      <text>
        <r>
          <rPr>
            <b/>
            <sz val="9"/>
            <color indexed="81"/>
            <rFont val="Tahoma"/>
            <family val="2"/>
          </rPr>
          <t>Matius P. Stürchler:</t>
        </r>
        <r>
          <rPr>
            <sz val="9"/>
            <color indexed="81"/>
            <rFont val="Tahoma"/>
            <family val="2"/>
          </rPr>
          <t xml:space="preserve">
https://medicalforum.ch/journalfile/view/article/ezm_smf/de/smf.2015.02151/debc9d7814df8e4fddfc859fae1a4caa1aa43f8a/smf_2015_02151.pdf/rsrc/jf</t>
        </r>
      </text>
    </comment>
    <comment ref="N227" authorId="0" shapeId="0">
      <text>
        <r>
          <rPr>
            <b/>
            <sz val="9"/>
            <color indexed="81"/>
            <rFont val="Tahoma"/>
            <family val="2"/>
          </rPr>
          <t>Matius P. Stürchler:</t>
        </r>
        <r>
          <rPr>
            <sz val="9"/>
            <color indexed="81"/>
            <rFont val="Tahoma"/>
            <family val="2"/>
          </rPr>
          <t xml:space="preserve">
https://www.orpha.net/consor/cgi-bin/OC_Exp.php?Expert=98375&amp;lng=DE</t>
        </r>
      </text>
    </comment>
    <comment ref="N231" authorId="0" shapeId="0">
      <text>
        <r>
          <rPr>
            <b/>
            <sz val="9"/>
            <color indexed="81"/>
            <rFont val="Tahoma"/>
            <family val="2"/>
          </rPr>
          <t>Matius P. Stürchler:</t>
        </r>
        <r>
          <rPr>
            <sz val="9"/>
            <color indexed="81"/>
            <rFont val="Tahoma"/>
            <family val="2"/>
          </rPr>
          <t xml:space="preserve">
https://medicalforum.ch/journalfile/view/article/ezm_smf/de/smf.2015.02151/debc9d7814df8e4fddfc859fae1a4caa1aa43f8a/smf_2015_02151.pdf/rsrc/jf</t>
        </r>
      </text>
    </comment>
    <comment ref="N232" authorId="2" shapeId="0">
      <text>
        <r>
          <rPr>
            <b/>
            <sz val="9"/>
            <color indexed="81"/>
            <rFont val="Segoe UI"/>
            <family val="2"/>
          </rPr>
          <t>Burkhard Patrick:</t>
        </r>
        <r>
          <rPr>
            <sz val="9"/>
            <color indexed="81"/>
            <rFont val="Segoe UI"/>
            <family val="2"/>
          </rPr>
          <t xml:space="preserve">
http://www.cfch.ch/cystische-fibrose/</t>
        </r>
      </text>
    </comment>
    <comment ref="N236" authorId="2" shapeId="0">
      <text>
        <r>
          <rPr>
            <b/>
            <sz val="9"/>
            <color indexed="81"/>
            <rFont val="Segoe UI"/>
            <family val="2"/>
          </rPr>
          <t>Burkhard Patrick:</t>
        </r>
        <r>
          <rPr>
            <sz val="9"/>
            <color indexed="81"/>
            <rFont val="Segoe UI"/>
            <family val="2"/>
          </rPr>
          <t xml:space="preserve">
https://www.krebsliga.ch/ueber-krebs/zahlen-fakten/</t>
        </r>
      </text>
    </comment>
    <comment ref="N249" authorId="1" shapeId="0">
      <text>
        <r>
          <rPr>
            <b/>
            <sz val="9"/>
            <color indexed="81"/>
            <rFont val="Segoe UI"/>
            <family val="2"/>
          </rPr>
          <t>Githui Moses:</t>
        </r>
        <r>
          <rPr>
            <sz val="9"/>
            <color indexed="81"/>
            <rFont val="Segoe UI"/>
            <family val="2"/>
          </rPr>
          <t xml:space="preserve">
1:40000 Geburten. Einsatz ab 2 Jahre </t>
        </r>
      </text>
    </comment>
    <comment ref="N250" authorId="1" shapeId="0">
      <text>
        <r>
          <rPr>
            <b/>
            <sz val="9"/>
            <color indexed="81"/>
            <rFont val="Segoe UI"/>
            <charset val="1"/>
          </rPr>
          <t>Githui Moses:</t>
        </r>
        <r>
          <rPr>
            <sz val="9"/>
            <color indexed="81"/>
            <rFont val="Segoe UI"/>
            <charset val="1"/>
          </rPr>
          <t xml:space="preserve">
Prevalence 1 / 100k</t>
        </r>
      </text>
    </comment>
    <comment ref="N253" authorId="1" shapeId="0">
      <text>
        <r>
          <rPr>
            <b/>
            <sz val="9"/>
            <color indexed="81"/>
            <rFont val="Segoe UI"/>
            <charset val="1"/>
          </rPr>
          <t>Githui Moses:</t>
        </r>
        <r>
          <rPr>
            <sz val="9"/>
            <color indexed="81"/>
            <rFont val="Segoe UI"/>
            <charset val="1"/>
          </rPr>
          <t xml:space="preserve">
liefetime prevalence 0.40%</t>
        </r>
      </text>
    </comment>
    <comment ref="N255" authorId="1" shapeId="0">
      <text>
        <r>
          <rPr>
            <b/>
            <sz val="9"/>
            <color indexed="81"/>
            <rFont val="Segoe UI"/>
            <charset val="1"/>
          </rPr>
          <t>Githui Moses:</t>
        </r>
        <r>
          <rPr>
            <sz val="9"/>
            <color indexed="81"/>
            <rFont val="Segoe UI"/>
            <charset val="1"/>
          </rPr>
          <t xml:space="preserve">
600 bis 700 Patienten bezogen auf die MSE Hochrechnung</t>
        </r>
      </text>
    </comment>
    <comment ref="I256" authorId="1" shapeId="0">
      <text>
        <r>
          <rPr>
            <b/>
            <sz val="9"/>
            <color indexed="81"/>
            <rFont val="Segoe UI"/>
            <family val="2"/>
          </rPr>
          <t>Githui Moses:</t>
        </r>
        <r>
          <rPr>
            <sz val="9"/>
            <color indexed="81"/>
            <rFont val="Segoe UI"/>
            <family val="2"/>
          </rPr>
          <t xml:space="preserve">
anti drug conjugates</t>
        </r>
      </text>
    </comment>
    <comment ref="N256" authorId="1" shapeId="0">
      <text>
        <r>
          <rPr>
            <b/>
            <sz val="9"/>
            <color indexed="81"/>
            <rFont val="Segoe UI"/>
            <charset val="1"/>
          </rPr>
          <t>Githui Moses:</t>
        </r>
        <r>
          <rPr>
            <sz val="9"/>
            <color indexed="81"/>
            <rFont val="Segoe UI"/>
            <charset val="1"/>
          </rPr>
          <t xml:space="preserve">
Circa 4000 mit Metastasen, davon 70% mit dieser genauen Indikation mit Metastase. </t>
        </r>
      </text>
    </comment>
    <comment ref="N262" authorId="1" shapeId="0">
      <text>
        <r>
          <rPr>
            <b/>
            <sz val="9"/>
            <color indexed="81"/>
            <rFont val="Segoe UI"/>
            <family val="2"/>
          </rPr>
          <t>Githui Moses:</t>
        </r>
        <r>
          <rPr>
            <sz val="9"/>
            <color indexed="81"/>
            <rFont val="Segoe UI"/>
            <family val="2"/>
          </rPr>
          <t xml:space="preserve">
1 in 50'000</t>
        </r>
      </text>
    </comment>
    <comment ref="N267" authorId="1" shapeId="0">
      <text>
        <r>
          <rPr>
            <b/>
            <sz val="9"/>
            <color indexed="81"/>
            <rFont val="Segoe UI"/>
            <family val="2"/>
          </rPr>
          <t>Githui Moses:</t>
        </r>
        <r>
          <rPr>
            <sz val="9"/>
            <color indexed="81"/>
            <rFont val="Segoe UI"/>
            <family val="2"/>
          </rPr>
          <t xml:space="preserve">
1 / 8000</t>
        </r>
      </text>
    </comment>
    <comment ref="N269" authorId="1" shapeId="0">
      <text>
        <r>
          <rPr>
            <b/>
            <sz val="9"/>
            <color indexed="81"/>
            <rFont val="Segoe UI"/>
            <family val="2"/>
          </rPr>
          <t>Githui Moses:</t>
        </r>
        <r>
          <rPr>
            <sz val="9"/>
            <color indexed="81"/>
            <rFont val="Segoe UI"/>
            <family val="2"/>
          </rPr>
          <t xml:space="preserve">
70000 in den USA</t>
        </r>
      </text>
    </comment>
  </commentList>
</comments>
</file>

<file path=xl/sharedStrings.xml><?xml version="1.0" encoding="utf-8"?>
<sst xmlns="http://schemas.openxmlformats.org/spreadsheetml/2006/main" count="10718" uniqueCount="1517">
  <si>
    <t>Therapiegebiet</t>
  </si>
  <si>
    <t>Indikation</t>
  </si>
  <si>
    <t>Einsatz im Spital
[ja/nein]</t>
  </si>
  <si>
    <t>Verabreichung</t>
  </si>
  <si>
    <t>Firma</t>
  </si>
  <si>
    <t>Wirkstoff</t>
  </si>
  <si>
    <t>Markennamen</t>
  </si>
  <si>
    <t>EMEA / FDA Registered</t>
  </si>
  <si>
    <t>Registrierung CH erwartet im</t>
  </si>
  <si>
    <t>SL?</t>
  </si>
  <si>
    <t>Geschätzte # Patienten CH (Prävalenz)</t>
  </si>
  <si>
    <t>Geschätzte # Patienten MSE
[%]</t>
  </si>
  <si>
    <t>Geschätzte # Patienten MSE</t>
  </si>
  <si>
    <t>Geschätzter Preis (TQV &amp; Ausland Preisvergleich)
[CHF]</t>
  </si>
  <si>
    <t>Geschätzte Marge
[CHF]
Cap: CHF 240.-</t>
  </si>
  <si>
    <r>
      <t xml:space="preserve">Potential für MSE
[CHF/a x </t>
    </r>
    <r>
      <rPr>
        <b/>
        <sz val="10"/>
        <rFont val="Symbol"/>
        <family val="1"/>
        <charset val="2"/>
      </rPr>
      <t>S</t>
    </r>
    <r>
      <rPr>
        <b/>
        <sz val="10"/>
        <rFont val="Arial"/>
        <family val="2"/>
      </rPr>
      <t xml:space="preserve"> Patienten]</t>
    </r>
  </si>
  <si>
    <t>Bereits Zusammenarbeit?</t>
  </si>
  <si>
    <t>Bereits Patienten in diesem Therapiegebiet bei MSE?</t>
  </si>
  <si>
    <t>HomeCare möglich?</t>
  </si>
  <si>
    <t>Art. 71 möglich?</t>
  </si>
  <si>
    <t>Distribution über MSE?</t>
  </si>
  <si>
    <t>Website</t>
  </si>
  <si>
    <t>Actual Status CH</t>
  </si>
  <si>
    <t>Kontakt</t>
  </si>
  <si>
    <t>Datum letzter Kontakt</t>
  </si>
  <si>
    <t>Information</t>
  </si>
  <si>
    <t>Potential  für MedisService (=Hersteller ist MediService affin)</t>
  </si>
  <si>
    <t>Anzahl Patienten in der CH</t>
  </si>
  <si>
    <t>Hersteller hat sonstige Spezialprodukte im Portfolio</t>
  </si>
  <si>
    <t>Mehrwert durch MediS vor Zulassung (Market access)</t>
  </si>
  <si>
    <t>Mehrwert durch MediS nach Zulassung (PSP)</t>
  </si>
  <si>
    <t>Erwarteter (peak) GP pro Jahr</t>
  </si>
  <si>
    <t>Prioritätenskala</t>
  </si>
  <si>
    <t>Vertrag oder Offerte möglich?</t>
  </si>
  <si>
    <t>Datum Ersteintrag (Monat / Jahr</t>
  </si>
  <si>
    <t>Onkologie</t>
  </si>
  <si>
    <t>Gastrointestinale Stromatumoren (GIST)</t>
  </si>
  <si>
    <t>oral</t>
  </si>
  <si>
    <t>Blueprint Medicines</t>
  </si>
  <si>
    <t>Avapritinib</t>
  </si>
  <si>
    <t>Ayvakit</t>
  </si>
  <si>
    <t>FDA Zulassung Januar 2020</t>
  </si>
  <si>
    <t>Phase III</t>
  </si>
  <si>
    <t>MGI</t>
  </si>
  <si>
    <t>Q3 2019</t>
  </si>
  <si>
    <t>ja</t>
  </si>
  <si>
    <t>Market Access Head Europe &amp; Finance Head. Warte auf Rückmeldung. (Boris Javelle &amp; Silvia Chiroli)</t>
  </si>
  <si>
    <t>Other</t>
  </si>
  <si>
    <t>nein</t>
  </si>
  <si>
    <t>Ophthalmologie</t>
  </si>
  <si>
    <t>Feuchte AMD (altersbedingte Makuladegeneration)</t>
  </si>
  <si>
    <t>intravitreal</t>
  </si>
  <si>
    <t>Novartis</t>
  </si>
  <si>
    <t>brolucizumab</t>
  </si>
  <si>
    <t>Beovu</t>
  </si>
  <si>
    <t>nicht registriert</t>
  </si>
  <si>
    <t>Q1 2018</t>
  </si>
  <si>
    <t xml:space="preserve">FDA Zulassung gegen Ende 2019 erwartet. </t>
  </si>
  <si>
    <t>Rare Disease</t>
  </si>
  <si>
    <t>Sichelzell Anämie</t>
  </si>
  <si>
    <t>i.v.</t>
  </si>
  <si>
    <t>Crizanlizumab</t>
  </si>
  <si>
    <t>Adakveo</t>
  </si>
  <si>
    <t>FDA zugelassen</t>
  </si>
  <si>
    <t>Phase II</t>
  </si>
  <si>
    <t>Prostatakarzinom</t>
  </si>
  <si>
    <t>Bayer</t>
  </si>
  <si>
    <t>Darolutamid</t>
  </si>
  <si>
    <t>Nubega</t>
  </si>
  <si>
    <t xml:space="preserve">FDA Zugelassen </t>
  </si>
  <si>
    <t>Q3 2018</t>
  </si>
  <si>
    <t xml:space="preserve">FDA Zulassung am 01. August 2019 erfolgt. Gemäss Info Bayer, läuft alles EAP über Global </t>
  </si>
  <si>
    <t>Neurologie</t>
  </si>
  <si>
    <t>Multiple Sklerose</t>
  </si>
  <si>
    <t xml:space="preserve">Biogen </t>
  </si>
  <si>
    <t>Diroximel Fumarat</t>
  </si>
  <si>
    <t>Q4 2018</t>
  </si>
  <si>
    <t>Zulassung in 2021 erwartet. 2019 noch zu früh.</t>
  </si>
  <si>
    <t>Ovarian cancer</t>
  </si>
  <si>
    <t>GSK (Tesaro)</t>
  </si>
  <si>
    <t>Dostarlimab</t>
  </si>
  <si>
    <t xml:space="preserve">Zulassungsantrag für Ende 2019 geplant (mit Phase II Daten, da ein hohen unmet need vorhanden ist). </t>
  </si>
  <si>
    <t>Myelofibrose</t>
  </si>
  <si>
    <t>Celgene</t>
  </si>
  <si>
    <t>Fedratinib</t>
  </si>
  <si>
    <t>Firma Impact Biomedicines aufgekauft. Suche Gespräch mit Celgene. Zulassung FDA in Sept. erwartet. MGI 03/2019. Art 71c Projekt für September geplant. Vertragsanpassung läuft.</t>
  </si>
  <si>
    <t>Immunologie</t>
  </si>
  <si>
    <t>RA, M. Crohn &amp; C. ulcerosa</t>
  </si>
  <si>
    <t>Gilead</t>
  </si>
  <si>
    <t>Filgotinib</t>
  </si>
  <si>
    <t xml:space="preserve">Zulassung frühestens Ende 2019 erwatet. Grossere Patientenzahlen in 2020 zu erwarten. </t>
  </si>
  <si>
    <t>Akute Myeloische Leukämie</t>
  </si>
  <si>
    <t>Astellas Pharma</t>
  </si>
  <si>
    <t>Gilteritinib</t>
  </si>
  <si>
    <t>JAM</t>
  </si>
  <si>
    <t>Q1 2019</t>
  </si>
  <si>
    <t xml:space="preserve">Herr Kolb möchte ab Frühling 2019 den Import aus dem USA. </t>
  </si>
  <si>
    <t>Duchenne Muskeldystrophie</t>
  </si>
  <si>
    <t>s.c.</t>
  </si>
  <si>
    <t>Alnylam</t>
  </si>
  <si>
    <t>Multiple Myeloma</t>
  </si>
  <si>
    <t>Sanofi Genzyme</t>
  </si>
  <si>
    <t>Isatuximab</t>
  </si>
  <si>
    <t>Sarclisa</t>
  </si>
  <si>
    <t>MediService ist immer die 1. Wahl bei Early Access Programme bei Sanofi. Treffen mit Luc Bastian &amp; Deborah Gaspoz am 22.02.2018</t>
  </si>
  <si>
    <t>atopische Dermatitis</t>
  </si>
  <si>
    <t>Dermira</t>
  </si>
  <si>
    <t>Lebrikizumab</t>
  </si>
  <si>
    <t xml:space="preserve">Phase III für AD sollte im Laufe 2019 beginnen. Noch in der Beobachtung. </t>
  </si>
  <si>
    <t>Primary Hyperoxaluria Type 1</t>
  </si>
  <si>
    <t>Lumasiran</t>
  </si>
  <si>
    <t>Wenige Patienten (1 / 1 Million). Bereits rt. 71 mit Onpattro</t>
  </si>
  <si>
    <t>Beta Thalassämie &amp; dann MDS</t>
  </si>
  <si>
    <t>Luspatercept</t>
  </si>
  <si>
    <t>Reblozyl</t>
  </si>
  <si>
    <t>Zulassung bei der FDA gegen Ende 2019 erwartet. Eventuell danach EAP Schweiz. Ruth &amp; Juan geschrieben. Warte auf Rückmeldung. 03/2019. Projekt soll in Dez 2019 / Januar 2020 starten. Vertragsanpassung läuft. Juli 2019</t>
  </si>
  <si>
    <t>Cutaneous T-Cell Lymphoma</t>
  </si>
  <si>
    <t>Kyowa Kirin</t>
  </si>
  <si>
    <t>Mogamulizumab</t>
  </si>
  <si>
    <t>Poteligeo</t>
  </si>
  <si>
    <t>EMA Zulassung 2019</t>
  </si>
  <si>
    <t xml:space="preserve">Produkt in der EU zugelassen, jedoch erst in Herbst 2019 lieferbar. Nach der Verfügbarkeit soll es über MediService laufen. </t>
  </si>
  <si>
    <t>NASH</t>
  </si>
  <si>
    <t>Intercept</t>
  </si>
  <si>
    <t>Obeticholsäure</t>
  </si>
  <si>
    <t>Juni 2020</t>
  </si>
  <si>
    <t>Ofatumumab</t>
  </si>
  <si>
    <t>Arzerra</t>
  </si>
  <si>
    <t>not yet</t>
  </si>
  <si>
    <t>Q2 2017</t>
  </si>
  <si>
    <t>Einreichung der Zulassung noch in 2019. Es sollte ein Blockbuster sein in MS. Wichtiges Produkt.</t>
  </si>
  <si>
    <t>ozanimod</t>
  </si>
  <si>
    <t>Q2 2018</t>
  </si>
  <si>
    <t>Idiopathische Lungenfibrose (IPF)</t>
  </si>
  <si>
    <t>FibroGen</t>
  </si>
  <si>
    <t>Pamrevlumab</t>
  </si>
  <si>
    <t xml:space="preserve">Mailing an Herrn Neff in Januar geschickt. </t>
  </si>
  <si>
    <t>Spinal Muskelatrophie</t>
  </si>
  <si>
    <t>Roche</t>
  </si>
  <si>
    <t>Risdiplam</t>
  </si>
  <si>
    <t>Kontakt mit Roche Market Access suchen in Q1 2019</t>
  </si>
  <si>
    <t>Osteoporose</t>
  </si>
  <si>
    <t>UCB</t>
  </si>
  <si>
    <t>Romosozumab</t>
  </si>
  <si>
    <t>Evenity</t>
  </si>
  <si>
    <t>ALB</t>
  </si>
  <si>
    <t>Aktuell im Gespräch mit der UCB für eine Zusammenarbeit. Treffen mit Alban in Vorbereitung.</t>
  </si>
  <si>
    <t>Multiple Sklerose (sekundär progressiv)</t>
  </si>
  <si>
    <t>Siponimod</t>
  </si>
  <si>
    <t>Mayzent</t>
  </si>
  <si>
    <t>JAm</t>
  </si>
  <si>
    <t>Q2 2019</t>
  </si>
  <si>
    <t>Im Gespräch über ein Early Access Programm, das in Q2 beginnen soll).</t>
  </si>
  <si>
    <t>Migräne</t>
  </si>
  <si>
    <t>Allergan</t>
  </si>
  <si>
    <t>Ubrogepant</t>
  </si>
  <si>
    <t>Ubrelvy</t>
  </si>
  <si>
    <t>Die Swissmedic Zulassung &amp; entsprechend den Vertrieb wird erst 2020 starten. MGI/18.04.2018</t>
  </si>
  <si>
    <t>Zystische Fibrose</t>
  </si>
  <si>
    <t>Vertex</t>
  </si>
  <si>
    <t>VX-455 triple combo</t>
  </si>
  <si>
    <t>Trikafta</t>
  </si>
  <si>
    <t>Neuromyelitis Optica</t>
  </si>
  <si>
    <t>Satralizumab</t>
  </si>
  <si>
    <t>Gemäss Roche rechnen sie mit 200-250 Patienten in der CH, und hätten gerne ein PSP.</t>
  </si>
  <si>
    <t>Cholangiocarcinoma</t>
  </si>
  <si>
    <t>ABC294640</t>
  </si>
  <si>
    <t>Yeliva</t>
  </si>
  <si>
    <t>FDA Orphan drug status</t>
  </si>
  <si>
    <t>metastatic breast cancer</t>
  </si>
  <si>
    <t xml:space="preserve">Eli Lilly </t>
  </si>
  <si>
    <t>Abemaciclib</t>
  </si>
  <si>
    <t>Verzenio</t>
  </si>
  <si>
    <t>FDA zugelassen. EMA Zulassung noch in 2018</t>
  </si>
  <si>
    <t xml:space="preserve">Aktuell noch kein Bedarf für das Produkt. Eventuell beim Meeting in März mehr Infos. </t>
  </si>
  <si>
    <t>Abicipar</t>
  </si>
  <si>
    <t>Die Swissmedic Zulassung &amp; entsprechend den Vertrieb wird erst 2021 starten. MGI/18.04.2018</t>
  </si>
  <si>
    <t>B-Cell cancer (CLL, lymphobl. Lymphom &amp; MCL)</t>
  </si>
  <si>
    <t>AstraZeneca / Acerta Pharma</t>
  </si>
  <si>
    <t>acalabrutinib</t>
  </si>
  <si>
    <t xml:space="preserve"> Q3 2016 orphan drug designation</t>
  </si>
  <si>
    <t>Orphan drug designation</t>
  </si>
  <si>
    <t>Mgi</t>
  </si>
  <si>
    <t>Eher über Astra Zeneca Market Access Team. Information per E-Mail angefordert. Am 24.11. erneut kontaktiert. Eric van Hooren (e.vanhooren@acerta-pharma.com)</t>
  </si>
  <si>
    <t>Alzheimer</t>
  </si>
  <si>
    <t>Aducanumab</t>
  </si>
  <si>
    <t>Not yet</t>
  </si>
  <si>
    <t>Lung squamous cell carcinoma &amp; Head and neck squamous cell carcinoma</t>
  </si>
  <si>
    <t>Boehringer</t>
  </si>
  <si>
    <t>Afatinib</t>
  </si>
  <si>
    <t>Giotrif</t>
  </si>
  <si>
    <t>Agenus/Gilead</t>
  </si>
  <si>
    <t>AGEN2373</t>
  </si>
  <si>
    <t>https://agenusbio.com/pipeline/</t>
  </si>
  <si>
    <t>Akquisition von AGENUS Ther. Kenne die Produkte zu wenig.</t>
  </si>
  <si>
    <t>Akero Therapeutics</t>
  </si>
  <si>
    <t>AKR-001</t>
  </si>
  <si>
    <t>Noch früh in der klinische Phase</t>
  </si>
  <si>
    <t>Lungenkarzinom</t>
  </si>
  <si>
    <t>Alectinib</t>
  </si>
  <si>
    <t>Alecensa</t>
  </si>
  <si>
    <t>Zugelassen</t>
  </si>
  <si>
    <t>JAM, Juni</t>
  </si>
  <si>
    <t>HR+ / HER2- advanced postmenopausal breast cancer</t>
  </si>
  <si>
    <t>Alpelisib</t>
  </si>
  <si>
    <t>Piqray</t>
  </si>
  <si>
    <t xml:space="preserve">Aktuell im Gespräch mit Dr. Cavanna über ein Vertrag zum Projekt. </t>
  </si>
  <si>
    <t>Systemische Sklerose</t>
  </si>
  <si>
    <t>Corbus Pharmaceuticals</t>
  </si>
  <si>
    <t>Anabasum</t>
  </si>
  <si>
    <t xml:space="preserve">Mailing geschickt. Erwartete Zulassung ungewiss. </t>
  </si>
  <si>
    <t>gastric cancer</t>
  </si>
  <si>
    <t>Andecaliximab</t>
  </si>
  <si>
    <t>Q4 2017</t>
  </si>
  <si>
    <t>Maurice Kleber meldet sich noch bei mir. Dezember Besuch war nicht möglich. MGI/20.02.2018</t>
  </si>
  <si>
    <t>Systemic lupus erythematosus</t>
  </si>
  <si>
    <t>Astra Zeneca / MedImmune</t>
  </si>
  <si>
    <t>anifrolumab</t>
  </si>
  <si>
    <t>Dossier Einreichung (FDA &amp; EMA) erst in 2019 geplant. Kontaktaufnahme eventuell erst in 2019</t>
  </si>
  <si>
    <t>AML</t>
  </si>
  <si>
    <t xml:space="preserve">i.v. </t>
  </si>
  <si>
    <t>Moleculin Biotech</t>
  </si>
  <si>
    <t>Annamycin</t>
  </si>
  <si>
    <t>Prostatakarzinim</t>
  </si>
  <si>
    <t>Janssen Cilag / JNJ</t>
  </si>
  <si>
    <t>Apalutamid</t>
  </si>
  <si>
    <t>Erleada</t>
  </si>
  <si>
    <t>Q3 2017</t>
  </si>
  <si>
    <t xml:space="preserve">Zulassung in Februar 2018. Kontakt zu Janssen suchen. </t>
  </si>
  <si>
    <t>Parkinson</t>
  </si>
  <si>
    <t>Spirig HC</t>
  </si>
  <si>
    <t>Apomorphin</t>
  </si>
  <si>
    <t>Apo Go</t>
  </si>
  <si>
    <t>Firma möchte ein HC Programm aufsestzen. Erwartete Patienten: ca. 20. Details werden nun diskutiert.</t>
  </si>
  <si>
    <t>Resistant hypertension management</t>
  </si>
  <si>
    <t>Idorsia</t>
  </si>
  <si>
    <t>Aprocitentan</t>
  </si>
  <si>
    <t>PTC Therapeutics</t>
  </si>
  <si>
    <t>Ataluren</t>
  </si>
  <si>
    <t>Translarna</t>
  </si>
  <si>
    <t>EMA Zulassung seit 2014</t>
  </si>
  <si>
    <t>Mgi, Nov 2016</t>
  </si>
  <si>
    <t>Zuständig (CH &amp; AT), Frau Birgit Hutz. Aktuelle Information; Sie machen alles selber. bhutz@ptcbio.com; 0004366488869926: 25.10.2017: The FDA declined to approve PTC Therapeutics' Duchenne muscular dystrophy (DMD) therapy Translarna (ataluren).</t>
  </si>
  <si>
    <t>M. Pompe</t>
  </si>
  <si>
    <t>Amicus Therapeutics</t>
  </si>
  <si>
    <t>Accelerated approval bei FDA beantragt. Eventuell Ende 2019 verfügbar.</t>
  </si>
  <si>
    <t>ChemoCentryx / Vifor</t>
  </si>
  <si>
    <t>Avacopan</t>
  </si>
  <si>
    <t>Gespräche nach dem Start von dem Veltassa Artikel 71 Programm. Projekt noch nicht Startreif. 08.06.2018</t>
  </si>
  <si>
    <t>Pneumology</t>
  </si>
  <si>
    <t>Schweres Asthma</t>
  </si>
  <si>
    <t>Astra Zeneca</t>
  </si>
  <si>
    <t>Benralizumab</t>
  </si>
  <si>
    <t>Fasenra</t>
  </si>
  <si>
    <t>Herr Ken Neumann kontaktiert. Es besteht Interesse &amp; Bedarf für die KGS Service. Meeting für Anfang April mit Ärzten geplant. MGI 03/2019</t>
  </si>
  <si>
    <t>Kolorektales Karzinom</t>
  </si>
  <si>
    <t>Xbiotech</t>
  </si>
  <si>
    <t>Bermekimab</t>
  </si>
  <si>
    <t>Firma nur in den USA vertreten. Schaue wer in Europa die Vermarktung macht.</t>
  </si>
  <si>
    <t>RA</t>
  </si>
  <si>
    <t>Bimekizumab</t>
  </si>
  <si>
    <t>Mgi/Alb</t>
  </si>
  <si>
    <t>Produkt noch aktuell in der Phase II. Markteinführung in 2020 / 2021 erwartet. Gespräch mit Frau Marlen Heeb am 04.04.2018/ Mgi. Tel 0795145404</t>
  </si>
  <si>
    <t>Melanoma</t>
  </si>
  <si>
    <t>Pierre Fabre / Array Pharma</t>
  </si>
  <si>
    <t>binimetinib</t>
  </si>
  <si>
    <t>zugelassen</t>
  </si>
  <si>
    <t>Firma hat sich wieder gemeldet. TC für heute geplant zum CUP in der CH. 27.07.2018</t>
  </si>
  <si>
    <t>NSCLC</t>
  </si>
  <si>
    <t>BLU 667</t>
  </si>
  <si>
    <t xml:space="preserve">Market Access Head Europe &amp; Finance Head. Warte auf Rückmeldung. </t>
  </si>
  <si>
    <t>Post partum depression</t>
  </si>
  <si>
    <t>Sage Therapeutics</t>
  </si>
  <si>
    <t>Brexanolone</t>
  </si>
  <si>
    <t>Zulresso</t>
  </si>
  <si>
    <t>Kein Medikament für MediService. Anwendung im Spital, einmalige Anwendung</t>
  </si>
  <si>
    <t>Takeda</t>
  </si>
  <si>
    <t>brigatinib</t>
  </si>
  <si>
    <t>Alunbrig</t>
  </si>
  <si>
    <t>FDA Approval 2017</t>
  </si>
  <si>
    <t>Aktuell läuft ein globales EAP über Clinigen. Abwicklung der Art. 71 Fälle  nach der Zulassung eher intern. Verteilung vom MediService Rezept an interessierte Ärzte gemäss Frau Maradan. Termin mit Goracinec bis Ende 2018. 10/2018</t>
  </si>
  <si>
    <t>Plaque Psoriasis</t>
  </si>
  <si>
    <t>Leo Pharma</t>
  </si>
  <si>
    <t>Brodalumab</t>
  </si>
  <si>
    <t>Kyntheum</t>
  </si>
  <si>
    <t>EMA&amp;FDA zugelassen</t>
  </si>
  <si>
    <t xml:space="preserve">Hauptansprechperson: Frau Maria Vernet. Antrag auf Swissmedic noch nicht gemacht. Sind an einer Zusammenarbeit interessiert. Produkt frühestens im Sommer 2019 auf dem Markt. </t>
  </si>
  <si>
    <t>Lennox-Gastaut Syndrome (LGS)</t>
  </si>
  <si>
    <t>GW Pharmaceuticals</t>
  </si>
  <si>
    <t>cannabidiol</t>
  </si>
  <si>
    <t>Epidiolex</t>
  </si>
  <si>
    <t xml:space="preserve">Anfrage an Herrn Gärtner. Mailing an Adam George in UK. </t>
  </si>
  <si>
    <t>Thrombotic Thrombocytopenic Purpura (TTP)</t>
  </si>
  <si>
    <t>caplacizumab</t>
  </si>
  <si>
    <t>Cablivi</t>
  </si>
  <si>
    <t>In Vertragsverhandlung. Notfalllösung problematisch.</t>
  </si>
  <si>
    <t>Hämophilie A</t>
  </si>
  <si>
    <t>Novo Nordisk</t>
  </si>
  <si>
    <t>catridecacog</t>
  </si>
  <si>
    <t>NovoThirteen</t>
  </si>
  <si>
    <t>Cutaneous Squamous Cell Carcinoma</t>
  </si>
  <si>
    <t>Cemiplimab</t>
  </si>
  <si>
    <t>Libtayo</t>
  </si>
  <si>
    <t>Es wird kein Art. 71 Projekt stattfinden. Patientenversorgung mit Studienware.</t>
  </si>
  <si>
    <t xml:space="preserve">spätinfantilen neuronalen Ceroid-Lipofuszinose </t>
  </si>
  <si>
    <t>im Liquor</t>
  </si>
  <si>
    <t>Biomarin</t>
  </si>
  <si>
    <t>cerliponase alpha</t>
  </si>
  <si>
    <t>Brineura</t>
  </si>
  <si>
    <t>EMA und FDA zugelassen</t>
  </si>
  <si>
    <t>Wahrscheinlich nach der Zulassung bei der FDA oder EMA. Eher Medikament für den Spitalbedarf</t>
  </si>
  <si>
    <t>topisch</t>
  </si>
  <si>
    <t>Helsinn Healthcare CH</t>
  </si>
  <si>
    <t>Chlormethin</t>
  </si>
  <si>
    <t>Ledaga</t>
  </si>
  <si>
    <t>EMA Zugelassen</t>
  </si>
  <si>
    <t xml:space="preserve">Firma kontaktiert &amp; MediService vorgestellt. Hatten bereits die erste Anfragen von den K im Haus. Herr Cantoecci Sergio (Firma Helsinn) </t>
  </si>
  <si>
    <t>Merck</t>
  </si>
  <si>
    <t>Cladribin</t>
  </si>
  <si>
    <t>Mavenclad</t>
  </si>
  <si>
    <t>Zusage für Art. 71 Projekt. Weitere Details folgen.</t>
  </si>
  <si>
    <t>Vitaeris</t>
  </si>
  <si>
    <t>Clazakizumab</t>
  </si>
  <si>
    <t>relapsed or refractory indolent non-Hodgkin's lymphoma</t>
  </si>
  <si>
    <t>copanlisib</t>
  </si>
  <si>
    <t>Aliqopa</t>
  </si>
  <si>
    <t>Crenezumab</t>
  </si>
  <si>
    <t xml:space="preserve">Eventuell erst in 2019 da die Einreichung des Dossiers in 2020 geplant ist. </t>
  </si>
  <si>
    <t xml:space="preserve">complex perianal fistulas in Crohn's disease </t>
  </si>
  <si>
    <t>Lokal</t>
  </si>
  <si>
    <t>CX601</t>
  </si>
  <si>
    <t>EMA und FDA 2018</t>
  </si>
  <si>
    <t xml:space="preserve">Medikament wird durch die besondere Art des Produktes (Stammzellen) nur an die Zentren geschickt. </t>
  </si>
  <si>
    <t>nephropathic cystinosis</t>
  </si>
  <si>
    <t xml:space="preserve">Chiesi Farmaceutici SpA </t>
  </si>
  <si>
    <t>Cysteamin bitartrate</t>
  </si>
  <si>
    <t>Procysbi</t>
  </si>
  <si>
    <t>Chiesi arbeitet mit einem anderen Anbieter in der CH für ihr Rare Disease Portfolio (sie haben einen Vertrag bis Ende Jahr) Eventuell wird Vifor die Portfolio zukünftig übernehmen. Kontaktperson: Gabrielle Gache Tel 079 771 2897 gabrielle.gache@vifor.com. Aktuell im Gespräch über eine Zusammenarbeit Artikel 71 &amp; evt. HomeCare. Zulassung für Herbst 2019 erwartet. MGI 03/2019</t>
  </si>
  <si>
    <t>Pfizer</t>
  </si>
  <si>
    <t>Dacomitinib</t>
  </si>
  <si>
    <t>Vizimpro</t>
  </si>
  <si>
    <t xml:space="preserve">Frau Müller am 04.10. kontaktiert. Pfizer hat im Moment keinen Bedarf an unsere DL zu diesem Produkt. </t>
  </si>
  <si>
    <t xml:space="preserve">Hämophilie A </t>
  </si>
  <si>
    <t>Damoctocog</t>
  </si>
  <si>
    <t>Jivi</t>
  </si>
  <si>
    <t>Für HC Therapiebelgeitung in September 2018 offeriert. Zulassung in Juni 2019 erwartet. Offeriert für HC &amp; Versand. In Vertragsverhandlung.</t>
  </si>
  <si>
    <t>Deflazacort</t>
  </si>
  <si>
    <t>Emflaza</t>
  </si>
  <si>
    <t xml:space="preserve">Kommt für Europa nicht in Frage, weil Emflazacort überall erhältlich ist. (In der CH, Calcort) Translarna wird immer noch intern gemacht. Kein Bedarf an "outsourcing". </t>
  </si>
  <si>
    <t>Chorea Huntington</t>
  </si>
  <si>
    <t>Teva</t>
  </si>
  <si>
    <t>deutetrabenazine</t>
  </si>
  <si>
    <t>Austedo</t>
  </si>
  <si>
    <t>Termin für Anfang 2018 geplant mit Frau Mirkovic</t>
  </si>
  <si>
    <t>urothelialen Blasenkarzinom</t>
  </si>
  <si>
    <t>Durvalumab</t>
  </si>
  <si>
    <t>Imfinzi</t>
  </si>
  <si>
    <t>Im Moment kein Programm in der CH geplant. Frau Leila Baumann, Tel +41 (0) 41 725 70 27 / +41 (0) 79 592 34 18</t>
  </si>
  <si>
    <t>CLL</t>
  </si>
  <si>
    <t>Verastem</t>
  </si>
  <si>
    <t>duvelisib</t>
  </si>
  <si>
    <t>COPIKTRA</t>
  </si>
  <si>
    <t>Antrag auf Zulassung in Feb. 2018 bei der FDA eingereicht. Kein Präsenz in Europa</t>
  </si>
  <si>
    <t>ALS</t>
  </si>
  <si>
    <t>MT (Mitsubishi Tanabe) Pharma Europe</t>
  </si>
  <si>
    <t>edaravone</t>
  </si>
  <si>
    <t>Radicava</t>
  </si>
  <si>
    <t>Im Vertragsverhandlungen. Hoffentlich abgeschlossen Ende April 2019</t>
  </si>
  <si>
    <t>Barth Syndrom</t>
  </si>
  <si>
    <t>Stealth Biotherapeutics</t>
  </si>
  <si>
    <t>Elamipretide</t>
  </si>
  <si>
    <t>Elenbecestat</t>
  </si>
  <si>
    <t>Gute Studienresultate. Wichtig erst in 2020. Im Moment nur beobachten. In Kollaboration mit Eisai. Studie beendet wegen Sicherheitsaspekte (risk benefit ratio schlecht)</t>
  </si>
  <si>
    <t>Gaucher Krankheit</t>
  </si>
  <si>
    <t>eliglustat tartrate</t>
  </si>
  <si>
    <t>Cerdelga</t>
  </si>
  <si>
    <t>positiv opinio 11.14</t>
  </si>
  <si>
    <t>submitted pos.opinio</t>
  </si>
  <si>
    <t>JaM</t>
  </si>
  <si>
    <t>Genzyme wird sich bei uns melden für ein PSP oder Access Programme</t>
  </si>
  <si>
    <t>Hemophagocytic lymphohistiocytosis (HLH)</t>
  </si>
  <si>
    <t>SOBI</t>
  </si>
  <si>
    <t>Emapalumab</t>
  </si>
  <si>
    <t>Herr Zwicky gefragt. Aktuell noch nicht spruchreif. 10/2018</t>
  </si>
  <si>
    <t>AML (IDH2 Mutation)</t>
  </si>
  <si>
    <t>Enasidanib</t>
  </si>
  <si>
    <t>Idhifa</t>
  </si>
  <si>
    <t>Vertrag von Celgene unterschrieben. Projekt beginnt in Juli 2019</t>
  </si>
  <si>
    <t>ja bereits offeriert</t>
  </si>
  <si>
    <t>Melanoma (BRAF-V600-Mutation)</t>
  </si>
  <si>
    <t>Encorafenib</t>
  </si>
  <si>
    <t>Braftovi</t>
  </si>
  <si>
    <t>phase III</t>
  </si>
  <si>
    <t>Kontakt erneut mit Herrn Thürigen aufgenommen um den aktuellen Status zu erfahren. Mgi/ 14.03.2018</t>
  </si>
  <si>
    <t>Incyte</t>
  </si>
  <si>
    <t>Epacadostat</t>
  </si>
  <si>
    <t>Noch nicht soweit. Produkt vielleicht in 12-18 Monaten. Info gemäss Frau Villars</t>
  </si>
  <si>
    <t>EPI01</t>
  </si>
  <si>
    <t>Noch etwas früh für die Markteinführung (MGI/ Sept 2018</t>
  </si>
  <si>
    <t>Hämophilie</t>
  </si>
  <si>
    <t>eptacog alfa</t>
  </si>
  <si>
    <t>NovoSeven</t>
  </si>
  <si>
    <t>Vertragsverhandlungen gerade am Laufen. MGI/23.02.2018</t>
  </si>
  <si>
    <t>Lündbeck</t>
  </si>
  <si>
    <t>eptinezumab</t>
  </si>
  <si>
    <t>Mailing geschickt. Firma von Lündbeck akquiriert (Sept 2019)</t>
  </si>
  <si>
    <t>Sarepta</t>
  </si>
  <si>
    <t>eteplirsen</t>
  </si>
  <si>
    <t>Exondys</t>
  </si>
  <si>
    <t>FDA zugelassen, EMA Ablehnung</t>
  </si>
  <si>
    <t xml:space="preserve">Firma Kontaktiert &amp; wurde gebeten die Anfrage per E-Mail zu senden. Mail für Kontaktaufnahme am 21.07. geschickt. Ich sollte weiterhin alle Anfragen via E-Mail senden. </t>
  </si>
  <si>
    <t>Colitis Ulcerosa</t>
  </si>
  <si>
    <t>Arena Pharmaceuticals</t>
  </si>
  <si>
    <t>etrasimod</t>
  </si>
  <si>
    <t>Phase III kurz vor dem Start. Kontakt frühestens in 2019.</t>
  </si>
  <si>
    <t>M. Crohn</t>
  </si>
  <si>
    <t>Etrolizumab</t>
  </si>
  <si>
    <t>Zulassung erst in 2020 erwartet. EAP eher unwahrscheinlich aufgr&amp; von bestehenden Therapien. Kontakt erst in 2019 sinnvoll.</t>
  </si>
  <si>
    <t>Sarepta / Summit Therapeutics</t>
  </si>
  <si>
    <t>Ezutromid</t>
  </si>
  <si>
    <t>Frau Annika Bergmann kontaktiert &amp; Kontaktaufnahme akzeptiert (via Linkedin) Suche nach Meeting. MGI / 06.07.2018</t>
  </si>
  <si>
    <t>Hämophilie A &amp; B</t>
  </si>
  <si>
    <t xml:space="preserve">s.c. </t>
  </si>
  <si>
    <t>Fitusiran</t>
  </si>
  <si>
    <t xml:space="preserve">Kontakt erneut Ende 2018/ Anfang 2019 da Zulassung in 2020 erwartet wird. </t>
  </si>
  <si>
    <t>Fremanezumab</t>
  </si>
  <si>
    <t>Ajovy</t>
  </si>
  <si>
    <t xml:space="preserve">Firma konnte bis März keine Angaben machen über das Produkt. Habe mich in Juli nochmals gemeldet um Infos zu erfahren bei Frau Lutz &amp; warte auf Rückmeldung. </t>
  </si>
  <si>
    <t>Fruquitinib</t>
  </si>
  <si>
    <t>Vertrag über Art. 71 bereit für die Unterschrift. Juli 2017.</t>
  </si>
  <si>
    <t>chron. Migräne</t>
  </si>
  <si>
    <t>Galcanezumab</t>
  </si>
  <si>
    <t>Emgality</t>
  </si>
  <si>
    <t>BU Head Herr Schlegel in August getroffen. Aktuell möchte Lilly kein PSP. Neue Evaluation in Q4 geplant. Habe PSP Projekt vorgestellt. (08.08.2019/ MGi)</t>
  </si>
  <si>
    <t>Acute hepatic porphyria</t>
  </si>
  <si>
    <t>Givosiran</t>
  </si>
  <si>
    <t>Filing bei der FDA &amp; EMA im Laufe 2019. EAP eventuell für Ende 2019</t>
  </si>
  <si>
    <t>GS1423</t>
  </si>
  <si>
    <t>Psoriasis</t>
  </si>
  <si>
    <t>Guselkumab</t>
  </si>
  <si>
    <t>Tremfya</t>
  </si>
  <si>
    <t xml:space="preserve">Diskussion über eine mögliche Zusammenarbeit geführt (am 10.04.). Erwarte Rückmeldung am Mitte Mai </t>
  </si>
  <si>
    <t>immuno deficiency</t>
  </si>
  <si>
    <t>Shire</t>
  </si>
  <si>
    <t>human normal immunoglobulin</t>
  </si>
  <si>
    <t>HyQvia</t>
  </si>
  <si>
    <t>?</t>
  </si>
  <si>
    <t>18.01.2018: Andreas Uttenweiler informiert JAM, dass sie Personal im Market Access Department aufstocken &amp; somit z.Zt. Keinen Bedarf für einen Market Access Support haben.</t>
  </si>
  <si>
    <t>Relapsed refractory CLL</t>
  </si>
  <si>
    <t>Idelalisib</t>
  </si>
  <si>
    <t xml:space="preserve">Artikel 71 aktuell über Globopharm abgewickelt schon seit vielen Jahren. </t>
  </si>
  <si>
    <t>Hereditäre Transthyretin Assoziierte Amyloidose  (hATTR)</t>
  </si>
  <si>
    <t>Ionispharma (Akcea)</t>
  </si>
  <si>
    <t>Inotersen</t>
  </si>
  <si>
    <t>Tegsedi</t>
  </si>
  <si>
    <t>Akcea wird das Medikament in Europa nicht vermarkten</t>
  </si>
  <si>
    <t>Neuroblastoma</t>
  </si>
  <si>
    <t>EUSA Pharma</t>
  </si>
  <si>
    <t>Isqette / Unituxin</t>
  </si>
  <si>
    <t>Dinutuximab beta Apeiron</t>
  </si>
  <si>
    <t>FDA und EMA 2017</t>
  </si>
  <si>
    <t xml:space="preserve">Wird aktuell durch IDIS gemacht. Am 27.07.2018 erneut bei Herrn Hessler nachgehakt. Ich warte auf eine Antwort. </t>
  </si>
  <si>
    <t>Chronic GVHD</t>
  </si>
  <si>
    <t>Itacitinib</t>
  </si>
  <si>
    <t xml:space="preserve">Phase 3 Data in der ersten Hälfte 2019 erwartet. </t>
  </si>
  <si>
    <t>AML IDH 1 inhibitor</t>
  </si>
  <si>
    <t>Agios Pharmaceuticals</t>
  </si>
  <si>
    <t>ivosidenib</t>
  </si>
  <si>
    <t>Tibsovo</t>
  </si>
  <si>
    <t xml:space="preserve">Agios Pharma kontaktiert (partnering@agios.com). Warte auf Rückmeldung. </t>
  </si>
  <si>
    <t>Kalydeco &amp; tezacaftor</t>
  </si>
  <si>
    <t>Symdeko</t>
  </si>
  <si>
    <t>Vertrag mit Vertex gestartet. Noch keine Ware / K&amp;e</t>
  </si>
  <si>
    <t>Hereditary angioedema (HAE)</t>
  </si>
  <si>
    <t>Lanadelumab</t>
  </si>
  <si>
    <t>Takhzyro</t>
  </si>
  <si>
    <t>NET</t>
  </si>
  <si>
    <t>Ipsen Pharma</t>
  </si>
  <si>
    <t>Lanreotid</t>
  </si>
  <si>
    <t>Somatuline</t>
  </si>
  <si>
    <t>Firma an HC Dienstleistung interessiert</t>
  </si>
  <si>
    <t>Huntington disease</t>
  </si>
  <si>
    <t>Active Biotech</t>
  </si>
  <si>
    <t>Laquinimod</t>
  </si>
  <si>
    <t>Nerventra</t>
  </si>
  <si>
    <t>Keine gute Resultate  bei MS</t>
  </si>
  <si>
    <t>phase II</t>
  </si>
  <si>
    <t xml:space="preserve">Seit 06.09. gehört es wieder Active Biotech. Früher bei Teva, aber die Studien waren nicht vielversprechend. </t>
  </si>
  <si>
    <t>Solide Tumoren mit einer neurotrophen Tyrosin-Rezeptor-Kinase (NTRK)-Genfusion</t>
  </si>
  <si>
    <t>Larotrectinib</t>
  </si>
  <si>
    <t>Vitrakvi</t>
  </si>
  <si>
    <t>FDA zugelassen seit Nov 2018</t>
  </si>
  <si>
    <t xml:space="preserve">Bayer für die Vermarktung in Europa zuständig. Art. 71 Projekt aktuell ungewiss. Im Moment gibt es kein Plan für Europa. Soll mit Herrn Weiss in Juni 2019 nochmals schauen. </t>
  </si>
  <si>
    <t>Schilddrüsenkarzinom</t>
  </si>
  <si>
    <t>Eisai Pharma</t>
  </si>
  <si>
    <t>Levantinib</t>
  </si>
  <si>
    <t>Lenvima</t>
  </si>
  <si>
    <t xml:space="preserve">Treffen mit Frau Berger &amp; Frau Stampfli. Offerte für HC Betreuung wird eingereicht. Miriam in Nov. Bei Eisai um Neuigkeiten gefragt. </t>
  </si>
  <si>
    <t>duodenal</t>
  </si>
  <si>
    <t>Lobsor Pharmaceuticals</t>
  </si>
  <si>
    <t>levodopa/carbidopa/entacapone</t>
  </si>
  <si>
    <t>Lecigon</t>
  </si>
  <si>
    <t>Zulassung Schweden 2018</t>
  </si>
  <si>
    <t>Zulassung in Europa eventuell in 2019 erwatet. Nicht mehr viele Informationen dazu.</t>
  </si>
  <si>
    <t>Emmaus Medical</t>
  </si>
  <si>
    <t>L-Glutamin</t>
  </si>
  <si>
    <t>Xyndari</t>
  </si>
  <si>
    <t>FDA registriert</t>
  </si>
  <si>
    <t>EU application withdrawn</t>
  </si>
  <si>
    <t>chronic spontaneous urticaria</t>
  </si>
  <si>
    <t>Ligelizumab</t>
  </si>
  <si>
    <t xml:space="preserve">Immunologie Produkt. Art 71? PSP? </t>
  </si>
  <si>
    <t>Lorlatinib</t>
  </si>
  <si>
    <t>Lorviqua</t>
  </si>
  <si>
    <t xml:space="preserve">Zulassung Mai 2019 in der EU. </t>
  </si>
  <si>
    <t>Fabry disease</t>
  </si>
  <si>
    <t>Lucerastat</t>
  </si>
  <si>
    <t>Mammakarzinom</t>
  </si>
  <si>
    <t>Servier  / Clovis Onkologie</t>
  </si>
  <si>
    <t>Lucitanib</t>
  </si>
  <si>
    <t>Frau Terret getroffen. Sie kommen wieder auf uns zu bei Bedarf &amp; Budget. MGI 10/2018</t>
  </si>
  <si>
    <t>Thrombocytopenia</t>
  </si>
  <si>
    <t xml:space="preserve">Shionogi </t>
  </si>
  <si>
    <t>Lusutrombopag</t>
  </si>
  <si>
    <t>Mulpleo</t>
  </si>
  <si>
    <t>EMA Zulassung Dezember 2018</t>
  </si>
  <si>
    <t>Multiples Myelom</t>
  </si>
  <si>
    <t>Marizomib</t>
  </si>
  <si>
    <t>Produkt aktuell zu weit weg von der Zulassung</t>
  </si>
  <si>
    <t>Homozygous Familial Hypercholesterolemia</t>
  </si>
  <si>
    <t>mipomersen</t>
  </si>
  <si>
    <t>Kynamro</t>
  </si>
  <si>
    <t>Produkt wird möglicherweise in der CH nicht zugelassen. EMA Ablehnung in 2012</t>
  </si>
  <si>
    <t>Mirikizumab</t>
  </si>
  <si>
    <t>Haarzell - Leukämie</t>
  </si>
  <si>
    <t>AstraZeneca</t>
  </si>
  <si>
    <t>Moxetumomab</t>
  </si>
  <si>
    <t>Lumoxiti</t>
  </si>
  <si>
    <t>Q1 2017</t>
  </si>
  <si>
    <t xml:space="preserve">Im Moment kein Programm in der CH geplant. </t>
  </si>
  <si>
    <t>Galderma</t>
  </si>
  <si>
    <t>Nemolizumab</t>
  </si>
  <si>
    <t>Galderma startet die Phase III Studie in 2019. In Japan kommt 2019 die Zulassung.</t>
  </si>
  <si>
    <t>Brustkrebs</t>
  </si>
  <si>
    <t>Pierre Fabre /Puma Biotechnology</t>
  </si>
  <si>
    <t>Neratinib</t>
  </si>
  <si>
    <t>Nerlynx</t>
  </si>
  <si>
    <t>Zulassung bei der EMA abgelehnt. MGI 25.02.2018 Erfolgschancen in der CH gering. Seit Februar 2019 Pierre Fabre für die Vermarktung zuständig</t>
  </si>
  <si>
    <t>lung cancer</t>
  </si>
  <si>
    <t>nintedanib</t>
  </si>
  <si>
    <t>Vargatef</t>
  </si>
  <si>
    <t>submitted</t>
  </si>
  <si>
    <t xml:space="preserve">Produkt wird möglicherweise in der CH nicht zugelassen. </t>
  </si>
  <si>
    <t xml:space="preserve">Tyrosinemia type 1 </t>
  </si>
  <si>
    <t>Nitisinone</t>
  </si>
  <si>
    <t>Nityr</t>
  </si>
  <si>
    <t>FDA und EMA zugelassen</t>
  </si>
  <si>
    <t>Mailing geschickt</t>
  </si>
  <si>
    <t>Non Hodgkin Lymphoma</t>
  </si>
  <si>
    <t>Medikament wird vom Markt zurückgenommen. Stand 23.02.2018 / MGI</t>
  </si>
  <si>
    <t>Ulzerative Kolitis</t>
  </si>
  <si>
    <t>Ontamalimab</t>
  </si>
  <si>
    <t>Keine Zusammenarbeit mit MediService</t>
  </si>
  <si>
    <t>Opaganib</t>
  </si>
  <si>
    <t>In Italien als Comp Use für COVID 19</t>
  </si>
  <si>
    <t>Amgen</t>
  </si>
  <si>
    <t>Oprozomib</t>
  </si>
  <si>
    <t>Das Produkt ist noch in der Phase I/II. Im Moment noch kein Bedarf für unsere Dienstleistungen im Rahmen Art. 71</t>
  </si>
  <si>
    <t>Neurotrophische Keratitis</t>
  </si>
  <si>
    <t>i.o.</t>
  </si>
  <si>
    <t>Dompe farmaceutici</t>
  </si>
  <si>
    <t>Oxervate</t>
  </si>
  <si>
    <t>Cenegermin</t>
  </si>
  <si>
    <t>Phase III (positiv opinion EMA)</t>
  </si>
  <si>
    <t>Mailing an Davide Polimeni gesendet. Herr Schneider im Gespräch für das Produkt. Komlizierte Logistik mit sub zero Lagerung. 10/2018. MediService kann es nicht</t>
  </si>
  <si>
    <t>Akute Thrombozytopenie</t>
  </si>
  <si>
    <t>CTI Biopharma</t>
  </si>
  <si>
    <t>Pacritinib</t>
  </si>
  <si>
    <t>Steba Biotech</t>
  </si>
  <si>
    <t>Padeliporfin</t>
  </si>
  <si>
    <t>Tookad</t>
  </si>
  <si>
    <t>Pankreaskarzinom</t>
  </si>
  <si>
    <t>pegilodecakin</t>
  </si>
  <si>
    <t>AMO010</t>
  </si>
  <si>
    <t>Zulassung erst 2021 erwartet. Zu früh für eine Zusammenarbeit</t>
  </si>
  <si>
    <t>Pegpleranib</t>
  </si>
  <si>
    <t>Fovista</t>
  </si>
  <si>
    <t>Produkt ist aufgr&amp; von negativen Studien gestorben. Gemäss Frau Radisic (27.02.2018)</t>
  </si>
  <si>
    <t>Phenylketonuria</t>
  </si>
  <si>
    <t>pegvaliase-pqpz</t>
  </si>
  <si>
    <t>Palinzyq</t>
  </si>
  <si>
    <t>Immer schwierig eine Ansprechperson bei Biomarin zu finden. Medikament in Mai 2018 bei FDA zugelassen. CH Zulassung ungewiss.</t>
  </si>
  <si>
    <t>Interstitielle Zystitis</t>
  </si>
  <si>
    <t>Bene Arzneimittel GmbH</t>
  </si>
  <si>
    <t>pentosan polysulfate sodium</t>
  </si>
  <si>
    <t>Elmiron</t>
  </si>
  <si>
    <t>Q22017</t>
  </si>
  <si>
    <t>MediService vorgestellt. Im Moment keinen Bedarf an unseren Dienstleistungen. (Herr Oliver Michel o.michel@bene-gmbh.de)</t>
  </si>
  <si>
    <t>Tenosynovial Giant Cell Tumor</t>
  </si>
  <si>
    <t>Daiichi - Sankyo</t>
  </si>
  <si>
    <t>Pexidartinib</t>
  </si>
  <si>
    <t>Turalio</t>
  </si>
  <si>
    <t>Firma Daiichi neu in der Onkologie. Erste Produkte erst in 2018-2019 auf dem Markt. Mit Dieter Villiger gesprochen. Neue zuständige im Frühling / Sommer 2019. Produkt nun in der FDA zugelassen (08/2019)</t>
  </si>
  <si>
    <t>non Hodgkin's lymphoma</t>
  </si>
  <si>
    <t>Servier</t>
  </si>
  <si>
    <t>Pixantrone</t>
  </si>
  <si>
    <t>Pixuvri</t>
  </si>
  <si>
    <t>EMA registered</t>
  </si>
  <si>
    <t>2016: Aus internen Gründen kann Service kein Programm für Pixuvri starten</t>
  </si>
  <si>
    <t>Pharma Mar</t>
  </si>
  <si>
    <t>plitidepsin</t>
  </si>
  <si>
    <t>Aplidin®</t>
  </si>
  <si>
    <t>diffuse large B-cell lymphoma (DLBCL)</t>
  </si>
  <si>
    <t>polatuzumab vedotin-piiq</t>
  </si>
  <si>
    <t>Polivy</t>
  </si>
  <si>
    <t>Einreichung bei der FDA geplant. Chancen MediService eher schlecht wegen i.v.</t>
  </si>
  <si>
    <t>RET NSCLC</t>
  </si>
  <si>
    <t>Pralsetinib</t>
  </si>
  <si>
    <t>Quizartinib</t>
  </si>
  <si>
    <t>Termin mit der neuen Person etwa in Mai 2019 suchen. Aktuell keine kommerzielle Pläne für die CH. MGI/ 022019</t>
  </si>
  <si>
    <t>paroxysmal nocturnal hemoglobinuria (PNH)</t>
  </si>
  <si>
    <t>RA Pharma</t>
  </si>
  <si>
    <t>RA101495</t>
  </si>
  <si>
    <t>Orphan drug designation FDA und EMA</t>
  </si>
  <si>
    <t>Noch in der Phase II (MGI/25.02.2018)</t>
  </si>
  <si>
    <t>PAH</t>
  </si>
  <si>
    <t>ralinepag</t>
  </si>
  <si>
    <t>Alexion</t>
  </si>
  <si>
    <t>ravulizumab</t>
  </si>
  <si>
    <t>Ultomiris</t>
  </si>
  <si>
    <t>Versuche Kontakt mit Alexion zu nehmen. EMA Zulassung in Q3 2019 erwartet.</t>
  </si>
  <si>
    <t>schweres Asthma</t>
  </si>
  <si>
    <t>reslizumab</t>
  </si>
  <si>
    <t>Cinqaero</t>
  </si>
  <si>
    <t>registered</t>
  </si>
  <si>
    <t>Mgi/JAm</t>
  </si>
  <si>
    <t>JAm telefoniert mit Hr. Thiele am 19.09.2016. Bedarf für Zusatzdienstleistung evt. ab Marktzulassung. Melden sich bei uns. Aktuell kein Interesse 10/2018</t>
  </si>
  <si>
    <t>Head  and neck cancer</t>
  </si>
  <si>
    <t>Oncolytics Biotech</t>
  </si>
  <si>
    <t>Respiratory Enteric Orphan Virus</t>
  </si>
  <si>
    <t>Reolysin</t>
  </si>
  <si>
    <t xml:space="preserve">Infusionstherapie für Spitäler. Aktuell etwas schwierig. </t>
  </si>
  <si>
    <t>MDS</t>
  </si>
  <si>
    <t>Onconova Therapeutics</t>
  </si>
  <si>
    <t>Rigosertib</t>
  </si>
  <si>
    <t xml:space="preserve">Phase III </t>
  </si>
  <si>
    <t xml:space="preserve">Kleine Firma. Erste Patienten wahrscheinlich 2018. </t>
  </si>
  <si>
    <t>Effik SA</t>
  </si>
  <si>
    <t>Riluzol</t>
  </si>
  <si>
    <t>Teglutik</t>
  </si>
  <si>
    <t>Swissmedic zugelassen (10/2018)</t>
  </si>
  <si>
    <t xml:space="preserve">Kontakt mit Firma aufgenommen. Warte auf Rückmeldung von der Firma. MGI/ 12/06/2018. Rechte an Effik SA. </t>
  </si>
  <si>
    <t>Biohaven Pharmaceuticals</t>
  </si>
  <si>
    <t>Rimegepant</t>
  </si>
  <si>
    <t>FDA zugelassen 2020</t>
  </si>
  <si>
    <t>Abbvie</t>
  </si>
  <si>
    <t>Risankizumab</t>
  </si>
  <si>
    <t>Skyrizi</t>
  </si>
  <si>
    <t>Zugelassen 06 / 2019</t>
  </si>
  <si>
    <t>Herr Florian Gehring kontaktiert. Im Moment hat Abbvie keinen Bedarf an unseren Dienstleistungen. (16.03.2018)</t>
  </si>
  <si>
    <t>Polycythaemia vera</t>
  </si>
  <si>
    <t>AOP Orphan</t>
  </si>
  <si>
    <t>ropeginteferon alpha 2b</t>
  </si>
  <si>
    <t>Besremi</t>
  </si>
  <si>
    <t>Unbedingt Kontakt mit der Firma aufnehmen.</t>
  </si>
  <si>
    <t>Reviva Pharmaceuticals</t>
  </si>
  <si>
    <t>RP5063</t>
  </si>
  <si>
    <t>Eventuell erst in 2019 da die Phase II gerade begonnen hat.</t>
  </si>
  <si>
    <t>Clovis Onkologie</t>
  </si>
  <si>
    <t>Rucaparib</t>
  </si>
  <si>
    <t>Rubraca</t>
  </si>
  <si>
    <t xml:space="preserve">Mailing &amp; E-Mails mehrmals an Frau Lavaud geschickt. Ständig ignoriert. Habe jetzt Josh Bedel kontaktiert. Warte auf Antwort. </t>
  </si>
  <si>
    <t>Glioblastoma &amp; Nicht-kleinzelliges Bronchialkarzinom (NSCLC)</t>
  </si>
  <si>
    <t>S49076</t>
  </si>
  <si>
    <t>Non Hodgkin's lymphoma &amp; CLL</t>
  </si>
  <si>
    <t>Servier / Novartis</t>
  </si>
  <si>
    <t>S55746</t>
  </si>
  <si>
    <t>Phase I</t>
  </si>
  <si>
    <t>Noch sehr früh in der klinische Phase</t>
  </si>
  <si>
    <t>Immunomedics</t>
  </si>
  <si>
    <t>Sacituzumab-Govitecan</t>
  </si>
  <si>
    <t>Immunomedics Europe (Deutschland) kontaktiert &amp; warte auf Rückmeldung. MGI/ 23.07.2018</t>
  </si>
  <si>
    <t>Breast cancer, renal cancer and endometrial cancer</t>
  </si>
  <si>
    <t>Sapanisertib</t>
  </si>
  <si>
    <t>Folgegespräch in Frühling 2018 mit Frau Maradan. MGI/ 06.02.2018</t>
  </si>
  <si>
    <t>Sanofi</t>
  </si>
  <si>
    <t>SAR442168</t>
  </si>
  <si>
    <t>Sarilumab</t>
  </si>
  <si>
    <t>Kevzara</t>
  </si>
  <si>
    <t>JAM, Okt 2016</t>
  </si>
  <si>
    <t>Aktuell in der Erstellung der Offerte für eine Zusamenarbeit MGI/25.02.2018</t>
  </si>
  <si>
    <t>ja, bereits offeriert</t>
  </si>
  <si>
    <t>PBC &amp; NASH</t>
  </si>
  <si>
    <t>Cymabay Therapeutics</t>
  </si>
  <si>
    <t>seladepar</t>
  </si>
  <si>
    <t>Mailing an Herrn O'Mara geschickt in Januar 2018. Studie on hold</t>
  </si>
  <si>
    <t>Karyopharm Therapeutics</t>
  </si>
  <si>
    <t>Selinexor</t>
  </si>
  <si>
    <t>Xpovio</t>
  </si>
  <si>
    <t>FDA Dossier Einreichung erst Ende 2018. FDA Zulassung in Juli 2019. Mit Frau Kausche MSL in DE Kontakt aufgenommen.</t>
  </si>
  <si>
    <t>Selonsertib</t>
  </si>
  <si>
    <t xml:space="preserve">Phase 3 News im 1. Quartal 2019 erwartet. </t>
  </si>
  <si>
    <t>Selpercartinib</t>
  </si>
  <si>
    <t>Akquisition von Loxo Onkologie</t>
  </si>
  <si>
    <t xml:space="preserve">paediatric neurofibromatosis type-1, (NSCLC, thyroid cancer) </t>
  </si>
  <si>
    <t>selumetinib</t>
  </si>
  <si>
    <t>GSK</t>
  </si>
  <si>
    <t>sirukumab</t>
  </si>
  <si>
    <t>Ablehnung FDA</t>
  </si>
  <si>
    <t>Oertli Mathias, Market Access manager GSK auf SHQA Weiterbildung gesprochen</t>
  </si>
  <si>
    <t>Talazoparib</t>
  </si>
  <si>
    <t>Talzenna</t>
  </si>
  <si>
    <t>Medikament am 16.10.2018 zugelassen. Gemäss die Information von Pfizer, haben sie im Moment keinen Bedarf an unseren DLs. 17.10.2018. EMA Zulassung 22.06.2019</t>
  </si>
  <si>
    <t>taliglucerase alfa</t>
  </si>
  <si>
    <t>Elelyso</t>
  </si>
  <si>
    <t>pre-registred</t>
  </si>
  <si>
    <t>nicht interessiert, kein Bedarf</t>
  </si>
  <si>
    <t>Chronische Osteoarthrose</t>
  </si>
  <si>
    <t>Tanezumab</t>
  </si>
  <si>
    <t>Sarkom</t>
  </si>
  <si>
    <t>Epizyme</t>
  </si>
  <si>
    <t>Tazemetostat</t>
  </si>
  <si>
    <t>Tazverik</t>
  </si>
  <si>
    <t>FDA Zulassung Feb 2020</t>
  </si>
  <si>
    <t>Mailing an Herr Boretti &amp; Frau Susan Graf in Januar 2018 geschickt. Medikament in 2018 eine FDA Pause bekommen mit klinischen Studien</t>
  </si>
  <si>
    <t>carcinoid syndrome diarrhea</t>
  </si>
  <si>
    <t>telotristat ethyl</t>
  </si>
  <si>
    <t>Xermelo</t>
  </si>
  <si>
    <t>Zugelassen 03 / 2018</t>
  </si>
  <si>
    <t xml:space="preserve">Medikament in der CH Zugelassen. Am 14.08. mit Herrn Andreas Wilke &amp; Frau Annette Haag telefoniert. </t>
  </si>
  <si>
    <t>IBS (Reizdarmsyndrom)</t>
  </si>
  <si>
    <t>Ardelyx</t>
  </si>
  <si>
    <t>Tenapanor</t>
  </si>
  <si>
    <t>Ibsrela</t>
  </si>
  <si>
    <t>FDA Zulassung 2019</t>
  </si>
  <si>
    <t>geplant 2018</t>
  </si>
  <si>
    <t>Weitere Indikation: Hyperphoshatemie</t>
  </si>
  <si>
    <t>Asthma</t>
  </si>
  <si>
    <t>Tezepelumab</t>
  </si>
  <si>
    <t>Indikation Asthma in 2021 erwartet. Atopische Dermatitis Studie erst in Phase 2. Zusammenarbeit mit Astra Zeneca</t>
  </si>
  <si>
    <t xml:space="preserve">Psoriasis: Schwerer Plaque-Psoriasis </t>
  </si>
  <si>
    <t>Tildrakizumab</t>
  </si>
  <si>
    <t>Ilumya / Ilumetri</t>
  </si>
  <si>
    <t>Die Firma Almiral ist in Europa für das Produkt zuständig. Frau Corthesy für das Produkt zuständig. Erst in Januar 2019 eine Zusammenarbeit möglich.  MGI/06.08.2018</t>
  </si>
  <si>
    <t>Nierenzellenkarzinom</t>
  </si>
  <si>
    <t>Tivozanib</t>
  </si>
  <si>
    <t>Fotivda</t>
  </si>
  <si>
    <t>Herr Stefan Hessler kontaktiert. Firma sagt ich soll die Anfrage per e-mail senden, &amp; sie melden sich bei mir. MGI/26.03.2018</t>
  </si>
  <si>
    <t>Neovacs</t>
  </si>
  <si>
    <t>Tnf Kinoid</t>
  </si>
  <si>
    <t>Kinoid TNF</t>
  </si>
  <si>
    <t>phase IIb</t>
  </si>
  <si>
    <t>Autoimmune Hemolytic Anemia</t>
  </si>
  <si>
    <t>True North Therapeutics</t>
  </si>
  <si>
    <t>TNT009</t>
  </si>
  <si>
    <t>Firma durch Bioverativ aufgekauft. Bioverativ nun durch Sanofi aufgekauft. Situation der Produkte gemäss Sanofi aktuell unklar. MGI / 25.02.2018</t>
  </si>
  <si>
    <t>Vitamin E Deficiency</t>
  </si>
  <si>
    <t>Orphan Europe</t>
  </si>
  <si>
    <t>tocofersolan</t>
  </si>
  <si>
    <t>Vedrop</t>
  </si>
  <si>
    <t>Kontakt aufgenommen um den 1. Patient zu beliefern. Am Schauen, ob wir eine gemeinsame Zusammenarbeit eingehen werden</t>
  </si>
  <si>
    <t>Tralokinumab</t>
  </si>
  <si>
    <t>HER+ Mammakarzinom</t>
  </si>
  <si>
    <t>Tucatinib</t>
  </si>
  <si>
    <t>Turoctogoc alfa pegol</t>
  </si>
  <si>
    <t>Esperoct</t>
  </si>
  <si>
    <t xml:space="preserve">zugelassen </t>
  </si>
  <si>
    <t>Belieferung eher unwahrscheinlich über MediService. Home Care Services ja.</t>
  </si>
  <si>
    <t>TG Therapeutics</t>
  </si>
  <si>
    <t>Ublituximab</t>
  </si>
  <si>
    <t>Umibecestat (AMG 520)</t>
  </si>
  <si>
    <t>Upadacitinib</t>
  </si>
  <si>
    <t>Rinvoq</t>
  </si>
  <si>
    <t>tardive Dyskinesie</t>
  </si>
  <si>
    <t>Neurocrine Biosciences</t>
  </si>
  <si>
    <t>Valbenazine</t>
  </si>
  <si>
    <t>Ingrezza</t>
  </si>
  <si>
    <t>Veliparib</t>
  </si>
  <si>
    <t>EMA Orphan Status</t>
  </si>
  <si>
    <t>Jam, MGI</t>
  </si>
  <si>
    <t>Q42017</t>
  </si>
  <si>
    <t>veltuzumab</t>
  </si>
  <si>
    <t>LLC, MLA</t>
  </si>
  <si>
    <t>Venetoclax</t>
  </si>
  <si>
    <t xml:space="preserve">
Venclyxto</t>
  </si>
  <si>
    <t>Erwartet Zulassung in der Schweiz in 2018 erwartet. Artikel 71 wird durch eine andere Apotheke gemacht. Offeriert für Artikel 71 an Herrn Keller.</t>
  </si>
  <si>
    <t>Sanofi Genzyme (ehemals Ablynx)</t>
  </si>
  <si>
    <t>Vobarilizumab</t>
  </si>
  <si>
    <t>Es dauert noch bis zur Zulassung. Deborah hält uns auf dem laufenden. MGI/ 30.01.2019</t>
  </si>
  <si>
    <t>familiären partiellen Lipodystrophie</t>
  </si>
  <si>
    <t>volanesorsen</t>
  </si>
  <si>
    <t>Waylivra</t>
  </si>
  <si>
    <t xml:space="preserve">EMA Zulassung </t>
  </si>
  <si>
    <t>Herr Stuart Hurst erneut kontaktiert (LinkedIn). Warte auf Rückmeldung. MGI 15.05.2018. Ablehnung für FCS erhalten von der FDA. Zulassung EMA in Mai 2019</t>
  </si>
  <si>
    <t>von Willebrand disease (VWD)</t>
  </si>
  <si>
    <t>vonicog alfa</t>
  </si>
  <si>
    <t>Veyvondi</t>
  </si>
  <si>
    <t>Vutisiran</t>
  </si>
  <si>
    <t>Galmed Pharmaceuticals</t>
  </si>
  <si>
    <t>Aramchol</t>
  </si>
  <si>
    <t>Noch zu früh um Kontakt aufzunehmen oder zu bewerten. Erstmals die Entwicklung beobachten. MGI 13/06/2018</t>
  </si>
  <si>
    <t>Morbus Wilson</t>
  </si>
  <si>
    <t>Ideogen</t>
  </si>
  <si>
    <t>Trientine</t>
  </si>
  <si>
    <t>capivasertib</t>
  </si>
  <si>
    <t>Bei Astra nachfragen wie der Status ist</t>
  </si>
  <si>
    <t>Hereditäres Angiodem</t>
  </si>
  <si>
    <t>BioCryst</t>
  </si>
  <si>
    <t>Berotralstat</t>
  </si>
  <si>
    <t>Orladeyo</t>
  </si>
  <si>
    <t>Multiple System Atrophy</t>
  </si>
  <si>
    <t>Verdiperstat</t>
  </si>
  <si>
    <t>deucravacitinib</t>
  </si>
  <si>
    <t>Azacitidine</t>
  </si>
  <si>
    <t>Trastuzumab-Deruxtecan</t>
  </si>
  <si>
    <t>Enhertu</t>
  </si>
  <si>
    <t>Hypercholesterinämie</t>
  </si>
  <si>
    <t>Bempedoic acid</t>
  </si>
  <si>
    <t>Nilemdo</t>
  </si>
  <si>
    <t>Zugelassen Dezember 2020</t>
  </si>
  <si>
    <t>Progeria</t>
  </si>
  <si>
    <t>Zokinvy</t>
  </si>
  <si>
    <t>Blasenentleerungsstörung</t>
  </si>
  <si>
    <t>intravesikal</t>
  </si>
  <si>
    <t>Farco Pharma</t>
  </si>
  <si>
    <t>Oxybutinin</t>
  </si>
  <si>
    <t>Vesoxx</t>
  </si>
  <si>
    <t>PSC</t>
  </si>
  <si>
    <t>Cilofexor</t>
  </si>
  <si>
    <t>IPF</t>
  </si>
  <si>
    <t>Ziretaxestat</t>
  </si>
  <si>
    <t>Magrolimab</t>
  </si>
  <si>
    <t>Belantamab</t>
  </si>
  <si>
    <t>Blenrep</t>
  </si>
  <si>
    <t>EMA zugelassen</t>
  </si>
  <si>
    <t>Janssen</t>
  </si>
  <si>
    <t>Ponesimod</t>
  </si>
  <si>
    <t>Noch nicht soweit. Immer in Kontakt mit Actelion. Einreichung des Dossiers bei FDA in 2019 geplant</t>
  </si>
  <si>
    <t>Urothelialkarzinom</t>
  </si>
  <si>
    <t>Erdafitinib</t>
  </si>
  <si>
    <t>Balversa</t>
  </si>
  <si>
    <t>Amivantamab</t>
  </si>
  <si>
    <t>Cusatuzumab</t>
  </si>
  <si>
    <t>Tepotinib</t>
  </si>
  <si>
    <t>Tepmeko</t>
  </si>
  <si>
    <t>Patienten mit MET alterations</t>
  </si>
  <si>
    <t>Kardiologie</t>
  </si>
  <si>
    <t>Inclisiran</t>
  </si>
  <si>
    <t>Leqvio</t>
  </si>
  <si>
    <t>Hämophilie A und B</t>
  </si>
  <si>
    <t>Concizumab</t>
  </si>
  <si>
    <t>Rhabdomyosarcoma</t>
  </si>
  <si>
    <t>Oncoheroes Biosciences</t>
  </si>
  <si>
    <t>Volasertib</t>
  </si>
  <si>
    <t>Orpha Swiss</t>
  </si>
  <si>
    <t>Zugelassen 2020</t>
  </si>
  <si>
    <t>OrPha Swiss eher mit einer anderen Apotheke (Rebstock oder Rothaus)</t>
  </si>
  <si>
    <t>Abrocitinib</t>
  </si>
  <si>
    <t>SCLC</t>
  </si>
  <si>
    <t>Lurbinectidin</t>
  </si>
  <si>
    <t>Zepzelca</t>
  </si>
  <si>
    <t>Morbus Crohn</t>
  </si>
  <si>
    <t>RedHill Biopharma</t>
  </si>
  <si>
    <t>extended release ondansetron</t>
  </si>
  <si>
    <t>Bekinda</t>
  </si>
  <si>
    <t xml:space="preserve">Vielleicht schlechter EP. Wirkstoff ist Ondansetron mit verlängerter Wirkung. </t>
  </si>
  <si>
    <t>Gantenerumab</t>
  </si>
  <si>
    <t>Cold Agglutinin Disease</t>
  </si>
  <si>
    <t>Sutimlimab</t>
  </si>
  <si>
    <t>Eventuell erst in 2019 da die Einreichung des Dossiers in 2020 geplant ist.</t>
  </si>
  <si>
    <t>Sanofi Genzyme / Regeneron</t>
  </si>
  <si>
    <t>Evinacumab</t>
  </si>
  <si>
    <t xml:space="preserve">Seagen </t>
  </si>
  <si>
    <t>Tukysa</t>
  </si>
  <si>
    <t>Swissmedic Zugelassen Oktober 2020</t>
  </si>
  <si>
    <t>Spectrum Pharmaceuticals</t>
  </si>
  <si>
    <t>Poziotonib</t>
  </si>
  <si>
    <t>Takeda / Shire</t>
  </si>
  <si>
    <t>18.01.2018: Andreas Uttenweiler informiert JAM, dass sie Personal im Market Access Department aufstocken und somit z.Zt. Keinen Bedarf für einen Market Access Support haben.</t>
  </si>
  <si>
    <t>Mobocertinib</t>
  </si>
  <si>
    <t>CMV</t>
  </si>
  <si>
    <t>Maribavir</t>
  </si>
  <si>
    <t>Umbrasilib</t>
  </si>
  <si>
    <t>Marginal zone Lymphoma</t>
  </si>
  <si>
    <t>Zilucoplan</t>
  </si>
  <si>
    <t>HIV</t>
  </si>
  <si>
    <t>ViiV Healthcare</t>
  </si>
  <si>
    <t>Cabotegravir</t>
  </si>
  <si>
    <t>Vocabria</t>
  </si>
  <si>
    <t>Cabenuva</t>
  </si>
  <si>
    <t>In Kombination mit Vocabria</t>
  </si>
  <si>
    <r>
      <t xml:space="preserve">Sitz EU
</t>
    </r>
    <r>
      <rPr>
        <sz val="10"/>
        <color theme="1"/>
        <rFont val="Arial"/>
        <family val="2"/>
      </rPr>
      <t>(wenn kein Sitz in CH)</t>
    </r>
  </si>
  <si>
    <t>Sitz CH</t>
  </si>
  <si>
    <r>
      <t xml:space="preserve">Sitz US / CANADA / ASIEN
</t>
    </r>
    <r>
      <rPr>
        <sz val="10"/>
        <color theme="1"/>
        <rFont val="Arial"/>
        <family val="2"/>
      </rPr>
      <t>(wenn kein Sitz in CH/EU)</t>
    </r>
  </si>
  <si>
    <t>ViiV Healthcare
Talstrasse 3-5
CH-3053 Münchenbuchsee</t>
  </si>
  <si>
    <t>UCB Schweiz
Chemin de la Croix-Blanche 10
CH-1630 Bulle</t>
  </si>
  <si>
    <t>TG Therapeutics, Inc.
2 Gansevoort Street, 9th Floor
New York, NY 10014 USA</t>
  </si>
  <si>
    <t>Takeda Pharma AG
Thurauerstrasse 130
CH-8152 Glattpark-Opfikon</t>
  </si>
  <si>
    <t>Spectrum Pharmaceuticals
11500 S. Eastern Avenue #240
Henderson, NV 89052 USA</t>
  </si>
  <si>
    <t>Seagen International GmbH
Dammstrasse 19
CH-6300 Zug</t>
  </si>
  <si>
    <t>sanofi-aventis (suisse) sa
3, route de Montfleury
CH-1214 Vernier</t>
  </si>
  <si>
    <t>Roche Pharma (Schweiz) AG
Gartenstrasse 9
CH-4052 Basel</t>
  </si>
  <si>
    <t>RedHill Biopharma Inc.
8045 Arco Corporate Drive, Suite 200
Raleigh, NC  27617 USA</t>
  </si>
  <si>
    <t>PharmaMar AG
c/o OBC Suisse AG
Aeschengraben 29 
CH-4051 Basel</t>
  </si>
  <si>
    <t>Pfizer AG
Schärenmoosstrasse 99
CH-8052 Zürich</t>
  </si>
  <si>
    <t>Orpha Swiss GmbH
Untere Heslibachstrasse 41A
CH-8700 Küsnacht</t>
  </si>
  <si>
    <t>Oncoheroes Biosciences
Baldiri i Reixac, 4-8
Barcelona, Catalonia 08028</t>
  </si>
  <si>
    <t>Novo Nordisk Pharma AG
Thurgauerstrasse 36/38
CH-8050 Zürich</t>
  </si>
  <si>
    <t>Novartis Pharma Schweiz AG
Suurstoffi 14
Postfach
CH-6343 Rotkreuz</t>
  </si>
  <si>
    <t>Merck Schweiz AG
Chamerstrasse 174
CH-6300 Zug</t>
  </si>
  <si>
    <t>Leo Pharmaceutical Products Sarath Ltd
Eichwatt 5
CH-8105 Regensdorf-Watt</t>
  </si>
  <si>
    <t>Janssen-Cilag AG
Gubelstrasse 34
CH-6300 Zug</t>
  </si>
  <si>
    <t>GlaxoSmithKline AG
Talstrasse 3-5
CH-3053 Münchenbuchsee</t>
  </si>
  <si>
    <t>Gilead Sciences Switzerland Sàrl
General-Guisan-Strasse 8
CH-6300 Zug</t>
  </si>
  <si>
    <t>Farco-Pharma GmbH
Gereonsmühlengasse 1-11
D-50670 Köln</t>
  </si>
  <si>
    <t>Eiger Biopharmaceuticals</t>
  </si>
  <si>
    <t>Eiger BioPharmaceuticals, Inc
2155 Park Blvd
Palo Alto, CA 94306</t>
  </si>
  <si>
    <t>Daiichi Sankyo (Schweiz) AG
Vulkanstrasse 106
CH-8048 Zürich</t>
  </si>
  <si>
    <t>Cegene GmbH
Bändliweg 20
CH-8048 Zürich</t>
  </si>
  <si>
    <t>Biohaven Pharmaceuticals
Holding Company Ltd. C/O
Biohaven Pharmaceuticals, Inc
215 Church Street New Haven, CT 06510
USA</t>
  </si>
  <si>
    <t>AstraZeneca AG
Neuhofstrasse 34
CH-6340 Baar</t>
  </si>
  <si>
    <t>BioCryst Pharmaceuticals Inc
4505 Emperor Blvd # 200
Durham, NC 27703 USA</t>
  </si>
  <si>
    <t>Blueprint Medicines (Switzerland) GmbH
Baarerstrasse 8
CH-6300 Zug</t>
  </si>
  <si>
    <t>Bayer (Schweiz) AG
Grubenstrasse 6
CH-8045 Zürich</t>
  </si>
  <si>
    <t>Biogen Switzerland AG
Neuhofstrasse 30
CH-6340 Baar</t>
  </si>
  <si>
    <t>Astellas Pharma AG
Richtiring 28
CH-8304 Wallisellen</t>
  </si>
  <si>
    <t>Dermira
275 Middlefield Road, Suite 150
Menlo Park, California 94025 USA</t>
  </si>
  <si>
    <t>Alnylam Switzerland GmbH
Grafenauweg 4
CH-6300 Zug</t>
  </si>
  <si>
    <t>Kyowa Kirin Sàrl
c/o Intertrust (Suisse) SA 
Rue Philippe-Plantamour 18-20
CH-1201 Genève</t>
  </si>
  <si>
    <t>Intercept Pharma Switzerland GmbH
City Center Stockerhof
Dreikönigstrasse 31A
CH-8002 Zürich</t>
  </si>
  <si>
    <t>FibroGen, Inc.
409 Illinois Street
San Francisco, CA 94158 USA</t>
  </si>
  <si>
    <t>Allergan AG
Hardturmstrasse 11
8005 Zürich</t>
  </si>
  <si>
    <t>Vertex Pharmaceuticals (CH) GmbH
Baarerstrasse 88
CH-6300 Zug</t>
  </si>
  <si>
    <t>Eli Lilly (Suisse) S.A.
Chemin des Coquelicots 16
CH-1214 Vernier</t>
  </si>
  <si>
    <t>Akero Therapeutics
170 Harbor Way
CA 94080 South San Francisco
USA</t>
  </si>
  <si>
    <t>Novartis Pharma (Schweiz) AG
Gartenstrasse 9
CH-4052 Basel</t>
  </si>
  <si>
    <t>Corbus Pharmaceuticals, Inc.
500 River Ridge Drive
Norwood, MA 02062 USA</t>
  </si>
  <si>
    <t>Moleculin Biotech, Inc.
5300 Memorial Drive, Suite 950
Houston, TX, 77007 USA</t>
  </si>
  <si>
    <t>Spirig HealthCare AG
Industriestrasse 30
CH-4622 Egerkingen</t>
  </si>
  <si>
    <t>Idorsia Pharmaceuticals Ltd
Hegenheimermattweg 91
CH-4123 Allschwil</t>
  </si>
  <si>
    <t>PTC Therapeutics
Turmstrasse 28
CH-6300 Zug</t>
  </si>
  <si>
    <t>Amicus Therapeutics Switzerland GmbH
Bahnhofstrasse 100
8001 Zürich</t>
  </si>
  <si>
    <t>vertex Pharmaceuticals (CH) GmbH
Baarerstrasse 88
CH-6300 Zug</t>
  </si>
  <si>
    <t>Xbiotech Schweiz AG
Gartenstrasse 4
CH-6304 Zug</t>
  </si>
  <si>
    <t>Pierre Fabre Pharma GmbH
Hegenheimermattweg 183
CH-4123 Allschwil</t>
  </si>
  <si>
    <t>Sage Therapeutics
215 First St
Cambridge, MA 02142 USA</t>
  </si>
  <si>
    <t>TESARO BIO GMBH
Poststrasse 6
CH-6300 Zug</t>
  </si>
  <si>
    <t>BioMarin Deutschland GmbH
Westerbachstrasse 28
D-61476 Kronbergim Tauns</t>
  </si>
  <si>
    <t>Helsinn Healthcare SA
Via Pian Scairolo 9
CH-6912 Pazzallo</t>
  </si>
  <si>
    <t>CSL Behring AG
Wankdorfstrasse 10
CH-3014 Bern</t>
  </si>
  <si>
    <t>Chiesi Farmaceutici SpA
Via Palermo 26/A
I-43122 Parma</t>
  </si>
  <si>
    <t>Theva-Pharma AG
Kirschgartenstrasse 14
4051 Basel</t>
  </si>
  <si>
    <t>Verastem Europe GmbH
Lange Strasse 70
D-29664 Walsrode</t>
  </si>
  <si>
    <t>Mitsubishi Tanabe Pharma Europe
Dashwood House
69 Old Broad St.
London EC2M 1QS</t>
  </si>
  <si>
    <t>Stealth BioTherapeutics
275 Grove St, Suite 3-107
Auburndale, MA 02466 USA</t>
  </si>
  <si>
    <t>Swedish Orphan Biovitrum AG
Winkelriedstrasse 35
CH-6003 Luzern</t>
  </si>
  <si>
    <t>Incyte Biosciences International Sàrl
Rue Docteur-Yersin 10
CH-1110 Morges</t>
  </si>
  <si>
    <t>Lundbeck (Schweiz) AG
Balz-Zimmermann-Strasse 7
CH-8152 Opfikon</t>
  </si>
  <si>
    <t>Sarepta International Holdings GmbH
Baarerstrasse 14
CH-6300 Zug</t>
  </si>
  <si>
    <t>Arena Pharmaceuticals GmbH
Theilerstrasse 1a
CH-6300 Zug</t>
  </si>
  <si>
    <t>Shire International GmbH
Thurgauerstrasse 130
CH-8152 Opfikon</t>
  </si>
  <si>
    <t>Ionis Pharmaceuticals, Inc.
2855 Gazelle Court 
Carlsbad, CA 92010 USA</t>
  </si>
  <si>
    <t>EUSA Pharma (Germany) GmbH
Elsenheimerstrasse 41
D-80687 München</t>
  </si>
  <si>
    <t>Agios International GmbH
Dammstrasse 19
CH-6300 Zug</t>
  </si>
  <si>
    <t>Ipsen Pharma
Einsteinstrasse 174
D-81677 München</t>
  </si>
  <si>
    <t>Active Biotech AB
Scheelevägen 22
SE-223 63 Lund</t>
  </si>
  <si>
    <t>Eisai Pharma AG
Leutschenbachstrasse 95
8050 Zürich</t>
  </si>
  <si>
    <t>Lobsor Pharmaceuticals AB
Kålsängsgränd 10 D
SE-753 19 Uppsala</t>
  </si>
  <si>
    <t>Emmaus Life Sciences, Inc.
21250 Hawthorne Blvd.
Suite 800
Torrance, CA 90503 USA</t>
  </si>
  <si>
    <t>Servier (Suisse) S.A.
Rue de la Bergère 10
CH-1242 Satigny</t>
  </si>
  <si>
    <t>Shionogi B.V.
Kingsfordweg 151
NL-1043GR, Amsterdam</t>
  </si>
  <si>
    <t>Galderma Pharma S.A.
Rue d'Entre-deux-Villes 10
1814 La Tour-de-Peilz</t>
  </si>
  <si>
    <t>Boehringer Ingelheim (Schweiz) AG
Hochbergerstrasse 60B
CH-4002 Basel</t>
  </si>
  <si>
    <t>Cycle Pharmaceuticals</t>
  </si>
  <si>
    <t>Cycle Pharmaceuticals
The Barrett Building
Litte St Mary's Lane
Cambridge CB2 1RR
United Kingdom</t>
  </si>
  <si>
    <t>Amgen
Suurstoffi 22
CH-6343 Rotkreuz</t>
  </si>
  <si>
    <t>Dompé Farmaceutici S.p.A.
Via Santa Lucia 6
I-20122 Milano</t>
  </si>
  <si>
    <t>CTI Biopharma
Universitätsstrasse 71
D-50931 Köln</t>
  </si>
  <si>
    <t>Steba Biotech SA
Route de Malagnou 49-51
CH-1208 Genève</t>
  </si>
  <si>
    <t>Biomarin Europe
10 Bloomsbury Way
Holborn
London WC1A 2SL</t>
  </si>
  <si>
    <t>bene-Arzneimittel GmbH
Herterichstr. 1
D-81479 München</t>
  </si>
  <si>
    <t>Alexion Pharmaceuticals
Giesshübelstrasse 30
CH-8045 Zürich</t>
  </si>
  <si>
    <t>Oncolytics Biotech Inc.
210, 1167 Kensington Crescent NW
Calgary, Alberta T2N 1X7 
Canada</t>
  </si>
  <si>
    <t>Onconova Therapeutics
375 Pheasant Run
Newtown, PA 18940 USA</t>
  </si>
  <si>
    <t>Effik SA
Rue du Marché 10
1260 Nyon</t>
  </si>
  <si>
    <t>AbbVie AG
Alte Steinhauserstrasse 14
CH- 6330 Cham</t>
  </si>
  <si>
    <t>AOP Orphan Pharmaceuticals AG
Wilhelminenstrasse 91
A-1160 Wien</t>
  </si>
  <si>
    <t>Reviva Pharmaceuticals Holdings Inc.
19925 Stevens Creek Blvd., Suite 100
Cupertino, CA 95014, USA</t>
  </si>
  <si>
    <t>Clovis Oncology Switzerland GmbH
Seefeldstrasse 69
CH-8008 Zürich</t>
  </si>
  <si>
    <t>Immunomedics GmbH
Paul-Ehrlich-Strasse 22 / D+
D-63322 Rödermark</t>
  </si>
  <si>
    <t>CymaBay Therapeutics
7575 Gateway Blvd., Suite 110
Newark, CA 94560 USA</t>
  </si>
  <si>
    <t>Karyopharm Europe GmbH
Franziska-Bilek-Weg-9
D-80339 München</t>
  </si>
  <si>
    <t>Epizyme, Inc.
400 Technology Square, 4th Floor
Cambridge, MA 02139 USA</t>
  </si>
  <si>
    <t>Ardelyx
Bay Area
34175 Ardenwood Boulevard
Fremont, CA 94555 USA</t>
  </si>
  <si>
    <t>Almirall</t>
  </si>
  <si>
    <t>Almirall AG
Alte Winterthurerstrasse 14
8304 Wallisellen</t>
  </si>
  <si>
    <t>Neovacs
3 Impasse Reille
F-75014 Paris</t>
  </si>
  <si>
    <t>Recordati Rare Diseases Germany GmbH
Eberhard-Finckh-Strasse 55
D-89075 Ulm</t>
  </si>
  <si>
    <t>Neurocrine Biosciences, Inc.
12780 El Camino Real
San Diego, CA 92130 USA</t>
  </si>
  <si>
    <t>Seagen (Seattle Genetics)</t>
  </si>
  <si>
    <t>Galmed Pharmaceuticals Ltd.
16 Tiomkin Street
Tel Aviv, 6578317 Israel</t>
  </si>
  <si>
    <t>Ideogen AG
Hurdnerstrasse 119
CH-8640 Hrden</t>
  </si>
  <si>
    <t>CML</t>
  </si>
  <si>
    <t>Asciminib</t>
  </si>
  <si>
    <t>Nein</t>
  </si>
  <si>
    <t>Non-transfusion Dependent Adult PK Deficiency</t>
  </si>
  <si>
    <t>Mitapivat</t>
  </si>
  <si>
    <t>Budget 2022 Product sales</t>
  </si>
  <si>
    <t>Budget 2022 Service Sales</t>
  </si>
  <si>
    <t>Neuroendokrinen Tumoren (NET)</t>
  </si>
  <si>
    <t>Hutchimed</t>
  </si>
  <si>
    <t>Surufatinib</t>
  </si>
  <si>
    <t>%</t>
  </si>
  <si>
    <t>Aurinia Pharmaceuticals</t>
  </si>
  <si>
    <t>Lupus Nephritis</t>
  </si>
  <si>
    <t>Voclosporin</t>
  </si>
  <si>
    <t>Lupkynis</t>
  </si>
  <si>
    <t>FDA Zugelassen</t>
  </si>
  <si>
    <t>Diabetisches Makulaödem</t>
  </si>
  <si>
    <t>Faricimab</t>
  </si>
  <si>
    <t>Capmatinib</t>
  </si>
  <si>
    <t>Tabrecta</t>
  </si>
  <si>
    <t>fibrodysplasia ossificans progressiva (FOP)</t>
  </si>
  <si>
    <t>palovarotene</t>
  </si>
  <si>
    <t>Myovant Sciences</t>
  </si>
  <si>
    <t>Prostata Karzinom</t>
  </si>
  <si>
    <t>Relugolix</t>
  </si>
  <si>
    <t>Orgovyx</t>
  </si>
  <si>
    <t>BeiGene</t>
  </si>
  <si>
    <t>Zanubrutinib</t>
  </si>
  <si>
    <t>Brukinsa</t>
  </si>
  <si>
    <t>Waldenström Macroglobulinamia</t>
  </si>
  <si>
    <t>Squamos Cell Carcinoma</t>
  </si>
  <si>
    <t>Retifanlimab</t>
  </si>
  <si>
    <t>Sotorasib</t>
  </si>
  <si>
    <t>Global Blood Therapeutics</t>
  </si>
  <si>
    <t>Voxelotor</t>
  </si>
  <si>
    <t>Oxbryta</t>
  </si>
  <si>
    <t>Orphazyme</t>
  </si>
  <si>
    <t>Arimocromol</t>
  </si>
  <si>
    <t>Niemann Pick Disease</t>
  </si>
  <si>
    <t>Deciphera</t>
  </si>
  <si>
    <t>GIST</t>
  </si>
  <si>
    <t>Ripretinib</t>
  </si>
  <si>
    <t>Qinlock</t>
  </si>
  <si>
    <t>Lonafarnib</t>
  </si>
  <si>
    <t>Apellis Pharmaceuticals</t>
  </si>
  <si>
    <t>PNH (paroxysmale nächtliche Hämoglobinurie)</t>
  </si>
  <si>
    <t>pegcetacoplan</t>
  </si>
  <si>
    <t>Empaveli</t>
  </si>
  <si>
    <t>Mirium Pharmaceuticals</t>
  </si>
  <si>
    <t>cholestatic pruritus in patients with Alagille syndrome (ALGS) </t>
  </si>
  <si>
    <t>Maralixibat</t>
  </si>
  <si>
    <t>ANCA-associated vasculitis (AAV).</t>
  </si>
  <si>
    <t>Dravet Syndrom</t>
  </si>
  <si>
    <t>Zogenix</t>
  </si>
  <si>
    <t>Fenfluramin</t>
  </si>
  <si>
    <t>Fintepla</t>
  </si>
  <si>
    <t>InnoCare</t>
  </si>
  <si>
    <t>Mantle Cell Lymphoma</t>
  </si>
  <si>
    <t>Orelabrutinib</t>
  </si>
  <si>
    <t>Bimzelx</t>
  </si>
  <si>
    <t>Albireo Therapeutics</t>
  </si>
  <si>
    <t>Progressive familial intrahepatic cholestasis (PFIC)</t>
  </si>
  <si>
    <t>Odexivibat</t>
  </si>
  <si>
    <t>Bylvay</t>
  </si>
  <si>
    <t>Achondroplasia</t>
  </si>
  <si>
    <t>Vosoritid</t>
  </si>
  <si>
    <t>Voxzogo</t>
  </si>
  <si>
    <t>Alopecia</t>
  </si>
  <si>
    <t>Ritlectinib</t>
  </si>
  <si>
    <t>Donanemab</t>
  </si>
  <si>
    <t>Hyperlipoproteinämie</t>
  </si>
  <si>
    <t>Olpasiran</t>
  </si>
  <si>
    <t>Sohonos</t>
  </si>
  <si>
    <t>LE1 2022 Product sales</t>
  </si>
  <si>
    <t>LE1 2022 Service Sales</t>
  </si>
  <si>
    <t>Amlyx Pharmaceuticals</t>
  </si>
  <si>
    <t>ursodoxicoltaurine</t>
  </si>
  <si>
    <t>Pyrukynd</t>
  </si>
  <si>
    <t>Q1 20220</t>
  </si>
  <si>
    <t>Zulassung in der EU gegen Ende 2022 erwartet, und in der Schweiz gegen Ende 2023</t>
  </si>
  <si>
    <t>Registriert</t>
  </si>
  <si>
    <t>Q1 2022</t>
  </si>
  <si>
    <t>Aktuell im Gespräch für eine Zusammenarbeit</t>
  </si>
  <si>
    <t>Lumykras</t>
  </si>
  <si>
    <t>AT-GAA (Cipaglucosidase)</t>
  </si>
  <si>
    <t>BMS</t>
  </si>
  <si>
    <t>Relatlimab / Nivolumab</t>
  </si>
  <si>
    <t>Spesolimab</t>
  </si>
  <si>
    <t>Psoriasis (general pustular Psoriasis)</t>
  </si>
  <si>
    <t>Produkt kommt in der EU auf dem Markt vermutlich Ende Jahr</t>
  </si>
  <si>
    <t>Saphnelo</t>
  </si>
  <si>
    <t>Koselugo</t>
  </si>
  <si>
    <t>EAP mit MediService unwahrscheinlich</t>
  </si>
  <si>
    <t>Zulassungsantrag in der EU in Januar zurückgezogen</t>
  </si>
  <si>
    <t>Mavacamten</t>
  </si>
  <si>
    <t>Hypertrophic cardiomyopathy (HCM)</t>
  </si>
  <si>
    <t>Zulassung in den USA in April 2022 erwartet. Allenfalls EAP mit BMS</t>
  </si>
  <si>
    <t>PEComa</t>
  </si>
  <si>
    <t>Aadi Biosciences</t>
  </si>
  <si>
    <t>sirolimus</t>
  </si>
  <si>
    <t>Fyarro</t>
  </si>
  <si>
    <t>Vydura</t>
  </si>
  <si>
    <t>EMA und FDA Zulassungen vorhanden. EMA Zulassung ab März 2022 sonst unter dem Namen Nurtec ODT (USA)</t>
  </si>
  <si>
    <t>Gavreto</t>
  </si>
  <si>
    <t>Medikament von Roche lizenziert (von Blueprint)</t>
  </si>
  <si>
    <t>Bridgebio</t>
  </si>
  <si>
    <t>molybdenum cofactor deficiency (MoCD) Type A</t>
  </si>
  <si>
    <t>Fosdenopterin</t>
  </si>
  <si>
    <t>Nulibry</t>
  </si>
  <si>
    <t>Herr Kessler für ein Early Access Programm kontaktieren</t>
  </si>
  <si>
    <t>Infigrantinib</t>
  </si>
  <si>
    <t>Truseltiq</t>
  </si>
  <si>
    <t>Uveal Melanoma</t>
  </si>
  <si>
    <t>Immunocore</t>
  </si>
  <si>
    <t>Tebentafusp</t>
  </si>
  <si>
    <t>DLBCL</t>
  </si>
  <si>
    <t>Tafasitamab</t>
  </si>
  <si>
    <t>Minjuvi</t>
  </si>
  <si>
    <t xml:space="preserve">Zugelassen </t>
  </si>
  <si>
    <t>Zulassung in März erwartet</t>
  </si>
  <si>
    <t>Aktuell in Verhandlungen für den Import</t>
  </si>
  <si>
    <t>Zulassung zurückgezogen. Ende 2022 wieder analysieren</t>
  </si>
  <si>
    <t>Adtralza</t>
  </si>
  <si>
    <t>Jemperli</t>
  </si>
  <si>
    <t>Kimmtrak</t>
  </si>
  <si>
    <t>Livmarli</t>
  </si>
  <si>
    <t>Scemblix</t>
  </si>
  <si>
    <t>Muss zuerst evaluieren, ob Pfizer oder Lilly für das Produkt in der Schweiz zuständig ist. Zulassung verzögert sich. Wahrscheinlich erst in 2023</t>
  </si>
  <si>
    <t>Cibinqo</t>
  </si>
  <si>
    <t>Vabysmo</t>
  </si>
  <si>
    <t>Bereits in der interne Liste für die LE 1 2022</t>
  </si>
  <si>
    <t>Exkivity</t>
  </si>
  <si>
    <t>Livtencity</t>
  </si>
  <si>
    <t>Enjaymo</t>
  </si>
  <si>
    <t>Renale Anemie</t>
  </si>
  <si>
    <t>Daprodustat</t>
  </si>
  <si>
    <t>Duvroq</t>
  </si>
  <si>
    <t>Parsaclisib</t>
  </si>
  <si>
    <t>Zulassungen gegen Ende 2022 erwartet</t>
  </si>
  <si>
    <t>RSV (respiratory syncital virus)</t>
  </si>
  <si>
    <t>i.m.</t>
  </si>
  <si>
    <t>Nirsevimab</t>
  </si>
  <si>
    <t>Oncopeptides</t>
  </si>
  <si>
    <t>Melphelan flufenamide</t>
  </si>
  <si>
    <t xml:space="preserve">Olipudase </t>
  </si>
  <si>
    <t>Xenpozyme</t>
  </si>
  <si>
    <t>Zulassung bereits in den USA. Vertrag in Arbeit (März 2022)</t>
  </si>
  <si>
    <t>GVHD</t>
  </si>
  <si>
    <t>Belumosudil</t>
  </si>
  <si>
    <t>Rezurock</t>
  </si>
  <si>
    <t>Noch abzuklären wie viele Patienten wirklich für das Medikament in Frage kommen</t>
  </si>
  <si>
    <t>Efanesoctocog alpha</t>
  </si>
  <si>
    <t>Xospata</t>
  </si>
  <si>
    <t>Zeposia</t>
  </si>
  <si>
    <t>Vifor</t>
  </si>
  <si>
    <t>Ryeqo</t>
  </si>
  <si>
    <t>Oxlumo</t>
  </si>
  <si>
    <t>Givlaari</t>
  </si>
  <si>
    <t>Vumerity</t>
  </si>
  <si>
    <t>Kooperation bereits am Laufen</t>
  </si>
  <si>
    <t>Gefrorene Lagerung. Kein Produkt für MSE</t>
  </si>
  <si>
    <t>Bridgebio / Helsinn</t>
  </si>
  <si>
    <t>Inrebic</t>
  </si>
  <si>
    <t>Vonjo</t>
  </si>
  <si>
    <t>Endari</t>
  </si>
  <si>
    <t>Ponvory</t>
  </si>
  <si>
    <t>Kesimpta</t>
  </si>
  <si>
    <t>Evrysdi</t>
  </si>
  <si>
    <t>Nicht im Access für LE1 2022</t>
  </si>
  <si>
    <t>inhalation</t>
  </si>
  <si>
    <t>Gebro Pharma</t>
  </si>
  <si>
    <t>Treprostinil</t>
  </si>
  <si>
    <t>Tyvaso</t>
  </si>
  <si>
    <t>Q2 2022</t>
  </si>
  <si>
    <t>Zulassung in den USA in Mai 2022. In Kontakt mit Gebro</t>
  </si>
  <si>
    <t>EMA Zulassung</t>
  </si>
  <si>
    <t>EMA Zulassung in Q3 2022 erwartet. Kontakt mit der Firma suchen.</t>
  </si>
  <si>
    <t>Firma von Servier übernommen. Produkt in Mai 2022 für die erstlinientherapie in AML bei der FDA zugelassen. EU Zulassung kommend</t>
  </si>
  <si>
    <t>NSCLC (KRASG12C)</t>
  </si>
  <si>
    <t>Mirati Therapeutics</t>
  </si>
  <si>
    <t>Adagrasib</t>
  </si>
  <si>
    <t>Auch für die Indikation MS Zulassung in 2022 in den USA erwartet (alle 6 Monate eine Infusion für eine Dauer von 1 Std)</t>
  </si>
  <si>
    <t>Repotrectinib</t>
  </si>
  <si>
    <t xml:space="preserve">BMS </t>
  </si>
  <si>
    <t>Amvuttra</t>
  </si>
  <si>
    <t>FDA Zulassung Juni 2022</t>
  </si>
  <si>
    <t>Abriolza</t>
  </si>
  <si>
    <t>Canada Zulassung Juni 2022</t>
  </si>
  <si>
    <t>s.c</t>
  </si>
  <si>
    <t>Firma von Ipsen in Juni 2022 gekauft. Nehme Kontakt wieder auf</t>
  </si>
  <si>
    <t xml:space="preserve"> </t>
  </si>
  <si>
    <t>EMA Zulassung Juni 2022</t>
  </si>
  <si>
    <t>Niemann Pick Disease (Acid Sphingonmyelin Deficiency)</t>
  </si>
  <si>
    <t>Tolebrutinib</t>
  </si>
  <si>
    <t xml:space="preserve">FDA clinical hold in July 2022. Vermutliche Verzögerung der Zulassung. </t>
  </si>
  <si>
    <t>Santhera</t>
  </si>
  <si>
    <t>Vamorolon</t>
  </si>
  <si>
    <t>Omkologie</t>
  </si>
  <si>
    <t>Relapsed or refractory non-Hodgkin's lymphoma (Folicular Lymphoma)</t>
  </si>
  <si>
    <t>Lunsumio</t>
  </si>
  <si>
    <t>Mosunetuzumab</t>
  </si>
  <si>
    <t xml:space="preserve">FDA Zulassung in Dezember 2022 erwartet. Mit Roche, kein Art. 71 Vertrag. </t>
  </si>
  <si>
    <t>Lecanemab</t>
  </si>
  <si>
    <t>Zulassungsentscheidung FDA in Januar 2023erwartet.</t>
  </si>
  <si>
    <t>Loncastuximab</t>
  </si>
  <si>
    <t>Zynlonta</t>
  </si>
  <si>
    <t>LE 2 2022 Product Sales</t>
  </si>
  <si>
    <t>LE 2 Service Sales</t>
  </si>
  <si>
    <t>Budget 2023 Product Sales</t>
  </si>
  <si>
    <t>Budget 2023 Service Sales</t>
  </si>
  <si>
    <t>Aspaveli</t>
  </si>
  <si>
    <t>EMA Antrag zurückgezogen am 01.08.2022</t>
  </si>
  <si>
    <t>Raylumis</t>
  </si>
  <si>
    <t>Mitsubishi Tanabe Pharmaceuticals</t>
  </si>
  <si>
    <t>Edadarvon</t>
  </si>
  <si>
    <t>Radicava ORS</t>
  </si>
  <si>
    <t>Momelotinib</t>
  </si>
  <si>
    <t>Pepaxti</t>
  </si>
  <si>
    <t>Zulassung in August 2022</t>
  </si>
  <si>
    <t xml:space="preserve">Vermarktung in Europa durch Stemline Therapeutics. </t>
  </si>
  <si>
    <t>Rhythym Pharmaceuticals</t>
  </si>
  <si>
    <t>Setmelanotide</t>
  </si>
  <si>
    <t>Inmcivree</t>
  </si>
  <si>
    <t>Obesity - Badet-Biedl syndrom</t>
  </si>
  <si>
    <t>Menarini Pharma / Stemline Therapeutics</t>
  </si>
  <si>
    <t>Elacestrant</t>
  </si>
  <si>
    <t>Chronic Migrane</t>
  </si>
  <si>
    <t>Atogepant</t>
  </si>
  <si>
    <t>Qulipta</t>
  </si>
  <si>
    <t>Byondis</t>
  </si>
  <si>
    <t>Trastuzumab-duocarmazine</t>
  </si>
  <si>
    <t>Pirtobrutinib</t>
  </si>
  <si>
    <t>Taiho Pharmaceuticals</t>
  </si>
  <si>
    <t>Futibatinib</t>
  </si>
  <si>
    <t>Spevigo</t>
  </si>
  <si>
    <t>Indikation Ulcerativ Colitis auch Bald auf dem Markt</t>
  </si>
  <si>
    <t>Ulcerative Colitis</t>
  </si>
  <si>
    <t>mCRPC (prostrate cancer)</t>
  </si>
  <si>
    <t>Niraparib / abiraterone</t>
  </si>
  <si>
    <t>Sifi Pharmaceuticals</t>
  </si>
  <si>
    <t>acanthamoeba keratitis</t>
  </si>
  <si>
    <t>vitreal</t>
  </si>
  <si>
    <t>Polihexanid</t>
  </si>
  <si>
    <t>Tislelizumab</t>
  </si>
  <si>
    <t xml:space="preserve">Indikation für Speiseröhrekrebs auch beantragt. </t>
  </si>
  <si>
    <t>renal cell carcinoma</t>
  </si>
  <si>
    <t>Tremelimumab</t>
  </si>
  <si>
    <t>Im Moment nur beobachten. In Kollaboration mit Eisai. Studie beendet wegen Sicherheitsaspekte (risk benefit ratio schlecht)</t>
  </si>
  <si>
    <t>Komlizierte Logistik mit sub zero Lagerung. 10/2018. MediService kann es nicht</t>
  </si>
  <si>
    <t>Exondys 51</t>
  </si>
  <si>
    <t>Zulassungsentscheidung FDA in Januar 2023 erwartet.</t>
  </si>
  <si>
    <t>FDA Zulassung in 2022 / 2023 erwartet</t>
  </si>
  <si>
    <t>Zulassung in der EU gegen Ende 2022 erwartet, und in der Schweiz gegen Ende 2023. Injektion alle 3 Monate</t>
  </si>
  <si>
    <t>Relyvrio</t>
  </si>
  <si>
    <t xml:space="preserve">Firma wird von Pfizer übernommen. Gemäss die Nachrichten von 29.09.2022, unwahrscheinlich, dass das Produkt eine Zulassung bekommen wird. Es hat keinen Unterschied zu Placebo beim ALS Functional Rating Scale-Revised (ALSFRS-R) over 24 weeks. </t>
  </si>
  <si>
    <t xml:space="preserve">Zulassung in August 2022 von der EMA. Zulassung bei der FDA abgelehnt. </t>
  </si>
  <si>
    <t>Krazati</t>
  </si>
  <si>
    <t>FDA Zulassung</t>
  </si>
  <si>
    <t>PNH</t>
  </si>
  <si>
    <t>Iptacopan</t>
  </si>
  <si>
    <t>Madrigal Pharmaceuticals</t>
  </si>
  <si>
    <t>resmetirom</t>
  </si>
  <si>
    <t>Pombiliti</t>
  </si>
  <si>
    <t xml:space="preserve">FDA Zulassung in Dezember 2022 erwartet. Mit Roche, kein Art. 71 Vertrag. Zulassung in Dezember 2022 erfolgt. </t>
  </si>
  <si>
    <t>Briumvi</t>
  </si>
  <si>
    <t>Zulassung in Dezember 2022 erfolgt (alle 6 Monate eine Infusion für eine Dauer von 1 Std). Ähnliche Wirkweise wie Ocrevus / Kesimpta (CD20)</t>
  </si>
  <si>
    <t>Amryt</t>
  </si>
  <si>
    <t>Oleogel S10</t>
  </si>
  <si>
    <t>Filsuvez</t>
  </si>
  <si>
    <t>Myalepta</t>
  </si>
  <si>
    <t>Metreleptin</t>
  </si>
  <si>
    <t>Leqimbi</t>
  </si>
  <si>
    <t>Firma von Ipsen aufgekauft in Januar 2023</t>
  </si>
  <si>
    <t>Pliant Therapeutics</t>
  </si>
  <si>
    <t>Bexotegrast</t>
  </si>
  <si>
    <t>Ehemals Eli Lilly. Takeda hat Marketingrechte in 2023 gekauft für alle Länder ausserhalb China.</t>
  </si>
  <si>
    <t>Myasthenia gravis</t>
  </si>
  <si>
    <t>Rozanolixizumab</t>
  </si>
  <si>
    <t>MSD</t>
  </si>
  <si>
    <t>Sotatercept</t>
  </si>
  <si>
    <t>Crovalimab</t>
  </si>
  <si>
    <t>Einreichung bei der FDA in Februar noch ausstehend</t>
  </si>
  <si>
    <t>LE 1 2023</t>
  </si>
  <si>
    <t>IgA Nephropathy</t>
  </si>
  <si>
    <t>Filspari</t>
  </si>
  <si>
    <t>Tavneos</t>
  </si>
  <si>
    <t>Sparsentan</t>
  </si>
  <si>
    <t>Geographische Atrophie</t>
  </si>
  <si>
    <t>Syfovre</t>
  </si>
  <si>
    <t>Vertrag im Q1 2023 unterschrieben</t>
  </si>
  <si>
    <t>Altuviiio</t>
  </si>
  <si>
    <t>FDA Zulassung in Februar 2023 erfolgt. Einreichung bei der EMA im 2. Halbjahr 2023. CH Ware in 2024 erwartet</t>
  </si>
  <si>
    <t>Pharming</t>
  </si>
  <si>
    <t>Leniolisib</t>
  </si>
  <si>
    <t>Joenja</t>
  </si>
  <si>
    <t>activated PI3K-delta syndrome (APDS)</t>
  </si>
  <si>
    <t xml:space="preserve">FDA Zulassung in März 2023 erwartet. </t>
  </si>
  <si>
    <t>Immunogen</t>
  </si>
  <si>
    <t>Mirvetuximab</t>
  </si>
  <si>
    <t>Elahere</t>
  </si>
  <si>
    <t>Swissmedic Zugelassen</t>
  </si>
  <si>
    <t>nasal</t>
  </si>
  <si>
    <t>Zavegepant</t>
  </si>
  <si>
    <t>Zavzpret</t>
  </si>
  <si>
    <t>acute Migrane</t>
  </si>
  <si>
    <t>Calliditas Therapeutics</t>
  </si>
  <si>
    <t>Budesonid</t>
  </si>
  <si>
    <t>Tarpeyo</t>
  </si>
  <si>
    <t>March 2023</t>
  </si>
  <si>
    <t>Noch kein Kontakt aufgenommen</t>
  </si>
  <si>
    <t>Diabetes Typ 1</t>
  </si>
  <si>
    <t>Tzield</t>
  </si>
  <si>
    <t>Teplizumab</t>
  </si>
  <si>
    <t xml:space="preserve">Sanofi hat in März 2023 die Firma Provention Bio akquiriert. </t>
  </si>
  <si>
    <t xml:space="preserve">Medical Lead für Europa Sons Barbara Jane BarbaraJane.Sons@ucb.com Markteinführung allenfalls Ende 2023. Subkutane Infusion über 10-15 Minuten mittels Pumpe. Home Care Service in Diskussion, Artikel 71 Import möglich. Marie Azoulay für Access zuständig. </t>
  </si>
  <si>
    <t>Chronic cough</t>
  </si>
  <si>
    <t>Gefapixant</t>
  </si>
  <si>
    <t>Lyfnua</t>
  </si>
  <si>
    <t xml:space="preserve">In der Schweiz bereits zugelassen. </t>
  </si>
  <si>
    <t>Gamlipixant</t>
  </si>
  <si>
    <t>MCT8 deficiency</t>
  </si>
  <si>
    <t>Egetis Pharmaceuticals</t>
  </si>
  <si>
    <t>Emcitate</t>
  </si>
  <si>
    <t xml:space="preserve">In erstgespräche mit der Firma via Patrick Schneider. </t>
  </si>
  <si>
    <t>Opdualag</t>
  </si>
  <si>
    <t xml:space="preserve">EMA und FDA Einreichung noch im Jahr 2023. Für 2024 soll das spannend für uns sein. </t>
  </si>
  <si>
    <t>Eisai</t>
  </si>
  <si>
    <t>HATTR - PN</t>
  </si>
  <si>
    <t>Eplontersen</t>
  </si>
  <si>
    <t>Astellas</t>
  </si>
  <si>
    <t>avacincaptad pegol</t>
  </si>
  <si>
    <t>Zulassung bei der FDA in April 2023 erhalten für Merkelzellkarzinom</t>
  </si>
  <si>
    <t>Merkelzellkarzinom MCC</t>
  </si>
  <si>
    <t>Zynyz</t>
  </si>
  <si>
    <t xml:space="preserve">Einreichung bei der FDA vor dem Ende Juni 2023. </t>
  </si>
  <si>
    <t>pegunigalsidase alfa</t>
  </si>
  <si>
    <t>Elfabrio</t>
  </si>
  <si>
    <t xml:space="preserve">Firma in Mai 2023 von SOBI übernommen. </t>
  </si>
  <si>
    <t>Haemophilia B</t>
  </si>
  <si>
    <t>marstacimab</t>
  </si>
  <si>
    <t>Für die Indikation DMD wird nichts sein. Endpunkt wurde nicht erreicht: Stand der Information: Juni 2023</t>
  </si>
  <si>
    <t>Hepatitis Delta</t>
  </si>
  <si>
    <t>Bulevirtid</t>
  </si>
  <si>
    <t>Hepcludex</t>
  </si>
  <si>
    <t>Therapiedauer unbekannt</t>
  </si>
  <si>
    <t>Otsuka</t>
  </si>
  <si>
    <t>Decitabine, cedazuridine</t>
  </si>
  <si>
    <t>Inqovi</t>
  </si>
  <si>
    <t>Beyfortus</t>
  </si>
  <si>
    <t>Galapagos GmbH</t>
  </si>
  <si>
    <t>Bei Swissmedic bereits seit August 2022 eingereicht</t>
  </si>
  <si>
    <t>Jyseleca</t>
  </si>
  <si>
    <t>von Hippel - Lindau (VHL) disease</t>
  </si>
  <si>
    <t>Belzutifan</t>
  </si>
  <si>
    <t>Welireg</t>
  </si>
  <si>
    <t>Powerpoint</t>
  </si>
  <si>
    <t>Möglicherweise niedriger Preis</t>
  </si>
  <si>
    <t>EQRx</t>
  </si>
  <si>
    <t>Aumolertinib</t>
  </si>
  <si>
    <t>Firma aus China. Unwahrscheinlich ob Zusammenarbeit möglich ist</t>
  </si>
  <si>
    <t>TTP</t>
  </si>
  <si>
    <t>apadamtase cinaxadamtase</t>
  </si>
  <si>
    <t>Beide Indikationen hTTP und iTTP</t>
  </si>
  <si>
    <t>concizumab</t>
  </si>
  <si>
    <t>Mit Daiichi ständig in Kontakt. Stand Juni 2023</t>
  </si>
  <si>
    <t>Sugemlimab</t>
  </si>
  <si>
    <t xml:space="preserve">Eher ein Opportunitätsprodukt, weil im Spital verabreicht wird. </t>
  </si>
  <si>
    <t>Reata Pharmaceuticals</t>
  </si>
  <si>
    <t>Friedrich's Ataxie</t>
  </si>
  <si>
    <t>omaveloxolone</t>
  </si>
  <si>
    <t>Skyclarys</t>
  </si>
  <si>
    <t>Aktuell in Verhandlung mit Firma über den Import</t>
  </si>
  <si>
    <t>Jaypirca</t>
  </si>
  <si>
    <t>Pozelimab</t>
  </si>
  <si>
    <t xml:space="preserve">Muss noch abklären, ob das Medikament von Regeneron vermarktet wird. </t>
  </si>
  <si>
    <t>Global Blood Therapeutics -Pfizer</t>
  </si>
  <si>
    <t>Sotyktu</t>
  </si>
  <si>
    <t>Tezspire</t>
  </si>
  <si>
    <t>FDA  Zulasssung in Juni 2023 erfolgt</t>
  </si>
  <si>
    <t>Growth Hormone Deficiency</t>
  </si>
  <si>
    <t>Somatrogon</t>
  </si>
  <si>
    <t>Ngenla</t>
  </si>
  <si>
    <t>FDA Zulassung gutgeheissen in Juni 2023</t>
  </si>
  <si>
    <t>PBC</t>
  </si>
  <si>
    <t>elafibranor</t>
  </si>
  <si>
    <t>Zuranolone</t>
  </si>
  <si>
    <t>Zurzuvae</t>
  </si>
  <si>
    <t xml:space="preserve">Allenfalls von Biogen in der Schweiz oder Europa vermarktet. </t>
  </si>
  <si>
    <t>Izervay</t>
  </si>
  <si>
    <t>Zulassung in August 2023 erfolgt. Frage bald bei Astellas ob wir den Import machen können.</t>
  </si>
  <si>
    <t>Akeega</t>
  </si>
  <si>
    <t xml:space="preserve">FDA zulassung </t>
  </si>
  <si>
    <t>FDA Zulassung in August 2023 erfolgt</t>
  </si>
  <si>
    <t xml:space="preserve">August 2023 eine Zulassung von der FDA für die Indikation Chorea Huntington. </t>
  </si>
  <si>
    <t>Congenital Adrenal Hyperplasia (children and adults)</t>
  </si>
  <si>
    <t>crinecerfont</t>
  </si>
  <si>
    <t>Zulassung im Verlauf von 2024 in den USA erwartet</t>
  </si>
  <si>
    <t>Ojjaara</t>
  </si>
  <si>
    <t>FDA zulasssung in September erfolgt. Kontakt aufnehmen um ein Art. 71 Projekt zu besprechen.</t>
  </si>
  <si>
    <t>Rystiggo</t>
  </si>
  <si>
    <t>Zilbrysiq</t>
  </si>
  <si>
    <t xml:space="preserve">Medical Lead für Europa Sons Barbara Jane BarbaraJane.Sons@ucb.com zuständige Person Access: Marie Azoulay. Artikel 71 möglich, auch Home Care nach Swissmedic Zulassung möglich. Zulassung in Oktober erfolgt. </t>
  </si>
  <si>
    <t>EAP mit Vifor im Q3 2024 erwartet. Gemäss Dijana wird auch über MediService laufen</t>
  </si>
  <si>
    <t xml:space="preserve">FDA Zulassung in Dezember 2022 erfolgt. Könnte Blockbuster werden. Firma wurde im Oktober 2023 von BMS gekauft. </t>
  </si>
  <si>
    <t>Diabetes Typ 2 and obesity</t>
  </si>
  <si>
    <t>Wegovy</t>
  </si>
  <si>
    <t>Semaglutid</t>
  </si>
  <si>
    <t>Tirzepatid</t>
  </si>
  <si>
    <t>Mounjaro</t>
  </si>
  <si>
    <t>Zepbound</t>
  </si>
  <si>
    <t>Diabetes Typ 2</t>
  </si>
  <si>
    <t>Obesity</t>
  </si>
  <si>
    <t xml:space="preserve">Kontakt mit Market Access aufgenommen. Firma von AbbVie in November akquiriert. </t>
  </si>
  <si>
    <t>Almiral</t>
  </si>
  <si>
    <t>Ebglyss</t>
  </si>
  <si>
    <t>FDA zulassung in November erfolgt. Im Gespräch über ein Access Programm</t>
  </si>
  <si>
    <t>Truqap</t>
  </si>
  <si>
    <t>Augtryo</t>
  </si>
  <si>
    <t>FDA zulassung</t>
  </si>
  <si>
    <t>FDA Zulassung in November erfolgt. Im Gespräch über ein Access Programm</t>
  </si>
  <si>
    <t>Fruzaqla</t>
  </si>
  <si>
    <t>Cytokinetics</t>
  </si>
  <si>
    <t>Aficamten</t>
  </si>
  <si>
    <t>symptomatischer (NYHA II-III) obstruktiver hypertropher Kardiomyopathie (oHCM) </t>
  </si>
  <si>
    <t>Zulassung in den USA 2024 erwartet. Soll besser als Camzyos sein</t>
  </si>
  <si>
    <t>MK-0616</t>
  </si>
  <si>
    <t>Arexvy</t>
  </si>
  <si>
    <t>Abrysvo</t>
  </si>
  <si>
    <t>RSV (respiratory syncital virus) - Kinder unter 2</t>
  </si>
  <si>
    <t>RSV (respriratory syncital virus) - Senioren ab 60</t>
  </si>
  <si>
    <t>RSV (respiratory syncital virus) - schwangeren und Senioren ab 60</t>
  </si>
  <si>
    <t>Einreichung für SPMS in 2024 zu erwarten, vielleicht auch in der CH</t>
  </si>
  <si>
    <t>Acute pain</t>
  </si>
  <si>
    <t>Vertex 548</t>
  </si>
  <si>
    <t>Velsipity</t>
  </si>
  <si>
    <t>EU Zulassung</t>
  </si>
  <si>
    <t>Vanflyta</t>
  </si>
  <si>
    <t>Omvoh</t>
  </si>
  <si>
    <t>Rybrevant</t>
  </si>
  <si>
    <t>Rezdiffra</t>
  </si>
  <si>
    <t>Tevimbra</t>
  </si>
  <si>
    <t>Alhemo</t>
  </si>
  <si>
    <t xml:space="preserve">Unwahrscheinlich, dass ein Access Programm über MSE läuft. Eher in House bei BMS. </t>
  </si>
  <si>
    <t>CDKL-5 deficiency disorder (CDD)</t>
  </si>
  <si>
    <t>Marinus Pharmaceuticals</t>
  </si>
  <si>
    <t>Ganxolon</t>
  </si>
  <si>
    <t>Ztalmy</t>
  </si>
  <si>
    <t>cTTP</t>
  </si>
  <si>
    <t>Adzynma</t>
  </si>
  <si>
    <t>apadamtase alfa cinaxadamtase alfa</t>
  </si>
  <si>
    <t>elrantamab</t>
  </si>
  <si>
    <t>Elfrexio</t>
  </si>
  <si>
    <t>Agamree</t>
  </si>
  <si>
    <t>GC Biopharma</t>
  </si>
  <si>
    <t>Primary Immunodeficiency</t>
  </si>
  <si>
    <t>Immunglobuline</t>
  </si>
  <si>
    <t>Alyglo</t>
  </si>
  <si>
    <t>Schizophrenia</t>
  </si>
  <si>
    <t>xanomeline-trospium</t>
  </si>
  <si>
    <t>Marstacimab</t>
  </si>
  <si>
    <t>HATTR - CM</t>
  </si>
  <si>
    <t>Acoramidis</t>
  </si>
  <si>
    <t>EMA Zulassung in Februar 2025 erwartet</t>
  </si>
  <si>
    <t>Datopatamab deruxtecan</t>
  </si>
  <si>
    <t>Tulisokibart</t>
  </si>
  <si>
    <t>Rocatinlimab</t>
  </si>
  <si>
    <t>Remibrutinib</t>
  </si>
  <si>
    <t>HAE</t>
  </si>
  <si>
    <t>Donidalorsen</t>
  </si>
  <si>
    <t>Newron Pharmaceuticals</t>
  </si>
  <si>
    <t>Evanamid</t>
  </si>
  <si>
    <t>alpha-1 antitrypsin deficiency (AATD)</t>
  </si>
  <si>
    <t>SAR447537</t>
  </si>
  <si>
    <t>Italfarmaco</t>
  </si>
  <si>
    <t>Givinostat</t>
  </si>
  <si>
    <t>Duvyzat</t>
  </si>
  <si>
    <t>Geron Therapeutics</t>
  </si>
  <si>
    <t>Imetelstat</t>
  </si>
  <si>
    <t>Rytelo</t>
  </si>
  <si>
    <t>obesity</t>
  </si>
  <si>
    <t>Altimmune</t>
  </si>
  <si>
    <t>Pemvidutide</t>
  </si>
  <si>
    <t>Danicopan</t>
  </si>
  <si>
    <t>Voydeya</t>
  </si>
  <si>
    <t>Facioscapulohumeral Muscular Dystrophy</t>
  </si>
  <si>
    <t>Losmapimod</t>
  </si>
  <si>
    <t>Mim8</t>
  </si>
  <si>
    <t>Hypoparathyroidism</t>
  </si>
  <si>
    <t>Ascendis</t>
  </si>
  <si>
    <t>palopegteriparatide</t>
  </si>
  <si>
    <t>Yorvipath</t>
  </si>
  <si>
    <t>Piasky</t>
  </si>
  <si>
    <t>non-cystic fibrosis bronchiectasis</t>
  </si>
  <si>
    <t>Insmed</t>
  </si>
  <si>
    <t>Brensocatib</t>
  </si>
  <si>
    <t xml:space="preserve">Zulassung in März 2025 erwartet. </t>
  </si>
  <si>
    <t>Avanzanite</t>
  </si>
  <si>
    <t>Depemokimab</t>
  </si>
  <si>
    <t>Injektion alle 6 Monate</t>
  </si>
  <si>
    <t>FDA Dossiereinreichung in 2024. FDA Zulassung in 2025 zu erwarten</t>
  </si>
  <si>
    <t>Eher unwahrscheinlich, dass wir im Rahmen Artikel 71c liefern können</t>
  </si>
  <si>
    <t>Ein Launch in der Schweiz ist unwahrscheinlich. Starke Konkurrenten (CSL, Takeda und Octapharma für die Immunglobuline)</t>
  </si>
  <si>
    <t>FDA Zulassung in September erwartet</t>
  </si>
  <si>
    <t>Beyontra</t>
  </si>
  <si>
    <t>FDA Zulassung Anfang 2025 erwartet</t>
  </si>
  <si>
    <t>EMA Zulassung Anfang 2025 erwartet. Einmal pro Woche eine Spritze unabhängig vom Gewicht</t>
  </si>
  <si>
    <t>FDA Einreichung Ende 2024 erwartet. Zulassung Ende 2025</t>
  </si>
  <si>
    <t>Phase 3 läuft noch. Ich denke frühestens 2026 spruchreif</t>
  </si>
  <si>
    <t>Zulassung bei der FDA in Anfang 2025 erwartet</t>
  </si>
  <si>
    <t>Verabreichung subkutan einmal im Monat oder alle 2 Monate</t>
  </si>
  <si>
    <t>Zulassung frühestens ab 2026</t>
  </si>
  <si>
    <t>Vanzacaftorum / tezacaftorum / deutivacaftorum</t>
  </si>
  <si>
    <t>axatilimab-csfr</t>
  </si>
  <si>
    <t>Niktimvo</t>
  </si>
  <si>
    <t>Zulassung in den USA in August erfolgt. Kann statt Jakavi eingesetzt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</si>
</sst>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CHF]\ #,##0.00"/>
    <numFmt numFmtId="165" formatCode="[$CHF]\ #,##0;[Red][$CHF]\ \-#,##0"/>
    <numFmt numFmtId="166" formatCode="[$CHF]\ #,##0.0;[Red][$CHF]\ \-#,##0.0"/>
  </numFmts>
  <fonts count="19" x14ac:knownFonts="1">
    <font>
      <sz val="10"/>
      <color theme="1"/>
      <name val="Arial"/>
      <family val="2"/>
    </font>
    <font>
      <sz val="10"/>
      <color theme="1"/>
      <name val="Arial"/>
      <family val="2"/>
    </font>
    <font>
      <sz val="10"/>
      <color rgb="FF006100"/>
      <name val="Arial"/>
      <family val="2"/>
    </font>
    <font>
      <sz val="10"/>
      <color rgb="FF9C0006"/>
      <name val="Arial"/>
      <family val="2"/>
    </font>
    <font>
      <sz val="10"/>
      <color rgb="FF9C6500"/>
      <name val="Arial"/>
      <family val="2"/>
    </font>
    <font>
      <b/>
      <sz val="10"/>
      <name val="Arial"/>
      <family val="2"/>
    </font>
    <font>
      <sz val="10"/>
      <name val="Arial"/>
      <family val="2"/>
    </font>
    <font>
      <b/>
      <sz val="10"/>
      <name val="Symbol"/>
      <family val="1"/>
      <charset val="2"/>
    </font>
    <font>
      <u/>
      <sz val="10"/>
      <color theme="10"/>
      <name val="Arial"/>
      <family val="2"/>
    </font>
    <font>
      <sz val="11"/>
      <color indexed="19"/>
      <name val="Calibri"/>
      <family val="2"/>
    </font>
    <font>
      <strike/>
      <sz val="10"/>
      <name val="Arial"/>
      <family val="2"/>
    </font>
    <font>
      <b/>
      <sz val="9"/>
      <color indexed="81"/>
      <name val="Tahoma"/>
      <family val="2"/>
    </font>
    <font>
      <sz val="9"/>
      <color indexed="81"/>
      <name val="Tahoma"/>
      <family val="2"/>
    </font>
    <font>
      <b/>
      <sz val="9"/>
      <color indexed="81"/>
      <name val="Segoe UI"/>
      <family val="2"/>
    </font>
    <font>
      <sz val="9"/>
      <color indexed="81"/>
      <name val="Segoe UI"/>
      <family val="2"/>
    </font>
    <font>
      <sz val="10"/>
      <color indexed="8"/>
      <name val="Arial"/>
      <family val="2"/>
    </font>
    <font>
      <sz val="12"/>
      <color rgb="FF595959"/>
      <name val="Arial"/>
      <family val="2"/>
    </font>
    <font>
      <sz val="9"/>
      <color indexed="81"/>
      <name val="Segoe UI"/>
      <charset val="1"/>
    </font>
    <font>
      <b/>
      <sz val="9"/>
      <color indexed="81"/>
      <name val="Segoe UI"/>
      <charset val="1"/>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3"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3"/>
      </patternFill>
    </fill>
    <fill>
      <patternFill patternType="solid">
        <fgColor theme="5" tint="0.39997558519241921"/>
        <bgColor indexed="64"/>
      </patternFill>
    </fill>
    <fill>
      <patternFill patternType="solid">
        <fgColor theme="4" tint="0.59999389629810485"/>
        <bgColor indexed="65"/>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right style="thin">
        <color indexed="64"/>
      </right>
      <top style="thin">
        <color theme="4" tint="0.39997558519241921"/>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9">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8" fillId="0" borderId="0" applyNumberFormat="0" applyFill="0" applyBorder="0" applyAlignment="0" applyProtection="0"/>
    <xf numFmtId="0" fontId="9" fillId="8" borderId="0" applyNumberFormat="0" applyBorder="0" applyAlignment="0" applyProtection="0"/>
    <xf numFmtId="0" fontId="6" fillId="0" borderId="0"/>
    <xf numFmtId="0" fontId="1" fillId="10" borderId="0" applyNumberFormat="0" applyBorder="0" applyAlignment="0" applyProtection="0"/>
  </cellStyleXfs>
  <cellXfs count="237">
    <xf numFmtId="0" fontId="0" fillId="0" borderId="0" xfId="0"/>
    <xf numFmtId="0" fontId="0" fillId="0" borderId="0" xfId="0" applyAlignment="1">
      <alignment vertical="top"/>
    </xf>
    <xf numFmtId="0" fontId="0" fillId="0" borderId="0" xfId="0" applyAlignment="1">
      <alignment horizontal="center" vertical="top"/>
    </xf>
    <xf numFmtId="164" fontId="0" fillId="0" borderId="0" xfId="0" applyNumberFormat="1" applyAlignment="1">
      <alignment horizontal="center" vertical="top"/>
    </xf>
    <xf numFmtId="3" fontId="0" fillId="0" borderId="0" xfId="0" applyNumberFormat="1" applyAlignment="1">
      <alignment horizontal="right" vertical="top"/>
    </xf>
    <xf numFmtId="9" fontId="0" fillId="0" borderId="0" xfId="1" applyFont="1" applyAlignment="1">
      <alignment horizontal="center" vertical="top"/>
    </xf>
    <xf numFmtId="0" fontId="5" fillId="5" borderId="1" xfId="0" applyFont="1" applyFill="1" applyBorder="1" applyAlignment="1">
      <alignment vertical="top" wrapText="1"/>
    </xf>
    <xf numFmtId="0" fontId="5" fillId="5" borderId="1" xfId="0" applyFont="1" applyFill="1" applyBorder="1" applyAlignment="1">
      <alignment horizontal="center" vertical="top" wrapText="1"/>
    </xf>
    <xf numFmtId="3" fontId="5" fillId="5" borderId="1" xfId="0" applyNumberFormat="1" applyFont="1" applyFill="1" applyBorder="1" applyAlignment="1">
      <alignment horizontal="center" vertical="top" wrapText="1"/>
    </xf>
    <xf numFmtId="9" fontId="5" fillId="5" borderId="1" xfId="1" applyFont="1" applyFill="1" applyBorder="1" applyAlignment="1">
      <alignment horizontal="center" vertical="top" wrapText="1"/>
    </xf>
    <xf numFmtId="164" fontId="5" fillId="5" borderId="1" xfId="0" applyNumberFormat="1" applyFont="1" applyFill="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2" fillId="2" borderId="1" xfId="2" applyBorder="1" applyAlignment="1">
      <alignment vertical="top"/>
    </xf>
    <xf numFmtId="0" fontId="2" fillId="2" borderId="1" xfId="2" applyBorder="1" applyAlignment="1">
      <alignment horizontal="center" vertical="top"/>
    </xf>
    <xf numFmtId="3" fontId="2" fillId="2" borderId="1" xfId="2" applyNumberFormat="1" applyBorder="1" applyAlignment="1">
      <alignment horizontal="right" vertical="top"/>
    </xf>
    <xf numFmtId="9" fontId="2" fillId="2" borderId="1" xfId="2" applyNumberFormat="1" applyBorder="1" applyAlignment="1">
      <alignment horizontal="center" vertical="top"/>
    </xf>
    <xf numFmtId="3" fontId="2" fillId="2" borderId="1" xfId="2" applyNumberFormat="1" applyBorder="1" applyAlignment="1">
      <alignment vertical="top"/>
    </xf>
    <xf numFmtId="164" fontId="2" fillId="2" borderId="1" xfId="2" applyNumberFormat="1" applyBorder="1" applyAlignment="1">
      <alignment horizontal="center" vertical="top"/>
    </xf>
    <xf numFmtId="165" fontId="2" fillId="2" borderId="1" xfId="2" applyNumberFormat="1" applyBorder="1" applyAlignment="1">
      <alignment horizontal="center" vertical="top"/>
    </xf>
    <xf numFmtId="17" fontId="2" fillId="2" borderId="1" xfId="2" applyNumberFormat="1" applyBorder="1" applyAlignment="1">
      <alignment vertical="top"/>
    </xf>
    <xf numFmtId="14" fontId="2" fillId="2" borderId="1" xfId="2" applyNumberFormat="1" applyBorder="1" applyAlignment="1">
      <alignment vertical="top"/>
    </xf>
    <xf numFmtId="0" fontId="0" fillId="0" borderId="1" xfId="0" applyBorder="1" applyAlignment="1">
      <alignment vertical="top"/>
    </xf>
    <xf numFmtId="0" fontId="6" fillId="0" borderId="1" xfId="0" applyFont="1" applyBorder="1" applyAlignment="1">
      <alignment vertical="top"/>
    </xf>
    <xf numFmtId="0" fontId="0" fillId="0" borderId="1" xfId="0" applyBorder="1" applyAlignment="1">
      <alignment horizontal="center" vertical="top"/>
    </xf>
    <xf numFmtId="3" fontId="6" fillId="0" borderId="1" xfId="0" applyNumberFormat="1" applyFont="1" applyBorder="1" applyAlignment="1">
      <alignment horizontal="right" vertical="top"/>
    </xf>
    <xf numFmtId="9" fontId="6" fillId="0" borderId="1" xfId="1" applyFont="1" applyBorder="1" applyAlignment="1">
      <alignment horizontal="center" vertical="top"/>
    </xf>
    <xf numFmtId="3" fontId="6" fillId="0" borderId="1" xfId="0" applyNumberFormat="1" applyFont="1" applyBorder="1" applyAlignment="1">
      <alignment vertical="top"/>
    </xf>
    <xf numFmtId="164" fontId="0" fillId="0" borderId="1" xfId="0" applyNumberFormat="1" applyBorder="1" applyAlignment="1">
      <alignment horizontal="center" vertical="top"/>
    </xf>
    <xf numFmtId="165" fontId="0" fillId="0" borderId="1" xfId="0" applyNumberFormat="1" applyBorder="1" applyAlignment="1">
      <alignment horizontal="center" vertical="top"/>
    </xf>
    <xf numFmtId="0" fontId="4" fillId="4" borderId="1" xfId="4" applyBorder="1" applyAlignment="1">
      <alignment vertical="top"/>
    </xf>
    <xf numFmtId="0" fontId="4" fillId="4" borderId="1" xfId="4" applyBorder="1" applyAlignment="1">
      <alignment horizontal="center" vertical="top"/>
    </xf>
    <xf numFmtId="3" fontId="4" fillId="4" borderId="1" xfId="4" applyNumberFormat="1" applyBorder="1" applyAlignment="1">
      <alignment horizontal="right" vertical="top"/>
    </xf>
    <xf numFmtId="9" fontId="4" fillId="4" borderId="1" xfId="4" applyNumberFormat="1" applyBorder="1" applyAlignment="1">
      <alignment horizontal="center" vertical="top"/>
    </xf>
    <xf numFmtId="3" fontId="4" fillId="4" borderId="1" xfId="4" applyNumberFormat="1" applyBorder="1" applyAlignment="1">
      <alignment vertical="top"/>
    </xf>
    <xf numFmtId="164" fontId="4" fillId="4" borderId="1" xfId="4" applyNumberFormat="1" applyBorder="1" applyAlignment="1">
      <alignment horizontal="center" vertical="top"/>
    </xf>
    <xf numFmtId="165" fontId="4" fillId="4" borderId="1" xfId="4" applyNumberFormat="1" applyBorder="1" applyAlignment="1">
      <alignment horizontal="center" vertical="top"/>
    </xf>
    <xf numFmtId="17" fontId="4" fillId="4" borderId="1" xfId="4" applyNumberFormat="1" applyBorder="1" applyAlignment="1">
      <alignment vertical="top"/>
    </xf>
    <xf numFmtId="3" fontId="0" fillId="0" borderId="1" xfId="0" applyNumberFormat="1" applyBorder="1" applyAlignment="1">
      <alignment horizontal="right" vertical="top"/>
    </xf>
    <xf numFmtId="9" fontId="0" fillId="0" borderId="1" xfId="1" applyFont="1" applyBorder="1" applyAlignment="1">
      <alignment horizontal="center" vertical="top"/>
    </xf>
    <xf numFmtId="17" fontId="0" fillId="0" borderId="1" xfId="0" applyNumberFormat="1" applyBorder="1" applyAlignment="1">
      <alignment vertical="top"/>
    </xf>
    <xf numFmtId="14" fontId="0" fillId="0" borderId="1" xfId="0" applyNumberFormat="1" applyBorder="1" applyAlignment="1">
      <alignment vertical="top"/>
    </xf>
    <xf numFmtId="0" fontId="3" fillId="3" borderId="1" xfId="3" applyBorder="1" applyAlignment="1">
      <alignment vertical="top"/>
    </xf>
    <xf numFmtId="0" fontId="3" fillId="3" borderId="1" xfId="3" applyBorder="1" applyAlignment="1">
      <alignment horizontal="center" vertical="top"/>
    </xf>
    <xf numFmtId="3" fontId="3" fillId="3" borderId="1" xfId="3" applyNumberFormat="1" applyBorder="1" applyAlignment="1">
      <alignment horizontal="right" vertical="top"/>
    </xf>
    <xf numFmtId="9" fontId="3" fillId="3" borderId="1" xfId="3" applyNumberFormat="1" applyBorder="1" applyAlignment="1">
      <alignment horizontal="center" vertical="top"/>
    </xf>
    <xf numFmtId="3" fontId="3" fillId="3" borderId="1" xfId="3" applyNumberFormat="1" applyBorder="1" applyAlignment="1">
      <alignment vertical="top"/>
    </xf>
    <xf numFmtId="164" fontId="3" fillId="3" borderId="1" xfId="3" applyNumberFormat="1" applyBorder="1" applyAlignment="1">
      <alignment horizontal="center" vertical="top"/>
    </xf>
    <xf numFmtId="165" fontId="3" fillId="3" borderId="1" xfId="3" applyNumberFormat="1" applyBorder="1" applyAlignment="1">
      <alignment horizontal="center" vertical="top"/>
    </xf>
    <xf numFmtId="0" fontId="8" fillId="0" borderId="1" xfId="5" applyBorder="1" applyAlignment="1">
      <alignment horizontal="left" vertical="top"/>
    </xf>
    <xf numFmtId="14" fontId="4" fillId="4" borderId="1" xfId="4" applyNumberFormat="1" applyBorder="1" applyAlignment="1">
      <alignment vertical="top"/>
    </xf>
    <xf numFmtId="3" fontId="0" fillId="6" borderId="1" xfId="0" applyNumberFormat="1" applyFill="1" applyBorder="1" applyAlignment="1">
      <alignment horizontal="right" vertical="top"/>
    </xf>
    <xf numFmtId="3" fontId="0" fillId="7" borderId="1" xfId="0" applyNumberFormat="1" applyFill="1" applyBorder="1" applyAlignment="1">
      <alignment horizontal="right" vertical="top"/>
    </xf>
    <xf numFmtId="0" fontId="9" fillId="8" borderId="1" xfId="6" applyBorder="1" applyAlignment="1">
      <alignment vertical="top"/>
    </xf>
    <xf numFmtId="0" fontId="9" fillId="8" borderId="1" xfId="6" applyBorder="1" applyAlignment="1">
      <alignment horizontal="center" vertical="top"/>
    </xf>
    <xf numFmtId="3" fontId="9" fillId="8" borderId="1" xfId="6" applyNumberFormat="1" applyBorder="1" applyAlignment="1">
      <alignment horizontal="right" vertical="top"/>
    </xf>
    <xf numFmtId="9" fontId="9" fillId="8" borderId="1" xfId="6" applyNumberFormat="1" applyBorder="1" applyAlignment="1">
      <alignment horizontal="center" vertical="top"/>
    </xf>
    <xf numFmtId="3" fontId="9" fillId="8" borderId="1" xfId="6" applyNumberFormat="1" applyBorder="1" applyAlignment="1">
      <alignment vertical="top"/>
    </xf>
    <xf numFmtId="164" fontId="9" fillId="8" borderId="1" xfId="6" applyNumberFormat="1" applyBorder="1" applyAlignment="1">
      <alignment horizontal="center" vertical="top"/>
    </xf>
    <xf numFmtId="165" fontId="9" fillId="8" borderId="1" xfId="6" applyNumberFormat="1" applyBorder="1" applyAlignment="1">
      <alignment horizontal="center" vertical="top"/>
    </xf>
    <xf numFmtId="17" fontId="3" fillId="3" borderId="1" xfId="3" applyNumberFormat="1" applyBorder="1" applyAlignment="1">
      <alignment vertical="top"/>
    </xf>
    <xf numFmtId="0" fontId="10" fillId="0" borderId="1" xfId="0" applyFont="1" applyBorder="1" applyAlignment="1">
      <alignment vertical="top"/>
    </xf>
    <xf numFmtId="0" fontId="10" fillId="0" borderId="1" xfId="0" applyFont="1" applyBorder="1" applyAlignment="1">
      <alignment horizontal="center" vertical="top"/>
    </xf>
    <xf numFmtId="0" fontId="6" fillId="0" borderId="1" xfId="0" applyFont="1" applyBorder="1" applyAlignment="1">
      <alignment horizontal="center" vertical="top"/>
    </xf>
    <xf numFmtId="3" fontId="6" fillId="6" borderId="1" xfId="0" applyNumberFormat="1" applyFont="1" applyFill="1" applyBorder="1" applyAlignment="1">
      <alignment horizontal="right" vertical="top"/>
    </xf>
    <xf numFmtId="0" fontId="1" fillId="0" borderId="1" xfId="7" applyNumberFormat="1" applyFont="1" applyFill="1" applyBorder="1" applyAlignment="1">
      <alignment vertical="top" wrapText="1"/>
    </xf>
    <xf numFmtId="0" fontId="15" fillId="0" borderId="2" xfId="7" applyNumberFormat="1" applyFont="1" applyFill="1" applyBorder="1" applyAlignment="1">
      <alignment vertical="top" wrapText="1"/>
    </xf>
    <xf numFmtId="0" fontId="1" fillId="0" borderId="1" xfId="7" applyNumberFormat="1" applyFont="1" applyFill="1" applyBorder="1" applyAlignment="1">
      <alignment wrapText="1"/>
    </xf>
    <xf numFmtId="0" fontId="0" fillId="0" borderId="1" xfId="7" applyNumberFormat="1" applyFont="1" applyFill="1" applyBorder="1" applyAlignment="1">
      <alignment vertical="top" wrapText="1"/>
    </xf>
    <xf numFmtId="17" fontId="6" fillId="0" borderId="1" xfId="0" applyNumberFormat="1" applyFont="1" applyBorder="1" applyAlignment="1">
      <alignment vertical="top" wrapText="1"/>
    </xf>
    <xf numFmtId="0" fontId="2" fillId="2" borderId="1" xfId="2" applyBorder="1" applyAlignment="1">
      <alignment vertical="top" wrapText="1"/>
    </xf>
    <xf numFmtId="0" fontId="0" fillId="0" borderId="1" xfId="0" applyBorder="1" applyAlignment="1">
      <alignment vertical="top" wrapText="1"/>
    </xf>
    <xf numFmtId="0" fontId="4" fillId="4" borderId="1" xfId="4" applyBorder="1" applyAlignment="1">
      <alignment vertical="top" wrapText="1"/>
    </xf>
    <xf numFmtId="0" fontId="3" fillId="3" borderId="1" xfId="3" applyBorder="1" applyAlignment="1">
      <alignment vertical="top" wrapText="1"/>
    </xf>
    <xf numFmtId="0" fontId="9" fillId="8" borderId="1" xfId="6" applyBorder="1" applyAlignment="1">
      <alignment vertical="top" wrapText="1"/>
    </xf>
    <xf numFmtId="0" fontId="10" fillId="0" borderId="1" xfId="0" applyFont="1" applyBorder="1" applyAlignment="1">
      <alignment vertical="top" wrapText="1"/>
    </xf>
    <xf numFmtId="0" fontId="0" fillId="0" borderId="0" xfId="0" applyAlignment="1">
      <alignment vertical="top" wrapText="1"/>
    </xf>
    <xf numFmtId="0" fontId="15" fillId="0" borderId="3" xfId="7" applyNumberFormat="1" applyFont="1" applyFill="1" applyBorder="1" applyAlignment="1">
      <alignment vertical="top" wrapText="1"/>
    </xf>
    <xf numFmtId="0" fontId="1" fillId="0" borderId="1" xfId="0" applyFont="1" applyFill="1" applyBorder="1" applyAlignment="1">
      <alignment wrapText="1"/>
    </xf>
    <xf numFmtId="0" fontId="1" fillId="0" borderId="3" xfId="7" applyNumberFormat="1" applyFont="1" applyFill="1" applyBorder="1" applyAlignment="1">
      <alignment vertical="top" wrapText="1"/>
    </xf>
    <xf numFmtId="0" fontId="1" fillId="0" borderId="1" xfId="0" applyFont="1" applyBorder="1" applyAlignment="1">
      <alignment wrapText="1"/>
    </xf>
    <xf numFmtId="0" fontId="1" fillId="0" borderId="3" xfId="7" applyNumberFormat="1" applyFont="1" applyBorder="1" applyAlignment="1">
      <alignment vertical="top" wrapText="1"/>
    </xf>
    <xf numFmtId="0" fontId="1" fillId="0" borderId="5" xfId="7" applyNumberFormat="1" applyFont="1" applyFill="1" applyBorder="1" applyAlignment="1">
      <alignment vertical="top" wrapText="1"/>
    </xf>
    <xf numFmtId="0" fontId="1" fillId="0" borderId="1" xfId="0" applyFont="1" applyBorder="1" applyAlignment="1">
      <alignment vertical="top" wrapText="1"/>
    </xf>
    <xf numFmtId="0" fontId="15" fillId="0" borderId="3" xfId="7" applyNumberFormat="1" applyFont="1" applyBorder="1" applyAlignment="1">
      <alignment vertical="top" wrapText="1"/>
    </xf>
    <xf numFmtId="0" fontId="1" fillId="0" borderId="1" xfId="0" applyFont="1" applyFill="1" applyBorder="1" applyAlignment="1">
      <alignment vertical="top" wrapText="1"/>
    </xf>
    <xf numFmtId="0" fontId="0" fillId="0" borderId="0" xfId="0" applyBorder="1" applyAlignment="1">
      <alignment vertical="top"/>
    </xf>
    <xf numFmtId="0" fontId="0" fillId="0" borderId="2" xfId="0" applyBorder="1" applyAlignment="1">
      <alignment vertical="top"/>
    </xf>
    <xf numFmtId="0" fontId="15" fillId="0" borderId="1" xfId="7" applyNumberFormat="1" applyFont="1" applyFill="1" applyBorder="1" applyAlignment="1">
      <alignment vertical="top" wrapText="1"/>
    </xf>
    <xf numFmtId="0" fontId="4" fillId="4" borderId="2" xfId="4" applyBorder="1" applyAlignment="1">
      <alignment vertical="top"/>
    </xf>
    <xf numFmtId="0" fontId="6" fillId="0" borderId="2" xfId="0" applyFont="1" applyBorder="1" applyAlignment="1">
      <alignment vertical="top"/>
    </xf>
    <xf numFmtId="0" fontId="2" fillId="2" borderId="2" xfId="2" applyBorder="1" applyAlignment="1">
      <alignment vertical="top"/>
    </xf>
    <xf numFmtId="0" fontId="0" fillId="0" borderId="4" xfId="0" applyBorder="1" applyAlignment="1">
      <alignment vertical="top"/>
    </xf>
    <xf numFmtId="0" fontId="10" fillId="0" borderId="2" xfId="0" applyFont="1" applyBorder="1" applyAlignment="1">
      <alignment vertical="top"/>
    </xf>
    <xf numFmtId="0" fontId="3" fillId="3" borderId="3" xfId="3" applyBorder="1" applyAlignment="1">
      <alignment vertical="top" wrapText="1"/>
    </xf>
    <xf numFmtId="0" fontId="0" fillId="0" borderId="3" xfId="0" applyBorder="1" applyAlignment="1">
      <alignment vertical="top"/>
    </xf>
    <xf numFmtId="0" fontId="4" fillId="4" borderId="3" xfId="4" applyBorder="1" applyAlignment="1">
      <alignment vertical="top" wrapText="1"/>
    </xf>
    <xf numFmtId="0" fontId="1" fillId="0" borderId="1" xfId="7" applyNumberFormat="1" applyFont="1" applyBorder="1" applyAlignment="1">
      <alignment vertical="top" wrapText="1"/>
    </xf>
    <xf numFmtId="0" fontId="0" fillId="0" borderId="3" xfId="0" applyBorder="1" applyAlignment="1">
      <alignment vertical="top" wrapText="1"/>
    </xf>
    <xf numFmtId="0" fontId="1" fillId="0" borderId="5" xfId="0" applyFont="1" applyBorder="1" applyAlignment="1">
      <alignment vertical="top" wrapText="1"/>
    </xf>
    <xf numFmtId="0" fontId="6" fillId="0" borderId="3" xfId="0" applyFont="1" applyBorder="1" applyAlignment="1">
      <alignment vertical="top" wrapText="1"/>
    </xf>
    <xf numFmtId="0" fontId="2" fillId="2" borderId="3" xfId="2" applyBorder="1" applyAlignment="1">
      <alignment vertical="top" wrapText="1"/>
    </xf>
    <xf numFmtId="0" fontId="2" fillId="2" borderId="6" xfId="2" applyBorder="1" applyAlignment="1">
      <alignment vertical="top" wrapText="1"/>
    </xf>
    <xf numFmtId="0" fontId="9" fillId="8" borderId="3" xfId="6" applyBorder="1" applyAlignment="1">
      <alignment vertical="top" wrapText="1"/>
    </xf>
    <xf numFmtId="0" fontId="10" fillId="0" borderId="3" xfId="0" applyFont="1" applyBorder="1" applyAlignment="1">
      <alignment vertical="top"/>
    </xf>
    <xf numFmtId="0" fontId="1" fillId="0" borderId="3" xfId="0" applyFont="1" applyBorder="1" applyAlignment="1">
      <alignment vertical="top" wrapText="1"/>
    </xf>
    <xf numFmtId="0" fontId="4" fillId="4" borderId="3" xfId="4" applyBorder="1" applyAlignment="1">
      <alignment vertical="top"/>
    </xf>
    <xf numFmtId="0" fontId="6" fillId="0" borderId="3" xfId="0" applyFont="1" applyBorder="1" applyAlignment="1">
      <alignment vertical="top"/>
    </xf>
    <xf numFmtId="0" fontId="2" fillId="2" borderId="3" xfId="2" applyBorder="1" applyAlignment="1">
      <alignment vertical="top"/>
    </xf>
    <xf numFmtId="0" fontId="3" fillId="3" borderId="3" xfId="3" applyBorder="1" applyAlignment="1">
      <alignment vertical="top"/>
    </xf>
    <xf numFmtId="0" fontId="15" fillId="0" borderId="1" xfId="7" applyNumberFormat="1" applyFont="1" applyBorder="1" applyAlignment="1">
      <alignment vertical="top" wrapText="1"/>
    </xf>
    <xf numFmtId="0" fontId="1" fillId="0" borderId="3" xfId="0" applyFont="1" applyBorder="1" applyAlignment="1">
      <alignment wrapText="1"/>
    </xf>
    <xf numFmtId="0" fontId="0" fillId="0" borderId="5" xfId="0" applyBorder="1" applyAlignment="1">
      <alignment vertical="top"/>
    </xf>
    <xf numFmtId="164" fontId="0" fillId="0" borderId="1" xfId="0" applyNumberFormat="1" applyBorder="1" applyAlignment="1">
      <alignment vertical="top"/>
    </xf>
    <xf numFmtId="0" fontId="0" fillId="9" borderId="3" xfId="0" applyFill="1" applyBorder="1" applyAlignment="1">
      <alignment vertical="top" wrapText="1"/>
    </xf>
    <xf numFmtId="165" fontId="0" fillId="0" borderId="1" xfId="0" applyNumberFormat="1" applyBorder="1" applyAlignment="1">
      <alignment vertical="top"/>
    </xf>
    <xf numFmtId="0" fontId="0" fillId="0" borderId="0" xfId="0" applyFill="1"/>
    <xf numFmtId="0" fontId="6" fillId="0" borderId="1" xfId="3" applyFont="1" applyFill="1" applyBorder="1" applyAlignment="1">
      <alignment vertical="top"/>
    </xf>
    <xf numFmtId="0" fontId="6" fillId="0" borderId="1" xfId="3" applyFont="1" applyFill="1" applyBorder="1" applyAlignment="1">
      <alignment vertical="top" wrapText="1"/>
    </xf>
    <xf numFmtId="0" fontId="6" fillId="0" borderId="3" xfId="3" applyFont="1" applyFill="1" applyBorder="1" applyAlignment="1">
      <alignment vertical="top"/>
    </xf>
    <xf numFmtId="0" fontId="6" fillId="0" borderId="1" xfId="3" applyFont="1" applyFill="1" applyBorder="1" applyAlignment="1">
      <alignment horizontal="center" vertical="top"/>
    </xf>
    <xf numFmtId="3" fontId="6" fillId="0" borderId="1" xfId="3" applyNumberFormat="1" applyFont="1" applyFill="1" applyBorder="1" applyAlignment="1">
      <alignment horizontal="right" vertical="top"/>
    </xf>
    <xf numFmtId="9" fontId="6" fillId="0" borderId="1" xfId="3" applyNumberFormat="1" applyFont="1" applyFill="1" applyBorder="1" applyAlignment="1">
      <alignment horizontal="center" vertical="top"/>
    </xf>
    <xf numFmtId="3" fontId="6" fillId="0" borderId="1" xfId="3" applyNumberFormat="1" applyFont="1" applyFill="1" applyBorder="1" applyAlignment="1">
      <alignment vertical="top"/>
    </xf>
    <xf numFmtId="164" fontId="6" fillId="0" borderId="1" xfId="3" applyNumberFormat="1" applyFont="1" applyFill="1" applyBorder="1" applyAlignment="1">
      <alignment horizontal="center" vertical="top"/>
    </xf>
    <xf numFmtId="165" fontId="6" fillId="0" borderId="1" xfId="3" applyNumberFormat="1" applyFont="1" applyFill="1" applyBorder="1" applyAlignment="1">
      <alignment horizontal="center" vertical="top"/>
    </xf>
    <xf numFmtId="164" fontId="6" fillId="0" borderId="1" xfId="3" applyNumberFormat="1" applyFont="1" applyFill="1" applyBorder="1" applyAlignment="1">
      <alignment vertical="top"/>
    </xf>
    <xf numFmtId="17" fontId="6" fillId="0" borderId="1" xfId="3" applyNumberFormat="1" applyFont="1" applyFill="1" applyBorder="1" applyAlignment="1">
      <alignment vertical="top"/>
    </xf>
    <xf numFmtId="3" fontId="0" fillId="0" borderId="1" xfId="0" applyNumberFormat="1" applyFill="1" applyBorder="1" applyAlignment="1">
      <alignment horizontal="right" vertical="top"/>
    </xf>
    <xf numFmtId="0" fontId="2" fillId="2" borderId="0" xfId="2"/>
    <xf numFmtId="165" fontId="2" fillId="2" borderId="1" xfId="2" applyNumberFormat="1" applyBorder="1" applyAlignment="1">
      <alignment vertical="top"/>
    </xf>
    <xf numFmtId="0" fontId="4" fillId="4" borderId="3" xfId="4" applyNumberFormat="1" applyBorder="1" applyAlignment="1">
      <alignment vertical="top" wrapText="1"/>
    </xf>
    <xf numFmtId="164" fontId="4" fillId="4" borderId="1" xfId="4" applyNumberFormat="1" applyBorder="1" applyAlignment="1">
      <alignment vertical="top"/>
    </xf>
    <xf numFmtId="0" fontId="4" fillId="4" borderId="0" xfId="4"/>
    <xf numFmtId="0" fontId="4" fillId="4" borderId="1" xfId="4" applyBorder="1" applyAlignment="1">
      <alignment horizontal="left" vertical="top"/>
    </xf>
    <xf numFmtId="164" fontId="2" fillId="2" borderId="1" xfId="2" applyNumberFormat="1" applyBorder="1" applyAlignment="1">
      <alignment vertical="top"/>
    </xf>
    <xf numFmtId="0" fontId="2" fillId="2" borderId="1" xfId="2" applyNumberFormat="1" applyBorder="1" applyAlignment="1">
      <alignment vertical="top" wrapText="1"/>
    </xf>
    <xf numFmtId="0" fontId="2" fillId="2" borderId="1" xfId="2" applyNumberFormat="1" applyBorder="1" applyAlignment="1">
      <alignment wrapText="1"/>
    </xf>
    <xf numFmtId="17" fontId="2" fillId="2" borderId="1" xfId="2" applyNumberFormat="1" applyBorder="1" applyAlignment="1">
      <alignment vertical="top" wrapText="1"/>
    </xf>
    <xf numFmtId="0" fontId="4" fillId="4" borderId="1" xfId="4" applyNumberFormat="1" applyBorder="1" applyAlignment="1">
      <alignment vertical="top" wrapText="1"/>
    </xf>
    <xf numFmtId="0" fontId="2" fillId="2" borderId="3" xfId="2" applyNumberFormat="1" applyBorder="1" applyAlignment="1">
      <alignment vertical="top" wrapText="1"/>
    </xf>
    <xf numFmtId="0" fontId="4" fillId="4" borderId="1" xfId="4" applyNumberFormat="1" applyBorder="1" applyAlignment="1">
      <alignment wrapText="1"/>
    </xf>
    <xf numFmtId="17" fontId="4" fillId="4" borderId="1" xfId="4" applyNumberFormat="1" applyBorder="1" applyAlignment="1">
      <alignment vertical="top" wrapText="1"/>
    </xf>
    <xf numFmtId="0" fontId="2" fillId="2" borderId="3" xfId="2" applyBorder="1" applyAlignment="1">
      <alignment wrapText="1"/>
    </xf>
    <xf numFmtId="0" fontId="1" fillId="10" borderId="1" xfId="8" applyBorder="1" applyAlignment="1">
      <alignment vertical="top"/>
    </xf>
    <xf numFmtId="0" fontId="1" fillId="10" borderId="2" xfId="8" applyBorder="1" applyAlignment="1">
      <alignment vertical="top"/>
    </xf>
    <xf numFmtId="0" fontId="1" fillId="10" borderId="3" xfId="8" applyBorder="1" applyAlignment="1">
      <alignment vertical="top" wrapText="1"/>
    </xf>
    <xf numFmtId="0" fontId="1" fillId="10" borderId="3" xfId="8" applyBorder="1" applyAlignment="1">
      <alignment vertical="top"/>
    </xf>
    <xf numFmtId="0" fontId="1" fillId="10" borderId="1" xfId="8" applyBorder="1" applyAlignment="1">
      <alignment horizontal="center" vertical="top"/>
    </xf>
    <xf numFmtId="3" fontId="1" fillId="10" borderId="1" xfId="8" applyNumberFormat="1" applyBorder="1" applyAlignment="1">
      <alignment horizontal="right" vertical="top"/>
    </xf>
    <xf numFmtId="9" fontId="1" fillId="10" borderId="1" xfId="8" applyNumberFormat="1" applyBorder="1" applyAlignment="1">
      <alignment horizontal="center" vertical="top"/>
    </xf>
    <xf numFmtId="3" fontId="1" fillId="10" borderId="1" xfId="8" applyNumberFormat="1" applyBorder="1" applyAlignment="1">
      <alignment vertical="top"/>
    </xf>
    <xf numFmtId="164" fontId="1" fillId="10" borderId="1" xfId="8" applyNumberFormat="1" applyBorder="1" applyAlignment="1">
      <alignment horizontal="center" vertical="top"/>
    </xf>
    <xf numFmtId="165" fontId="1" fillId="10" borderId="1" xfId="8" applyNumberFormat="1" applyBorder="1" applyAlignment="1">
      <alignment horizontal="center" vertical="top"/>
    </xf>
    <xf numFmtId="164" fontId="1" fillId="10" borderId="1" xfId="8" applyNumberFormat="1" applyBorder="1" applyAlignment="1">
      <alignment vertical="top"/>
    </xf>
    <xf numFmtId="0" fontId="1" fillId="10" borderId="1" xfId="8" applyBorder="1" applyAlignment="1">
      <alignment vertical="top" wrapText="1"/>
    </xf>
    <xf numFmtId="0" fontId="1" fillId="10" borderId="0" xfId="8"/>
    <xf numFmtId="0" fontId="3" fillId="3" borderId="0" xfId="3"/>
    <xf numFmtId="9" fontId="0" fillId="10" borderId="1" xfId="8" applyNumberFormat="1" applyFont="1" applyBorder="1" applyAlignment="1">
      <alignment horizontal="center" vertical="top"/>
    </xf>
    <xf numFmtId="14" fontId="1" fillId="10" borderId="1" xfId="8" applyNumberFormat="1" applyBorder="1" applyAlignment="1">
      <alignment vertical="top"/>
    </xf>
    <xf numFmtId="166" fontId="2" fillId="2" borderId="1" xfId="2" applyNumberFormat="1" applyBorder="1" applyAlignment="1">
      <alignment vertical="top"/>
    </xf>
    <xf numFmtId="17" fontId="1" fillId="10" borderId="1" xfId="8" applyNumberFormat="1" applyBorder="1" applyAlignment="1">
      <alignment vertical="top"/>
    </xf>
    <xf numFmtId="164" fontId="3" fillId="3" borderId="1" xfId="3" applyNumberFormat="1" applyBorder="1" applyAlignment="1">
      <alignment vertical="top"/>
    </xf>
    <xf numFmtId="0" fontId="0" fillId="0" borderId="0" xfId="0" applyBorder="1" applyAlignment="1">
      <alignment horizontal="center" vertical="top"/>
    </xf>
    <xf numFmtId="3" fontId="0" fillId="0" borderId="0" xfId="0" applyNumberFormat="1" applyBorder="1" applyAlignment="1">
      <alignment horizontal="right" vertical="top"/>
    </xf>
    <xf numFmtId="9" fontId="0" fillId="0" borderId="0" xfId="1" applyFont="1" applyBorder="1" applyAlignment="1">
      <alignment horizontal="center" vertical="top"/>
    </xf>
    <xf numFmtId="164" fontId="0" fillId="0" borderId="0" xfId="0" applyNumberFormat="1" applyBorder="1" applyAlignment="1">
      <alignment horizontal="center" vertical="top"/>
    </xf>
    <xf numFmtId="164" fontId="0" fillId="0" borderId="0" xfId="0" applyNumberFormat="1" applyBorder="1" applyAlignment="1">
      <alignment vertical="top"/>
    </xf>
    <xf numFmtId="0" fontId="0" fillId="0" borderId="0" xfId="0" applyBorder="1" applyAlignment="1">
      <alignment vertical="top" wrapText="1"/>
    </xf>
    <xf numFmtId="0" fontId="2" fillId="2" borderId="2" xfId="2" applyNumberFormat="1" applyBorder="1" applyAlignment="1">
      <alignment vertical="top" wrapText="1"/>
    </xf>
    <xf numFmtId="0" fontId="6" fillId="0" borderId="2" xfId="3" applyFont="1" applyFill="1" applyBorder="1" applyAlignment="1">
      <alignment vertical="top"/>
    </xf>
    <xf numFmtId="0" fontId="0" fillId="9" borderId="1" xfId="0" applyFill="1" applyBorder="1" applyAlignment="1">
      <alignment vertical="top" wrapText="1"/>
    </xf>
    <xf numFmtId="0" fontId="0" fillId="0" borderId="6" xfId="0" applyBorder="1" applyAlignment="1">
      <alignment vertical="top" wrapText="1"/>
    </xf>
    <xf numFmtId="0" fontId="4" fillId="4" borderId="5" xfId="4" applyBorder="1" applyAlignment="1">
      <alignment vertical="top"/>
    </xf>
    <xf numFmtId="3" fontId="0" fillId="6" borderId="0" xfId="0" applyNumberFormat="1" applyFill="1" applyBorder="1" applyAlignment="1">
      <alignment horizontal="right" vertical="top"/>
    </xf>
    <xf numFmtId="3" fontId="6" fillId="0" borderId="0" xfId="0" applyNumberFormat="1" applyFont="1" applyBorder="1" applyAlignment="1">
      <alignment vertical="top"/>
    </xf>
    <xf numFmtId="165" fontId="0" fillId="0" borderId="0" xfId="0" applyNumberFormat="1" applyBorder="1" applyAlignment="1">
      <alignment horizontal="center" vertical="top"/>
    </xf>
    <xf numFmtId="164" fontId="0" fillId="11" borderId="1" xfId="0" applyNumberFormat="1" applyFill="1" applyBorder="1" applyAlignment="1">
      <alignment vertical="top"/>
    </xf>
    <xf numFmtId="0" fontId="3" fillId="3" borderId="1" xfId="3" applyBorder="1"/>
    <xf numFmtId="0" fontId="4" fillId="4" borderId="0" xfId="4" applyBorder="1" applyAlignment="1">
      <alignment vertical="top"/>
    </xf>
    <xf numFmtId="0" fontId="2" fillId="2" borderId="5" xfId="2" applyNumberFormat="1" applyBorder="1" applyAlignment="1">
      <alignment wrapText="1"/>
    </xf>
    <xf numFmtId="0" fontId="2" fillId="2" borderId="7" xfId="2" applyBorder="1" applyAlignment="1">
      <alignment vertical="top"/>
    </xf>
    <xf numFmtId="0" fontId="2" fillId="2" borderId="7" xfId="2" applyBorder="1" applyAlignment="1">
      <alignment vertical="top" wrapText="1"/>
    </xf>
    <xf numFmtId="0" fontId="2" fillId="2" borderId="7" xfId="2" applyBorder="1" applyAlignment="1">
      <alignment horizontal="center" vertical="top"/>
    </xf>
    <xf numFmtId="17" fontId="0" fillId="0" borderId="0" xfId="0" applyNumberFormat="1"/>
    <xf numFmtId="0" fontId="0" fillId="0" borderId="1" xfId="7" applyNumberFormat="1" applyFont="1" applyFill="1" applyBorder="1" applyAlignment="1">
      <alignment wrapText="1"/>
    </xf>
    <xf numFmtId="0" fontId="6" fillId="0" borderId="1" xfId="0" applyFont="1" applyBorder="1" applyAlignment="1">
      <alignment vertical="top" wrapText="1"/>
    </xf>
    <xf numFmtId="0" fontId="3" fillId="3" borderId="2" xfId="3" applyBorder="1" applyAlignment="1">
      <alignment vertical="top"/>
    </xf>
    <xf numFmtId="165" fontId="3" fillId="3" borderId="1" xfId="3" applyNumberFormat="1" applyBorder="1" applyAlignment="1">
      <alignment vertical="top"/>
    </xf>
    <xf numFmtId="166" fontId="3" fillId="3" borderId="1" xfId="3" applyNumberFormat="1" applyBorder="1" applyAlignment="1">
      <alignment vertical="top"/>
    </xf>
    <xf numFmtId="0" fontId="4" fillId="4" borderId="0" xfId="4" applyBorder="1" applyAlignment="1">
      <alignment vertical="top" wrapText="1"/>
    </xf>
    <xf numFmtId="0" fontId="4" fillId="4" borderId="0" xfId="4" applyBorder="1" applyAlignment="1">
      <alignment horizontal="center" vertical="top"/>
    </xf>
    <xf numFmtId="3" fontId="4" fillId="4" borderId="0" xfId="4" applyNumberFormat="1" applyBorder="1" applyAlignment="1">
      <alignment horizontal="right" vertical="top"/>
    </xf>
    <xf numFmtId="9" fontId="4" fillId="4" borderId="0" xfId="4" applyNumberFormat="1" applyBorder="1" applyAlignment="1">
      <alignment horizontal="center" vertical="top"/>
    </xf>
    <xf numFmtId="3" fontId="4" fillId="4" borderId="0" xfId="4" applyNumberFormat="1" applyBorder="1" applyAlignment="1">
      <alignment vertical="top"/>
    </xf>
    <xf numFmtId="164" fontId="4" fillId="4" borderId="0" xfId="4" applyNumberFormat="1" applyBorder="1" applyAlignment="1">
      <alignment horizontal="center" vertical="top"/>
    </xf>
    <xf numFmtId="165" fontId="4" fillId="4" borderId="0" xfId="4" applyNumberFormat="1" applyBorder="1" applyAlignment="1">
      <alignment horizontal="center" vertical="top"/>
    </xf>
    <xf numFmtId="164" fontId="4" fillId="4" borderId="0" xfId="4" applyNumberFormat="1" applyBorder="1" applyAlignment="1">
      <alignment vertical="top"/>
    </xf>
    <xf numFmtId="17" fontId="0" fillId="0" borderId="0" xfId="0" applyNumberFormat="1" applyBorder="1" applyAlignment="1">
      <alignment vertical="top"/>
    </xf>
    <xf numFmtId="0" fontId="4" fillId="4" borderId="1" xfId="4" applyBorder="1" applyAlignment="1">
      <alignment wrapText="1"/>
    </xf>
    <xf numFmtId="164" fontId="0" fillId="0" borderId="0" xfId="0" applyNumberFormat="1" applyAlignment="1">
      <alignment vertical="top"/>
    </xf>
    <xf numFmtId="0" fontId="0" fillId="0" borderId="8" xfId="0" applyBorder="1" applyAlignment="1">
      <alignment vertical="top"/>
    </xf>
    <xf numFmtId="0" fontId="0" fillId="0" borderId="8" xfId="7" applyNumberFormat="1" applyFont="1" applyFill="1" applyBorder="1" applyAlignment="1">
      <alignment vertical="top" wrapText="1"/>
    </xf>
    <xf numFmtId="0" fontId="15" fillId="0" borderId="8" xfId="7" applyNumberFormat="1" applyFont="1" applyFill="1" applyBorder="1" applyAlignment="1">
      <alignment vertical="top" wrapText="1"/>
    </xf>
    <xf numFmtId="0" fontId="1" fillId="0" borderId="8" xfId="0" applyFont="1" applyFill="1" applyBorder="1" applyAlignment="1">
      <alignment wrapText="1"/>
    </xf>
    <xf numFmtId="0" fontId="15" fillId="0" borderId="9" xfId="7" applyNumberFormat="1" applyFont="1" applyFill="1" applyBorder="1" applyAlignment="1">
      <alignment vertical="top" wrapText="1"/>
    </xf>
    <xf numFmtId="0" fontId="0" fillId="0" borderId="8" xfId="0" applyBorder="1" applyAlignment="1">
      <alignment horizontal="center" vertical="top"/>
    </xf>
    <xf numFmtId="3" fontId="0" fillId="0" borderId="8" xfId="0" applyNumberFormat="1" applyBorder="1" applyAlignment="1">
      <alignment horizontal="right" vertical="top"/>
    </xf>
    <xf numFmtId="9" fontId="0" fillId="0" borderId="8" xfId="1" applyFont="1" applyBorder="1" applyAlignment="1">
      <alignment horizontal="center" vertical="top"/>
    </xf>
    <xf numFmtId="3" fontId="6" fillId="0" borderId="8" xfId="0" applyNumberFormat="1" applyFont="1" applyBorder="1" applyAlignment="1">
      <alignment vertical="top"/>
    </xf>
    <xf numFmtId="164" fontId="0" fillId="0" borderId="8" xfId="0" applyNumberFormat="1" applyBorder="1" applyAlignment="1">
      <alignment horizontal="center" vertical="top"/>
    </xf>
    <xf numFmtId="165" fontId="0" fillId="0" borderId="8" xfId="0" applyNumberFormat="1" applyBorder="1" applyAlignment="1">
      <alignment horizontal="center" vertical="top"/>
    </xf>
    <xf numFmtId="14" fontId="0" fillId="0" borderId="8" xfId="0" applyNumberFormat="1" applyBorder="1" applyAlignment="1">
      <alignment vertical="top"/>
    </xf>
    <xf numFmtId="0" fontId="1" fillId="0" borderId="8" xfId="7" applyNumberFormat="1" applyFont="1" applyFill="1" applyBorder="1" applyAlignment="1">
      <alignment wrapText="1"/>
    </xf>
    <xf numFmtId="17" fontId="6" fillId="0" borderId="8" xfId="0" applyNumberFormat="1" applyFont="1" applyBorder="1" applyAlignment="1">
      <alignment vertical="top" wrapText="1"/>
    </xf>
    <xf numFmtId="0" fontId="6" fillId="0" borderId="1" xfId="7" applyBorder="1"/>
    <xf numFmtId="0" fontId="0" fillId="0" borderId="8" xfId="0" applyBorder="1" applyAlignment="1">
      <alignment vertical="top" wrapText="1"/>
    </xf>
    <xf numFmtId="17" fontId="0" fillId="0" borderId="8" xfId="0" applyNumberFormat="1" applyBorder="1" applyAlignment="1">
      <alignment vertical="top"/>
    </xf>
    <xf numFmtId="0" fontId="0" fillId="0" borderId="1" xfId="0" applyBorder="1"/>
    <xf numFmtId="0" fontId="4" fillId="4" borderId="1" xfId="4" applyBorder="1"/>
    <xf numFmtId="0" fontId="4" fillId="4" borderId="7" xfId="4" applyBorder="1" applyAlignment="1">
      <alignment vertical="top"/>
    </xf>
    <xf numFmtId="0" fontId="4" fillId="4" borderId="7" xfId="4" applyBorder="1" applyAlignment="1">
      <alignment vertical="top" wrapText="1"/>
    </xf>
    <xf numFmtId="0" fontId="4" fillId="4" borderId="7" xfId="4" applyBorder="1" applyAlignment="1">
      <alignment horizontal="center" vertical="top"/>
    </xf>
    <xf numFmtId="17" fontId="4" fillId="4" borderId="0" xfId="4" applyNumberFormat="1"/>
    <xf numFmtId="0" fontId="16" fillId="0" borderId="0" xfId="0" applyFont="1"/>
    <xf numFmtId="0" fontId="0" fillId="0" borderId="1" xfId="0" applyFont="1" applyFill="1" applyBorder="1" applyAlignment="1">
      <alignment wrapText="1"/>
    </xf>
    <xf numFmtId="0" fontId="0" fillId="0" borderId="0" xfId="0" applyBorder="1"/>
    <xf numFmtId="0" fontId="4" fillId="4" borderId="0" xfId="4" applyBorder="1"/>
    <xf numFmtId="0" fontId="2" fillId="2" borderId="0" xfId="2" applyBorder="1" applyAlignment="1">
      <alignment vertical="top"/>
    </xf>
    <xf numFmtId="0" fontId="2" fillId="2" borderId="0" xfId="2" applyBorder="1" applyAlignment="1">
      <alignment horizontal="center" vertical="top"/>
    </xf>
    <xf numFmtId="3" fontId="2" fillId="2" borderId="0" xfId="2" applyNumberFormat="1" applyBorder="1" applyAlignment="1">
      <alignment horizontal="right" vertical="top"/>
    </xf>
    <xf numFmtId="9" fontId="2" fillId="2" borderId="0" xfId="2" applyNumberFormat="1" applyBorder="1" applyAlignment="1">
      <alignment horizontal="center" vertical="top"/>
    </xf>
    <xf numFmtId="164" fontId="2" fillId="2" borderId="0" xfId="2" applyNumberFormat="1" applyBorder="1" applyAlignment="1">
      <alignment horizontal="center" vertical="top"/>
    </xf>
    <xf numFmtId="0" fontId="2" fillId="2" borderId="0" xfId="2" applyBorder="1" applyAlignment="1">
      <alignment vertical="top" wrapText="1"/>
    </xf>
    <xf numFmtId="17" fontId="2" fillId="2" borderId="0" xfId="2" applyNumberFormat="1" applyBorder="1" applyAlignment="1">
      <alignment vertical="top"/>
    </xf>
    <xf numFmtId="0" fontId="2" fillId="2" borderId="0" xfId="2" applyBorder="1"/>
    <xf numFmtId="17" fontId="4" fillId="4" borderId="0" xfId="4" applyNumberFormat="1" applyBorder="1" applyAlignment="1">
      <alignment vertical="top"/>
    </xf>
  </cellXfs>
  <cellStyles count="9">
    <cellStyle name="40 % - Akzent1" xfId="8" builtinId="31"/>
    <cellStyle name="Gut" xfId="2" builtinId="26"/>
    <cellStyle name="Link" xfId="5" builtinId="8"/>
    <cellStyle name="Neutral" xfId="4" builtinId="28"/>
    <cellStyle name="Neutre" xfId="6"/>
    <cellStyle name="Prozent" xfId="1" builtinId="5"/>
    <cellStyle name="Schlecht" xfId="3" builtinId="27"/>
    <cellStyle name="Standard" xfId="0" builtinId="0"/>
    <cellStyle name="Standard 2" xfId="7"/>
  </cellStyles>
  <dxfs count="438">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
      <fill>
        <patternFill>
          <bgColor rgb="FF00FF00"/>
        </patternFill>
      </fill>
    </dxf>
    <dxf>
      <fill>
        <patternFill>
          <bgColor theme="9" tint="0.59996337778862885"/>
        </patternFill>
      </fill>
    </dxf>
    <dxf>
      <fill>
        <patternFill>
          <bgColor rgb="FF00FF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886692</xdr:colOff>
      <xdr:row>265</xdr:row>
      <xdr:rowOff>131619</xdr:rowOff>
    </xdr:from>
    <xdr:ext cx="5610225" cy="1814599"/>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886692" y="123280344"/>
          <a:ext cx="5610225" cy="181459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100" b="1"/>
            <a:t>Abkürzungen</a:t>
          </a:r>
        </a:p>
        <a:p>
          <a:pPr marL="171450" indent="-171450">
            <a:buFont typeface="Arial" panose="020B0604020202020204" pitchFamily="34" charset="0"/>
            <a:buChar char="•"/>
          </a:pPr>
          <a:r>
            <a:rPr lang="de-CH" sz="1100"/>
            <a:t>0 = nein, 1 = ja</a:t>
          </a:r>
        </a:p>
        <a:p>
          <a:pPr marL="171450" indent="-171450">
            <a:buFont typeface="Arial" panose="020B0604020202020204" pitchFamily="34" charset="0"/>
            <a:buChar char="•"/>
          </a:pPr>
          <a:r>
            <a:rPr lang="de-CH" sz="1100"/>
            <a:t>i.v. intravenös</a:t>
          </a:r>
        </a:p>
        <a:p>
          <a:pPr marL="171450" indent="-171450">
            <a:buFont typeface="Arial" panose="020B0604020202020204" pitchFamily="34" charset="0"/>
            <a:buChar char="•"/>
          </a:pPr>
          <a:r>
            <a:rPr lang="de-CH" sz="1100"/>
            <a:t>LLA = ?</a:t>
          </a:r>
        </a:p>
        <a:p>
          <a:pPr marL="171450" indent="-171450">
            <a:buFont typeface="Arial" panose="020B0604020202020204" pitchFamily="34" charset="0"/>
            <a:buChar char="•"/>
          </a:pPr>
          <a:r>
            <a:rPr lang="de-CH" sz="1100"/>
            <a:t>M. = Morbus</a:t>
          </a:r>
        </a:p>
        <a:p>
          <a:pPr marL="171450" indent="-171450">
            <a:buFont typeface="Arial" panose="020B0604020202020204" pitchFamily="34" charset="0"/>
            <a:buChar char="•"/>
          </a:pPr>
          <a:r>
            <a:rPr lang="de-CH" sz="1100"/>
            <a:t>MLA = ?</a:t>
          </a:r>
        </a:p>
        <a:p>
          <a:pPr marL="171450" indent="-171450">
            <a:buFont typeface="Arial" panose="020B0604020202020204" pitchFamily="34" charset="0"/>
            <a:buChar char="•"/>
          </a:pPr>
          <a:r>
            <a:rPr lang="de-CH" sz="1100"/>
            <a:t>MS = Multiple Sklerose</a:t>
          </a:r>
        </a:p>
        <a:p>
          <a:pPr marL="171450" indent="-171450">
            <a:buFont typeface="Arial" panose="020B0604020202020204" pitchFamily="34" charset="0"/>
            <a:buChar char="•"/>
          </a:pPr>
          <a:r>
            <a:rPr lang="de-CH" sz="1100"/>
            <a:t>NSCLC  = non-small cell lung cancer</a:t>
          </a:r>
        </a:p>
        <a:p>
          <a:pPr marL="171450" indent="-171450">
            <a:buFont typeface="Arial" panose="020B0604020202020204" pitchFamily="34" charset="0"/>
            <a:buChar char="•"/>
          </a:pPr>
          <a:r>
            <a:rPr lang="de-CH" sz="1100"/>
            <a:t>RA =  Rheumatoide Arthritis</a:t>
          </a:r>
        </a:p>
        <a:p>
          <a:pPr marL="171450" indent="-171450">
            <a:buFont typeface="Arial" panose="020B0604020202020204" pitchFamily="34" charset="0"/>
            <a:buChar char="•"/>
          </a:pPr>
          <a:r>
            <a:rPr lang="de-CH" sz="1100"/>
            <a:t>s.c... = Subkutan</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886692</xdr:colOff>
      <xdr:row>269</xdr:row>
      <xdr:rowOff>131619</xdr:rowOff>
    </xdr:from>
    <xdr:ext cx="5610225" cy="1814599"/>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886692" y="36564744"/>
          <a:ext cx="5610225" cy="181459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100" b="1"/>
            <a:t>Abkürzungen</a:t>
          </a:r>
        </a:p>
        <a:p>
          <a:pPr marL="171450" indent="-171450">
            <a:buFont typeface="Arial" panose="020B0604020202020204" pitchFamily="34" charset="0"/>
            <a:buChar char="•"/>
          </a:pPr>
          <a:r>
            <a:rPr lang="de-CH" sz="1100"/>
            <a:t>0 = nein, 1 = ja</a:t>
          </a:r>
        </a:p>
        <a:p>
          <a:pPr marL="171450" indent="-171450">
            <a:buFont typeface="Arial" panose="020B0604020202020204" pitchFamily="34" charset="0"/>
            <a:buChar char="•"/>
          </a:pPr>
          <a:r>
            <a:rPr lang="de-CH" sz="1100"/>
            <a:t>i.v. intravenös</a:t>
          </a:r>
        </a:p>
        <a:p>
          <a:pPr marL="171450" indent="-171450">
            <a:buFont typeface="Arial" panose="020B0604020202020204" pitchFamily="34" charset="0"/>
            <a:buChar char="•"/>
          </a:pPr>
          <a:r>
            <a:rPr lang="de-CH" sz="1100"/>
            <a:t>LLA = ?</a:t>
          </a:r>
        </a:p>
        <a:p>
          <a:pPr marL="171450" indent="-171450">
            <a:buFont typeface="Arial" panose="020B0604020202020204" pitchFamily="34" charset="0"/>
            <a:buChar char="•"/>
          </a:pPr>
          <a:r>
            <a:rPr lang="de-CH" sz="1100"/>
            <a:t>M. = Morbus</a:t>
          </a:r>
        </a:p>
        <a:p>
          <a:pPr marL="171450" indent="-171450">
            <a:buFont typeface="Arial" panose="020B0604020202020204" pitchFamily="34" charset="0"/>
            <a:buChar char="•"/>
          </a:pPr>
          <a:r>
            <a:rPr lang="de-CH" sz="1100"/>
            <a:t>MLA = ?</a:t>
          </a:r>
        </a:p>
        <a:p>
          <a:pPr marL="171450" indent="-171450">
            <a:buFont typeface="Arial" panose="020B0604020202020204" pitchFamily="34" charset="0"/>
            <a:buChar char="•"/>
          </a:pPr>
          <a:r>
            <a:rPr lang="de-CH" sz="1100"/>
            <a:t>MS = Multiple Sklerose</a:t>
          </a:r>
        </a:p>
        <a:p>
          <a:pPr marL="171450" indent="-171450">
            <a:buFont typeface="Arial" panose="020B0604020202020204" pitchFamily="34" charset="0"/>
            <a:buChar char="•"/>
          </a:pPr>
          <a:r>
            <a:rPr lang="de-CH" sz="1100"/>
            <a:t>NSCLC  = non-small cell lung cancer</a:t>
          </a:r>
        </a:p>
        <a:p>
          <a:pPr marL="171450" indent="-171450">
            <a:buFont typeface="Arial" panose="020B0604020202020204" pitchFamily="34" charset="0"/>
            <a:buChar char="•"/>
          </a:pPr>
          <a:r>
            <a:rPr lang="de-CH" sz="1100"/>
            <a:t>RA =  Rheumatoide Arthritis</a:t>
          </a:r>
        </a:p>
        <a:p>
          <a:pPr marL="171450" indent="-171450">
            <a:buFont typeface="Arial" panose="020B0604020202020204" pitchFamily="34" charset="0"/>
            <a:buChar char="•"/>
          </a:pPr>
          <a:r>
            <a:rPr lang="de-CH" sz="1100"/>
            <a:t>s.c... = Subkutan</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886692</xdr:colOff>
      <xdr:row>266</xdr:row>
      <xdr:rowOff>131619</xdr:rowOff>
    </xdr:from>
    <xdr:ext cx="5610225" cy="1814599"/>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886692" y="115584144"/>
          <a:ext cx="5610225" cy="181459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100" b="1"/>
            <a:t>Abkürzungen</a:t>
          </a:r>
        </a:p>
        <a:p>
          <a:pPr marL="171450" indent="-171450">
            <a:buFont typeface="Arial" panose="020B0604020202020204" pitchFamily="34" charset="0"/>
            <a:buChar char="•"/>
          </a:pPr>
          <a:r>
            <a:rPr lang="de-CH" sz="1100"/>
            <a:t>0 = nein, 1 = ja</a:t>
          </a:r>
        </a:p>
        <a:p>
          <a:pPr marL="171450" indent="-171450">
            <a:buFont typeface="Arial" panose="020B0604020202020204" pitchFamily="34" charset="0"/>
            <a:buChar char="•"/>
          </a:pPr>
          <a:r>
            <a:rPr lang="de-CH" sz="1100"/>
            <a:t>i.v. intravenös</a:t>
          </a:r>
        </a:p>
        <a:p>
          <a:pPr marL="171450" indent="-171450">
            <a:buFont typeface="Arial" panose="020B0604020202020204" pitchFamily="34" charset="0"/>
            <a:buChar char="•"/>
          </a:pPr>
          <a:r>
            <a:rPr lang="de-CH" sz="1100"/>
            <a:t>LLA = ?</a:t>
          </a:r>
        </a:p>
        <a:p>
          <a:pPr marL="171450" indent="-171450">
            <a:buFont typeface="Arial" panose="020B0604020202020204" pitchFamily="34" charset="0"/>
            <a:buChar char="•"/>
          </a:pPr>
          <a:r>
            <a:rPr lang="de-CH" sz="1100"/>
            <a:t>M. = Morbus</a:t>
          </a:r>
        </a:p>
        <a:p>
          <a:pPr marL="171450" indent="-171450">
            <a:buFont typeface="Arial" panose="020B0604020202020204" pitchFamily="34" charset="0"/>
            <a:buChar char="•"/>
          </a:pPr>
          <a:r>
            <a:rPr lang="de-CH" sz="1100"/>
            <a:t>MLA = ?</a:t>
          </a:r>
        </a:p>
        <a:p>
          <a:pPr marL="171450" indent="-171450">
            <a:buFont typeface="Arial" panose="020B0604020202020204" pitchFamily="34" charset="0"/>
            <a:buChar char="•"/>
          </a:pPr>
          <a:r>
            <a:rPr lang="de-CH" sz="1100"/>
            <a:t>MS = Multiple Sklerose</a:t>
          </a:r>
        </a:p>
        <a:p>
          <a:pPr marL="171450" indent="-171450">
            <a:buFont typeface="Arial" panose="020B0604020202020204" pitchFamily="34" charset="0"/>
            <a:buChar char="•"/>
          </a:pPr>
          <a:r>
            <a:rPr lang="de-CH" sz="1100"/>
            <a:t>NSCLC  = non-small cell lung cancer</a:t>
          </a:r>
        </a:p>
        <a:p>
          <a:pPr marL="171450" indent="-171450">
            <a:buFont typeface="Arial" panose="020B0604020202020204" pitchFamily="34" charset="0"/>
            <a:buChar char="•"/>
          </a:pPr>
          <a:r>
            <a:rPr lang="de-CH" sz="1100"/>
            <a:t>RA =  Rheumatoide Arthritis</a:t>
          </a:r>
        </a:p>
        <a:p>
          <a:pPr marL="171450" indent="-171450">
            <a:buFont typeface="Arial" panose="020B0604020202020204" pitchFamily="34" charset="0"/>
            <a:buChar char="•"/>
          </a:pPr>
          <a:r>
            <a:rPr lang="de-CH" sz="1100"/>
            <a:t>s.c... = Subkutan</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886692</xdr:colOff>
      <xdr:row>279</xdr:row>
      <xdr:rowOff>131619</xdr:rowOff>
    </xdr:from>
    <xdr:ext cx="5610225" cy="1814599"/>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886692" y="31087869"/>
          <a:ext cx="5610225" cy="181459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100" b="1"/>
            <a:t>Abkürzungen</a:t>
          </a:r>
        </a:p>
        <a:p>
          <a:pPr marL="171450" indent="-171450">
            <a:buFont typeface="Arial" panose="020B0604020202020204" pitchFamily="34" charset="0"/>
            <a:buChar char="•"/>
          </a:pPr>
          <a:r>
            <a:rPr lang="de-CH" sz="1100"/>
            <a:t>0 = nein, 1 = ja</a:t>
          </a:r>
        </a:p>
        <a:p>
          <a:pPr marL="171450" indent="-171450">
            <a:buFont typeface="Arial" panose="020B0604020202020204" pitchFamily="34" charset="0"/>
            <a:buChar char="•"/>
          </a:pPr>
          <a:r>
            <a:rPr lang="de-CH" sz="1100"/>
            <a:t>i.v. intravenös</a:t>
          </a:r>
        </a:p>
        <a:p>
          <a:pPr marL="171450" indent="-171450">
            <a:buFont typeface="Arial" panose="020B0604020202020204" pitchFamily="34" charset="0"/>
            <a:buChar char="•"/>
          </a:pPr>
          <a:r>
            <a:rPr lang="de-CH" sz="1100"/>
            <a:t>LLA = ?</a:t>
          </a:r>
        </a:p>
        <a:p>
          <a:pPr marL="171450" indent="-171450">
            <a:buFont typeface="Arial" panose="020B0604020202020204" pitchFamily="34" charset="0"/>
            <a:buChar char="•"/>
          </a:pPr>
          <a:r>
            <a:rPr lang="de-CH" sz="1100"/>
            <a:t>M. = Morbus</a:t>
          </a:r>
        </a:p>
        <a:p>
          <a:pPr marL="171450" indent="-171450">
            <a:buFont typeface="Arial" panose="020B0604020202020204" pitchFamily="34" charset="0"/>
            <a:buChar char="•"/>
          </a:pPr>
          <a:r>
            <a:rPr lang="de-CH" sz="1100"/>
            <a:t>MLA = ?</a:t>
          </a:r>
        </a:p>
        <a:p>
          <a:pPr marL="171450" indent="-171450">
            <a:buFont typeface="Arial" panose="020B0604020202020204" pitchFamily="34" charset="0"/>
            <a:buChar char="•"/>
          </a:pPr>
          <a:r>
            <a:rPr lang="de-CH" sz="1100"/>
            <a:t>MS = Multiple Sklerose</a:t>
          </a:r>
        </a:p>
        <a:p>
          <a:pPr marL="171450" indent="-171450">
            <a:buFont typeface="Arial" panose="020B0604020202020204" pitchFamily="34" charset="0"/>
            <a:buChar char="•"/>
          </a:pPr>
          <a:r>
            <a:rPr lang="de-CH" sz="1100"/>
            <a:t>NSCLC  = non-small cell lung cancer</a:t>
          </a:r>
        </a:p>
        <a:p>
          <a:pPr marL="171450" indent="-171450">
            <a:buFont typeface="Arial" panose="020B0604020202020204" pitchFamily="34" charset="0"/>
            <a:buChar char="•"/>
          </a:pPr>
          <a:r>
            <a:rPr lang="de-CH" sz="1100"/>
            <a:t>RA =  Rheumatoide Arthritis</a:t>
          </a:r>
        </a:p>
        <a:p>
          <a:pPr marL="171450" indent="-171450">
            <a:buFont typeface="Arial" panose="020B0604020202020204" pitchFamily="34" charset="0"/>
            <a:buChar char="•"/>
          </a:pPr>
          <a:r>
            <a:rPr lang="de-CH" sz="1100"/>
            <a:t>s.c... = Subkutan</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genusbio.com/pipeline/" TargetMode="External"/><Relationship Id="rId1" Type="http://schemas.openxmlformats.org/officeDocument/2006/relationships/hyperlink" Target="https://agenusbio.com/pipelin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genusbio.com/pipeline/" TargetMode="External"/><Relationship Id="rId1" Type="http://schemas.openxmlformats.org/officeDocument/2006/relationships/hyperlink" Target="https://agenusbio.com/pipeline/"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agenusbio.com/pipeline/" TargetMode="External"/><Relationship Id="rId1" Type="http://schemas.openxmlformats.org/officeDocument/2006/relationships/hyperlink" Target="https://agenusbio.com/pipeline/"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agenusbio.com/pipeline/" TargetMode="External"/><Relationship Id="rId1" Type="http://schemas.openxmlformats.org/officeDocument/2006/relationships/hyperlink" Target="https://agenusbio.com/pipeline/"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U265"/>
  <sheetViews>
    <sheetView workbookViewId="0">
      <pane ySplit="1" topLeftCell="A2" activePane="bottomLeft" state="frozen"/>
      <selection activeCell="H1" sqref="H1"/>
      <selection pane="bottomLeft" sqref="A1:XFD1048576"/>
    </sheetView>
  </sheetViews>
  <sheetFormatPr baseColWidth="10" defaultColWidth="11.42578125" defaultRowHeight="12.75" x14ac:dyDescent="0.2"/>
  <cols>
    <col min="1" max="1" width="17.140625" style="1" bestFit="1" customWidth="1"/>
    <col min="2" max="2" width="52.28515625" style="1" customWidth="1"/>
    <col min="3" max="3" width="16.28515625" style="1" hidden="1" customWidth="1"/>
    <col min="4" max="4" width="16.7109375" style="1" bestFit="1" customWidth="1"/>
    <col min="5" max="5" width="34.28515625" style="1" bestFit="1" customWidth="1"/>
    <col min="6" max="6" width="35.140625" style="1" hidden="1" customWidth="1"/>
    <col min="7" max="7" width="36.140625" style="1" hidden="1" customWidth="1"/>
    <col min="8" max="8" width="32.7109375" style="1" hidden="1" customWidth="1"/>
    <col min="9" max="9" width="28.7109375" style="1" bestFit="1" customWidth="1"/>
    <col min="10" max="10" width="22.5703125" style="1" customWidth="1"/>
    <col min="11" max="11" width="23.85546875" style="1" customWidth="1"/>
    <col min="12" max="12" width="15" style="2" customWidth="1"/>
    <col min="13" max="13" width="4.5703125" style="2" customWidth="1"/>
    <col min="14" max="14" width="17.28515625" style="4" customWidth="1"/>
    <col min="15" max="15" width="17.28515625" style="5" customWidth="1"/>
    <col min="16" max="16" width="14.28515625" style="2" customWidth="1"/>
    <col min="17" max="17" width="14.28515625" style="3" customWidth="1"/>
    <col min="18" max="19" width="14.28515625" style="2" customWidth="1"/>
    <col min="20" max="24" width="14.28515625" style="2" hidden="1" customWidth="1"/>
    <col min="25" max="25" width="27.7109375" style="2" hidden="1" customWidth="1"/>
    <col min="26" max="26" width="24.85546875" style="1" customWidth="1"/>
    <col min="27" max="34" width="25.140625" style="1" customWidth="1"/>
    <col min="35" max="35" width="29.7109375" style="1" bestFit="1" customWidth="1"/>
    <col min="36" max="36" width="13.42578125" style="1" bestFit="1" customWidth="1"/>
    <col min="37" max="37" width="20.7109375" style="1" bestFit="1" customWidth="1"/>
    <col min="38" max="38" width="63.5703125" style="76" customWidth="1"/>
    <col min="39" max="44" width="10.7109375" style="2" customWidth="1"/>
    <col min="45" max="45" width="15.28515625" style="2" customWidth="1"/>
    <col min="46" max="46" width="28.5703125" style="1" customWidth="1"/>
    <col min="47" max="47" width="30" style="1" customWidth="1"/>
  </cols>
  <sheetData>
    <row r="1" spans="1:47" ht="102" x14ac:dyDescent="0.2">
      <c r="A1" s="6" t="s">
        <v>0</v>
      </c>
      <c r="B1" s="6" t="s">
        <v>1</v>
      </c>
      <c r="C1" s="6" t="s">
        <v>2</v>
      </c>
      <c r="D1" s="6" t="s">
        <v>3</v>
      </c>
      <c r="E1" s="6" t="s">
        <v>4</v>
      </c>
      <c r="F1" s="6" t="s">
        <v>892</v>
      </c>
      <c r="G1" s="6" t="s">
        <v>891</v>
      </c>
      <c r="H1" s="6" t="s">
        <v>893</v>
      </c>
      <c r="I1" s="6" t="s">
        <v>5</v>
      </c>
      <c r="J1" s="6" t="s">
        <v>6</v>
      </c>
      <c r="K1" s="6" t="s">
        <v>7</v>
      </c>
      <c r="L1" s="7" t="s">
        <v>8</v>
      </c>
      <c r="M1" s="7" t="s">
        <v>9</v>
      </c>
      <c r="N1" s="8" t="s">
        <v>10</v>
      </c>
      <c r="O1" s="9" t="s">
        <v>11</v>
      </c>
      <c r="P1" s="7" t="s">
        <v>12</v>
      </c>
      <c r="Q1" s="10" t="s">
        <v>13</v>
      </c>
      <c r="R1" s="7" t="s">
        <v>14</v>
      </c>
      <c r="S1" s="7" t="s">
        <v>15</v>
      </c>
      <c r="T1" s="7" t="s">
        <v>16</v>
      </c>
      <c r="U1" s="7" t="s">
        <v>17</v>
      </c>
      <c r="V1" s="7" t="s">
        <v>18</v>
      </c>
      <c r="W1" s="7" t="s">
        <v>19</v>
      </c>
      <c r="X1" s="7" t="s">
        <v>20</v>
      </c>
      <c r="Y1" s="7" t="s">
        <v>21</v>
      </c>
      <c r="Z1" s="11" t="s">
        <v>1007</v>
      </c>
      <c r="AA1" s="11" t="s">
        <v>1008</v>
      </c>
      <c r="AB1" s="11" t="s">
        <v>1075</v>
      </c>
      <c r="AC1" s="11" t="s">
        <v>1076</v>
      </c>
      <c r="AD1" s="11" t="s">
        <v>1170</v>
      </c>
      <c r="AE1" s="11" t="s">
        <v>1208</v>
      </c>
      <c r="AF1" s="11" t="s">
        <v>1209</v>
      </c>
      <c r="AG1" s="11" t="s">
        <v>1210</v>
      </c>
      <c r="AH1" s="11" t="s">
        <v>1211</v>
      </c>
      <c r="AI1" s="11" t="s">
        <v>22</v>
      </c>
      <c r="AJ1" s="11" t="s">
        <v>23</v>
      </c>
      <c r="AK1" s="11" t="s">
        <v>24</v>
      </c>
      <c r="AL1" s="11" t="s">
        <v>25</v>
      </c>
      <c r="AM1" s="12" t="s">
        <v>26</v>
      </c>
      <c r="AN1" s="12" t="s">
        <v>27</v>
      </c>
      <c r="AO1" s="12" t="s">
        <v>28</v>
      </c>
      <c r="AP1" s="12" t="s">
        <v>29</v>
      </c>
      <c r="AQ1" s="12" t="s">
        <v>30</v>
      </c>
      <c r="AR1" s="12" t="s">
        <v>31</v>
      </c>
      <c r="AS1" s="12" t="s">
        <v>32</v>
      </c>
      <c r="AT1" s="11" t="s">
        <v>33</v>
      </c>
      <c r="AU1" s="11" t="s">
        <v>34</v>
      </c>
    </row>
    <row r="2" spans="1:47" s="133" customFormat="1" ht="51" x14ac:dyDescent="0.2">
      <c r="A2" s="13" t="s">
        <v>35</v>
      </c>
      <c r="B2" s="13" t="s">
        <v>36</v>
      </c>
      <c r="C2" s="13"/>
      <c r="D2" s="13" t="s">
        <v>37</v>
      </c>
      <c r="E2" s="91" t="s">
        <v>38</v>
      </c>
      <c r="F2" s="70" t="s">
        <v>922</v>
      </c>
      <c r="G2" s="108"/>
      <c r="H2" s="108"/>
      <c r="I2" s="13" t="s">
        <v>39</v>
      </c>
      <c r="J2" s="13" t="s">
        <v>40</v>
      </c>
      <c r="K2" s="13" t="s">
        <v>41</v>
      </c>
      <c r="L2" s="14">
        <v>2022</v>
      </c>
      <c r="M2" s="14"/>
      <c r="N2" s="15">
        <v>720</v>
      </c>
      <c r="O2" s="16"/>
      <c r="P2" s="17">
        <v>20</v>
      </c>
      <c r="Q2" s="18">
        <v>21500</v>
      </c>
      <c r="R2" s="18">
        <f>IF(Q2&lt;4.99,(Q2*12%+4),IF(Q2&lt;10.99,(Q2*12%+8),IF(Q2&lt;14.99,(Q2*12%+12),IF(Q2&lt;879.99,(Q2*12%+16),IF(Q2&lt;2569.99,(Q2*7%+60),240)))))</f>
        <v>240</v>
      </c>
      <c r="S2" s="19">
        <f>R2*P2</f>
        <v>4800</v>
      </c>
      <c r="T2" s="14"/>
      <c r="U2" s="14"/>
      <c r="V2" s="14"/>
      <c r="W2" s="14"/>
      <c r="X2" s="14"/>
      <c r="Y2" s="14"/>
      <c r="Z2" s="13"/>
      <c r="AA2" s="13"/>
      <c r="AB2" s="135">
        <f>P2*Q2*6</f>
        <v>2580000</v>
      </c>
      <c r="AC2" s="13"/>
      <c r="AD2" s="13"/>
      <c r="AE2" s="135">
        <f>Q2*P2*0.25*12</f>
        <v>1290000</v>
      </c>
      <c r="AF2" s="13"/>
      <c r="AG2" s="13"/>
      <c r="AH2" s="13"/>
      <c r="AI2" s="13" t="s">
        <v>42</v>
      </c>
      <c r="AJ2" s="13" t="s">
        <v>43</v>
      </c>
      <c r="AK2" s="13" t="s">
        <v>44</v>
      </c>
      <c r="AL2" s="70" t="s">
        <v>1161</v>
      </c>
      <c r="AM2" s="14">
        <v>2</v>
      </c>
      <c r="AN2" s="14">
        <v>2</v>
      </c>
      <c r="AO2" s="14">
        <v>3</v>
      </c>
      <c r="AP2" s="14">
        <v>3</v>
      </c>
      <c r="AQ2" s="14">
        <v>1</v>
      </c>
      <c r="AR2" s="14">
        <v>2</v>
      </c>
      <c r="AS2" s="14">
        <v>72</v>
      </c>
      <c r="AT2" s="13" t="s">
        <v>45</v>
      </c>
      <c r="AU2" s="20">
        <v>43647</v>
      </c>
    </row>
    <row r="3" spans="1:47" ht="51" x14ac:dyDescent="0.2">
      <c r="A3" s="13" t="s">
        <v>72</v>
      </c>
      <c r="B3" s="13" t="s">
        <v>73</v>
      </c>
      <c r="C3" s="13"/>
      <c r="D3" s="13" t="s">
        <v>98</v>
      </c>
      <c r="E3" s="91" t="s">
        <v>52</v>
      </c>
      <c r="F3" s="101" t="s">
        <v>908</v>
      </c>
      <c r="G3" s="108"/>
      <c r="H3" s="108"/>
      <c r="I3" s="13" t="s">
        <v>126</v>
      </c>
      <c r="J3" s="13" t="s">
        <v>1168</v>
      </c>
      <c r="K3" s="13" t="s">
        <v>634</v>
      </c>
      <c r="L3" s="14">
        <v>2021</v>
      </c>
      <c r="M3" s="14"/>
      <c r="N3" s="15">
        <v>17000</v>
      </c>
      <c r="O3" s="16"/>
      <c r="P3" s="17">
        <v>200</v>
      </c>
      <c r="Q3" s="18">
        <v>1450</v>
      </c>
      <c r="R3" s="18">
        <f>IF(Q3&lt;4.99,(Q3*12%+4),IF(Q3&lt;10.99,(Q3*12%+8),IF(Q3&lt;14.99,(Q3*12%+12),IF(Q3&lt;879.99,(Q3*12%+16),IF(Q3&lt;2569.99,(Q3*7%+60),240)))))</f>
        <v>161.5</v>
      </c>
      <c r="S3" s="19">
        <f>R3*P3</f>
        <v>32300</v>
      </c>
      <c r="T3" s="14"/>
      <c r="U3" s="14"/>
      <c r="V3" s="14"/>
      <c r="W3" s="14"/>
      <c r="X3" s="14"/>
      <c r="Y3" s="14"/>
      <c r="Z3" s="13"/>
      <c r="AA3" s="13"/>
      <c r="AB3" s="135">
        <f>P3*Q3*6</f>
        <v>1740000</v>
      </c>
      <c r="AC3" s="13"/>
      <c r="AD3" s="13"/>
      <c r="AE3" s="135">
        <f>AB3*1.25</f>
        <v>2175000</v>
      </c>
      <c r="AF3" s="13"/>
      <c r="AG3" s="13"/>
      <c r="AH3" s="13"/>
      <c r="AI3" s="13" t="s">
        <v>64</v>
      </c>
      <c r="AJ3" s="13"/>
      <c r="AK3" s="21" t="s">
        <v>129</v>
      </c>
      <c r="AL3" s="70" t="s">
        <v>130</v>
      </c>
      <c r="AM3" s="14">
        <v>3</v>
      </c>
      <c r="AN3" s="14">
        <v>2</v>
      </c>
      <c r="AO3" s="14">
        <v>3</v>
      </c>
      <c r="AP3" s="14">
        <v>3</v>
      </c>
      <c r="AQ3" s="14">
        <v>3</v>
      </c>
      <c r="AR3" s="14">
        <v>2</v>
      </c>
      <c r="AS3" s="14">
        <v>324</v>
      </c>
      <c r="AT3" s="13" t="s">
        <v>45</v>
      </c>
      <c r="AU3" s="13"/>
    </row>
    <row r="4" spans="1:47" s="157" customFormat="1" ht="38.25" x14ac:dyDescent="0.2">
      <c r="A4" s="42" t="s">
        <v>72</v>
      </c>
      <c r="B4" s="42" t="s">
        <v>184</v>
      </c>
      <c r="C4" s="42"/>
      <c r="D4" s="42" t="s">
        <v>60</v>
      </c>
      <c r="E4" s="187" t="s">
        <v>74</v>
      </c>
      <c r="F4" s="94" t="s">
        <v>924</v>
      </c>
      <c r="G4" s="109"/>
      <c r="H4" s="109"/>
      <c r="I4" s="42" t="s">
        <v>185</v>
      </c>
      <c r="J4" s="42"/>
      <c r="K4" s="42" t="s">
        <v>186</v>
      </c>
      <c r="L4" s="43">
        <v>2022</v>
      </c>
      <c r="M4" s="43"/>
      <c r="N4" s="44">
        <f>150000*2/3</f>
        <v>100000</v>
      </c>
      <c r="O4" s="45"/>
      <c r="P4" s="46">
        <v>100</v>
      </c>
      <c r="Q4" s="47">
        <v>4500</v>
      </c>
      <c r="R4" s="47">
        <f>IF(Q4&lt;4.99,(Q4*12%+4),IF(Q4&lt;10.99,(Q4*12%+8),IF(Q4&lt;14.99,(Q4*12%+12),IF(Q4&lt;879.99,(Q4*12%+16),IF(Q4&lt;2569.99,(Q4*7%+60),240)))))</f>
        <v>240</v>
      </c>
      <c r="S4" s="48">
        <f>R4*P4</f>
        <v>24000</v>
      </c>
      <c r="T4" s="43"/>
      <c r="U4" s="43"/>
      <c r="V4" s="43"/>
      <c r="W4" s="43"/>
      <c r="X4" s="43"/>
      <c r="Y4" s="43"/>
      <c r="Z4" s="188">
        <f>S4*P4*6</f>
        <v>14400000</v>
      </c>
      <c r="AA4" s="42">
        <v>10000</v>
      </c>
      <c r="AB4" s="189">
        <f>Z4*0.1</f>
        <v>1440000</v>
      </c>
      <c r="AC4" s="42"/>
      <c r="AD4" s="42" t="s">
        <v>45</v>
      </c>
      <c r="AE4" s="42"/>
      <c r="AF4" s="42"/>
      <c r="AG4" s="42"/>
      <c r="AH4" s="42"/>
      <c r="AI4" s="42" t="s">
        <v>42</v>
      </c>
      <c r="AJ4" s="42"/>
      <c r="AK4" s="42" t="s">
        <v>76</v>
      </c>
      <c r="AL4" s="73"/>
      <c r="AM4" s="43">
        <v>3</v>
      </c>
      <c r="AN4" s="43">
        <v>3</v>
      </c>
      <c r="AO4" s="43">
        <v>2</v>
      </c>
      <c r="AP4" s="43">
        <v>3</v>
      </c>
      <c r="AQ4" s="43">
        <v>2</v>
      </c>
      <c r="AR4" s="43">
        <v>3</v>
      </c>
      <c r="AS4" s="43">
        <v>324</v>
      </c>
      <c r="AT4" s="42" t="s">
        <v>45</v>
      </c>
      <c r="AU4" s="42"/>
    </row>
    <row r="5" spans="1:47" s="129" customFormat="1" x14ac:dyDescent="0.2">
      <c r="A5" s="13" t="s">
        <v>72</v>
      </c>
      <c r="B5" s="13" t="s">
        <v>184</v>
      </c>
      <c r="C5" s="13"/>
      <c r="D5" s="13" t="s">
        <v>60</v>
      </c>
      <c r="E5" s="91" t="s">
        <v>74</v>
      </c>
      <c r="F5" s="101"/>
      <c r="G5" s="108"/>
      <c r="H5" s="108"/>
      <c r="I5" s="13" t="s">
        <v>1204</v>
      </c>
      <c r="J5" s="13"/>
      <c r="K5" s="13" t="s">
        <v>42</v>
      </c>
      <c r="L5" s="14">
        <v>2023</v>
      </c>
      <c r="M5" s="14"/>
      <c r="N5" s="15">
        <v>100000</v>
      </c>
      <c r="O5" s="16"/>
      <c r="P5" s="17">
        <v>100</v>
      </c>
      <c r="Q5" s="18">
        <v>4500</v>
      </c>
      <c r="R5" s="18">
        <v>240</v>
      </c>
      <c r="S5" s="19">
        <f>R5*P5</f>
        <v>24000</v>
      </c>
      <c r="T5" s="14"/>
      <c r="U5" s="14"/>
      <c r="V5" s="14"/>
      <c r="W5" s="14"/>
      <c r="X5" s="14"/>
      <c r="Y5" s="14"/>
      <c r="Z5" s="130"/>
      <c r="AA5" s="13"/>
      <c r="AB5" s="160"/>
      <c r="AC5" s="13"/>
      <c r="AD5" s="13"/>
      <c r="AE5" s="13"/>
      <c r="AF5" s="13"/>
      <c r="AG5" s="13"/>
      <c r="AH5" s="13"/>
      <c r="AI5" s="13" t="s">
        <v>42</v>
      </c>
      <c r="AJ5" s="13"/>
      <c r="AK5" s="13"/>
      <c r="AL5" s="70" t="s">
        <v>1205</v>
      </c>
      <c r="AM5" s="14">
        <v>3</v>
      </c>
      <c r="AN5" s="14">
        <v>3</v>
      </c>
      <c r="AO5" s="14">
        <v>2</v>
      </c>
      <c r="AP5" s="14">
        <v>3</v>
      </c>
      <c r="AQ5" s="14">
        <v>2</v>
      </c>
      <c r="AR5" s="14">
        <v>3</v>
      </c>
      <c r="AS5" s="14">
        <f>AR5*AQ5*AP5*AO5*AN5*AM5</f>
        <v>324</v>
      </c>
      <c r="AT5" s="13" t="s">
        <v>45</v>
      </c>
      <c r="AU5" s="20">
        <v>44743</v>
      </c>
    </row>
    <row r="6" spans="1:47" ht="38.25" x14ac:dyDescent="0.2">
      <c r="A6" s="13" t="s">
        <v>58</v>
      </c>
      <c r="B6" s="13" t="s">
        <v>137</v>
      </c>
      <c r="C6" s="13"/>
      <c r="D6" s="13" t="s">
        <v>37</v>
      </c>
      <c r="E6" s="91" t="s">
        <v>138</v>
      </c>
      <c r="F6" s="101" t="s">
        <v>901</v>
      </c>
      <c r="G6" s="108"/>
      <c r="H6" s="108"/>
      <c r="I6" s="13" t="s">
        <v>139</v>
      </c>
      <c r="J6" s="13" t="s">
        <v>1169</v>
      </c>
      <c r="K6" s="13" t="s">
        <v>42</v>
      </c>
      <c r="L6" s="14">
        <v>2021</v>
      </c>
      <c r="M6" s="14"/>
      <c r="N6" s="15">
        <f>85000/10000</f>
        <v>8.5</v>
      </c>
      <c r="O6" s="16"/>
      <c r="P6" s="17">
        <v>8</v>
      </c>
      <c r="Q6" s="18">
        <v>9800</v>
      </c>
      <c r="R6" s="18">
        <f>IF(Q6&lt;4.99,(Q6*12%+4),IF(Q6&lt;10.99,(Q6*12%+8),IF(Q6&lt;14.99,(Q6*12%+12),IF(Q6&lt;879.99,(Q6*12%+16),IF(Q6&lt;2569.99,(Q6*7%+60),240)))))</f>
        <v>240</v>
      </c>
      <c r="S6" s="19">
        <f>R6*P6</f>
        <v>1920</v>
      </c>
      <c r="T6" s="14"/>
      <c r="U6" s="14"/>
      <c r="V6" s="14"/>
      <c r="W6" s="14"/>
      <c r="X6" s="14"/>
      <c r="Y6" s="14"/>
      <c r="Z6" s="13">
        <v>5000</v>
      </c>
      <c r="AA6" s="13"/>
      <c r="AB6" s="135">
        <f>Q6*3*P6*4</f>
        <v>940800</v>
      </c>
      <c r="AC6" s="13"/>
      <c r="AD6" s="13"/>
      <c r="AE6" s="135">
        <f>84*Q6</f>
        <v>823200</v>
      </c>
      <c r="AF6" s="13"/>
      <c r="AG6" s="13"/>
      <c r="AH6" s="13"/>
      <c r="AI6" s="13" t="s">
        <v>42</v>
      </c>
      <c r="AJ6" s="13"/>
      <c r="AK6" s="13"/>
      <c r="AL6" s="70" t="s">
        <v>140</v>
      </c>
      <c r="AM6" s="14">
        <v>2</v>
      </c>
      <c r="AN6" s="14">
        <v>1</v>
      </c>
      <c r="AO6" s="14">
        <v>3</v>
      </c>
      <c r="AP6" s="14">
        <v>3</v>
      </c>
      <c r="AQ6" s="14">
        <v>1</v>
      </c>
      <c r="AR6" s="14">
        <v>2</v>
      </c>
      <c r="AS6" s="14">
        <v>36</v>
      </c>
      <c r="AT6" s="13" t="s">
        <v>45</v>
      </c>
      <c r="AU6" s="20">
        <v>43466</v>
      </c>
    </row>
    <row r="7" spans="1:47" x14ac:dyDescent="0.2">
      <c r="A7" s="30" t="s">
        <v>72</v>
      </c>
      <c r="B7" s="30" t="s">
        <v>363</v>
      </c>
      <c r="C7" s="30"/>
      <c r="D7" s="30" t="s">
        <v>37</v>
      </c>
      <c r="E7" s="89" t="s">
        <v>1077</v>
      </c>
      <c r="F7" s="131"/>
      <c r="G7" s="106"/>
      <c r="H7" s="106"/>
      <c r="I7" s="30" t="s">
        <v>1078</v>
      </c>
      <c r="J7" s="30" t="s">
        <v>1188</v>
      </c>
      <c r="K7" s="30" t="s">
        <v>1189</v>
      </c>
      <c r="L7" s="31"/>
      <c r="M7" s="31"/>
      <c r="N7" s="32">
        <v>360</v>
      </c>
      <c r="O7" s="33"/>
      <c r="P7" s="34">
        <v>20</v>
      </c>
      <c r="Q7" s="35">
        <v>20000</v>
      </c>
      <c r="R7" s="35"/>
      <c r="S7" s="36"/>
      <c r="T7" s="31"/>
      <c r="U7" s="31"/>
      <c r="V7" s="31"/>
      <c r="W7" s="31"/>
      <c r="X7" s="31"/>
      <c r="Y7" s="31"/>
      <c r="Z7" s="132"/>
      <c r="AA7" s="30"/>
      <c r="AB7" s="132">
        <f>Q7*P7*2</f>
        <v>800000</v>
      </c>
      <c r="AC7" s="30"/>
      <c r="AD7" s="30" t="s">
        <v>45</v>
      </c>
      <c r="AE7" s="135">
        <v>0</v>
      </c>
      <c r="AF7" s="30"/>
      <c r="AG7" s="30"/>
      <c r="AH7" s="30"/>
      <c r="AI7" s="30" t="s">
        <v>42</v>
      </c>
      <c r="AJ7" s="30"/>
      <c r="AK7" s="30"/>
      <c r="AL7" s="72"/>
      <c r="AM7" s="31">
        <v>1</v>
      </c>
      <c r="AN7" s="31">
        <v>1</v>
      </c>
      <c r="AO7" s="31">
        <v>2</v>
      </c>
      <c r="AP7" s="31">
        <v>3</v>
      </c>
      <c r="AQ7" s="31">
        <v>1</v>
      </c>
      <c r="AR7" s="31">
        <v>2</v>
      </c>
      <c r="AS7" s="31">
        <f>AM7*AN7*AO7*AP7*AQ7*AR7</f>
        <v>12</v>
      </c>
      <c r="AT7" s="30"/>
      <c r="AU7" s="37">
        <v>44621</v>
      </c>
    </row>
    <row r="8" spans="1:47" ht="25.5" x14ac:dyDescent="0.2">
      <c r="A8" s="30" t="s">
        <v>58</v>
      </c>
      <c r="B8" s="30" t="s">
        <v>1149</v>
      </c>
      <c r="C8" s="30"/>
      <c r="D8" s="30" t="s">
        <v>37</v>
      </c>
      <c r="E8" s="89" t="s">
        <v>101</v>
      </c>
      <c r="F8" s="96"/>
      <c r="G8" s="106"/>
      <c r="H8" s="106"/>
      <c r="I8" s="30" t="s">
        <v>1150</v>
      </c>
      <c r="J8" s="30" t="s">
        <v>1151</v>
      </c>
      <c r="K8" s="30"/>
      <c r="L8" s="31"/>
      <c r="M8" s="31"/>
      <c r="N8" s="32">
        <v>425</v>
      </c>
      <c r="O8" s="33"/>
      <c r="P8" s="34"/>
      <c r="Q8" s="35">
        <v>15000</v>
      </c>
      <c r="R8" s="35"/>
      <c r="S8" s="36"/>
      <c r="T8" s="31"/>
      <c r="U8" s="31"/>
      <c r="V8" s="31"/>
      <c r="W8" s="31"/>
      <c r="X8" s="31"/>
      <c r="Y8" s="31"/>
      <c r="Z8" s="30"/>
      <c r="AA8" s="30"/>
      <c r="AB8" s="132">
        <f>Q8*N8*0.1</f>
        <v>637500</v>
      </c>
      <c r="AC8" s="30"/>
      <c r="AD8" s="30" t="s">
        <v>45</v>
      </c>
      <c r="AE8" s="135">
        <v>0</v>
      </c>
      <c r="AF8" s="30"/>
      <c r="AG8" s="30"/>
      <c r="AH8" s="30"/>
      <c r="AI8" s="30" t="s">
        <v>42</v>
      </c>
      <c r="AJ8" s="30"/>
      <c r="AK8" s="30"/>
      <c r="AL8" s="72" t="s">
        <v>1152</v>
      </c>
      <c r="AM8" s="31">
        <v>3</v>
      </c>
      <c r="AN8" s="31">
        <v>2</v>
      </c>
      <c r="AO8" s="31">
        <v>3</v>
      </c>
      <c r="AP8" s="31">
        <v>3</v>
      </c>
      <c r="AQ8" s="31">
        <v>2</v>
      </c>
      <c r="AR8" s="31">
        <v>3</v>
      </c>
      <c r="AS8" s="31">
        <f>AM8*AR8*AQ8*AP8*AO8*AN8</f>
        <v>324</v>
      </c>
      <c r="AT8" s="30" t="s">
        <v>45</v>
      </c>
      <c r="AU8" s="37">
        <v>44621</v>
      </c>
    </row>
    <row r="9" spans="1:47" s="133" customFormat="1" x14ac:dyDescent="0.2">
      <c r="A9" s="30" t="s">
        <v>58</v>
      </c>
      <c r="B9" s="30" t="s">
        <v>1031</v>
      </c>
      <c r="C9" s="30" t="s">
        <v>48</v>
      </c>
      <c r="D9" s="30" t="s">
        <v>37</v>
      </c>
      <c r="E9" s="89" t="s">
        <v>1028</v>
      </c>
      <c r="F9" s="96"/>
      <c r="G9" s="106"/>
      <c r="H9" s="106"/>
      <c r="I9" s="30" t="s">
        <v>1029</v>
      </c>
      <c r="J9" s="30" t="s">
        <v>1030</v>
      </c>
      <c r="K9" s="30" t="s">
        <v>63</v>
      </c>
      <c r="L9" s="31">
        <v>2021</v>
      </c>
      <c r="M9" s="31"/>
      <c r="N9" s="32">
        <v>90</v>
      </c>
      <c r="O9" s="33"/>
      <c r="P9" s="34">
        <v>20</v>
      </c>
      <c r="Q9" s="35">
        <v>5000</v>
      </c>
      <c r="R9" s="35">
        <v>240</v>
      </c>
      <c r="S9" s="36"/>
      <c r="T9" s="31"/>
      <c r="U9" s="31"/>
      <c r="V9" s="31"/>
      <c r="W9" s="31"/>
      <c r="X9" s="31"/>
      <c r="Y9" s="31"/>
      <c r="Z9" s="132">
        <f>Q9*P9*6</f>
        <v>600000</v>
      </c>
      <c r="AA9" s="30"/>
      <c r="AB9" s="132">
        <f>Q9*P9*0.5*6</f>
        <v>300000</v>
      </c>
      <c r="AC9" s="30"/>
      <c r="AD9" s="30" t="s">
        <v>45</v>
      </c>
      <c r="AE9" s="135">
        <f>14*5000</f>
        <v>70000</v>
      </c>
      <c r="AF9" s="30"/>
      <c r="AG9" s="30"/>
      <c r="AH9" s="30"/>
      <c r="AI9" s="30" t="s">
        <v>201</v>
      </c>
      <c r="AJ9" s="30"/>
      <c r="AK9" s="30"/>
      <c r="AL9" s="72" t="s">
        <v>1111</v>
      </c>
      <c r="AM9" s="31"/>
      <c r="AN9" s="31"/>
      <c r="AO9" s="31"/>
      <c r="AP9" s="31"/>
      <c r="AQ9" s="31"/>
      <c r="AR9" s="31"/>
      <c r="AS9" s="31"/>
      <c r="AT9" s="30"/>
      <c r="AU9" s="30"/>
    </row>
    <row r="10" spans="1:47" ht="38.25" x14ac:dyDescent="0.2">
      <c r="A10" s="144" t="s">
        <v>35</v>
      </c>
      <c r="B10" s="144" t="s">
        <v>82</v>
      </c>
      <c r="C10" s="144"/>
      <c r="D10" s="144" t="s">
        <v>37</v>
      </c>
      <c r="E10" s="145" t="s">
        <v>83</v>
      </c>
      <c r="F10" s="146" t="s">
        <v>918</v>
      </c>
      <c r="G10" s="147"/>
      <c r="H10" s="144"/>
      <c r="I10" s="144" t="s">
        <v>84</v>
      </c>
      <c r="J10" s="144" t="s">
        <v>1164</v>
      </c>
      <c r="K10" s="144" t="s">
        <v>42</v>
      </c>
      <c r="L10" s="148">
        <v>2020</v>
      </c>
      <c r="M10" s="148"/>
      <c r="N10" s="149">
        <f>8500000/100000</f>
        <v>85</v>
      </c>
      <c r="O10" s="150"/>
      <c r="P10" s="151">
        <v>15</v>
      </c>
      <c r="Q10" s="152">
        <v>5550</v>
      </c>
      <c r="R10" s="152">
        <f>IF(Q10&lt;4.99,(Q10*12%+4),IF(Q10&lt;10.99,(Q10*12%+8),IF(Q10&lt;14.99,(Q10*12%+12),IF(Q10&lt;879.99,(Q10*12%+16),IF(Q10&lt;2569.99,(Q10*7%+60),240)))))</f>
        <v>240</v>
      </c>
      <c r="S10" s="153">
        <f>R10*P10</f>
        <v>3600</v>
      </c>
      <c r="T10" s="148"/>
      <c r="U10" s="148"/>
      <c r="V10" s="148"/>
      <c r="W10" s="148"/>
      <c r="X10" s="148"/>
      <c r="Y10" s="148"/>
      <c r="Z10" s="144">
        <v>0</v>
      </c>
      <c r="AA10" s="144"/>
      <c r="AB10" s="154">
        <f>Q10*P10*3</f>
        <v>249750</v>
      </c>
      <c r="AC10" s="144"/>
      <c r="AD10" s="144"/>
      <c r="AE10" s="135">
        <f>45*5400</f>
        <v>243000</v>
      </c>
      <c r="AF10" s="144"/>
      <c r="AG10" s="144"/>
      <c r="AH10" s="144"/>
      <c r="AI10" s="144" t="s">
        <v>42</v>
      </c>
      <c r="AJ10" s="144"/>
      <c r="AK10" s="144" t="s">
        <v>44</v>
      </c>
      <c r="AL10" s="155" t="s">
        <v>85</v>
      </c>
      <c r="AM10" s="148">
        <v>3</v>
      </c>
      <c r="AN10" s="148">
        <v>2</v>
      </c>
      <c r="AO10" s="148">
        <v>2</v>
      </c>
      <c r="AP10" s="148">
        <v>3</v>
      </c>
      <c r="AQ10" s="148">
        <v>1</v>
      </c>
      <c r="AR10" s="148">
        <v>1</v>
      </c>
      <c r="AS10" s="148">
        <v>36</v>
      </c>
      <c r="AT10" s="144" t="s">
        <v>45</v>
      </c>
      <c r="AU10" s="144"/>
    </row>
    <row r="11" spans="1:47" x14ac:dyDescent="0.2">
      <c r="A11" s="13" t="s">
        <v>35</v>
      </c>
      <c r="B11" s="13" t="s">
        <v>1114</v>
      </c>
      <c r="C11" s="13"/>
      <c r="D11" s="13" t="s">
        <v>60</v>
      </c>
      <c r="E11" s="91" t="s">
        <v>1115</v>
      </c>
      <c r="F11" s="101"/>
      <c r="G11" s="108"/>
      <c r="H11" s="108"/>
      <c r="I11" s="13" t="s">
        <v>1116</v>
      </c>
      <c r="J11" s="13" t="s">
        <v>1126</v>
      </c>
      <c r="K11" s="13"/>
      <c r="L11" s="14"/>
      <c r="M11" s="14"/>
      <c r="N11" s="15"/>
      <c r="O11" s="16"/>
      <c r="P11" s="17">
        <v>20</v>
      </c>
      <c r="Q11" s="18">
        <v>15000</v>
      </c>
      <c r="R11" s="18">
        <v>240</v>
      </c>
      <c r="S11" s="19"/>
      <c r="T11" s="14"/>
      <c r="U11" s="14"/>
      <c r="V11" s="14"/>
      <c r="W11" s="14"/>
      <c r="X11" s="14"/>
      <c r="Y11" s="14"/>
      <c r="Z11" s="13"/>
      <c r="AA11" s="13"/>
      <c r="AB11" s="135">
        <f>Q11*P11*0.2*4</f>
        <v>240000</v>
      </c>
      <c r="AC11" s="13"/>
      <c r="AD11" s="13" t="s">
        <v>45</v>
      </c>
      <c r="AE11" s="13">
        <f>60*14000</f>
        <v>840000</v>
      </c>
      <c r="AF11" s="13"/>
      <c r="AG11" s="13"/>
      <c r="AH11" s="13"/>
      <c r="AI11" s="13" t="s">
        <v>42</v>
      </c>
      <c r="AJ11" s="13"/>
      <c r="AK11" s="20"/>
      <c r="AL11" s="70" t="s">
        <v>1122</v>
      </c>
      <c r="AM11" s="14">
        <v>2</v>
      </c>
      <c r="AN11" s="14">
        <v>2</v>
      </c>
      <c r="AO11" s="14">
        <v>1</v>
      </c>
      <c r="AP11" s="14">
        <v>3</v>
      </c>
      <c r="AQ11" s="14">
        <v>1</v>
      </c>
      <c r="AR11" s="14">
        <v>2</v>
      </c>
      <c r="AS11" s="14">
        <f>AR11*AQ11*AP11*AO11*AN11*AM11</f>
        <v>24</v>
      </c>
      <c r="AT11" s="13" t="s">
        <v>45</v>
      </c>
      <c r="AU11" s="20">
        <v>44621</v>
      </c>
    </row>
    <row r="12" spans="1:47" s="133" customFormat="1" x14ac:dyDescent="0.2">
      <c r="A12" s="30" t="s">
        <v>58</v>
      </c>
      <c r="B12" s="30" t="s">
        <v>1047</v>
      </c>
      <c r="C12" s="30"/>
      <c r="D12" s="30" t="s">
        <v>98</v>
      </c>
      <c r="E12" s="89" t="s">
        <v>1046</v>
      </c>
      <c r="F12" s="106"/>
      <c r="G12" s="96"/>
      <c r="H12" s="106"/>
      <c r="I12" s="30" t="s">
        <v>1048</v>
      </c>
      <c r="J12" s="30" t="s">
        <v>1212</v>
      </c>
      <c r="K12" s="30" t="s">
        <v>1017</v>
      </c>
      <c r="L12" s="31">
        <v>2022</v>
      </c>
      <c r="M12" s="31"/>
      <c r="N12" s="32">
        <v>10</v>
      </c>
      <c r="O12" s="33"/>
      <c r="P12" s="34">
        <v>2</v>
      </c>
      <c r="Q12" s="35">
        <v>29000</v>
      </c>
      <c r="R12" s="35">
        <v>240</v>
      </c>
      <c r="S12" s="36"/>
      <c r="T12" s="31"/>
      <c r="U12" s="31"/>
      <c r="V12" s="31"/>
      <c r="W12" s="31"/>
      <c r="X12" s="31"/>
      <c r="Y12" s="31"/>
      <c r="Z12" s="132">
        <f>N12*Q12*5</f>
        <v>1450000</v>
      </c>
      <c r="AA12" s="30"/>
      <c r="AB12" s="132">
        <f>Q12*P12*5</f>
        <v>290000</v>
      </c>
      <c r="AC12" s="30"/>
      <c r="AD12" s="30" t="s">
        <v>45</v>
      </c>
      <c r="AE12" s="132">
        <f>11*Q12</f>
        <v>319000</v>
      </c>
      <c r="AF12" s="30"/>
      <c r="AG12" s="30"/>
      <c r="AH12" s="30"/>
      <c r="AI12" s="30"/>
      <c r="AJ12" s="30"/>
      <c r="AK12" s="30"/>
      <c r="AL12" s="72"/>
      <c r="AM12" s="31"/>
      <c r="AN12" s="31"/>
      <c r="AO12" s="31"/>
      <c r="AP12" s="31"/>
      <c r="AQ12" s="31"/>
      <c r="AR12" s="31"/>
      <c r="AS12" s="31"/>
      <c r="AT12" s="30"/>
      <c r="AU12" s="30"/>
    </row>
    <row r="13" spans="1:47" x14ac:dyDescent="0.2">
      <c r="A13" s="117" t="s">
        <v>58</v>
      </c>
      <c r="B13" s="117" t="s">
        <v>59</v>
      </c>
      <c r="C13" s="117"/>
      <c r="D13" s="117" t="s">
        <v>37</v>
      </c>
      <c r="E13" s="170" t="s">
        <v>1035</v>
      </c>
      <c r="F13" s="118"/>
      <c r="G13" s="119"/>
      <c r="H13" s="119"/>
      <c r="I13" s="117" t="s">
        <v>1036</v>
      </c>
      <c r="J13" s="117" t="s">
        <v>1037</v>
      </c>
      <c r="K13" s="117" t="s">
        <v>63</v>
      </c>
      <c r="L13" s="120">
        <v>2022</v>
      </c>
      <c r="M13" s="120"/>
      <c r="N13" s="121">
        <v>220</v>
      </c>
      <c r="O13" s="122"/>
      <c r="P13" s="123">
        <v>40</v>
      </c>
      <c r="Q13" s="124">
        <v>5000</v>
      </c>
      <c r="R13" s="124">
        <v>240</v>
      </c>
      <c r="S13" s="125"/>
      <c r="T13" s="120"/>
      <c r="U13" s="120"/>
      <c r="V13" s="120"/>
      <c r="W13" s="120"/>
      <c r="X13" s="120"/>
      <c r="Y13" s="120"/>
      <c r="Z13" s="126">
        <f>Q13*P13*2</f>
        <v>400000</v>
      </c>
      <c r="AA13" s="117"/>
      <c r="AB13" s="126">
        <f>Z13*0.5</f>
        <v>200000</v>
      </c>
      <c r="AC13" s="117"/>
      <c r="AD13" s="117" t="s">
        <v>45</v>
      </c>
      <c r="AE13" s="117">
        <v>0</v>
      </c>
      <c r="AF13" s="117"/>
      <c r="AG13" s="126">
        <f>AB13</f>
        <v>200000</v>
      </c>
      <c r="AH13" s="117"/>
      <c r="AI13" s="117"/>
      <c r="AJ13" s="117"/>
      <c r="AK13" s="127"/>
      <c r="AL13" s="118"/>
      <c r="AM13" s="120"/>
      <c r="AN13" s="120"/>
      <c r="AO13" s="120"/>
      <c r="AP13" s="120"/>
      <c r="AQ13" s="120"/>
      <c r="AR13" s="120"/>
      <c r="AS13" s="120"/>
      <c r="AT13" s="117"/>
      <c r="AU13" s="117"/>
    </row>
    <row r="14" spans="1:47" ht="38.25" x14ac:dyDescent="0.2">
      <c r="A14" s="22" t="s">
        <v>35</v>
      </c>
      <c r="B14" s="23" t="s">
        <v>704</v>
      </c>
      <c r="C14" s="22"/>
      <c r="D14" s="23" t="s">
        <v>37</v>
      </c>
      <c r="E14" s="87" t="s">
        <v>535</v>
      </c>
      <c r="F14" s="71" t="s">
        <v>920</v>
      </c>
      <c r="G14" s="95"/>
      <c r="H14" s="95"/>
      <c r="I14" s="23" t="s">
        <v>705</v>
      </c>
      <c r="J14" s="22" t="s">
        <v>1093</v>
      </c>
      <c r="K14" s="22"/>
      <c r="L14" s="24">
        <v>2020</v>
      </c>
      <c r="M14" s="24"/>
      <c r="N14" s="52">
        <f>8500000/100000*35</f>
        <v>2975</v>
      </c>
      <c r="O14" s="39"/>
      <c r="P14" s="27">
        <v>3</v>
      </c>
      <c r="Q14" s="28">
        <v>15000</v>
      </c>
      <c r="R14" s="28">
        <f>IF(Q14&lt;4.99,(Q14*12%+4),IF(Q14&lt;10.99,(Q14*12%+8),IF(Q14&lt;14.99,(Q14*12%+12),IF(Q14&lt;879.99,(Q14*12%+16),IF(Q14&lt;2569.99,(Q14*7%+60),240)))))</f>
        <v>240</v>
      </c>
      <c r="S14" s="29">
        <f>R14*P14</f>
        <v>720</v>
      </c>
      <c r="T14" s="24"/>
      <c r="U14" s="24"/>
      <c r="V14" s="24"/>
      <c r="W14" s="24"/>
      <c r="X14" s="24"/>
      <c r="Y14" s="24"/>
      <c r="Z14" s="22"/>
      <c r="AA14" s="22"/>
      <c r="AB14" s="113">
        <f>Q14*P14*4</f>
        <v>180000</v>
      </c>
      <c r="AC14" s="22"/>
      <c r="AD14" s="22" t="s">
        <v>45</v>
      </c>
      <c r="AE14" s="22">
        <v>0</v>
      </c>
      <c r="AF14" s="22"/>
      <c r="AG14" s="113">
        <f>AB14</f>
        <v>180000</v>
      </c>
      <c r="AH14" s="22"/>
      <c r="AI14" s="22"/>
      <c r="AJ14" s="22" t="s">
        <v>182</v>
      </c>
      <c r="AK14" s="41" t="s">
        <v>538</v>
      </c>
      <c r="AL14" s="71" t="s">
        <v>1094</v>
      </c>
      <c r="AM14" s="24">
        <v>1</v>
      </c>
      <c r="AN14" s="24">
        <v>2</v>
      </c>
      <c r="AO14" s="24">
        <v>3</v>
      </c>
      <c r="AP14" s="24">
        <v>3</v>
      </c>
      <c r="AQ14" s="24">
        <v>1</v>
      </c>
      <c r="AR14" s="24">
        <v>1</v>
      </c>
      <c r="AS14" s="24">
        <v>18</v>
      </c>
      <c r="AT14" s="22" t="s">
        <v>48</v>
      </c>
      <c r="AU14" s="22"/>
    </row>
    <row r="15" spans="1:47" x14ac:dyDescent="0.2">
      <c r="A15" s="13" t="s">
        <v>35</v>
      </c>
      <c r="B15" s="13" t="s">
        <v>1117</v>
      </c>
      <c r="C15" s="13"/>
      <c r="D15" s="13" t="s">
        <v>60</v>
      </c>
      <c r="E15" s="91" t="s">
        <v>394</v>
      </c>
      <c r="F15" s="108"/>
      <c r="G15" s="101"/>
      <c r="H15" s="108"/>
      <c r="I15" s="13" t="s">
        <v>1118</v>
      </c>
      <c r="J15" s="13" t="s">
        <v>1119</v>
      </c>
      <c r="K15" s="13"/>
      <c r="L15" s="14"/>
      <c r="M15" s="14"/>
      <c r="N15" s="15">
        <v>560</v>
      </c>
      <c r="O15" s="16"/>
      <c r="P15" s="17">
        <v>30</v>
      </c>
      <c r="Q15" s="18">
        <v>1000</v>
      </c>
      <c r="R15" s="18"/>
      <c r="S15" s="19"/>
      <c r="T15" s="14"/>
      <c r="U15" s="14"/>
      <c r="V15" s="14"/>
      <c r="W15" s="14"/>
      <c r="X15" s="14"/>
      <c r="Y15" s="14"/>
      <c r="Z15" s="135"/>
      <c r="AA15" s="13"/>
      <c r="AB15" s="135">
        <f>20*P15*Q15*0.3</f>
        <v>180000</v>
      </c>
      <c r="AC15" s="13"/>
      <c r="AD15" s="13"/>
      <c r="AE15" s="13">
        <f>1400*1000</f>
        <v>1400000</v>
      </c>
      <c r="AF15" s="13"/>
      <c r="AG15" s="13"/>
      <c r="AH15" s="13"/>
      <c r="AI15" s="13" t="s">
        <v>1120</v>
      </c>
      <c r="AJ15" s="13"/>
      <c r="AK15" s="13"/>
      <c r="AL15" s="70" t="s">
        <v>1121</v>
      </c>
      <c r="AM15" s="14">
        <v>2</v>
      </c>
      <c r="AN15" s="14">
        <v>2</v>
      </c>
      <c r="AO15" s="14">
        <v>2</v>
      </c>
      <c r="AP15" s="14">
        <v>3</v>
      </c>
      <c r="AQ15" s="14">
        <v>1</v>
      </c>
      <c r="AR15" s="14">
        <v>2</v>
      </c>
      <c r="AS15" s="14">
        <f>AR15*AQ15*AP15*AO15*AN15*AM15</f>
        <v>48</v>
      </c>
      <c r="AT15" s="13" t="s">
        <v>45</v>
      </c>
      <c r="AU15" s="20">
        <v>44621</v>
      </c>
    </row>
    <row r="16" spans="1:47" s="156" customFormat="1" ht="38.25" x14ac:dyDescent="0.2">
      <c r="A16" s="13" t="s">
        <v>58</v>
      </c>
      <c r="B16" s="13" t="s">
        <v>867</v>
      </c>
      <c r="C16" s="13"/>
      <c r="D16" s="136" t="s">
        <v>60</v>
      </c>
      <c r="E16" s="169" t="s">
        <v>101</v>
      </c>
      <c r="F16" s="143" t="s">
        <v>900</v>
      </c>
      <c r="G16" s="140"/>
      <c r="H16" s="136"/>
      <c r="I16" s="136" t="s">
        <v>868</v>
      </c>
      <c r="J16" s="13" t="s">
        <v>1135</v>
      </c>
      <c r="K16" s="13" t="s">
        <v>42</v>
      </c>
      <c r="L16" s="14">
        <v>2021</v>
      </c>
      <c r="M16" s="14"/>
      <c r="N16" s="15"/>
      <c r="O16" s="16"/>
      <c r="P16" s="17">
        <v>5</v>
      </c>
      <c r="Q16" s="18">
        <v>9000</v>
      </c>
      <c r="R16" s="18"/>
      <c r="S16" s="19"/>
      <c r="T16" s="14"/>
      <c r="U16" s="14"/>
      <c r="V16" s="14"/>
      <c r="W16" s="14"/>
      <c r="X16" s="14"/>
      <c r="Y16" s="14"/>
      <c r="Z16" s="13"/>
      <c r="AA16" s="13"/>
      <c r="AB16" s="135">
        <f>Q16*P16*4</f>
        <v>180000</v>
      </c>
      <c r="AC16" s="13"/>
      <c r="AD16" s="13" t="s">
        <v>45</v>
      </c>
      <c r="AE16" s="135">
        <f>AB16*0.5</f>
        <v>90000</v>
      </c>
      <c r="AF16" s="13"/>
      <c r="AG16" s="13"/>
      <c r="AH16" s="13"/>
      <c r="AI16" s="13" t="s">
        <v>42</v>
      </c>
      <c r="AJ16" s="13"/>
      <c r="AK16" s="21"/>
      <c r="AL16" s="137" t="s">
        <v>755</v>
      </c>
      <c r="AM16" s="14">
        <v>1</v>
      </c>
      <c r="AN16" s="14">
        <v>1</v>
      </c>
      <c r="AO16" s="14">
        <v>1</v>
      </c>
      <c r="AP16" s="14">
        <v>3</v>
      </c>
      <c r="AQ16" s="14">
        <v>1</v>
      </c>
      <c r="AR16" s="14">
        <v>1</v>
      </c>
      <c r="AS16" s="14">
        <v>3</v>
      </c>
      <c r="AT16" s="13" t="s">
        <v>48</v>
      </c>
      <c r="AU16" s="138"/>
    </row>
    <row r="17" spans="1:47" s="156" customFormat="1" ht="38.25" x14ac:dyDescent="0.2">
      <c r="A17" s="13" t="s">
        <v>35</v>
      </c>
      <c r="B17" s="13" t="s">
        <v>616</v>
      </c>
      <c r="C17" s="13"/>
      <c r="D17" s="13" t="s">
        <v>37</v>
      </c>
      <c r="E17" s="91" t="s">
        <v>138</v>
      </c>
      <c r="F17" s="101" t="s">
        <v>922</v>
      </c>
      <c r="G17" s="108"/>
      <c r="H17" s="108"/>
      <c r="I17" s="13" t="s">
        <v>617</v>
      </c>
      <c r="J17" s="13" t="s">
        <v>1105</v>
      </c>
      <c r="K17" s="13" t="s">
        <v>42</v>
      </c>
      <c r="L17" s="14">
        <v>2021</v>
      </c>
      <c r="M17" s="14"/>
      <c r="N17" s="15">
        <v>32</v>
      </c>
      <c r="O17" s="16"/>
      <c r="P17" s="17">
        <v>5</v>
      </c>
      <c r="Q17" s="18">
        <v>8950</v>
      </c>
      <c r="R17" s="18">
        <v>240</v>
      </c>
      <c r="S17" s="19"/>
      <c r="T17" s="14"/>
      <c r="U17" s="14"/>
      <c r="V17" s="14"/>
      <c r="W17" s="14"/>
      <c r="X17" s="14"/>
      <c r="Y17" s="14"/>
      <c r="Z17" s="13"/>
      <c r="AA17" s="13"/>
      <c r="AB17" s="135">
        <f>Q17*P17*4</f>
        <v>179000</v>
      </c>
      <c r="AC17" s="13">
        <v>0</v>
      </c>
      <c r="AD17" s="13"/>
      <c r="AE17" s="135">
        <f>AB17*0.5</f>
        <v>89500</v>
      </c>
      <c r="AF17" s="13"/>
      <c r="AG17" s="135">
        <f>AB17</f>
        <v>179000</v>
      </c>
      <c r="AH17" s="13"/>
      <c r="AI17" s="13" t="s">
        <v>266</v>
      </c>
      <c r="AJ17" s="13"/>
      <c r="AK17" s="13"/>
      <c r="AL17" s="70" t="s">
        <v>1106</v>
      </c>
      <c r="AM17" s="14">
        <v>1</v>
      </c>
      <c r="AN17" s="14">
        <v>1</v>
      </c>
      <c r="AO17" s="14">
        <v>3</v>
      </c>
      <c r="AP17" s="14">
        <v>3</v>
      </c>
      <c r="AQ17" s="14">
        <v>1</v>
      </c>
      <c r="AR17" s="14">
        <v>2</v>
      </c>
      <c r="AS17" s="14">
        <f>AM17*AN17*AO17*AP17*AQ17*AR17</f>
        <v>18</v>
      </c>
      <c r="AT17" s="13" t="s">
        <v>48</v>
      </c>
      <c r="AU17" s="20" t="s">
        <v>125</v>
      </c>
    </row>
    <row r="18" spans="1:47" s="156" customFormat="1" ht="38.25" x14ac:dyDescent="0.2">
      <c r="A18" s="13" t="s">
        <v>58</v>
      </c>
      <c r="B18" s="13" t="s">
        <v>451</v>
      </c>
      <c r="C18" s="13"/>
      <c r="D18" s="13" t="s">
        <v>1190</v>
      </c>
      <c r="E18" s="91" t="s">
        <v>99</v>
      </c>
      <c r="F18" s="101" t="s">
        <v>927</v>
      </c>
      <c r="G18" s="108"/>
      <c r="H18" s="108"/>
      <c r="I18" s="13" t="s">
        <v>797</v>
      </c>
      <c r="J18" s="13" t="s">
        <v>1186</v>
      </c>
      <c r="K18" s="13" t="s">
        <v>1187</v>
      </c>
      <c r="L18" s="14">
        <v>2022</v>
      </c>
      <c r="M18" s="14"/>
      <c r="N18" s="15">
        <f>50000/7750000000*8500000</f>
        <v>54.838709677419352</v>
      </c>
      <c r="O18" s="16"/>
      <c r="P18" s="17">
        <v>5</v>
      </c>
      <c r="Q18" s="18">
        <v>10000</v>
      </c>
      <c r="R18" s="18">
        <f>IF(Q18&lt;4.99,(Q18*12%+4),IF(Q18&lt;10.99,(Q18*12%+8),IF(Q18&lt;14.99,(Q18*12%+12),IF(Q18&lt;879.99,(Q18*12%+16),IF(Q18&lt;2569.99,(Q18*7%+60),240)))))</f>
        <v>240</v>
      </c>
      <c r="S18" s="19">
        <f>R18*P18</f>
        <v>1200</v>
      </c>
      <c r="T18" s="14"/>
      <c r="U18" s="14"/>
      <c r="V18" s="14"/>
      <c r="W18" s="14"/>
      <c r="X18" s="14"/>
      <c r="Y18" s="14"/>
      <c r="Z18" s="13"/>
      <c r="AA18" s="13"/>
      <c r="AB18" s="135">
        <f>Q18*P18*3</f>
        <v>150000</v>
      </c>
      <c r="AC18" s="13">
        <v>4000</v>
      </c>
      <c r="AD18" s="13" t="s">
        <v>45</v>
      </c>
      <c r="AE18" s="13">
        <v>0</v>
      </c>
      <c r="AF18" s="13"/>
      <c r="AG18" s="135">
        <f>AB18</f>
        <v>150000</v>
      </c>
      <c r="AH18" s="13"/>
      <c r="AI18" s="13" t="s">
        <v>42</v>
      </c>
      <c r="AJ18" s="13" t="s">
        <v>43</v>
      </c>
      <c r="AK18" s="20" t="s">
        <v>1080</v>
      </c>
      <c r="AL18" s="70" t="s">
        <v>1081</v>
      </c>
      <c r="AM18" s="14">
        <v>3</v>
      </c>
      <c r="AN18" s="14">
        <v>2</v>
      </c>
      <c r="AO18" s="14">
        <v>3</v>
      </c>
      <c r="AP18" s="14">
        <v>2</v>
      </c>
      <c r="AQ18" s="14">
        <v>1</v>
      </c>
      <c r="AR18" s="14">
        <v>2</v>
      </c>
      <c r="AS18" s="14">
        <v>72</v>
      </c>
      <c r="AT18" s="13" t="s">
        <v>45</v>
      </c>
      <c r="AU18" s="13"/>
    </row>
    <row r="19" spans="1:47" s="129" customFormat="1" x14ac:dyDescent="0.2">
      <c r="A19" s="13" t="s">
        <v>58</v>
      </c>
      <c r="B19" s="13" t="s">
        <v>1194</v>
      </c>
      <c r="C19" s="13"/>
      <c r="D19" s="13" t="s">
        <v>37</v>
      </c>
      <c r="E19" s="91" t="s">
        <v>101</v>
      </c>
      <c r="F19" s="101"/>
      <c r="G19" s="108"/>
      <c r="H19" s="108"/>
      <c r="I19" s="13" t="s">
        <v>1146</v>
      </c>
      <c r="J19" s="13" t="s">
        <v>1147</v>
      </c>
      <c r="K19" s="13" t="s">
        <v>1193</v>
      </c>
      <c r="L19" s="14">
        <v>2023</v>
      </c>
      <c r="M19" s="14"/>
      <c r="N19" s="15">
        <v>30</v>
      </c>
      <c r="O19" s="16"/>
      <c r="P19" s="17">
        <v>10</v>
      </c>
      <c r="Q19" s="18">
        <v>5000</v>
      </c>
      <c r="R19" s="18"/>
      <c r="S19" s="19"/>
      <c r="T19" s="14"/>
      <c r="U19" s="14"/>
      <c r="V19" s="14"/>
      <c r="W19" s="14"/>
      <c r="X19" s="14"/>
      <c r="Y19" s="14"/>
      <c r="Z19" s="13"/>
      <c r="AA19" s="13"/>
      <c r="AB19" s="135">
        <f>Q19*P19*3</f>
        <v>150000</v>
      </c>
      <c r="AC19" s="13"/>
      <c r="AD19" s="13" t="s">
        <v>45</v>
      </c>
      <c r="AE19" s="135">
        <f>AB19</f>
        <v>150000</v>
      </c>
      <c r="AF19" s="13"/>
      <c r="AG19" s="13"/>
      <c r="AH19" s="13"/>
      <c r="AI19" s="13" t="s">
        <v>42</v>
      </c>
      <c r="AJ19" s="13"/>
      <c r="AK19" s="13"/>
      <c r="AL19" s="70" t="s">
        <v>1148</v>
      </c>
      <c r="AM19" s="14">
        <v>3</v>
      </c>
      <c r="AN19" s="14">
        <v>1</v>
      </c>
      <c r="AO19" s="14">
        <v>3</v>
      </c>
      <c r="AP19" s="14">
        <v>3</v>
      </c>
      <c r="AQ19" s="14">
        <v>3</v>
      </c>
      <c r="AR19" s="14">
        <v>1</v>
      </c>
      <c r="AS19" s="14">
        <f>AR19*AQ19*AP19*AO19*AN19*AM19</f>
        <v>81</v>
      </c>
      <c r="AT19" s="13" t="s">
        <v>45</v>
      </c>
      <c r="AU19" s="20">
        <v>44621</v>
      </c>
    </row>
    <row r="20" spans="1:47" x14ac:dyDescent="0.2">
      <c r="A20" t="s">
        <v>58</v>
      </c>
      <c r="B20" t="s">
        <v>625</v>
      </c>
      <c r="C20"/>
      <c r="D20" t="s">
        <v>1171</v>
      </c>
      <c r="E20" t="s">
        <v>1172</v>
      </c>
      <c r="F20"/>
      <c r="G20"/>
      <c r="H20"/>
      <c r="I20" t="s">
        <v>1173</v>
      </c>
      <c r="J20" t="s">
        <v>1174</v>
      </c>
      <c r="K20" t="s">
        <v>1017</v>
      </c>
      <c r="L20">
        <v>2023</v>
      </c>
      <c r="M20"/>
      <c r="N20">
        <v>5</v>
      </c>
      <c r="O20"/>
      <c r="P20">
        <v>5</v>
      </c>
      <c r="Q20">
        <v>10000</v>
      </c>
      <c r="R20">
        <v>240</v>
      </c>
      <c r="S20"/>
      <c r="T20"/>
      <c r="U20"/>
      <c r="V20"/>
      <c r="W20"/>
      <c r="X20"/>
      <c r="Y20"/>
      <c r="Z20"/>
      <c r="AA20"/>
      <c r="AB20"/>
      <c r="AC20"/>
      <c r="AD20"/>
      <c r="AE20"/>
      <c r="AF20"/>
      <c r="AG20"/>
      <c r="AH20"/>
      <c r="AI20" s="181" t="s">
        <v>42</v>
      </c>
      <c r="AJ20"/>
      <c r="AK20" t="s">
        <v>1175</v>
      </c>
      <c r="AL20" s="182" t="s">
        <v>1176</v>
      </c>
      <c r="AM20" s="183">
        <v>2</v>
      </c>
      <c r="AN20" s="183">
        <v>1</v>
      </c>
      <c r="AO20" s="183">
        <v>2</v>
      </c>
      <c r="AP20" s="183">
        <v>1</v>
      </c>
      <c r="AQ20" s="183">
        <v>3</v>
      </c>
      <c r="AR20" s="183">
        <v>2</v>
      </c>
      <c r="AS20">
        <f>AM20*AN20*AO20*AP20*AQ20*AR20</f>
        <v>24</v>
      </c>
      <c r="AT20" s="181" t="s">
        <v>45</v>
      </c>
      <c r="AU20" s="184">
        <v>44682</v>
      </c>
    </row>
    <row r="21" spans="1:47" x14ac:dyDescent="0.2">
      <c r="A21" s="30" t="s">
        <v>35</v>
      </c>
      <c r="B21" s="30"/>
      <c r="C21" s="30"/>
      <c r="D21" s="30" t="s">
        <v>37</v>
      </c>
      <c r="E21" s="89" t="s">
        <v>565</v>
      </c>
      <c r="F21" s="131"/>
      <c r="G21" s="30"/>
      <c r="H21" s="106"/>
      <c r="I21" s="30" t="s">
        <v>1034</v>
      </c>
      <c r="J21" s="30" t="s">
        <v>1085</v>
      </c>
      <c r="K21" s="30" t="s">
        <v>42</v>
      </c>
      <c r="L21" s="31">
        <v>2022</v>
      </c>
      <c r="M21" s="31"/>
      <c r="N21" s="32"/>
      <c r="O21" s="33"/>
      <c r="P21" s="34">
        <v>10</v>
      </c>
      <c r="Q21" s="35">
        <v>8000</v>
      </c>
      <c r="R21" s="35">
        <v>240</v>
      </c>
      <c r="S21" s="36"/>
      <c r="T21" s="31"/>
      <c r="U21" s="31"/>
      <c r="V21" s="31"/>
      <c r="W21" s="31"/>
      <c r="X21" s="31"/>
      <c r="Y21" s="31"/>
      <c r="Z21" s="132">
        <f>Q21*P21*3</f>
        <v>240000</v>
      </c>
      <c r="AA21" s="30"/>
      <c r="AB21" s="132">
        <f>Q21*P21*6*0.3</f>
        <v>144000</v>
      </c>
      <c r="AC21" s="30"/>
      <c r="AD21" s="30"/>
      <c r="AE21" s="30">
        <f>25*8800</f>
        <v>220000</v>
      </c>
      <c r="AF21" s="30"/>
      <c r="AG21" s="30"/>
      <c r="AH21" s="30"/>
      <c r="AI21" s="30" t="s">
        <v>201</v>
      </c>
      <c r="AJ21" s="30"/>
      <c r="AK21" s="30"/>
      <c r="AL21" s="72"/>
      <c r="AM21" s="31">
        <v>1</v>
      </c>
      <c r="AN21" s="31">
        <v>3</v>
      </c>
      <c r="AO21" s="31">
        <v>2</v>
      </c>
      <c r="AP21" s="31">
        <v>3</v>
      </c>
      <c r="AQ21" s="31">
        <v>1</v>
      </c>
      <c r="AR21" s="31">
        <v>2</v>
      </c>
      <c r="AS21" s="31">
        <f>AM21*AN21*AO21*AP21*AQ21*AR21</f>
        <v>36</v>
      </c>
      <c r="AT21" s="30" t="s">
        <v>48</v>
      </c>
      <c r="AU21" s="30"/>
    </row>
    <row r="22" spans="1:47" s="133" customFormat="1" ht="38.25" x14ac:dyDescent="0.2">
      <c r="A22" s="144" t="s">
        <v>86</v>
      </c>
      <c r="B22" s="144" t="s">
        <v>740</v>
      </c>
      <c r="C22" s="144"/>
      <c r="D22" s="144" t="s">
        <v>98</v>
      </c>
      <c r="E22" s="145" t="s">
        <v>994</v>
      </c>
      <c r="F22" s="146" t="s">
        <v>995</v>
      </c>
      <c r="G22" s="147"/>
      <c r="H22" s="147"/>
      <c r="I22" s="144" t="s">
        <v>741</v>
      </c>
      <c r="J22" s="144" t="s">
        <v>742</v>
      </c>
      <c r="K22" s="144" t="s">
        <v>201</v>
      </c>
      <c r="L22" s="148">
        <v>2019</v>
      </c>
      <c r="M22" s="148"/>
      <c r="N22" s="149">
        <f>0.3*120000</f>
        <v>36000</v>
      </c>
      <c r="O22" s="150"/>
      <c r="P22" s="151">
        <v>35</v>
      </c>
      <c r="Q22" s="152">
        <v>3500</v>
      </c>
      <c r="R22" s="152">
        <v>240</v>
      </c>
      <c r="S22" s="153">
        <f>R22*P22</f>
        <v>8400</v>
      </c>
      <c r="T22" s="148"/>
      <c r="U22" s="148"/>
      <c r="V22" s="148"/>
      <c r="W22" s="148"/>
      <c r="X22" s="148"/>
      <c r="Y22" s="148"/>
      <c r="Z22" s="144">
        <v>10000</v>
      </c>
      <c r="AA22" s="144"/>
      <c r="AB22" s="154">
        <f>P22*Q22</f>
        <v>122500</v>
      </c>
      <c r="AC22" s="144"/>
      <c r="AD22" s="144"/>
      <c r="AE22" s="144">
        <f>140*3500</f>
        <v>490000</v>
      </c>
      <c r="AF22" s="144"/>
      <c r="AG22" s="144"/>
      <c r="AH22" s="144"/>
      <c r="AI22" s="144" t="s">
        <v>42</v>
      </c>
      <c r="AJ22" s="144" t="s">
        <v>43</v>
      </c>
      <c r="AK22" s="144" t="s">
        <v>70</v>
      </c>
      <c r="AL22" s="155" t="s">
        <v>743</v>
      </c>
      <c r="AM22" s="148">
        <v>1</v>
      </c>
      <c r="AN22" s="148">
        <v>3</v>
      </c>
      <c r="AO22" s="148">
        <v>2</v>
      </c>
      <c r="AP22" s="148">
        <v>1</v>
      </c>
      <c r="AQ22" s="148">
        <v>2</v>
      </c>
      <c r="AR22" s="148">
        <v>2</v>
      </c>
      <c r="AS22" s="148">
        <v>24</v>
      </c>
      <c r="AT22" s="144" t="s">
        <v>48</v>
      </c>
      <c r="AU22" s="144"/>
    </row>
    <row r="23" spans="1:47" x14ac:dyDescent="0.2">
      <c r="A23" s="22" t="s">
        <v>86</v>
      </c>
      <c r="B23" s="23" t="s">
        <v>1014</v>
      </c>
      <c r="C23" s="22" t="s">
        <v>48</v>
      </c>
      <c r="D23" s="22" t="s">
        <v>37</v>
      </c>
      <c r="E23" s="87" t="s">
        <v>1013</v>
      </c>
      <c r="F23" s="98"/>
      <c r="G23" s="95"/>
      <c r="H23" s="95"/>
      <c r="I23" s="22" t="s">
        <v>1015</v>
      </c>
      <c r="J23" s="22" t="s">
        <v>1016</v>
      </c>
      <c r="K23" s="22" t="s">
        <v>1017</v>
      </c>
      <c r="L23" s="24">
        <v>2022</v>
      </c>
      <c r="M23" s="24"/>
      <c r="N23" s="38">
        <v>400</v>
      </c>
      <c r="O23" s="39">
        <v>0.1</v>
      </c>
      <c r="P23" s="27">
        <v>40</v>
      </c>
      <c r="Q23" s="28">
        <v>1400</v>
      </c>
      <c r="R23" s="28">
        <v>170</v>
      </c>
      <c r="S23" s="29">
        <f>P23*Q23*12</f>
        <v>672000</v>
      </c>
      <c r="T23" s="24"/>
      <c r="U23" s="24"/>
      <c r="V23" s="24"/>
      <c r="W23" s="24"/>
      <c r="X23" s="24"/>
      <c r="Y23" s="24"/>
      <c r="Z23" s="113">
        <f>Q23*P23*12*0.5</f>
        <v>336000</v>
      </c>
      <c r="AA23" s="22">
        <v>0</v>
      </c>
      <c r="AB23" s="113">
        <f>P23*Q23*2</f>
        <v>112000</v>
      </c>
      <c r="AC23" s="22"/>
      <c r="AD23" s="22" t="s">
        <v>45</v>
      </c>
      <c r="AE23" s="22">
        <v>0</v>
      </c>
      <c r="AF23" s="22"/>
      <c r="AG23" s="113">
        <f>AB23</f>
        <v>112000</v>
      </c>
      <c r="AH23" s="22"/>
      <c r="AI23" s="22"/>
      <c r="AJ23" s="22"/>
      <c r="AK23" s="41"/>
      <c r="AL23" s="71"/>
      <c r="AM23" s="24"/>
      <c r="AN23" s="24"/>
      <c r="AO23" s="24"/>
      <c r="AP23" s="24"/>
      <c r="AQ23" s="24"/>
      <c r="AR23" s="24"/>
      <c r="AS23" s="24"/>
      <c r="AT23" s="22"/>
      <c r="AU23" s="22"/>
    </row>
    <row r="24" spans="1:47" s="133" customFormat="1" x14ac:dyDescent="0.2">
      <c r="A24" s="30" t="s">
        <v>47</v>
      </c>
      <c r="B24" s="30" t="s">
        <v>1097</v>
      </c>
      <c r="C24" s="30"/>
      <c r="D24" s="30" t="s">
        <v>37</v>
      </c>
      <c r="E24" s="89" t="s">
        <v>1087</v>
      </c>
      <c r="F24" s="96"/>
      <c r="G24" s="106"/>
      <c r="H24" s="106"/>
      <c r="I24" s="30" t="s">
        <v>1096</v>
      </c>
      <c r="J24" s="30"/>
      <c r="K24" s="30"/>
      <c r="L24" s="31">
        <v>2023</v>
      </c>
      <c r="M24" s="31"/>
      <c r="N24" s="32">
        <v>16000</v>
      </c>
      <c r="O24" s="33" t="s">
        <v>1012</v>
      </c>
      <c r="P24" s="31">
        <v>100</v>
      </c>
      <c r="Q24" s="35">
        <v>5000</v>
      </c>
      <c r="R24" s="31"/>
      <c r="S24" s="31"/>
      <c r="T24" s="31"/>
      <c r="U24" s="31"/>
      <c r="V24" s="31"/>
      <c r="W24" s="31"/>
      <c r="X24" s="31"/>
      <c r="Y24" s="31"/>
      <c r="Z24" s="30"/>
      <c r="AA24" s="30"/>
      <c r="AB24" s="132">
        <f>Q24*P24*0.1*2</f>
        <v>100000</v>
      </c>
      <c r="AC24" s="30"/>
      <c r="AD24" s="30" t="s">
        <v>45</v>
      </c>
      <c r="AE24" s="30">
        <v>0</v>
      </c>
      <c r="AF24" s="30"/>
      <c r="AG24" s="132">
        <f>AB24*2</f>
        <v>200000</v>
      </c>
      <c r="AH24" s="30"/>
      <c r="AI24" s="30" t="s">
        <v>42</v>
      </c>
      <c r="AJ24" s="30"/>
      <c r="AK24" s="30"/>
      <c r="AL24" s="72" t="s">
        <v>1098</v>
      </c>
      <c r="AM24" s="31">
        <v>3</v>
      </c>
      <c r="AN24" s="31">
        <v>3</v>
      </c>
      <c r="AO24" s="31">
        <v>2</v>
      </c>
      <c r="AP24" s="31">
        <v>3</v>
      </c>
      <c r="AQ24" s="31">
        <v>2</v>
      </c>
      <c r="AR24" s="31">
        <v>3</v>
      </c>
      <c r="AS24" s="31">
        <f>AR24*AQ24*AP24*AO24*AN24*AM24</f>
        <v>324</v>
      </c>
      <c r="AT24" s="30" t="s">
        <v>45</v>
      </c>
      <c r="AU24" s="37">
        <v>44621</v>
      </c>
    </row>
    <row r="25" spans="1:47" x14ac:dyDescent="0.2">
      <c r="A25" s="22" t="s">
        <v>58</v>
      </c>
      <c r="B25" s="23" t="s">
        <v>296</v>
      </c>
      <c r="C25" s="22"/>
      <c r="D25" s="22" t="s">
        <v>60</v>
      </c>
      <c r="E25" s="87" t="s">
        <v>381</v>
      </c>
      <c r="F25" s="79"/>
      <c r="G25" s="95"/>
      <c r="H25" s="95"/>
      <c r="I25" s="22" t="s">
        <v>1153</v>
      </c>
      <c r="J25" s="22"/>
      <c r="K25" s="22"/>
      <c r="L25" s="24"/>
      <c r="M25" s="24"/>
      <c r="N25" s="38"/>
      <c r="O25" s="39"/>
      <c r="P25" s="27">
        <v>20</v>
      </c>
      <c r="Q25" s="28">
        <v>1200</v>
      </c>
      <c r="R25" s="28"/>
      <c r="S25" s="29"/>
      <c r="T25" s="24"/>
      <c r="U25" s="24"/>
      <c r="V25" s="24"/>
      <c r="W25" s="24"/>
      <c r="X25" s="24"/>
      <c r="Y25" s="24"/>
      <c r="Z25" s="22"/>
      <c r="AA25" s="22"/>
      <c r="AB25" s="113">
        <f>P25*Q25*4</f>
        <v>96000</v>
      </c>
      <c r="AC25" s="22"/>
      <c r="AD25" s="22" t="s">
        <v>45</v>
      </c>
      <c r="AE25" s="113">
        <f>AB25</f>
        <v>96000</v>
      </c>
      <c r="AF25" s="113"/>
      <c r="AG25" s="22"/>
      <c r="AH25" s="22"/>
      <c r="AI25" s="22" t="s">
        <v>42</v>
      </c>
      <c r="AJ25" s="22"/>
      <c r="AK25" s="22"/>
      <c r="AL25" s="71"/>
      <c r="AM25" s="24">
        <v>3</v>
      </c>
      <c r="AN25" s="24">
        <v>2</v>
      </c>
      <c r="AO25" s="24">
        <v>3</v>
      </c>
      <c r="AP25" s="24">
        <v>1</v>
      </c>
      <c r="AQ25" s="24">
        <v>3</v>
      </c>
      <c r="AR25" s="24">
        <v>2</v>
      </c>
      <c r="AS25" s="24">
        <f>AR25*AQ25*AP25*AO25*AN25*AM25</f>
        <v>108</v>
      </c>
      <c r="AT25" s="22" t="s">
        <v>45</v>
      </c>
      <c r="AU25" s="40">
        <v>44621</v>
      </c>
    </row>
    <row r="26" spans="1:47" x14ac:dyDescent="0.2">
      <c r="A26" s="22" t="s">
        <v>58</v>
      </c>
      <c r="B26" s="22" t="s">
        <v>1066</v>
      </c>
      <c r="C26" s="22"/>
      <c r="D26" s="22" t="s">
        <v>98</v>
      </c>
      <c r="E26" s="87" t="s">
        <v>306</v>
      </c>
      <c r="F26" s="95"/>
      <c r="G26" s="95"/>
      <c r="H26" s="98"/>
      <c r="I26" s="22" t="s">
        <v>1067</v>
      </c>
      <c r="J26" s="22" t="s">
        <v>1068</v>
      </c>
      <c r="K26" s="22" t="s">
        <v>315</v>
      </c>
      <c r="L26" s="24">
        <v>2022</v>
      </c>
      <c r="M26" s="24"/>
      <c r="N26" s="38">
        <v>5</v>
      </c>
      <c r="O26" s="39"/>
      <c r="P26" s="27">
        <v>5</v>
      </c>
      <c r="Q26" s="28">
        <v>9000</v>
      </c>
      <c r="R26" s="28">
        <v>200</v>
      </c>
      <c r="S26" s="29"/>
      <c r="T26" s="24"/>
      <c r="U26" s="24"/>
      <c r="V26" s="24"/>
      <c r="W26" s="24"/>
      <c r="X26" s="24"/>
      <c r="Y26" s="24"/>
      <c r="Z26" s="113">
        <f>Q26*P26*10</f>
        <v>450000</v>
      </c>
      <c r="AA26" s="22">
        <v>0</v>
      </c>
      <c r="AB26" s="113">
        <f>Z26*0.2</f>
        <v>90000</v>
      </c>
      <c r="AC26" s="22"/>
      <c r="AD26" s="22" t="s">
        <v>45</v>
      </c>
      <c r="AE26" s="113">
        <f>AB26</f>
        <v>90000</v>
      </c>
      <c r="AF26" s="113"/>
      <c r="AG26" s="22"/>
      <c r="AH26" s="22"/>
      <c r="AI26" s="22"/>
      <c r="AJ26" s="22"/>
      <c r="AK26" s="22"/>
      <c r="AL26" s="71"/>
      <c r="AM26" s="24"/>
      <c r="AN26" s="24"/>
      <c r="AO26" s="24"/>
      <c r="AP26" s="24"/>
      <c r="AQ26" s="24"/>
      <c r="AR26" s="24"/>
      <c r="AS26" s="24"/>
      <c r="AT26" s="22"/>
      <c r="AU26" s="22"/>
    </row>
    <row r="27" spans="1:47" ht="51" x14ac:dyDescent="0.2">
      <c r="A27" s="13" t="s">
        <v>846</v>
      </c>
      <c r="B27" s="13" t="s">
        <v>816</v>
      </c>
      <c r="C27" s="13"/>
      <c r="D27" s="136" t="s">
        <v>60</v>
      </c>
      <c r="E27" s="169" t="s">
        <v>52</v>
      </c>
      <c r="F27" s="180" t="s">
        <v>908</v>
      </c>
      <c r="G27" s="140"/>
      <c r="H27" s="140"/>
      <c r="I27" s="136" t="s">
        <v>847</v>
      </c>
      <c r="J27" s="13" t="s">
        <v>848</v>
      </c>
      <c r="K27" s="13" t="s">
        <v>834</v>
      </c>
      <c r="L27" s="14">
        <v>2021</v>
      </c>
      <c r="M27" s="14"/>
      <c r="N27" s="15"/>
      <c r="O27" s="16"/>
      <c r="P27" s="17">
        <v>10</v>
      </c>
      <c r="Q27" s="18">
        <v>2800</v>
      </c>
      <c r="R27" s="18"/>
      <c r="S27" s="19"/>
      <c r="T27" s="14"/>
      <c r="U27" s="14"/>
      <c r="V27" s="14"/>
      <c r="W27" s="14"/>
      <c r="X27" s="14"/>
      <c r="Y27" s="14"/>
      <c r="Z27" s="13"/>
      <c r="AA27" s="13"/>
      <c r="AB27" s="135">
        <f>Q27*P27*3</f>
        <v>84000</v>
      </c>
      <c r="AC27" s="13"/>
      <c r="AD27" s="13" t="s">
        <v>45</v>
      </c>
      <c r="AE27" s="13">
        <f>35*2600</f>
        <v>91000</v>
      </c>
      <c r="AF27" s="13"/>
      <c r="AG27" s="13"/>
      <c r="AH27" s="13"/>
      <c r="AI27" s="13" t="s">
        <v>1082</v>
      </c>
      <c r="AJ27" s="13" t="s">
        <v>43</v>
      </c>
      <c r="AK27" s="21" t="s">
        <v>1083</v>
      </c>
      <c r="AL27" s="137" t="s">
        <v>1084</v>
      </c>
      <c r="AM27" s="14">
        <v>3</v>
      </c>
      <c r="AN27" s="14">
        <v>2</v>
      </c>
      <c r="AO27" s="14">
        <v>3</v>
      </c>
      <c r="AP27" s="14">
        <v>2</v>
      </c>
      <c r="AQ27" s="14">
        <v>1</v>
      </c>
      <c r="AR27" s="14">
        <v>3</v>
      </c>
      <c r="AS27" s="14">
        <v>108</v>
      </c>
      <c r="AT27" s="13" t="s">
        <v>45</v>
      </c>
      <c r="AU27" s="138"/>
    </row>
    <row r="28" spans="1:47" s="156" customFormat="1" ht="38.25" x14ac:dyDescent="0.2">
      <c r="A28" s="30" t="s">
        <v>72</v>
      </c>
      <c r="B28" s="30" t="s">
        <v>153</v>
      </c>
      <c r="C28" s="30"/>
      <c r="D28" s="30" t="s">
        <v>98</v>
      </c>
      <c r="E28" s="89" t="s">
        <v>350</v>
      </c>
      <c r="F28" s="96" t="s">
        <v>951</v>
      </c>
      <c r="G28" s="106"/>
      <c r="H28" s="106"/>
      <c r="I28" s="30" t="s">
        <v>425</v>
      </c>
      <c r="J28" s="30" t="s">
        <v>426</v>
      </c>
      <c r="K28" s="30" t="s">
        <v>201</v>
      </c>
      <c r="L28" s="31">
        <v>2019</v>
      </c>
      <c r="M28" s="31"/>
      <c r="N28" s="32">
        <v>1000000</v>
      </c>
      <c r="O28" s="33"/>
      <c r="P28" s="34">
        <v>30</v>
      </c>
      <c r="Q28" s="35">
        <v>520</v>
      </c>
      <c r="R28" s="35">
        <f>IF(Q28&lt;4.99,(Q28*12%+4),IF(Q28&lt;10.99,(Q28*12%+8),IF(Q28&lt;14.99,(Q28*12%+12),IF(Q28&lt;879.99,(Q28*12%+16),IF(Q28&lt;2569.99,(Q28*7%+60),240)))))</f>
        <v>78.400000000000006</v>
      </c>
      <c r="S28" s="36">
        <f>R28*P28</f>
        <v>2352</v>
      </c>
      <c r="T28" s="31"/>
      <c r="U28" s="31"/>
      <c r="V28" s="31"/>
      <c r="W28" s="31"/>
      <c r="X28" s="31"/>
      <c r="Y28" s="31"/>
      <c r="Z28" s="30">
        <v>10000</v>
      </c>
      <c r="AA28" s="30"/>
      <c r="AB28" s="132">
        <f>P28*Q28*5</f>
        <v>78000</v>
      </c>
      <c r="AC28" s="30"/>
      <c r="AD28" s="30"/>
      <c r="AE28" s="30">
        <f>175*1000</f>
        <v>175000</v>
      </c>
      <c r="AF28" s="30"/>
      <c r="AG28" s="30"/>
      <c r="AH28" s="30"/>
      <c r="AI28" s="30" t="s">
        <v>42</v>
      </c>
      <c r="AJ28" s="30"/>
      <c r="AK28" s="30" t="s">
        <v>44</v>
      </c>
      <c r="AL28" s="72" t="s">
        <v>427</v>
      </c>
      <c r="AM28" s="31">
        <v>2</v>
      </c>
      <c r="AN28" s="31">
        <v>2</v>
      </c>
      <c r="AO28" s="31">
        <v>2</v>
      </c>
      <c r="AP28" s="31">
        <v>1</v>
      </c>
      <c r="AQ28" s="31">
        <v>3</v>
      </c>
      <c r="AR28" s="31">
        <v>2</v>
      </c>
      <c r="AS28" s="31">
        <v>48</v>
      </c>
      <c r="AT28" s="30" t="s">
        <v>45</v>
      </c>
      <c r="AU28" s="30"/>
    </row>
    <row r="29" spans="1:47" s="133" customFormat="1" ht="38.25" x14ac:dyDescent="0.2">
      <c r="A29" s="22" t="s">
        <v>86</v>
      </c>
      <c r="B29" s="22" t="s">
        <v>105</v>
      </c>
      <c r="C29" s="22"/>
      <c r="D29" s="65" t="s">
        <v>37</v>
      </c>
      <c r="E29" s="66" t="s">
        <v>338</v>
      </c>
      <c r="F29" s="79" t="s">
        <v>904</v>
      </c>
      <c r="G29" s="77"/>
      <c r="H29" s="77"/>
      <c r="I29" s="65" t="s">
        <v>857</v>
      </c>
      <c r="J29" s="22" t="s">
        <v>1130</v>
      </c>
      <c r="K29" s="22" t="s">
        <v>42</v>
      </c>
      <c r="L29" s="24">
        <v>2022</v>
      </c>
      <c r="M29" s="24"/>
      <c r="N29" s="38"/>
      <c r="O29" s="39"/>
      <c r="P29" s="27">
        <v>10</v>
      </c>
      <c r="Q29" s="28">
        <v>1300</v>
      </c>
      <c r="R29" s="28"/>
      <c r="S29" s="29"/>
      <c r="T29" s="24"/>
      <c r="U29" s="24"/>
      <c r="V29" s="24"/>
      <c r="W29" s="24"/>
      <c r="X29" s="24"/>
      <c r="Y29" s="24"/>
      <c r="Z29" s="22"/>
      <c r="AA29" s="22"/>
      <c r="AB29" s="113">
        <f>Q29*P29*5</f>
        <v>65000</v>
      </c>
      <c r="AC29" s="22"/>
      <c r="AD29" s="22" t="s">
        <v>45</v>
      </c>
      <c r="AE29" s="113">
        <f>AB29</f>
        <v>65000</v>
      </c>
      <c r="AF29" s="22"/>
      <c r="AG29" s="22"/>
      <c r="AH29" s="22"/>
      <c r="AI29" s="22" t="s">
        <v>42</v>
      </c>
      <c r="AJ29" s="22"/>
      <c r="AK29" s="41"/>
      <c r="AL29" s="67"/>
      <c r="AM29" s="24">
        <v>2</v>
      </c>
      <c r="AN29" s="24">
        <v>3</v>
      </c>
      <c r="AO29" s="24">
        <v>3</v>
      </c>
      <c r="AP29" s="24">
        <v>1</v>
      </c>
      <c r="AQ29" s="24">
        <v>1</v>
      </c>
      <c r="AR29" s="24">
        <v>2</v>
      </c>
      <c r="AS29" s="24">
        <v>36</v>
      </c>
      <c r="AT29" s="22" t="s">
        <v>48</v>
      </c>
      <c r="AU29" s="69">
        <v>44166</v>
      </c>
    </row>
    <row r="30" spans="1:47" x14ac:dyDescent="0.2">
      <c r="A30" s="30" t="s">
        <v>58</v>
      </c>
      <c r="B30" s="30" t="s">
        <v>1063</v>
      </c>
      <c r="C30" s="30" t="s">
        <v>48</v>
      </c>
      <c r="D30" s="30" t="s">
        <v>37</v>
      </c>
      <c r="E30" s="89" t="s">
        <v>1062</v>
      </c>
      <c r="F30" s="106"/>
      <c r="G30" s="106"/>
      <c r="H30" s="131"/>
      <c r="I30" s="30" t="s">
        <v>1064</v>
      </c>
      <c r="J30" s="30" t="s">
        <v>1065</v>
      </c>
      <c r="K30" s="30" t="s">
        <v>315</v>
      </c>
      <c r="L30" s="31">
        <v>2022</v>
      </c>
      <c r="M30" s="31"/>
      <c r="N30" s="32">
        <v>80</v>
      </c>
      <c r="O30" s="33"/>
      <c r="P30" s="34">
        <v>20</v>
      </c>
      <c r="Q30" s="35">
        <v>10000</v>
      </c>
      <c r="R30" s="35">
        <v>240</v>
      </c>
      <c r="S30" s="36"/>
      <c r="T30" s="31"/>
      <c r="U30" s="31"/>
      <c r="V30" s="31"/>
      <c r="W30" s="31"/>
      <c r="X30" s="31"/>
      <c r="Y30" s="31"/>
      <c r="Z30" s="132">
        <f>Q30*P30*3</f>
        <v>600000</v>
      </c>
      <c r="AA30" s="30"/>
      <c r="AB30" s="132">
        <f>Q30*P30*0.1*3</f>
        <v>60000</v>
      </c>
      <c r="AC30" s="30"/>
      <c r="AD30" s="30" t="s">
        <v>45</v>
      </c>
      <c r="AE30" s="132">
        <f>AB30</f>
        <v>60000</v>
      </c>
      <c r="AF30" s="30"/>
      <c r="AG30" s="30"/>
      <c r="AH30" s="30"/>
      <c r="AI30" s="30" t="s">
        <v>42</v>
      </c>
      <c r="AJ30" s="30"/>
      <c r="AK30" s="30"/>
      <c r="AL30" s="72"/>
      <c r="AM30" s="31"/>
      <c r="AN30" s="31"/>
      <c r="AO30" s="31"/>
      <c r="AP30" s="31"/>
      <c r="AQ30" s="31"/>
      <c r="AR30" s="31"/>
      <c r="AS30" s="31"/>
      <c r="AT30" s="30"/>
      <c r="AU30" s="30"/>
    </row>
    <row r="31" spans="1:47" ht="38.25" x14ac:dyDescent="0.2">
      <c r="A31" s="13" t="s">
        <v>86</v>
      </c>
      <c r="B31" s="13" t="s">
        <v>105</v>
      </c>
      <c r="C31" s="13"/>
      <c r="D31" s="136" t="s">
        <v>98</v>
      </c>
      <c r="E31" s="169" t="s">
        <v>282</v>
      </c>
      <c r="F31" s="140" t="s">
        <v>910</v>
      </c>
      <c r="G31" s="140"/>
      <c r="H31" s="140"/>
      <c r="I31" s="136" t="s">
        <v>761</v>
      </c>
      <c r="J31" s="13" t="s">
        <v>1124</v>
      </c>
      <c r="K31" s="13" t="s">
        <v>42</v>
      </c>
      <c r="L31" s="14">
        <v>2022</v>
      </c>
      <c r="M31" s="14"/>
      <c r="N31" s="15"/>
      <c r="O31" s="16"/>
      <c r="P31" s="17">
        <v>20</v>
      </c>
      <c r="Q31" s="18">
        <v>1200</v>
      </c>
      <c r="R31" s="18"/>
      <c r="S31" s="19"/>
      <c r="T31" s="14"/>
      <c r="U31" s="14"/>
      <c r="V31" s="14"/>
      <c r="W31" s="14"/>
      <c r="X31" s="14"/>
      <c r="Y31" s="14"/>
      <c r="Z31" s="13"/>
      <c r="AA31" s="13"/>
      <c r="AB31" s="135">
        <f>Q31*P31*2</f>
        <v>48000</v>
      </c>
      <c r="AC31" s="13"/>
      <c r="AD31" s="13" t="s">
        <v>45</v>
      </c>
      <c r="AE31" s="13">
        <f>30*1200</f>
        <v>36000</v>
      </c>
      <c r="AF31" s="13"/>
      <c r="AG31" s="13"/>
      <c r="AH31" s="13"/>
      <c r="AI31" s="13" t="s">
        <v>266</v>
      </c>
      <c r="AJ31" s="13"/>
      <c r="AK31" s="21"/>
      <c r="AL31" s="137"/>
      <c r="AM31" s="14">
        <v>1</v>
      </c>
      <c r="AN31" s="14">
        <v>3</v>
      </c>
      <c r="AO31" s="14">
        <v>1</v>
      </c>
      <c r="AP31" s="14">
        <v>1</v>
      </c>
      <c r="AQ31" s="14">
        <v>3</v>
      </c>
      <c r="AR31" s="14">
        <v>2</v>
      </c>
      <c r="AS31" s="14">
        <v>18</v>
      </c>
      <c r="AT31" s="13" t="s">
        <v>48</v>
      </c>
      <c r="AU31" s="138">
        <v>44197</v>
      </c>
    </row>
    <row r="32" spans="1:47" x14ac:dyDescent="0.2">
      <c r="A32" s="22" t="s">
        <v>72</v>
      </c>
      <c r="B32" s="22" t="s">
        <v>1054</v>
      </c>
      <c r="C32" s="22"/>
      <c r="D32" s="22" t="s">
        <v>37</v>
      </c>
      <c r="E32" s="87" t="s">
        <v>1055</v>
      </c>
      <c r="F32" s="95"/>
      <c r="G32" s="95"/>
      <c r="H32" s="95"/>
      <c r="I32" s="22" t="s">
        <v>1056</v>
      </c>
      <c r="J32" s="22" t="s">
        <v>1057</v>
      </c>
      <c r="K32" s="22" t="s">
        <v>834</v>
      </c>
      <c r="L32" s="24">
        <v>2022</v>
      </c>
      <c r="M32" s="24"/>
      <c r="N32" s="38">
        <v>20</v>
      </c>
      <c r="O32" s="39"/>
      <c r="P32" s="24">
        <v>5</v>
      </c>
      <c r="Q32" s="28">
        <v>2500</v>
      </c>
      <c r="R32" s="24">
        <v>240</v>
      </c>
      <c r="S32" s="24"/>
      <c r="T32" s="24"/>
      <c r="U32" s="24"/>
      <c r="V32" s="24"/>
      <c r="W32" s="24"/>
      <c r="X32" s="24"/>
      <c r="Y32" s="24"/>
      <c r="Z32" s="113">
        <f>Q32*P32*5</f>
        <v>62500</v>
      </c>
      <c r="AA32" s="22"/>
      <c r="AB32" s="113">
        <f>Z32*0.75</f>
        <v>46875</v>
      </c>
      <c r="AC32" s="22"/>
      <c r="AD32" s="22" t="s">
        <v>45</v>
      </c>
      <c r="AE32" s="113">
        <f>AB32</f>
        <v>46875</v>
      </c>
      <c r="AF32" s="22"/>
      <c r="AG32" s="22"/>
      <c r="AH32" s="22"/>
      <c r="AI32" s="22"/>
      <c r="AJ32" s="22"/>
      <c r="AK32" s="22"/>
      <c r="AL32" s="71"/>
      <c r="AM32" s="24"/>
      <c r="AN32" s="24"/>
      <c r="AO32" s="24"/>
      <c r="AP32" s="24"/>
      <c r="AQ32" s="24"/>
      <c r="AR32" s="24"/>
      <c r="AS32" s="24"/>
      <c r="AT32" s="22"/>
      <c r="AU32" s="22"/>
    </row>
    <row r="33" spans="1:47" s="156" customFormat="1" ht="76.5" x14ac:dyDescent="0.2">
      <c r="A33" s="13" t="s">
        <v>72</v>
      </c>
      <c r="B33" s="13" t="s">
        <v>153</v>
      </c>
      <c r="C33" s="13"/>
      <c r="D33" s="13" t="s">
        <v>37</v>
      </c>
      <c r="E33" s="91" t="s">
        <v>338</v>
      </c>
      <c r="F33" s="108"/>
      <c r="G33" s="108"/>
      <c r="H33" s="101" t="s">
        <v>919</v>
      </c>
      <c r="I33" s="13" t="s">
        <v>653</v>
      </c>
      <c r="J33" s="13" t="s">
        <v>1103</v>
      </c>
      <c r="K33" s="13" t="s">
        <v>654</v>
      </c>
      <c r="L33" s="14">
        <v>2021</v>
      </c>
      <c r="M33" s="14"/>
      <c r="N33" s="15">
        <v>1000000</v>
      </c>
      <c r="O33" s="16"/>
      <c r="P33" s="17">
        <v>20</v>
      </c>
      <c r="Q33" s="18">
        <v>500</v>
      </c>
      <c r="R33" s="18">
        <f>IF(Q33&lt;4.99,(Q33*12%+4),IF(Q33&lt;10.99,(Q33*12%+8),IF(Q33&lt;14.99,(Q33*12%+12),IF(Q33&lt;879.99,(Q33*12%+16),IF(Q33&lt;2569.99,(Q33*7%+60),240)))))</f>
        <v>76</v>
      </c>
      <c r="S33" s="19">
        <f>R33*P33</f>
        <v>1520</v>
      </c>
      <c r="T33" s="14"/>
      <c r="U33" s="14"/>
      <c r="V33" s="14"/>
      <c r="W33" s="14"/>
      <c r="X33" s="14"/>
      <c r="Y33" s="14"/>
      <c r="Z33" s="13"/>
      <c r="AA33" s="13"/>
      <c r="AB33" s="135">
        <f>P33*Q33*4</f>
        <v>40000</v>
      </c>
      <c r="AC33" s="13">
        <v>0</v>
      </c>
      <c r="AD33" s="13" t="s">
        <v>45</v>
      </c>
      <c r="AE33" s="13">
        <v>0</v>
      </c>
      <c r="AF33" s="13"/>
      <c r="AG33" s="135">
        <f>AB33</f>
        <v>40000</v>
      </c>
      <c r="AH33" s="13"/>
      <c r="AI33" s="13" t="s">
        <v>42</v>
      </c>
      <c r="AJ33" s="13"/>
      <c r="AK33" s="13"/>
      <c r="AL33" s="70" t="s">
        <v>1104</v>
      </c>
      <c r="AM33" s="14">
        <v>1</v>
      </c>
      <c r="AN33" s="14">
        <v>3</v>
      </c>
      <c r="AO33" s="14">
        <v>1</v>
      </c>
      <c r="AP33" s="14">
        <v>1</v>
      </c>
      <c r="AQ33" s="14">
        <v>3</v>
      </c>
      <c r="AR33" s="14">
        <v>2</v>
      </c>
      <c r="AS33" s="14">
        <v>18</v>
      </c>
      <c r="AT33" s="13" t="s">
        <v>48</v>
      </c>
      <c r="AU33" s="13"/>
    </row>
    <row r="34" spans="1:47" ht="38.25" x14ac:dyDescent="0.2">
      <c r="A34" s="179" t="s">
        <v>86</v>
      </c>
      <c r="B34" s="30" t="s">
        <v>442</v>
      </c>
      <c r="C34" s="30"/>
      <c r="D34" s="30" t="s">
        <v>98</v>
      </c>
      <c r="E34" s="89" t="s">
        <v>443</v>
      </c>
      <c r="F34" s="72" t="s">
        <v>960</v>
      </c>
      <c r="G34" s="106"/>
      <c r="H34" s="106"/>
      <c r="I34" s="30" t="s">
        <v>444</v>
      </c>
      <c r="J34" s="30" t="s">
        <v>445</v>
      </c>
      <c r="K34" s="30" t="s">
        <v>309</v>
      </c>
      <c r="L34" s="31">
        <v>2018</v>
      </c>
      <c r="M34" s="31"/>
      <c r="N34" s="32" t="s">
        <v>446</v>
      </c>
      <c r="O34" s="33"/>
      <c r="P34" s="34">
        <v>2</v>
      </c>
      <c r="Q34" s="35">
        <v>1000</v>
      </c>
      <c r="R34" s="35">
        <f>IF(Q34&lt;4.99,(Q34*12%+4),IF(Q34&lt;10.99,(Q34*12%+8),IF(Q34&lt;14.99,(Q34*12%+12),IF(Q34&lt;879.99,(Q34*12%+16),IF(Q34&lt;2569.99,(Q34*7%+60),240)))))</f>
        <v>130</v>
      </c>
      <c r="S34" s="36">
        <f>R34*P34</f>
        <v>260</v>
      </c>
      <c r="T34" s="31"/>
      <c r="U34" s="31"/>
      <c r="V34" s="31"/>
      <c r="W34" s="31"/>
      <c r="X34" s="31"/>
      <c r="Y34" s="31"/>
      <c r="Z34" s="30">
        <v>0</v>
      </c>
      <c r="AA34" s="30"/>
      <c r="AB34" s="132">
        <f>P34*Q34*20</f>
        <v>40000</v>
      </c>
      <c r="AC34" s="30"/>
      <c r="AD34" s="30"/>
      <c r="AE34" s="132">
        <f>AB34</f>
        <v>40000</v>
      </c>
      <c r="AF34" s="30"/>
      <c r="AG34" s="132">
        <f>AE34*3</f>
        <v>120000</v>
      </c>
      <c r="AH34" s="30"/>
      <c r="AI34" s="30"/>
      <c r="AJ34" s="30"/>
      <c r="AK34" s="30" t="s">
        <v>227</v>
      </c>
      <c r="AL34" s="72" t="s">
        <v>447</v>
      </c>
      <c r="AM34" s="31">
        <v>1</v>
      </c>
      <c r="AN34" s="31">
        <v>1</v>
      </c>
      <c r="AO34" s="31">
        <v>3</v>
      </c>
      <c r="AP34" s="31">
        <v>1</v>
      </c>
      <c r="AQ34" s="31">
        <v>2</v>
      </c>
      <c r="AR34" s="31">
        <v>2</v>
      </c>
      <c r="AS34" s="31">
        <v>12</v>
      </c>
      <c r="AT34" s="30" t="s">
        <v>48</v>
      </c>
      <c r="AU34" s="30"/>
    </row>
    <row r="35" spans="1:47" ht="38.25" x14ac:dyDescent="0.2">
      <c r="A35" s="30" t="s">
        <v>86</v>
      </c>
      <c r="B35" s="30" t="s">
        <v>141</v>
      </c>
      <c r="C35" s="30"/>
      <c r="D35" s="30" t="s">
        <v>98</v>
      </c>
      <c r="E35" s="89" t="s">
        <v>142</v>
      </c>
      <c r="F35" s="72" t="s">
        <v>895</v>
      </c>
      <c r="G35" s="106"/>
      <c r="H35" s="106"/>
      <c r="I35" s="30" t="s">
        <v>143</v>
      </c>
      <c r="J35" s="30" t="s">
        <v>144</v>
      </c>
      <c r="K35" s="30" t="s">
        <v>42</v>
      </c>
      <c r="L35" s="31">
        <v>2020</v>
      </c>
      <c r="M35" s="31"/>
      <c r="N35" s="32">
        <v>400000</v>
      </c>
      <c r="O35" s="33"/>
      <c r="P35" s="34">
        <v>10</v>
      </c>
      <c r="Q35" s="35">
        <v>600</v>
      </c>
      <c r="R35" s="35">
        <f>IF(Q35&lt;4.99,(Q35*12%+4),IF(Q35&lt;10.99,(Q35*12%+8),IF(Q35&lt;14.99,(Q35*12%+12),IF(Q35&lt;879.99,(Q35*12%+16),IF(Q35&lt;2569.99,(Q35*7%+60),240)))))</f>
        <v>88</v>
      </c>
      <c r="S35" s="36">
        <f>R35*P35</f>
        <v>880</v>
      </c>
      <c r="T35" s="31"/>
      <c r="U35" s="31"/>
      <c r="V35" s="31"/>
      <c r="W35" s="31"/>
      <c r="X35" s="31"/>
      <c r="Y35" s="31"/>
      <c r="Z35" s="30">
        <v>20000</v>
      </c>
      <c r="AA35" s="30"/>
      <c r="AB35" s="132">
        <f>P35*Q35*6</f>
        <v>36000</v>
      </c>
      <c r="AC35" s="30"/>
      <c r="AD35" s="30"/>
      <c r="AE35" s="30">
        <f>45*600</f>
        <v>27000</v>
      </c>
      <c r="AF35" s="30"/>
      <c r="AG35" s="30"/>
      <c r="AH35" s="30"/>
      <c r="AI35" s="30" t="s">
        <v>42</v>
      </c>
      <c r="AJ35" s="30" t="s">
        <v>145</v>
      </c>
      <c r="AK35" s="30" t="s">
        <v>95</v>
      </c>
      <c r="AL35" s="72" t="s">
        <v>146</v>
      </c>
      <c r="AM35" s="31">
        <v>2</v>
      </c>
      <c r="AN35" s="31">
        <v>3</v>
      </c>
      <c r="AO35" s="31">
        <v>3</v>
      </c>
      <c r="AP35" s="31">
        <v>1</v>
      </c>
      <c r="AQ35" s="31">
        <v>3</v>
      </c>
      <c r="AR35" s="31">
        <v>2</v>
      </c>
      <c r="AS35" s="31">
        <v>108</v>
      </c>
      <c r="AT35" s="30" t="s">
        <v>45</v>
      </c>
      <c r="AU35" s="30"/>
    </row>
    <row r="36" spans="1:47" ht="38.25" x14ac:dyDescent="0.2">
      <c r="A36" s="22" t="s">
        <v>86</v>
      </c>
      <c r="B36" s="22" t="s">
        <v>215</v>
      </c>
      <c r="C36" s="22"/>
      <c r="D36" s="22" t="s">
        <v>60</v>
      </c>
      <c r="E36" s="87" t="s">
        <v>216</v>
      </c>
      <c r="F36" s="97" t="s">
        <v>920</v>
      </c>
      <c r="G36" s="95"/>
      <c r="H36" s="95"/>
      <c r="I36" s="22" t="s">
        <v>217</v>
      </c>
      <c r="J36" s="22" t="s">
        <v>1092</v>
      </c>
      <c r="K36" s="22" t="s">
        <v>42</v>
      </c>
      <c r="L36" s="24">
        <v>2022</v>
      </c>
      <c r="M36" s="24"/>
      <c r="N36" s="52">
        <v>2400</v>
      </c>
      <c r="O36" s="39"/>
      <c r="P36" s="27">
        <v>3</v>
      </c>
      <c r="Q36" s="28">
        <v>1300</v>
      </c>
      <c r="R36" s="28">
        <f>IF(Q36&lt;4.99,(Q36*12%+4),IF(Q36&lt;10.99,(Q36*12%+8),IF(Q36&lt;14.99,(Q36*12%+12),IF(Q36&lt;879.99,(Q36*12%+16),IF(Q36&lt;2569.99,(Q36*7%+60),240)))))</f>
        <v>151</v>
      </c>
      <c r="S36" s="29">
        <f>R36*P36</f>
        <v>453</v>
      </c>
      <c r="T36" s="24"/>
      <c r="U36" s="24"/>
      <c r="V36" s="24"/>
      <c r="W36" s="24"/>
      <c r="X36" s="24"/>
      <c r="Y36" s="24"/>
      <c r="Z36" s="22"/>
      <c r="AA36" s="22"/>
      <c r="AB36" s="113">
        <f>P36*Q36*6</f>
        <v>23400</v>
      </c>
      <c r="AC36" s="22"/>
      <c r="AD36" s="22" t="s">
        <v>45</v>
      </c>
      <c r="AE36" s="113">
        <f>AB36</f>
        <v>23400</v>
      </c>
      <c r="AF36" s="22"/>
      <c r="AG36" s="22"/>
      <c r="AH36" s="22"/>
      <c r="AI36" s="22" t="s">
        <v>42</v>
      </c>
      <c r="AJ36" s="22"/>
      <c r="AK36" s="41"/>
      <c r="AL36" s="71" t="s">
        <v>218</v>
      </c>
      <c r="AM36" s="24">
        <v>1</v>
      </c>
      <c r="AN36" s="24">
        <v>3</v>
      </c>
      <c r="AO36" s="24">
        <v>3</v>
      </c>
      <c r="AP36" s="24">
        <v>2</v>
      </c>
      <c r="AQ36" s="24">
        <v>1</v>
      </c>
      <c r="AR36" s="24">
        <v>2</v>
      </c>
      <c r="AS36" s="24">
        <v>36</v>
      </c>
      <c r="AT36" s="22" t="s">
        <v>45</v>
      </c>
      <c r="AU36" s="22"/>
    </row>
    <row r="37" spans="1:47" ht="38.25" x14ac:dyDescent="0.2">
      <c r="A37" s="30" t="s">
        <v>72</v>
      </c>
      <c r="B37" s="30" t="s">
        <v>229</v>
      </c>
      <c r="C37" s="30"/>
      <c r="D37" s="30" t="s">
        <v>98</v>
      </c>
      <c r="E37" s="89" t="s">
        <v>230</v>
      </c>
      <c r="F37" s="96" t="s">
        <v>938</v>
      </c>
      <c r="G37" s="106"/>
      <c r="H37" s="106"/>
      <c r="I37" s="30" t="s">
        <v>231</v>
      </c>
      <c r="J37" s="30" t="s">
        <v>232</v>
      </c>
      <c r="K37" s="30" t="s">
        <v>201</v>
      </c>
      <c r="L37" s="31">
        <v>2019</v>
      </c>
      <c r="M37" s="31"/>
      <c r="N37" s="32">
        <v>15000</v>
      </c>
      <c r="O37" s="33"/>
      <c r="P37" s="34">
        <v>10</v>
      </c>
      <c r="Q37" s="35">
        <v>200</v>
      </c>
      <c r="R37" s="35">
        <f>IF(Q37&lt;4.99,(Q37*12%+4),IF(Q37&lt;10.99,(Q37*12%+8),IF(Q37&lt;14.99,(Q37*12%+12),IF(Q37&lt;879.99,(Q37*12%+16),IF(Q37&lt;2569.99,(Q37*7%+60),240)))))</f>
        <v>40</v>
      </c>
      <c r="S37" s="36">
        <f>R37*P37</f>
        <v>400</v>
      </c>
      <c r="T37" s="31"/>
      <c r="U37" s="31"/>
      <c r="V37" s="31"/>
      <c r="W37" s="31"/>
      <c r="X37" s="31"/>
      <c r="Y37" s="31"/>
      <c r="Z37" s="30"/>
      <c r="AA37" s="30"/>
      <c r="AB37" s="132">
        <f>P37*Q37*5</f>
        <v>10000</v>
      </c>
      <c r="AC37" s="30"/>
      <c r="AD37" s="30"/>
      <c r="AE37" s="30">
        <v>0</v>
      </c>
      <c r="AF37" s="30"/>
      <c r="AG37" s="30">
        <f>200000</f>
        <v>200000</v>
      </c>
      <c r="AH37" s="30"/>
      <c r="AI37" s="30" t="s">
        <v>201</v>
      </c>
      <c r="AJ37" s="30"/>
      <c r="AK37" s="30" t="s">
        <v>95</v>
      </c>
      <c r="AL37" s="72" t="s">
        <v>233</v>
      </c>
      <c r="AM37" s="31">
        <v>2</v>
      </c>
      <c r="AN37" s="31">
        <v>1</v>
      </c>
      <c r="AO37" s="31">
        <v>2</v>
      </c>
      <c r="AP37" s="31">
        <v>1</v>
      </c>
      <c r="AQ37" s="31">
        <v>3</v>
      </c>
      <c r="AR37" s="31">
        <v>2</v>
      </c>
      <c r="AS37" s="31">
        <v>24</v>
      </c>
      <c r="AT37" s="30" t="s">
        <v>45</v>
      </c>
      <c r="AU37" s="37">
        <v>43525</v>
      </c>
    </row>
    <row r="38" spans="1:47" x14ac:dyDescent="0.2">
      <c r="A38" s="22"/>
      <c r="B38" s="22"/>
      <c r="C38" s="22"/>
      <c r="D38" s="22"/>
      <c r="E38" s="92"/>
      <c r="F38" s="95"/>
      <c r="G38" s="95"/>
      <c r="H38" s="112"/>
      <c r="I38" s="22"/>
      <c r="J38" s="22"/>
      <c r="K38" s="22"/>
      <c r="L38" s="24"/>
      <c r="M38" s="24"/>
      <c r="N38" s="38"/>
      <c r="O38" s="39"/>
      <c r="P38" s="24"/>
      <c r="Q38" s="28"/>
      <c r="R38" s="24"/>
      <c r="S38" s="24"/>
      <c r="T38" s="24"/>
      <c r="U38" s="24"/>
      <c r="V38" s="24"/>
      <c r="W38" s="24"/>
      <c r="X38" s="24"/>
      <c r="Y38" s="24"/>
      <c r="Z38" s="177" t="e">
        <f>SUM(#REF!)</f>
        <v>#REF!</v>
      </c>
      <c r="AA38" s="22"/>
      <c r="AB38" s="177">
        <f>SUM(AB37:AB37)</f>
        <v>10000</v>
      </c>
      <c r="AC38" s="22"/>
      <c r="AD38" s="22"/>
      <c r="AE38" s="22"/>
      <c r="AF38" s="22"/>
      <c r="AG38" s="22"/>
      <c r="AH38" s="22"/>
      <c r="AI38" s="22"/>
      <c r="AJ38" s="22"/>
      <c r="AK38" s="22"/>
      <c r="AL38" s="71"/>
      <c r="AM38" s="24"/>
      <c r="AN38" s="24"/>
      <c r="AO38" s="24"/>
      <c r="AP38" s="24"/>
      <c r="AQ38" s="24"/>
      <c r="AR38" s="24"/>
      <c r="AS38" s="24"/>
      <c r="AT38" s="22"/>
      <c r="AU38" s="22"/>
    </row>
    <row r="39" spans="1:47" s="157" customFormat="1" x14ac:dyDescent="0.2">
      <c r="A39" s="42" t="s">
        <v>35</v>
      </c>
      <c r="B39" s="42" t="s">
        <v>1009</v>
      </c>
      <c r="C39" s="42"/>
      <c r="D39" s="42" t="s">
        <v>37</v>
      </c>
      <c r="E39" s="187" t="s">
        <v>1010</v>
      </c>
      <c r="F39" s="94"/>
      <c r="G39" s="109"/>
      <c r="H39" s="109"/>
      <c r="I39" s="42" t="s">
        <v>1011</v>
      </c>
      <c r="J39" s="42"/>
      <c r="K39" s="42" t="s">
        <v>42</v>
      </c>
      <c r="L39" s="43">
        <v>2022</v>
      </c>
      <c r="M39" s="43"/>
      <c r="N39" s="44">
        <v>160</v>
      </c>
      <c r="O39" s="45" t="s">
        <v>1012</v>
      </c>
      <c r="P39" s="46">
        <v>10</v>
      </c>
      <c r="Q39" s="47">
        <v>5000</v>
      </c>
      <c r="R39" s="47">
        <v>240</v>
      </c>
      <c r="S39" s="48">
        <f>P39*R39*12</f>
        <v>28800</v>
      </c>
      <c r="T39" s="43" t="s">
        <v>48</v>
      </c>
      <c r="U39" s="43" t="s">
        <v>45</v>
      </c>
      <c r="V39" s="43" t="s">
        <v>48</v>
      </c>
      <c r="W39" s="43" t="s">
        <v>45</v>
      </c>
      <c r="X39" s="43" t="s">
        <v>45</v>
      </c>
      <c r="Y39" s="43"/>
      <c r="Z39" s="162">
        <f>Q39*P39*12*0.5</f>
        <v>300000</v>
      </c>
      <c r="AA39" s="42"/>
      <c r="AB39" s="162">
        <f>Z39*0</f>
        <v>0</v>
      </c>
      <c r="AC39" s="42"/>
      <c r="AD39" s="42" t="s">
        <v>45</v>
      </c>
      <c r="AE39" s="42"/>
      <c r="AF39" s="42"/>
      <c r="AG39" s="42">
        <v>0</v>
      </c>
      <c r="AH39" s="42"/>
      <c r="AI39" s="42" t="s">
        <v>42</v>
      </c>
      <c r="AJ39" s="42"/>
      <c r="AK39" s="60"/>
      <c r="AL39" s="73" t="s">
        <v>1213</v>
      </c>
      <c r="AM39" s="43"/>
      <c r="AN39" s="43"/>
      <c r="AO39" s="43"/>
      <c r="AP39" s="43"/>
      <c r="AQ39" s="43"/>
      <c r="AR39" s="43"/>
      <c r="AS39" s="43"/>
      <c r="AT39" s="42"/>
      <c r="AU39" s="42"/>
    </row>
    <row r="40" spans="1:47" x14ac:dyDescent="0.2">
      <c r="A40" s="22" t="s">
        <v>35</v>
      </c>
      <c r="B40" s="22" t="s">
        <v>1032</v>
      </c>
      <c r="C40" s="22"/>
      <c r="D40" s="22" t="s">
        <v>60</v>
      </c>
      <c r="E40" s="87" t="s">
        <v>394</v>
      </c>
      <c r="F40" s="95"/>
      <c r="G40" s="98"/>
      <c r="H40" s="95"/>
      <c r="I40" s="22" t="s">
        <v>1033</v>
      </c>
      <c r="J40" s="22"/>
      <c r="K40" s="22" t="s">
        <v>42</v>
      </c>
      <c r="L40" s="24">
        <v>2022</v>
      </c>
      <c r="M40" s="24"/>
      <c r="N40" s="51">
        <v>50</v>
      </c>
      <c r="O40" s="39">
        <v>0</v>
      </c>
      <c r="P40" s="27">
        <v>5</v>
      </c>
      <c r="Q40" s="28">
        <v>5000</v>
      </c>
      <c r="R40" s="28">
        <v>240</v>
      </c>
      <c r="S40" s="29"/>
      <c r="T40" s="24"/>
      <c r="U40" s="24"/>
      <c r="V40" s="24"/>
      <c r="W40" s="24"/>
      <c r="X40" s="24"/>
      <c r="Y40" s="24"/>
      <c r="Z40" s="113">
        <f>Q40*P40*5</f>
        <v>125000</v>
      </c>
      <c r="AA40" s="22"/>
      <c r="AB40" s="113">
        <f>Z40*0</f>
        <v>0</v>
      </c>
      <c r="AC40" s="22"/>
      <c r="AD40" s="22" t="s">
        <v>45</v>
      </c>
      <c r="AE40" s="22">
        <v>0</v>
      </c>
      <c r="AF40" s="22"/>
      <c r="AG40" s="113">
        <f>Z40</f>
        <v>125000</v>
      </c>
      <c r="AH40" s="22"/>
      <c r="AI40" s="22" t="s">
        <v>42</v>
      </c>
      <c r="AJ40" s="22"/>
      <c r="AK40" s="22"/>
      <c r="AL40" s="71" t="s">
        <v>1123</v>
      </c>
      <c r="AM40" s="24"/>
      <c r="AN40" s="24"/>
      <c r="AO40" s="24"/>
      <c r="AP40" s="24"/>
      <c r="AQ40" s="24"/>
      <c r="AR40" s="24"/>
      <c r="AS40" s="24"/>
      <c r="AT40" s="22"/>
      <c r="AU40" s="22"/>
    </row>
    <row r="41" spans="1:47" s="156" customFormat="1" x14ac:dyDescent="0.2">
      <c r="A41" s="30" t="s">
        <v>35</v>
      </c>
      <c r="B41" s="30" t="s">
        <v>1099</v>
      </c>
      <c r="C41" s="30"/>
      <c r="D41" s="30" t="s">
        <v>60</v>
      </c>
      <c r="E41" s="89" t="s">
        <v>1100</v>
      </c>
      <c r="F41" s="131"/>
      <c r="G41" s="106"/>
      <c r="H41" s="106"/>
      <c r="I41" s="30" t="s">
        <v>1101</v>
      </c>
      <c r="J41" s="30" t="s">
        <v>1102</v>
      </c>
      <c r="K41" s="30"/>
      <c r="L41" s="31"/>
      <c r="M41" s="31"/>
      <c r="N41" s="32">
        <v>8</v>
      </c>
      <c r="O41" s="33" t="s">
        <v>1012</v>
      </c>
      <c r="P41" s="34">
        <v>5</v>
      </c>
      <c r="Q41" s="35">
        <v>5000</v>
      </c>
      <c r="R41" s="35"/>
      <c r="S41" s="36"/>
      <c r="T41" s="31"/>
      <c r="U41" s="31"/>
      <c r="V41" s="31"/>
      <c r="W41" s="31"/>
      <c r="X41" s="31"/>
      <c r="Y41" s="31"/>
      <c r="Z41" s="30"/>
      <c r="AA41" s="30"/>
      <c r="AB41" s="30"/>
      <c r="AC41" s="30"/>
      <c r="AD41" s="30" t="s">
        <v>45</v>
      </c>
      <c r="AE41" s="30"/>
      <c r="AF41" s="30"/>
      <c r="AG41" s="30"/>
      <c r="AH41" s="30"/>
      <c r="AI41" s="30" t="s">
        <v>42</v>
      </c>
      <c r="AJ41" s="30"/>
      <c r="AK41" s="30"/>
      <c r="AL41" s="72"/>
      <c r="AM41" s="31">
        <v>1</v>
      </c>
      <c r="AN41" s="31">
        <v>1</v>
      </c>
      <c r="AO41" s="31">
        <v>1</v>
      </c>
      <c r="AP41" s="31">
        <v>3</v>
      </c>
      <c r="AQ41" s="31">
        <v>1</v>
      </c>
      <c r="AR41" s="31">
        <v>1</v>
      </c>
      <c r="AS41" s="31">
        <f>AR41*AQ41*AP41*AO41*AN41*AM41</f>
        <v>3</v>
      </c>
      <c r="AT41" s="30"/>
      <c r="AU41" s="37">
        <v>44621</v>
      </c>
    </row>
    <row r="42" spans="1:47" ht="38.25" x14ac:dyDescent="0.2">
      <c r="A42" s="22" t="s">
        <v>35</v>
      </c>
      <c r="B42" s="22" t="s">
        <v>78</v>
      </c>
      <c r="C42" s="22"/>
      <c r="D42" s="22" t="s">
        <v>37</v>
      </c>
      <c r="E42" s="87" t="s">
        <v>655</v>
      </c>
      <c r="F42" s="98" t="s">
        <v>985</v>
      </c>
      <c r="G42" s="95"/>
      <c r="H42" s="95"/>
      <c r="I42" s="22" t="s">
        <v>777</v>
      </c>
      <c r="J42" s="22"/>
      <c r="K42" s="22" t="s">
        <v>778</v>
      </c>
      <c r="L42" s="24">
        <v>2019</v>
      </c>
      <c r="M42" s="24"/>
      <c r="N42" s="38">
        <v>600</v>
      </c>
      <c r="O42" s="39"/>
      <c r="P42" s="27">
        <f>N42*O42</f>
        <v>0</v>
      </c>
      <c r="Q42" s="28"/>
      <c r="R42" s="28">
        <f>IF(Q42&lt;4.99,(Q42*12%+4),IF(Q42&lt;10.99,(Q42*12%+8),IF(Q42&lt;14.99,(Q42*12%+12),IF(Q42&lt;879.99,(Q42*12%+16),IF(Q42&lt;2569.99,(Q42*7%+60),240)))))</f>
        <v>4</v>
      </c>
      <c r="S42" s="29">
        <f>R42*P42</f>
        <v>0</v>
      </c>
      <c r="T42" s="24"/>
      <c r="U42" s="24"/>
      <c r="V42" s="24"/>
      <c r="W42" s="24"/>
      <c r="X42" s="24"/>
      <c r="Y42" s="24"/>
      <c r="Z42" s="22">
        <v>0</v>
      </c>
      <c r="AA42" s="22"/>
      <c r="AB42" s="22"/>
      <c r="AC42" s="22"/>
      <c r="AD42" s="22"/>
      <c r="AE42" s="22"/>
      <c r="AF42" s="22"/>
      <c r="AG42" s="22"/>
      <c r="AH42" s="22"/>
      <c r="AI42" s="22" t="s">
        <v>42</v>
      </c>
      <c r="AJ42" s="22" t="s">
        <v>779</v>
      </c>
      <c r="AK42" s="22" t="s">
        <v>780</v>
      </c>
      <c r="AL42" s="71"/>
      <c r="AM42" s="24">
        <v>1</v>
      </c>
      <c r="AN42" s="24">
        <v>2</v>
      </c>
      <c r="AO42" s="24">
        <v>3</v>
      </c>
      <c r="AP42" s="24">
        <v>3</v>
      </c>
      <c r="AQ42" s="24">
        <v>1</v>
      </c>
      <c r="AR42" s="24">
        <v>2</v>
      </c>
      <c r="AS42" s="24">
        <v>36</v>
      </c>
      <c r="AT42" s="22" t="s">
        <v>48</v>
      </c>
      <c r="AU42" s="22"/>
    </row>
    <row r="43" spans="1:47" s="156" customFormat="1" ht="38.25" x14ac:dyDescent="0.2">
      <c r="A43" s="22" t="s">
        <v>35</v>
      </c>
      <c r="B43" s="22" t="s">
        <v>782</v>
      </c>
      <c r="C43" s="22"/>
      <c r="D43" s="23" t="s">
        <v>37</v>
      </c>
      <c r="E43" s="87" t="s">
        <v>655</v>
      </c>
      <c r="F43" s="98" t="s">
        <v>985</v>
      </c>
      <c r="G43" s="95"/>
      <c r="H43" s="95"/>
      <c r="I43" s="23" t="s">
        <v>783</v>
      </c>
      <c r="J43" s="23" t="s">
        <v>784</v>
      </c>
      <c r="K43" s="23" t="s">
        <v>63</v>
      </c>
      <c r="L43" s="24">
        <v>2018</v>
      </c>
      <c r="M43" s="63">
        <v>1</v>
      </c>
      <c r="N43" s="64">
        <f>8500000/100000*4+8500000/100000*2.5</f>
        <v>552.5</v>
      </c>
      <c r="O43" s="26">
        <v>0.2</v>
      </c>
      <c r="P43" s="27">
        <f>N43*O43</f>
        <v>110.5</v>
      </c>
      <c r="Q43" s="28">
        <v>5763.66</v>
      </c>
      <c r="R43" s="28">
        <f>IF(Q43&lt;4.99,(Q43*12%+4),IF(Q43&lt;10.99,(Q43*12%+8),IF(Q43&lt;14.99,(Q43*12%+12),IF(Q43&lt;879.99,(Q43*12%+16),IF(Q43&lt;2569.99,(Q43*7%+60),240)))))</f>
        <v>240</v>
      </c>
      <c r="S43" s="29">
        <f>R43*P43</f>
        <v>26520</v>
      </c>
      <c r="T43" s="24"/>
      <c r="U43" s="24"/>
      <c r="V43" s="24"/>
      <c r="W43" s="24"/>
      <c r="X43" s="24"/>
      <c r="Y43" s="24"/>
      <c r="Z43" s="22">
        <v>25000</v>
      </c>
      <c r="AA43" s="22"/>
      <c r="AB43" s="22"/>
      <c r="AC43" s="22"/>
      <c r="AD43" s="22"/>
      <c r="AE43" s="22"/>
      <c r="AF43" s="22"/>
      <c r="AG43" s="22"/>
      <c r="AH43" s="22"/>
      <c r="AI43" s="22" t="s">
        <v>42</v>
      </c>
      <c r="AJ43" s="22" t="s">
        <v>779</v>
      </c>
      <c r="AK43" s="22" t="s">
        <v>70</v>
      </c>
      <c r="AL43" s="71" t="s">
        <v>785</v>
      </c>
      <c r="AM43" s="24">
        <v>1</v>
      </c>
      <c r="AN43" s="24">
        <v>2</v>
      </c>
      <c r="AO43" s="24">
        <v>3</v>
      </c>
      <c r="AP43" s="24">
        <v>3</v>
      </c>
      <c r="AQ43" s="24">
        <v>1</v>
      </c>
      <c r="AR43" s="24">
        <v>2</v>
      </c>
      <c r="AS43" s="24">
        <v>36</v>
      </c>
      <c r="AT43" s="22" t="s">
        <v>48</v>
      </c>
      <c r="AU43" s="22"/>
    </row>
    <row r="44" spans="1:47" ht="38.25" x14ac:dyDescent="0.2">
      <c r="A44" s="22" t="s">
        <v>72</v>
      </c>
      <c r="B44" s="23" t="s">
        <v>481</v>
      </c>
      <c r="C44" s="22"/>
      <c r="D44" s="22" t="s">
        <v>37</v>
      </c>
      <c r="E44" s="87" t="s">
        <v>482</v>
      </c>
      <c r="F44" s="95"/>
      <c r="G44" s="111" t="s">
        <v>965</v>
      </c>
      <c r="H44" s="95"/>
      <c r="I44" s="22" t="s">
        <v>483</v>
      </c>
      <c r="J44" s="22" t="s">
        <v>484</v>
      </c>
      <c r="K44" s="22" t="s">
        <v>485</v>
      </c>
      <c r="L44" s="24">
        <v>2020</v>
      </c>
      <c r="M44" s="24"/>
      <c r="N44" s="38">
        <v>500</v>
      </c>
      <c r="O44" s="39"/>
      <c r="P44" s="27">
        <f>N44*O44</f>
        <v>0</v>
      </c>
      <c r="Q44" s="28"/>
      <c r="R44" s="28">
        <f>IF(Q44&lt;4.99,(Q44*12%+4),IF(Q44&lt;10.99,(Q44*12%+8),IF(Q44&lt;14.99,(Q44*12%+12),IF(Q44&lt;879.99,(Q44*12%+16),IF(Q44&lt;2569.99,(Q44*7%+60),240)))))</f>
        <v>4</v>
      </c>
      <c r="S44" s="29">
        <f>R44*P44</f>
        <v>0</v>
      </c>
      <c r="T44" s="24"/>
      <c r="U44" s="24"/>
      <c r="V44" s="24"/>
      <c r="W44" s="24"/>
      <c r="X44" s="24"/>
      <c r="Y44" s="24"/>
      <c r="Z44" s="22"/>
      <c r="AA44" s="22"/>
      <c r="AB44" s="22"/>
      <c r="AC44" s="22"/>
      <c r="AD44" s="22"/>
      <c r="AE44" s="22"/>
      <c r="AF44" s="22"/>
      <c r="AG44" s="22"/>
      <c r="AH44" s="22"/>
      <c r="AI44" s="22" t="s">
        <v>486</v>
      </c>
      <c r="AJ44" s="22"/>
      <c r="AK44" s="22" t="s">
        <v>129</v>
      </c>
      <c r="AL44" s="71" t="s">
        <v>487</v>
      </c>
      <c r="AM44" s="24">
        <v>1</v>
      </c>
      <c r="AN44" s="24">
        <v>1</v>
      </c>
      <c r="AO44" s="24">
        <v>1</v>
      </c>
      <c r="AP44" s="24">
        <v>3</v>
      </c>
      <c r="AQ44" s="24">
        <v>1</v>
      </c>
      <c r="AR44" s="24">
        <v>2</v>
      </c>
      <c r="AS44" s="24">
        <v>6</v>
      </c>
      <c r="AT44" s="22" t="s">
        <v>48</v>
      </c>
      <c r="AU44" s="22"/>
    </row>
    <row r="45" spans="1:47" s="133" customFormat="1" ht="38.25" x14ac:dyDescent="0.2">
      <c r="A45" s="22" t="s">
        <v>35</v>
      </c>
      <c r="B45" s="22"/>
      <c r="C45" s="22"/>
      <c r="D45" s="22" t="s">
        <v>60</v>
      </c>
      <c r="E45" s="90" t="s">
        <v>191</v>
      </c>
      <c r="F45" s="100" t="s">
        <v>913</v>
      </c>
      <c r="G45" s="107"/>
      <c r="H45" s="107"/>
      <c r="I45" s="22" t="s">
        <v>192</v>
      </c>
      <c r="J45" s="22"/>
      <c r="K45" s="22" t="s">
        <v>42</v>
      </c>
      <c r="L45" s="24">
        <v>2022</v>
      </c>
      <c r="M45" s="24"/>
      <c r="N45" s="38"/>
      <c r="O45" s="39"/>
      <c r="P45" s="27">
        <f>N45*O45</f>
        <v>0</v>
      </c>
      <c r="Q45" s="28"/>
      <c r="R45" s="28">
        <f>IF(Q45&lt;4.99,(Q45*12%+4),IF(Q45&lt;10.99,(Q45*12%+8),IF(Q45&lt;14.99,(Q45*12%+12),IF(Q45&lt;879.99,(Q45*12%+16),IF(Q45&lt;2569.99,(Q45*7%+60),240)))))</f>
        <v>4</v>
      </c>
      <c r="S45" s="29">
        <f>R45*P45</f>
        <v>0</v>
      </c>
      <c r="T45" s="24"/>
      <c r="U45" s="24"/>
      <c r="V45" s="24"/>
      <c r="W45" s="24"/>
      <c r="X45" s="24"/>
      <c r="Y45" s="49" t="s">
        <v>193</v>
      </c>
      <c r="Z45" s="22"/>
      <c r="AA45" s="22"/>
      <c r="AB45" s="22"/>
      <c r="AC45" s="22"/>
      <c r="AD45" s="22"/>
      <c r="AE45" s="22"/>
      <c r="AF45" s="22"/>
      <c r="AG45" s="22"/>
      <c r="AH45" s="22"/>
      <c r="AI45" s="22" t="s">
        <v>42</v>
      </c>
      <c r="AJ45" s="22"/>
      <c r="AK45" s="40"/>
      <c r="AL45" s="71" t="s">
        <v>194</v>
      </c>
      <c r="AM45" s="24">
        <v>1</v>
      </c>
      <c r="AN45" s="24">
        <v>1</v>
      </c>
      <c r="AO45" s="24">
        <v>2</v>
      </c>
      <c r="AP45" s="24">
        <v>3</v>
      </c>
      <c r="AQ45" s="24">
        <v>1</v>
      </c>
      <c r="AR45" s="24">
        <v>2</v>
      </c>
      <c r="AS45" s="24">
        <v>12</v>
      </c>
      <c r="AT45" s="22" t="s">
        <v>48</v>
      </c>
      <c r="AU45" s="22"/>
    </row>
    <row r="46" spans="1:47" ht="38.25" x14ac:dyDescent="0.2">
      <c r="A46" s="22" t="s">
        <v>35</v>
      </c>
      <c r="B46" s="22"/>
      <c r="C46" s="22"/>
      <c r="D46" s="22" t="s">
        <v>60</v>
      </c>
      <c r="E46" s="90" t="s">
        <v>191</v>
      </c>
      <c r="F46" s="100" t="s">
        <v>913</v>
      </c>
      <c r="G46" s="107"/>
      <c r="H46" s="107"/>
      <c r="I46" s="23" t="s">
        <v>437</v>
      </c>
      <c r="J46" s="22"/>
      <c r="K46" s="22" t="s">
        <v>42</v>
      </c>
      <c r="L46" s="24">
        <v>2021</v>
      </c>
      <c r="M46" s="24"/>
      <c r="N46" s="38"/>
      <c r="O46" s="39"/>
      <c r="P46" s="27">
        <f>N46*O46</f>
        <v>0</v>
      </c>
      <c r="Q46" s="28"/>
      <c r="R46" s="28">
        <f>IF(Q46&lt;4.99,(Q46*12%+4),IF(Q46&lt;10.99,(Q46*12%+8),IF(Q46&lt;14.99,(Q46*12%+12),IF(Q46&lt;879.99,(Q46*12%+16),IF(Q46&lt;2569.99,(Q46*7%+60),240)))))</f>
        <v>4</v>
      </c>
      <c r="S46" s="29">
        <f>R46*P46</f>
        <v>0</v>
      </c>
      <c r="T46" s="24"/>
      <c r="U46" s="24"/>
      <c r="V46" s="24"/>
      <c r="W46" s="24"/>
      <c r="X46" s="24"/>
      <c r="Y46" s="49" t="s">
        <v>193</v>
      </c>
      <c r="Z46" s="22"/>
      <c r="AA46" s="22"/>
      <c r="AB46" s="22"/>
      <c r="AC46" s="22"/>
      <c r="AD46" s="22"/>
      <c r="AE46" s="22"/>
      <c r="AF46" s="22"/>
      <c r="AG46" s="22"/>
      <c r="AH46" s="22"/>
      <c r="AI46" s="22" t="s">
        <v>42</v>
      </c>
      <c r="AJ46" s="22"/>
      <c r="AK46" s="40"/>
      <c r="AL46" s="71" t="s">
        <v>194</v>
      </c>
      <c r="AM46" s="24">
        <v>1</v>
      </c>
      <c r="AN46" s="24">
        <v>1</v>
      </c>
      <c r="AO46" s="24">
        <v>2</v>
      </c>
      <c r="AP46" s="24">
        <v>3</v>
      </c>
      <c r="AQ46" s="24">
        <v>1</v>
      </c>
      <c r="AR46" s="24">
        <v>2</v>
      </c>
      <c r="AS46" s="24">
        <v>12</v>
      </c>
      <c r="AT46" s="22" t="s">
        <v>48</v>
      </c>
      <c r="AU46" s="22"/>
    </row>
    <row r="47" spans="1:47" x14ac:dyDescent="0.2">
      <c r="A47" s="30" t="s">
        <v>58</v>
      </c>
      <c r="B47" s="30" t="s">
        <v>1005</v>
      </c>
      <c r="C47" s="30"/>
      <c r="D47" s="30" t="s">
        <v>37</v>
      </c>
      <c r="E47" s="89" t="s">
        <v>466</v>
      </c>
      <c r="F47" s="96"/>
      <c r="G47" s="106"/>
      <c r="H47" s="173"/>
      <c r="I47" s="30" t="s">
        <v>1006</v>
      </c>
      <c r="J47" s="30" t="s">
        <v>1079</v>
      </c>
      <c r="K47" s="30" t="s">
        <v>42</v>
      </c>
      <c r="L47" s="31">
        <v>2022</v>
      </c>
      <c r="M47" s="31"/>
      <c r="N47" s="32">
        <v>40</v>
      </c>
      <c r="O47" s="33">
        <v>1</v>
      </c>
      <c r="P47" s="34">
        <v>40</v>
      </c>
      <c r="Q47" s="35">
        <v>5000</v>
      </c>
      <c r="R47" s="35">
        <v>240</v>
      </c>
      <c r="S47" s="36">
        <f>P47*R47*12</f>
        <v>115200</v>
      </c>
      <c r="T47" s="31" t="s">
        <v>48</v>
      </c>
      <c r="U47" s="31" t="s">
        <v>48</v>
      </c>
      <c r="V47" s="31" t="s">
        <v>45</v>
      </c>
      <c r="W47" s="31" t="s">
        <v>45</v>
      </c>
      <c r="X47" s="31"/>
      <c r="Y47" s="134"/>
      <c r="Z47" s="30">
        <v>100000</v>
      </c>
      <c r="AA47" s="30">
        <v>10000</v>
      </c>
      <c r="AB47" s="30"/>
      <c r="AC47" s="30"/>
      <c r="AD47" s="30"/>
      <c r="AE47" s="30">
        <v>0</v>
      </c>
      <c r="AF47" s="30"/>
      <c r="AG47" s="30">
        <f>Z47</f>
        <v>100000</v>
      </c>
      <c r="AH47" s="30"/>
      <c r="AI47" s="30"/>
      <c r="AJ47" s="30"/>
      <c r="AK47" s="37"/>
      <c r="AL47" s="72"/>
      <c r="AM47" s="31"/>
      <c r="AN47" s="31"/>
      <c r="AO47" s="31"/>
      <c r="AP47" s="31"/>
      <c r="AQ47" s="31"/>
      <c r="AR47" s="31"/>
      <c r="AS47" s="31"/>
      <c r="AT47" s="30"/>
      <c r="AU47" s="30"/>
    </row>
    <row r="48" spans="1:47" s="133" customFormat="1" ht="38.25" x14ac:dyDescent="0.2">
      <c r="A48" s="30" t="s">
        <v>35</v>
      </c>
      <c r="B48" s="30" t="s">
        <v>465</v>
      </c>
      <c r="C48" s="30"/>
      <c r="D48" s="30" t="s">
        <v>37</v>
      </c>
      <c r="E48" s="30" t="s">
        <v>604</v>
      </c>
      <c r="F48" s="139" t="s">
        <v>963</v>
      </c>
      <c r="G48" s="30"/>
      <c r="H48" s="30"/>
      <c r="I48" s="30" t="s">
        <v>467</v>
      </c>
      <c r="J48" s="30" t="s">
        <v>468</v>
      </c>
      <c r="K48" s="30" t="s">
        <v>63</v>
      </c>
      <c r="L48" s="31">
        <v>2023</v>
      </c>
      <c r="M48" s="31"/>
      <c r="N48" s="32">
        <f>80/1.5</f>
        <v>53.333333333333336</v>
      </c>
      <c r="O48" s="33"/>
      <c r="P48" s="34">
        <v>10</v>
      </c>
      <c r="Q48" s="35">
        <v>15000</v>
      </c>
      <c r="R48" s="35">
        <f t="shared" ref="R48:R55" si="0">IF(Q48&lt;4.99,(Q48*12%+4),IF(Q48&lt;10.99,(Q48*12%+8),IF(Q48&lt;14.99,(Q48*12%+12),IF(Q48&lt;879.99,(Q48*12%+16),IF(Q48&lt;2569.99,(Q48*7%+60),240)))))</f>
        <v>240</v>
      </c>
      <c r="S48" s="36">
        <f t="shared" ref="S48:S55" si="1">R48*P48</f>
        <v>2400</v>
      </c>
      <c r="T48" s="31"/>
      <c r="U48" s="31"/>
      <c r="V48" s="31"/>
      <c r="W48" s="31"/>
      <c r="X48" s="31"/>
      <c r="Y48" s="31"/>
      <c r="Z48" s="30"/>
      <c r="AA48" s="30"/>
      <c r="AB48" s="30"/>
      <c r="AC48" s="30"/>
      <c r="AD48" s="30"/>
      <c r="AE48" s="30"/>
      <c r="AF48" s="30"/>
      <c r="AG48" s="30">
        <v>300000</v>
      </c>
      <c r="AH48" s="30">
        <v>0</v>
      </c>
      <c r="AI48" s="30" t="s">
        <v>42</v>
      </c>
      <c r="AJ48" s="30"/>
      <c r="AK48" s="37" t="s">
        <v>70</v>
      </c>
      <c r="AL48" s="72" t="s">
        <v>1179</v>
      </c>
      <c r="AM48" s="31">
        <v>1</v>
      </c>
      <c r="AN48" s="31">
        <v>1</v>
      </c>
      <c r="AO48" s="31">
        <v>1</v>
      </c>
      <c r="AP48" s="31">
        <v>3</v>
      </c>
      <c r="AQ48" s="31">
        <v>1</v>
      </c>
      <c r="AR48" s="31">
        <v>2</v>
      </c>
      <c r="AS48" s="31">
        <v>6</v>
      </c>
      <c r="AT48" s="30" t="s">
        <v>48</v>
      </c>
      <c r="AU48" s="30"/>
    </row>
    <row r="49" spans="1:47" s="129" customFormat="1" ht="51" x14ac:dyDescent="0.2">
      <c r="A49" s="22" t="s">
        <v>47</v>
      </c>
      <c r="B49" s="22" t="s">
        <v>122</v>
      </c>
      <c r="C49" s="22"/>
      <c r="D49" s="22" t="s">
        <v>98</v>
      </c>
      <c r="E49" s="22" t="s">
        <v>195</v>
      </c>
      <c r="F49" s="22"/>
      <c r="G49" s="22"/>
      <c r="H49" s="97" t="s">
        <v>934</v>
      </c>
      <c r="I49" s="22" t="s">
        <v>196</v>
      </c>
      <c r="J49" s="22"/>
      <c r="K49" s="22" t="s">
        <v>64</v>
      </c>
      <c r="L49" s="24">
        <v>2022</v>
      </c>
      <c r="M49" s="24"/>
      <c r="N49" s="38">
        <f>0.025*8000000</f>
        <v>200000</v>
      </c>
      <c r="O49" s="39"/>
      <c r="P49" s="27">
        <f t="shared" ref="P49:P55" si="2">N49*O49</f>
        <v>0</v>
      </c>
      <c r="Q49" s="28"/>
      <c r="R49" s="28">
        <f t="shared" si="0"/>
        <v>4</v>
      </c>
      <c r="S49" s="29">
        <f t="shared" si="1"/>
        <v>0</v>
      </c>
      <c r="T49" s="24"/>
      <c r="U49" s="24"/>
      <c r="V49" s="24"/>
      <c r="W49" s="24"/>
      <c r="X49" s="24"/>
      <c r="Y49" s="24"/>
      <c r="Z49" s="22"/>
      <c r="AA49" s="22"/>
      <c r="AB49" s="22"/>
      <c r="AC49" s="22"/>
      <c r="AD49" s="22"/>
      <c r="AE49" s="22"/>
      <c r="AF49" s="22"/>
      <c r="AG49" s="22"/>
      <c r="AH49" s="22"/>
      <c r="AI49" s="22" t="s">
        <v>64</v>
      </c>
      <c r="AJ49" s="22"/>
      <c r="AK49" s="22"/>
      <c r="AL49" s="71" t="s">
        <v>197</v>
      </c>
      <c r="AM49" s="24">
        <v>1</v>
      </c>
      <c r="AN49" s="24">
        <v>3</v>
      </c>
      <c r="AO49" s="24">
        <v>1</v>
      </c>
      <c r="AP49" s="24">
        <v>3</v>
      </c>
      <c r="AQ49" s="24">
        <v>1</v>
      </c>
      <c r="AR49" s="24">
        <v>2</v>
      </c>
      <c r="AS49" s="24">
        <v>18</v>
      </c>
      <c r="AT49" s="22" t="s">
        <v>48</v>
      </c>
      <c r="AU49" s="22"/>
    </row>
    <row r="50" spans="1:47" ht="38.25" x14ac:dyDescent="0.2">
      <c r="A50" s="22" t="s">
        <v>58</v>
      </c>
      <c r="B50" s="23" t="s">
        <v>620</v>
      </c>
      <c r="C50" s="22"/>
      <c r="D50" s="22" t="s">
        <v>60</v>
      </c>
      <c r="E50" s="22" t="s">
        <v>627</v>
      </c>
      <c r="F50" s="97" t="s">
        <v>981</v>
      </c>
      <c r="G50" s="22"/>
      <c r="H50" s="22"/>
      <c r="I50" s="22" t="s">
        <v>628</v>
      </c>
      <c r="J50" s="22" t="s">
        <v>629</v>
      </c>
      <c r="K50" s="22" t="s">
        <v>63</v>
      </c>
      <c r="L50" s="24">
        <v>2020</v>
      </c>
      <c r="M50" s="24"/>
      <c r="N50" s="38">
        <f>16*8</f>
        <v>128</v>
      </c>
      <c r="O50" s="39"/>
      <c r="P50" s="27">
        <f t="shared" si="2"/>
        <v>0</v>
      </c>
      <c r="Q50" s="28"/>
      <c r="R50" s="28">
        <f t="shared" si="0"/>
        <v>4</v>
      </c>
      <c r="S50" s="29">
        <f t="shared" si="1"/>
        <v>0</v>
      </c>
      <c r="T50" s="24"/>
      <c r="U50" s="24"/>
      <c r="V50" s="24"/>
      <c r="W50" s="24"/>
      <c r="X50" s="24"/>
      <c r="Y50" s="24"/>
      <c r="Z50" s="22"/>
      <c r="AA50" s="22"/>
      <c r="AB50" s="22"/>
      <c r="AC50" s="22"/>
      <c r="AD50" s="22"/>
      <c r="AE50" s="22"/>
      <c r="AF50" s="22"/>
      <c r="AG50" s="22"/>
      <c r="AH50" s="22"/>
      <c r="AI50" s="22" t="s">
        <v>42</v>
      </c>
      <c r="AJ50" s="22"/>
      <c r="AK50" s="22"/>
      <c r="AL50" s="71" t="s">
        <v>630</v>
      </c>
      <c r="AM50" s="24">
        <v>1</v>
      </c>
      <c r="AN50" s="24">
        <v>1</v>
      </c>
      <c r="AO50" s="24">
        <v>2</v>
      </c>
      <c r="AP50" s="24">
        <v>3</v>
      </c>
      <c r="AQ50" s="24">
        <v>1</v>
      </c>
      <c r="AR50" s="24">
        <v>2</v>
      </c>
      <c r="AS50" s="24">
        <v>12</v>
      </c>
      <c r="AT50" s="22" t="s">
        <v>45</v>
      </c>
      <c r="AU50" s="40">
        <v>43556</v>
      </c>
    </row>
    <row r="51" spans="1:47" ht="38.25" x14ac:dyDescent="0.2">
      <c r="A51" s="13" t="s">
        <v>72</v>
      </c>
      <c r="B51" s="13" t="s">
        <v>153</v>
      </c>
      <c r="C51" s="13"/>
      <c r="D51" s="13" t="s">
        <v>98</v>
      </c>
      <c r="E51" s="13" t="s">
        <v>154</v>
      </c>
      <c r="F51" s="70" t="s">
        <v>931</v>
      </c>
      <c r="G51" s="13"/>
      <c r="H51" s="13"/>
      <c r="I51" s="13" t="s">
        <v>155</v>
      </c>
      <c r="J51" s="13" t="s">
        <v>156</v>
      </c>
      <c r="K51" s="13" t="s">
        <v>42</v>
      </c>
      <c r="L51" s="14">
        <v>2021</v>
      </c>
      <c r="M51" s="14"/>
      <c r="N51" s="15">
        <v>1000000</v>
      </c>
      <c r="O51" s="16"/>
      <c r="P51" s="17">
        <f t="shared" si="2"/>
        <v>0</v>
      </c>
      <c r="Q51" s="18"/>
      <c r="R51" s="18">
        <f t="shared" si="0"/>
        <v>4</v>
      </c>
      <c r="S51" s="19">
        <f t="shared" si="1"/>
        <v>0</v>
      </c>
      <c r="T51" s="14"/>
      <c r="U51" s="14"/>
      <c r="V51" s="14"/>
      <c r="W51" s="14"/>
      <c r="X51" s="14"/>
      <c r="Y51" s="14"/>
      <c r="Z51" s="13"/>
      <c r="AA51" s="13"/>
      <c r="AB51" s="13"/>
      <c r="AC51" s="13"/>
      <c r="AD51" s="13"/>
      <c r="AE51" s="13"/>
      <c r="AF51" s="13"/>
      <c r="AG51" s="13"/>
      <c r="AH51" s="13"/>
      <c r="AI51" s="13" t="s">
        <v>42</v>
      </c>
      <c r="AJ51" s="13"/>
      <c r="AK51" s="20" t="s">
        <v>132</v>
      </c>
      <c r="AL51" s="70" t="s">
        <v>157</v>
      </c>
      <c r="AM51" s="14">
        <v>2</v>
      </c>
      <c r="AN51" s="14">
        <v>2</v>
      </c>
      <c r="AO51" s="14">
        <v>3</v>
      </c>
      <c r="AP51" s="14">
        <v>1</v>
      </c>
      <c r="AQ51" s="14">
        <v>3</v>
      </c>
      <c r="AR51" s="14">
        <v>2</v>
      </c>
      <c r="AS51" s="14">
        <v>72</v>
      </c>
      <c r="AT51" s="13" t="s">
        <v>45</v>
      </c>
      <c r="AU51" s="13"/>
    </row>
    <row r="52" spans="1:47" s="129" customFormat="1" ht="38.25" x14ac:dyDescent="0.2">
      <c r="A52" s="22" t="s">
        <v>49</v>
      </c>
      <c r="B52" s="23" t="s">
        <v>50</v>
      </c>
      <c r="C52" s="22"/>
      <c r="D52" s="22" t="s">
        <v>51</v>
      </c>
      <c r="E52" s="22" t="s">
        <v>154</v>
      </c>
      <c r="F52" s="71" t="s">
        <v>932</v>
      </c>
      <c r="G52" s="22"/>
      <c r="H52" s="22"/>
      <c r="I52" s="22" t="s">
        <v>175</v>
      </c>
      <c r="J52" s="22"/>
      <c r="K52" s="22" t="s">
        <v>42</v>
      </c>
      <c r="L52" s="24">
        <v>2021</v>
      </c>
      <c r="M52" s="24"/>
      <c r="N52" s="38">
        <f>2000000/83*8.5/2</f>
        <v>102409.63855421687</v>
      </c>
      <c r="O52" s="39"/>
      <c r="P52" s="27">
        <f t="shared" si="2"/>
        <v>0</v>
      </c>
      <c r="Q52" s="28"/>
      <c r="R52" s="28">
        <f t="shared" si="0"/>
        <v>4</v>
      </c>
      <c r="S52" s="29">
        <f t="shared" si="1"/>
        <v>0</v>
      </c>
      <c r="T52" s="24"/>
      <c r="U52" s="24"/>
      <c r="V52" s="24"/>
      <c r="W52" s="24"/>
      <c r="X52" s="24"/>
      <c r="Y52" s="24"/>
      <c r="Z52" s="22"/>
      <c r="AA52" s="22"/>
      <c r="AB52" s="22"/>
      <c r="AC52" s="22"/>
      <c r="AD52" s="22"/>
      <c r="AE52" s="22"/>
      <c r="AF52" s="22"/>
      <c r="AG52" s="22"/>
      <c r="AH52" s="22"/>
      <c r="AI52" s="22" t="s">
        <v>55</v>
      </c>
      <c r="AJ52" s="22" t="s">
        <v>43</v>
      </c>
      <c r="AK52" s="40" t="s">
        <v>132</v>
      </c>
      <c r="AL52" s="71" t="s">
        <v>176</v>
      </c>
      <c r="AM52" s="24">
        <v>2</v>
      </c>
      <c r="AN52" s="24">
        <v>2</v>
      </c>
      <c r="AO52" s="24">
        <v>3</v>
      </c>
      <c r="AP52" s="24">
        <v>1</v>
      </c>
      <c r="AQ52" s="24">
        <v>1</v>
      </c>
      <c r="AR52" s="24">
        <v>2</v>
      </c>
      <c r="AS52" s="24">
        <v>24</v>
      </c>
      <c r="AT52" s="22" t="s">
        <v>45</v>
      </c>
      <c r="AU52" s="22"/>
    </row>
    <row r="53" spans="1:47" ht="38.25" x14ac:dyDescent="0.2">
      <c r="A53" s="144" t="s">
        <v>58</v>
      </c>
      <c r="B53" s="144" t="s">
        <v>109</v>
      </c>
      <c r="C53" s="144"/>
      <c r="D53" s="144" t="s">
        <v>60</v>
      </c>
      <c r="E53" s="144" t="s">
        <v>99</v>
      </c>
      <c r="F53" s="155" t="s">
        <v>927</v>
      </c>
      <c r="G53" s="144"/>
      <c r="H53" s="144"/>
      <c r="I53" s="144" t="s">
        <v>110</v>
      </c>
      <c r="J53" s="144" t="s">
        <v>1158</v>
      </c>
      <c r="K53" s="144" t="s">
        <v>42</v>
      </c>
      <c r="L53" s="148">
        <v>2020</v>
      </c>
      <c r="M53" s="148"/>
      <c r="N53" s="149">
        <f>8500000/175000</f>
        <v>48.571428571428569</v>
      </c>
      <c r="O53" s="150"/>
      <c r="P53" s="151">
        <f t="shared" si="2"/>
        <v>0</v>
      </c>
      <c r="Q53" s="152"/>
      <c r="R53" s="152">
        <f t="shared" si="0"/>
        <v>4</v>
      </c>
      <c r="S53" s="153">
        <f t="shared" si="1"/>
        <v>0</v>
      </c>
      <c r="T53" s="148"/>
      <c r="U53" s="148"/>
      <c r="V53" s="148"/>
      <c r="W53" s="148"/>
      <c r="X53" s="148"/>
      <c r="Y53" s="148"/>
      <c r="Z53" s="144"/>
      <c r="AA53" s="144"/>
      <c r="AB53" s="144"/>
      <c r="AC53" s="144"/>
      <c r="AD53" s="144"/>
      <c r="AE53" s="144"/>
      <c r="AF53" s="144"/>
      <c r="AG53" s="144"/>
      <c r="AH53" s="144"/>
      <c r="AI53" s="144" t="s">
        <v>42</v>
      </c>
      <c r="AJ53" s="144" t="s">
        <v>43</v>
      </c>
      <c r="AK53" s="161" t="s">
        <v>76</v>
      </c>
      <c r="AL53" s="155" t="s">
        <v>111</v>
      </c>
      <c r="AM53" s="148">
        <v>3</v>
      </c>
      <c r="AN53" s="148">
        <v>1</v>
      </c>
      <c r="AO53" s="148">
        <v>3</v>
      </c>
      <c r="AP53" s="148">
        <v>3</v>
      </c>
      <c r="AQ53" s="148">
        <v>1</v>
      </c>
      <c r="AR53" s="148">
        <v>2</v>
      </c>
      <c r="AS53" s="148">
        <v>54</v>
      </c>
      <c r="AT53" s="144"/>
      <c r="AU53" s="144"/>
    </row>
    <row r="54" spans="1:47" ht="38.25" x14ac:dyDescent="0.2">
      <c r="A54" s="144" t="s">
        <v>58</v>
      </c>
      <c r="B54" s="144" t="s">
        <v>434</v>
      </c>
      <c r="C54" s="144"/>
      <c r="D54" s="144" t="s">
        <v>60</v>
      </c>
      <c r="E54" s="144" t="s">
        <v>99</v>
      </c>
      <c r="F54" s="155" t="s">
        <v>927</v>
      </c>
      <c r="G54" s="144"/>
      <c r="H54" s="144"/>
      <c r="I54" s="144" t="s">
        <v>435</v>
      </c>
      <c r="J54" s="144" t="s">
        <v>1159</v>
      </c>
      <c r="K54" s="144" t="s">
        <v>266</v>
      </c>
      <c r="L54" s="148">
        <v>2020</v>
      </c>
      <c r="M54" s="148"/>
      <c r="N54" s="149">
        <f>8000000/10000*2.5</f>
        <v>2000</v>
      </c>
      <c r="O54" s="150"/>
      <c r="P54" s="151">
        <f t="shared" si="2"/>
        <v>0</v>
      </c>
      <c r="Q54" s="152"/>
      <c r="R54" s="152">
        <f t="shared" si="0"/>
        <v>4</v>
      </c>
      <c r="S54" s="153">
        <f t="shared" si="1"/>
        <v>0</v>
      </c>
      <c r="T54" s="148"/>
      <c r="U54" s="148"/>
      <c r="V54" s="148"/>
      <c r="W54" s="148"/>
      <c r="X54" s="148"/>
      <c r="Y54" s="148"/>
      <c r="Z54" s="144"/>
      <c r="AA54" s="144"/>
      <c r="AB54" s="144"/>
      <c r="AC54" s="144"/>
      <c r="AD54" s="144"/>
      <c r="AE54" s="144"/>
      <c r="AF54" s="144"/>
      <c r="AG54" s="144"/>
      <c r="AH54" s="144"/>
      <c r="AI54" s="144" t="s">
        <v>42</v>
      </c>
      <c r="AJ54" s="144" t="s">
        <v>43</v>
      </c>
      <c r="AK54" s="161" t="s">
        <v>76</v>
      </c>
      <c r="AL54" s="155" t="s">
        <v>436</v>
      </c>
      <c r="AM54" s="148">
        <v>3</v>
      </c>
      <c r="AN54" s="148">
        <v>1</v>
      </c>
      <c r="AO54" s="148">
        <v>3</v>
      </c>
      <c r="AP54" s="148">
        <v>3</v>
      </c>
      <c r="AQ54" s="148">
        <v>1</v>
      </c>
      <c r="AR54" s="148">
        <v>2</v>
      </c>
      <c r="AS54" s="148">
        <v>54</v>
      </c>
      <c r="AT54" s="144" t="s">
        <v>45</v>
      </c>
      <c r="AU54" s="144"/>
    </row>
    <row r="55" spans="1:47" ht="38.25" x14ac:dyDescent="0.2">
      <c r="A55" s="22" t="s">
        <v>35</v>
      </c>
      <c r="B55" s="22" t="s">
        <v>526</v>
      </c>
      <c r="C55" s="22"/>
      <c r="D55" s="22" t="s">
        <v>37</v>
      </c>
      <c r="E55" s="22" t="s">
        <v>565</v>
      </c>
      <c r="F55" s="65" t="s">
        <v>975</v>
      </c>
      <c r="G55" s="22"/>
      <c r="H55" s="22"/>
      <c r="I55" s="22" t="s">
        <v>566</v>
      </c>
      <c r="J55" s="22"/>
      <c r="K55" s="22" t="s">
        <v>64</v>
      </c>
      <c r="L55" s="24">
        <v>2020</v>
      </c>
      <c r="M55" s="24"/>
      <c r="N55" s="51">
        <v>622</v>
      </c>
      <c r="O55" s="39"/>
      <c r="P55" s="27">
        <f t="shared" si="2"/>
        <v>0</v>
      </c>
      <c r="Q55" s="28"/>
      <c r="R55" s="28">
        <f t="shared" si="0"/>
        <v>4</v>
      </c>
      <c r="S55" s="29">
        <f t="shared" si="1"/>
        <v>0</v>
      </c>
      <c r="T55" s="24"/>
      <c r="U55" s="24"/>
      <c r="V55" s="24"/>
      <c r="W55" s="24"/>
      <c r="X55" s="24"/>
      <c r="Y55" s="24"/>
      <c r="Z55" s="22"/>
      <c r="AA55" s="22"/>
      <c r="AB55" s="22"/>
      <c r="AC55" s="22"/>
      <c r="AD55" s="22"/>
      <c r="AE55" s="22"/>
      <c r="AF55" s="22"/>
      <c r="AG55" s="22"/>
      <c r="AH55" s="22"/>
      <c r="AI55" s="22" t="s">
        <v>64</v>
      </c>
      <c r="AJ55" s="22"/>
      <c r="AK55" s="22" t="s">
        <v>129</v>
      </c>
      <c r="AL55" s="71" t="s">
        <v>567</v>
      </c>
      <c r="AM55" s="24">
        <v>1</v>
      </c>
      <c r="AN55" s="24">
        <v>2</v>
      </c>
      <c r="AO55" s="24">
        <v>2</v>
      </c>
      <c r="AP55" s="24">
        <v>3</v>
      </c>
      <c r="AQ55" s="24">
        <v>1</v>
      </c>
      <c r="AR55" s="24">
        <v>1</v>
      </c>
      <c r="AS55" s="24">
        <v>12</v>
      </c>
      <c r="AT55" s="22" t="s">
        <v>45</v>
      </c>
      <c r="AU55" s="22"/>
    </row>
    <row r="56" spans="1:47" x14ac:dyDescent="0.2">
      <c r="A56" s="22" t="s">
        <v>47</v>
      </c>
      <c r="B56" s="22" t="s">
        <v>1072</v>
      </c>
      <c r="C56" s="22"/>
      <c r="D56" s="22" t="s">
        <v>98</v>
      </c>
      <c r="E56" s="22" t="s">
        <v>565</v>
      </c>
      <c r="F56" s="65"/>
      <c r="G56" s="22"/>
      <c r="H56" s="22"/>
      <c r="I56" s="22" t="s">
        <v>1073</v>
      </c>
      <c r="J56" s="22"/>
      <c r="K56" s="22" t="s">
        <v>42</v>
      </c>
      <c r="L56" s="24">
        <v>2023</v>
      </c>
      <c r="M56" s="24"/>
      <c r="N56" s="51"/>
      <c r="O56" s="39"/>
      <c r="P56" s="27"/>
      <c r="Q56" s="28"/>
      <c r="R56" s="28"/>
      <c r="S56" s="29"/>
      <c r="T56" s="24"/>
      <c r="U56" s="24"/>
      <c r="V56" s="24"/>
      <c r="W56" s="24"/>
      <c r="X56" s="24"/>
      <c r="Y56" s="24"/>
      <c r="Z56" s="113"/>
      <c r="AA56" s="22"/>
      <c r="AB56" s="22"/>
      <c r="AC56" s="22"/>
      <c r="AD56" s="22"/>
      <c r="AE56" s="22"/>
      <c r="AF56" s="22"/>
      <c r="AG56" s="22"/>
      <c r="AH56" s="22"/>
      <c r="AI56" s="22"/>
      <c r="AJ56" s="22"/>
      <c r="AK56" s="22"/>
      <c r="AL56" s="71"/>
      <c r="AM56" s="24"/>
      <c r="AN56" s="24"/>
      <c r="AO56" s="24"/>
      <c r="AP56" s="24"/>
      <c r="AQ56" s="24"/>
      <c r="AR56" s="24"/>
      <c r="AS56" s="24"/>
      <c r="AT56" s="22"/>
      <c r="AU56" s="22"/>
    </row>
    <row r="57" spans="1:47" x14ac:dyDescent="0.2">
      <c r="A57" s="22" t="s">
        <v>35</v>
      </c>
      <c r="B57" s="22" t="s">
        <v>1247</v>
      </c>
      <c r="C57" s="22"/>
      <c r="D57" s="22" t="s">
        <v>60</v>
      </c>
      <c r="E57" s="22" t="s">
        <v>251</v>
      </c>
      <c r="F57" s="65"/>
      <c r="G57" s="22"/>
      <c r="H57" s="22"/>
      <c r="I57" s="22" t="s">
        <v>1248</v>
      </c>
      <c r="J57" s="22"/>
      <c r="K57" s="22" t="s">
        <v>42</v>
      </c>
      <c r="L57" s="24">
        <v>2024</v>
      </c>
      <c r="M57" s="24"/>
      <c r="N57" s="51">
        <v>2600</v>
      </c>
      <c r="O57" s="39"/>
      <c r="P57" s="27">
        <v>5</v>
      </c>
      <c r="Q57" s="28">
        <v>2500</v>
      </c>
      <c r="R57" s="28">
        <v>235</v>
      </c>
      <c r="S57" s="29"/>
      <c r="T57" s="24"/>
      <c r="U57" s="24"/>
      <c r="V57" s="24"/>
      <c r="W57" s="24"/>
      <c r="X57" s="24"/>
      <c r="Y57" s="24"/>
      <c r="Z57" s="113"/>
      <c r="AA57" s="22"/>
      <c r="AB57" s="22"/>
      <c r="AC57" s="22"/>
      <c r="AD57" s="22"/>
      <c r="AE57" s="22"/>
      <c r="AF57" s="22"/>
      <c r="AG57" s="113">
        <f>Q57*P57*12.02</f>
        <v>150250</v>
      </c>
      <c r="AH57" s="22"/>
      <c r="AI57" s="22"/>
      <c r="AJ57" s="22"/>
      <c r="AK57" s="22"/>
      <c r="AL57" s="71"/>
      <c r="AM57" s="24"/>
      <c r="AN57" s="24"/>
      <c r="AO57" s="24"/>
      <c r="AP57" s="24"/>
      <c r="AQ57" s="24"/>
      <c r="AR57" s="24"/>
      <c r="AS57" s="24"/>
      <c r="AT57" s="22"/>
      <c r="AU57" s="22"/>
    </row>
    <row r="58" spans="1:47" ht="38.25" x14ac:dyDescent="0.2">
      <c r="A58" s="22" t="s">
        <v>86</v>
      </c>
      <c r="B58" s="22" t="s">
        <v>737</v>
      </c>
      <c r="C58" s="22"/>
      <c r="D58" s="22" t="s">
        <v>98</v>
      </c>
      <c r="E58" s="22" t="s">
        <v>251</v>
      </c>
      <c r="F58" s="171" t="s">
        <v>975</v>
      </c>
      <c r="G58" s="22"/>
      <c r="H58" s="22"/>
      <c r="I58" s="22" t="s">
        <v>738</v>
      </c>
      <c r="J58" s="22"/>
      <c r="K58" s="22" t="s">
        <v>42</v>
      </c>
      <c r="L58" s="24">
        <v>2022</v>
      </c>
      <c r="M58" s="24"/>
      <c r="N58" s="38">
        <f>8000000/15</f>
        <v>533333.33333333337</v>
      </c>
      <c r="O58" s="39"/>
      <c r="P58" s="27">
        <v>20</v>
      </c>
      <c r="Q58" s="28">
        <v>2500</v>
      </c>
      <c r="R58" s="28">
        <f>IF(Q58&lt;4.99,(Q58*12%+4),IF(Q58&lt;10.99,(Q58*12%+8),IF(Q58&lt;14.99,(Q58*12%+12),IF(Q58&lt;879.99,(Q58*12%+16),IF(Q58&lt;2569.99,(Q58*7%+60),240)))))</f>
        <v>235.00000000000003</v>
      </c>
      <c r="S58" s="29">
        <f t="shared" ref="S58:S65" si="3">R58*P58</f>
        <v>4700.0000000000009</v>
      </c>
      <c r="T58" s="24"/>
      <c r="U58" s="24"/>
      <c r="V58" s="24"/>
      <c r="W58" s="24"/>
      <c r="X58" s="24"/>
      <c r="Y58" s="24"/>
      <c r="Z58" s="113">
        <f>Q58*P58*0.5*6</f>
        <v>150000</v>
      </c>
      <c r="AA58" s="22"/>
      <c r="AB58" s="22"/>
      <c r="AC58" s="22"/>
      <c r="AD58" s="22"/>
      <c r="AE58" s="22">
        <f>20*1600</f>
        <v>32000</v>
      </c>
      <c r="AF58" s="22"/>
      <c r="AG58" s="22">
        <f>120*1600</f>
        <v>192000</v>
      </c>
      <c r="AH58" s="22"/>
      <c r="AI58" s="22" t="s">
        <v>42</v>
      </c>
      <c r="AJ58" s="22"/>
      <c r="AK58" s="22"/>
      <c r="AL58" s="71" t="s">
        <v>739</v>
      </c>
      <c r="AM58" s="24">
        <v>2</v>
      </c>
      <c r="AN58" s="24">
        <v>3</v>
      </c>
      <c r="AO58" s="24">
        <v>3</v>
      </c>
      <c r="AP58" s="24">
        <v>1</v>
      </c>
      <c r="AQ58" s="24">
        <v>2</v>
      </c>
      <c r="AR58" s="24">
        <v>2</v>
      </c>
      <c r="AS58" s="24">
        <v>72</v>
      </c>
      <c r="AT58" s="22" t="s">
        <v>48</v>
      </c>
      <c r="AU58" s="22"/>
    </row>
    <row r="59" spans="1:47" x14ac:dyDescent="0.2">
      <c r="A59" s="61" t="s">
        <v>72</v>
      </c>
      <c r="B59" s="61" t="s">
        <v>184</v>
      </c>
      <c r="C59" s="61"/>
      <c r="D59" s="61" t="s">
        <v>37</v>
      </c>
      <c r="E59" s="61" t="s">
        <v>565</v>
      </c>
      <c r="F59" s="61"/>
      <c r="G59" s="61"/>
      <c r="H59" s="61"/>
      <c r="I59" s="61" t="s">
        <v>770</v>
      </c>
      <c r="J59" s="61"/>
      <c r="K59" s="61" t="s">
        <v>42</v>
      </c>
      <c r="L59" s="62"/>
      <c r="M59" s="62"/>
      <c r="N59" s="38">
        <f>150000*2/3</f>
        <v>100000</v>
      </c>
      <c r="O59" s="39"/>
      <c r="P59" s="27">
        <f>N59*O59</f>
        <v>0</v>
      </c>
      <c r="Q59" s="28"/>
      <c r="R59" s="28">
        <f>IF(Q59&lt;4.99,(Q59*12%+4),IF(Q59&lt;10.99,(Q59*12%+8),IF(Q59&lt;14.99,(Q59*12%+12),IF(Q59&lt;879.99,(Q59*12%+16),IF(Q59&lt;2569.99,(Q59*7%+60),240)))))</f>
        <v>4</v>
      </c>
      <c r="S59" s="29">
        <f t="shared" si="3"/>
        <v>0</v>
      </c>
      <c r="T59" s="62"/>
      <c r="U59" s="62"/>
      <c r="V59" s="62"/>
      <c r="W59" s="62"/>
      <c r="X59" s="62"/>
      <c r="Y59" s="62"/>
      <c r="Z59" s="61">
        <v>0</v>
      </c>
      <c r="AA59" s="61"/>
      <c r="AB59" s="61"/>
      <c r="AC59" s="61"/>
      <c r="AD59" s="61"/>
      <c r="AE59" s="61"/>
      <c r="AF59" s="61"/>
      <c r="AG59" s="61"/>
      <c r="AH59" s="61"/>
      <c r="AI59" s="61" t="s">
        <v>42</v>
      </c>
      <c r="AJ59" s="61"/>
      <c r="AK59" s="61" t="s">
        <v>735</v>
      </c>
      <c r="AL59" s="75"/>
      <c r="AM59" s="62">
        <v>2</v>
      </c>
      <c r="AN59" s="62">
        <v>3</v>
      </c>
      <c r="AO59" s="62">
        <v>3</v>
      </c>
      <c r="AP59" s="62">
        <v>3</v>
      </c>
      <c r="AQ59" s="62">
        <v>1</v>
      </c>
      <c r="AR59" s="62">
        <v>3</v>
      </c>
      <c r="AS59" s="62">
        <v>162</v>
      </c>
      <c r="AT59" s="61" t="s">
        <v>48</v>
      </c>
      <c r="AU59" s="61"/>
    </row>
    <row r="60" spans="1:47" s="157" customFormat="1" ht="38.25" x14ac:dyDescent="0.2">
      <c r="A60" s="22" t="s">
        <v>58</v>
      </c>
      <c r="B60" s="23" t="s">
        <v>243</v>
      </c>
      <c r="C60" s="22"/>
      <c r="D60" s="22" t="s">
        <v>60</v>
      </c>
      <c r="E60" s="22" t="s">
        <v>244</v>
      </c>
      <c r="F60" s="83" t="s">
        <v>941</v>
      </c>
      <c r="G60" s="22"/>
      <c r="H60" s="22"/>
      <c r="I60" s="23" t="s">
        <v>1086</v>
      </c>
      <c r="J60" s="22"/>
      <c r="K60" s="22" t="s">
        <v>64</v>
      </c>
      <c r="L60" s="24">
        <v>2022</v>
      </c>
      <c r="M60" s="24"/>
      <c r="N60" s="52">
        <f>7500/7500000000*8500000</f>
        <v>8.5</v>
      </c>
      <c r="O60" s="39"/>
      <c r="P60" s="27">
        <f>N60*O60</f>
        <v>0</v>
      </c>
      <c r="Q60" s="28">
        <v>3000</v>
      </c>
      <c r="R60" s="28">
        <f>IF(Q60&lt;4.99,(Q60*12%+4),IF(Q60&lt;10.99,(Q60*12%+8),IF(Q60&lt;14.99,(Q60*12%+12),IF(Q60&lt;879.99,(Q60*12%+16),IF(Q60&lt;2569.99,(Q60*7%+60),240)))))</f>
        <v>240</v>
      </c>
      <c r="S60" s="29">
        <f t="shared" si="3"/>
        <v>0</v>
      </c>
      <c r="T60" s="24"/>
      <c r="U60" s="24"/>
      <c r="V60" s="24"/>
      <c r="W60" s="24"/>
      <c r="X60" s="24"/>
      <c r="Y60" s="24"/>
      <c r="Z60" s="22"/>
      <c r="AA60" s="22"/>
      <c r="AB60" s="22"/>
      <c r="AC60" s="22"/>
      <c r="AD60" s="22"/>
      <c r="AE60" s="22"/>
      <c r="AF60" s="22"/>
      <c r="AG60" s="22"/>
      <c r="AH60" s="22"/>
      <c r="AI60" s="22" t="s">
        <v>64</v>
      </c>
      <c r="AJ60" s="22"/>
      <c r="AK60" s="22"/>
      <c r="AL60" s="168" t="s">
        <v>245</v>
      </c>
      <c r="AM60" s="24">
        <v>1</v>
      </c>
      <c r="AN60" s="24">
        <v>1</v>
      </c>
      <c r="AO60" s="24">
        <v>2</v>
      </c>
      <c r="AP60" s="24">
        <v>3</v>
      </c>
      <c r="AQ60" s="24">
        <v>1</v>
      </c>
      <c r="AR60" s="24">
        <v>1</v>
      </c>
      <c r="AS60" s="24">
        <v>6</v>
      </c>
      <c r="AT60" s="22" t="s">
        <v>48</v>
      </c>
      <c r="AU60" s="22"/>
    </row>
    <row r="61" spans="1:47" s="133" customFormat="1" ht="38.25" x14ac:dyDescent="0.2">
      <c r="A61" s="144" t="s">
        <v>58</v>
      </c>
      <c r="B61" s="144" t="s">
        <v>660</v>
      </c>
      <c r="C61" s="144"/>
      <c r="D61" s="144" t="s">
        <v>98</v>
      </c>
      <c r="E61" s="144" t="s">
        <v>661</v>
      </c>
      <c r="F61" s="144"/>
      <c r="G61" s="155" t="s">
        <v>986</v>
      </c>
      <c r="H61" s="144"/>
      <c r="I61" s="144" t="s">
        <v>662</v>
      </c>
      <c r="J61" s="144" t="s">
        <v>663</v>
      </c>
      <c r="K61" s="144" t="s">
        <v>315</v>
      </c>
      <c r="L61" s="148">
        <v>2019</v>
      </c>
      <c r="M61" s="148"/>
      <c r="N61" s="149">
        <f>0.0003*8500000</f>
        <v>2550</v>
      </c>
      <c r="O61" s="158" t="s">
        <v>1012</v>
      </c>
      <c r="P61" s="151">
        <v>10</v>
      </c>
      <c r="Q61" s="152"/>
      <c r="R61" s="152">
        <v>240</v>
      </c>
      <c r="S61" s="153">
        <f t="shared" si="3"/>
        <v>2400</v>
      </c>
      <c r="T61" s="148"/>
      <c r="U61" s="148"/>
      <c r="V61" s="148"/>
      <c r="W61" s="148"/>
      <c r="X61" s="148"/>
      <c r="Y61" s="148"/>
      <c r="Z61" s="144">
        <v>5000</v>
      </c>
      <c r="AA61" s="144"/>
      <c r="AB61" s="144"/>
      <c r="AC61" s="144"/>
      <c r="AD61" s="144"/>
      <c r="AE61" s="144">
        <f>260*1700</f>
        <v>442000</v>
      </c>
      <c r="AF61" s="144"/>
      <c r="AG61" s="144"/>
      <c r="AH61" s="144"/>
      <c r="AI61" s="144" t="s">
        <v>42</v>
      </c>
      <c r="AJ61" s="144"/>
      <c r="AK61" s="144"/>
      <c r="AL61" s="155" t="s">
        <v>664</v>
      </c>
      <c r="AM61" s="148">
        <v>1</v>
      </c>
      <c r="AN61" s="148">
        <v>2</v>
      </c>
      <c r="AO61" s="148">
        <v>2</v>
      </c>
      <c r="AP61" s="148">
        <v>3</v>
      </c>
      <c r="AQ61" s="148">
        <v>1</v>
      </c>
      <c r="AR61" s="148">
        <v>2</v>
      </c>
      <c r="AS61" s="148">
        <v>24</v>
      </c>
      <c r="AT61" s="144" t="s">
        <v>48</v>
      </c>
      <c r="AU61" s="144"/>
    </row>
    <row r="62" spans="1:47" s="133" customFormat="1" ht="51" x14ac:dyDescent="0.2">
      <c r="A62" s="22" t="s">
        <v>86</v>
      </c>
      <c r="B62" s="23" t="s">
        <v>730</v>
      </c>
      <c r="C62" s="22"/>
      <c r="D62" s="22" t="s">
        <v>37</v>
      </c>
      <c r="E62" s="22" t="s">
        <v>731</v>
      </c>
      <c r="F62" s="22"/>
      <c r="G62" s="22"/>
      <c r="H62" s="65" t="s">
        <v>993</v>
      </c>
      <c r="I62" s="22" t="s">
        <v>732</v>
      </c>
      <c r="J62" s="22" t="s">
        <v>733</v>
      </c>
      <c r="K62" s="22" t="s">
        <v>734</v>
      </c>
      <c r="L62" s="24">
        <v>2021</v>
      </c>
      <c r="M62" s="24"/>
      <c r="N62" s="38">
        <f>8500000*0.05</f>
        <v>425000</v>
      </c>
      <c r="O62" s="39"/>
      <c r="P62" s="27">
        <f>N62*O62</f>
        <v>0</v>
      </c>
      <c r="Q62" s="28"/>
      <c r="R62" s="28">
        <f>IF(Q62&lt;4.99,(Q62*12%+4),IF(Q62&lt;10.99,(Q62*12%+8),IF(Q62&lt;14.99,(Q62*12%+12),IF(Q62&lt;879.99,(Q62*12%+16),IF(Q62&lt;2569.99,(Q62*7%+60),240)))))</f>
        <v>4</v>
      </c>
      <c r="S62" s="29">
        <f t="shared" si="3"/>
        <v>0</v>
      </c>
      <c r="T62" s="24"/>
      <c r="U62" s="24"/>
      <c r="V62" s="24"/>
      <c r="W62" s="24"/>
      <c r="X62" s="24"/>
      <c r="Y62" s="24"/>
      <c r="Z62" s="22">
        <v>5000</v>
      </c>
      <c r="AA62" s="22"/>
      <c r="AB62" s="22"/>
      <c r="AC62" s="22"/>
      <c r="AD62" s="22"/>
      <c r="AE62" s="22">
        <v>0</v>
      </c>
      <c r="AF62" s="22"/>
      <c r="AG62" s="22"/>
      <c r="AH62" s="22"/>
      <c r="AI62" s="22" t="s">
        <v>42</v>
      </c>
      <c r="AJ62" s="22"/>
      <c r="AK62" s="22" t="s">
        <v>735</v>
      </c>
      <c r="AL62" s="71" t="s">
        <v>736</v>
      </c>
      <c r="AM62" s="24">
        <v>1</v>
      </c>
      <c r="AN62" s="24">
        <v>3</v>
      </c>
      <c r="AO62" s="24">
        <v>1</v>
      </c>
      <c r="AP62" s="24">
        <v>3</v>
      </c>
      <c r="AQ62" s="24">
        <v>2</v>
      </c>
      <c r="AR62" s="24">
        <v>2</v>
      </c>
      <c r="AS62" s="24">
        <v>36</v>
      </c>
      <c r="AT62" s="22" t="s">
        <v>48</v>
      </c>
      <c r="AU62" s="22"/>
    </row>
    <row r="63" spans="1:47" s="133" customFormat="1" ht="38.25" x14ac:dyDescent="0.2">
      <c r="A63" s="22" t="s">
        <v>86</v>
      </c>
      <c r="B63" s="22" t="s">
        <v>411</v>
      </c>
      <c r="C63" s="22"/>
      <c r="D63" s="22" t="s">
        <v>37</v>
      </c>
      <c r="E63" s="22" t="s">
        <v>412</v>
      </c>
      <c r="F63" s="110" t="s">
        <v>959</v>
      </c>
      <c r="G63" s="22"/>
      <c r="H63" s="22"/>
      <c r="I63" s="22" t="s">
        <v>413</v>
      </c>
      <c r="J63" s="22"/>
      <c r="K63" s="22" t="s">
        <v>42</v>
      </c>
      <c r="L63" s="24">
        <v>2023</v>
      </c>
      <c r="M63" s="24"/>
      <c r="N63" s="38">
        <f>8500000/1000</f>
        <v>8500</v>
      </c>
      <c r="O63" s="39"/>
      <c r="P63" s="27">
        <f>N63*O63</f>
        <v>0</v>
      </c>
      <c r="Q63" s="28"/>
      <c r="R63" s="28">
        <f>IF(Q63&lt;4.99,(Q63*12%+4),IF(Q63&lt;10.99,(Q63*12%+8),IF(Q63&lt;14.99,(Q63*12%+12),IF(Q63&lt;879.99,(Q63*12%+16),IF(Q63&lt;2569.99,(Q63*7%+60),240)))))</f>
        <v>4</v>
      </c>
      <c r="S63" s="29">
        <f t="shared" si="3"/>
        <v>0</v>
      </c>
      <c r="T63" s="24"/>
      <c r="U63" s="24"/>
      <c r="V63" s="24"/>
      <c r="W63" s="24"/>
      <c r="X63" s="24"/>
      <c r="Y63" s="24"/>
      <c r="Z63" s="22"/>
      <c r="AA63" s="22"/>
      <c r="AB63" s="22"/>
      <c r="AC63" s="22"/>
      <c r="AD63" s="22"/>
      <c r="AE63" s="22"/>
      <c r="AF63" s="22"/>
      <c r="AG63" s="22"/>
      <c r="AH63" s="22"/>
      <c r="AI63" s="22" t="s">
        <v>42</v>
      </c>
      <c r="AJ63" s="22"/>
      <c r="AK63" s="22"/>
      <c r="AL63" s="71" t="s">
        <v>414</v>
      </c>
      <c r="AM63" s="24">
        <v>1</v>
      </c>
      <c r="AN63" s="24">
        <v>2</v>
      </c>
      <c r="AO63" s="24">
        <v>2</v>
      </c>
      <c r="AP63" s="24">
        <v>1</v>
      </c>
      <c r="AQ63" s="24">
        <v>2</v>
      </c>
      <c r="AR63" s="24">
        <v>1</v>
      </c>
      <c r="AS63" s="24">
        <v>8</v>
      </c>
      <c r="AT63" s="22" t="s">
        <v>45</v>
      </c>
      <c r="AU63" s="22"/>
    </row>
    <row r="64" spans="1:47" ht="38.25" x14ac:dyDescent="0.2">
      <c r="A64" s="22" t="s">
        <v>58</v>
      </c>
      <c r="B64" s="22" t="s">
        <v>625</v>
      </c>
      <c r="C64" s="22"/>
      <c r="D64" s="22" t="s">
        <v>37</v>
      </c>
      <c r="E64" s="22" t="s">
        <v>412</v>
      </c>
      <c r="F64" s="110" t="s">
        <v>959</v>
      </c>
      <c r="G64" s="22"/>
      <c r="H64" s="22"/>
      <c r="I64" s="22" t="s">
        <v>626</v>
      </c>
      <c r="J64" s="22"/>
      <c r="K64" s="22" t="s">
        <v>128</v>
      </c>
      <c r="L64" s="24">
        <v>2021</v>
      </c>
      <c r="M64" s="24"/>
      <c r="N64" s="51">
        <f>8500000/1000000*4</f>
        <v>34</v>
      </c>
      <c r="O64" s="39"/>
      <c r="P64" s="27">
        <f>N64*O64</f>
        <v>0</v>
      </c>
      <c r="Q64" s="28"/>
      <c r="R64" s="28">
        <f>IF(Q64&lt;4.99,(Q64*12%+4),IF(Q64&lt;10.99,(Q64*12%+8),IF(Q64&lt;14.99,(Q64*12%+12),IF(Q64&lt;879.99,(Q64*12%+16),IF(Q64&lt;2569.99,(Q64*7%+60),240)))))</f>
        <v>4</v>
      </c>
      <c r="S64" s="29">
        <f t="shared" si="3"/>
        <v>0</v>
      </c>
      <c r="T64" s="24"/>
      <c r="U64" s="24"/>
      <c r="V64" s="24"/>
      <c r="W64" s="24"/>
      <c r="X64" s="24"/>
      <c r="Y64" s="24"/>
      <c r="Z64" s="22">
        <v>0</v>
      </c>
      <c r="AA64" s="22"/>
      <c r="AB64" s="22"/>
      <c r="AC64" s="22"/>
      <c r="AD64" s="22"/>
      <c r="AE64" s="22"/>
      <c r="AF64" s="22"/>
      <c r="AG64" s="22"/>
      <c r="AH64" s="22"/>
      <c r="AI64" s="22" t="s">
        <v>64</v>
      </c>
      <c r="AJ64" s="22"/>
      <c r="AK64" s="22" t="s">
        <v>56</v>
      </c>
      <c r="AL64" s="71" t="s">
        <v>557</v>
      </c>
      <c r="AM64" s="24">
        <v>1</v>
      </c>
      <c r="AN64" s="24">
        <v>2</v>
      </c>
      <c r="AO64" s="24">
        <v>1</v>
      </c>
      <c r="AP64" s="24">
        <v>2</v>
      </c>
      <c r="AQ64" s="24">
        <v>2</v>
      </c>
      <c r="AR64" s="24">
        <v>2</v>
      </c>
      <c r="AS64" s="24">
        <v>16</v>
      </c>
      <c r="AT64" s="22" t="s">
        <v>45</v>
      </c>
      <c r="AU64" s="22"/>
    </row>
    <row r="65" spans="1:47" ht="38.25" x14ac:dyDescent="0.2">
      <c r="A65" s="144" t="s">
        <v>35</v>
      </c>
      <c r="B65" s="144" t="s">
        <v>91</v>
      </c>
      <c r="C65" s="144"/>
      <c r="D65" s="144" t="s">
        <v>37</v>
      </c>
      <c r="E65" s="144" t="s">
        <v>92</v>
      </c>
      <c r="F65" s="155" t="s">
        <v>925</v>
      </c>
      <c r="G65" s="144"/>
      <c r="H65" s="144"/>
      <c r="I65" s="144" t="s">
        <v>93</v>
      </c>
      <c r="J65" s="144" t="s">
        <v>1154</v>
      </c>
      <c r="K65" s="144" t="s">
        <v>42</v>
      </c>
      <c r="L65" s="148">
        <v>2021</v>
      </c>
      <c r="M65" s="148"/>
      <c r="N65" s="149">
        <f>80*2.5</f>
        <v>200</v>
      </c>
      <c r="O65" s="150"/>
      <c r="P65" s="151">
        <f>N65*O65</f>
        <v>0</v>
      </c>
      <c r="Q65" s="152"/>
      <c r="R65" s="152">
        <f>IF(Q65&lt;4.99,(Q65*12%+4),IF(Q65&lt;10.99,(Q65*12%+8),IF(Q65&lt;14.99,(Q65*12%+12),IF(Q65&lt;879.99,(Q65*12%+16),IF(Q65&lt;2569.99,(Q65*7%+60),240)))))</f>
        <v>4</v>
      </c>
      <c r="S65" s="153">
        <f t="shared" si="3"/>
        <v>0</v>
      </c>
      <c r="T65" s="148"/>
      <c r="U65" s="148"/>
      <c r="V65" s="148"/>
      <c r="W65" s="148"/>
      <c r="X65" s="148"/>
      <c r="Y65" s="148"/>
      <c r="Z65" s="144">
        <v>20000</v>
      </c>
      <c r="AA65" s="144"/>
      <c r="AB65" s="144"/>
      <c r="AC65" s="144"/>
      <c r="AD65" s="144"/>
      <c r="AE65" s="144">
        <f>200*14300</f>
        <v>2860000</v>
      </c>
      <c r="AF65" s="144"/>
      <c r="AG65" s="144"/>
      <c r="AH65" s="144"/>
      <c r="AI65" s="144" t="s">
        <v>42</v>
      </c>
      <c r="AJ65" s="144" t="s">
        <v>94</v>
      </c>
      <c r="AK65" s="144" t="s">
        <v>95</v>
      </c>
      <c r="AL65" s="155" t="s">
        <v>96</v>
      </c>
      <c r="AM65" s="148">
        <v>3</v>
      </c>
      <c r="AN65" s="148">
        <v>2</v>
      </c>
      <c r="AO65" s="148">
        <v>2</v>
      </c>
      <c r="AP65" s="148">
        <v>3</v>
      </c>
      <c r="AQ65" s="148">
        <v>1</v>
      </c>
      <c r="AR65" s="148">
        <v>2</v>
      </c>
      <c r="AS65" s="148">
        <v>72</v>
      </c>
      <c r="AT65" s="144" t="s">
        <v>48</v>
      </c>
      <c r="AU65" s="144"/>
    </row>
    <row r="66" spans="1:47" ht="38.25" x14ac:dyDescent="0.2">
      <c r="A66" s="22" t="s">
        <v>86</v>
      </c>
      <c r="B66" s="22" t="s">
        <v>737</v>
      </c>
      <c r="C66" s="22"/>
      <c r="D66" s="22" t="s">
        <v>98</v>
      </c>
      <c r="E66" s="22" t="s">
        <v>251</v>
      </c>
      <c r="F66" s="71" t="s">
        <v>920</v>
      </c>
      <c r="G66" s="22"/>
      <c r="H66" s="22"/>
      <c r="I66" s="22" t="s">
        <v>761</v>
      </c>
      <c r="J66" s="22"/>
      <c r="K66" s="22" t="s">
        <v>42</v>
      </c>
      <c r="L66" s="24">
        <v>2021</v>
      </c>
      <c r="M66" s="24"/>
      <c r="N66" s="38"/>
      <c r="O66" s="39"/>
      <c r="P66" s="24"/>
      <c r="Q66" s="28"/>
      <c r="R66" s="24"/>
      <c r="S66" s="24"/>
      <c r="T66" s="24"/>
      <c r="U66" s="24"/>
      <c r="V66" s="24"/>
      <c r="W66" s="24"/>
      <c r="X66" s="24"/>
      <c r="Y66" s="24"/>
      <c r="Z66" s="22"/>
      <c r="AA66" s="22"/>
      <c r="AB66" s="22"/>
      <c r="AC66" s="22"/>
      <c r="AD66" s="22"/>
      <c r="AE66" s="22"/>
      <c r="AF66" s="22"/>
      <c r="AG66" s="22"/>
      <c r="AH66" s="22"/>
      <c r="AI66" s="22"/>
      <c r="AJ66" s="22"/>
      <c r="AK66" s="22"/>
      <c r="AL66" s="71"/>
      <c r="AM66" s="24">
        <v>2</v>
      </c>
      <c r="AN66" s="24">
        <v>2</v>
      </c>
      <c r="AO66" s="24">
        <v>2</v>
      </c>
      <c r="AP66" s="24">
        <v>1</v>
      </c>
      <c r="AQ66" s="24">
        <v>3</v>
      </c>
      <c r="AR66" s="24">
        <v>2</v>
      </c>
      <c r="AS66" s="24">
        <v>48</v>
      </c>
      <c r="AT66" s="22" t="s">
        <v>45</v>
      </c>
      <c r="AU66" s="22" t="s">
        <v>125</v>
      </c>
    </row>
    <row r="67" spans="1:47" ht="38.25" x14ac:dyDescent="0.2">
      <c r="A67" s="22" t="s">
        <v>35</v>
      </c>
      <c r="B67" s="22" t="s">
        <v>517</v>
      </c>
      <c r="C67" s="22"/>
      <c r="D67" s="65" t="s">
        <v>37</v>
      </c>
      <c r="E67" s="88" t="s">
        <v>535</v>
      </c>
      <c r="F67" s="97" t="s">
        <v>920</v>
      </c>
      <c r="G67" s="88"/>
      <c r="H67" s="88"/>
      <c r="I67" s="65" t="s">
        <v>804</v>
      </c>
      <c r="J67" s="22"/>
      <c r="K67" s="22" t="s">
        <v>42</v>
      </c>
      <c r="L67" s="24">
        <v>2023</v>
      </c>
      <c r="M67" s="24"/>
      <c r="N67" s="38"/>
      <c r="O67" s="39"/>
      <c r="P67" s="27"/>
      <c r="Q67" s="28"/>
      <c r="R67" s="28"/>
      <c r="S67" s="29"/>
      <c r="T67" s="24"/>
      <c r="U67" s="24"/>
      <c r="V67" s="24"/>
      <c r="W67" s="24"/>
      <c r="X67" s="24"/>
      <c r="Y67" s="24"/>
      <c r="Z67" s="22"/>
      <c r="AA67" s="22"/>
      <c r="AB67" s="22"/>
      <c r="AC67" s="22"/>
      <c r="AD67" s="22"/>
      <c r="AE67" s="22"/>
      <c r="AF67" s="22"/>
      <c r="AG67" s="22"/>
      <c r="AH67" s="22"/>
      <c r="AI67" s="22" t="s">
        <v>42</v>
      </c>
      <c r="AJ67" s="22"/>
      <c r="AK67" s="41"/>
      <c r="AL67" s="67" t="s">
        <v>805</v>
      </c>
      <c r="AM67" s="24">
        <v>1</v>
      </c>
      <c r="AN67" s="24">
        <v>3</v>
      </c>
      <c r="AO67" s="24">
        <v>3</v>
      </c>
      <c r="AP67" s="24">
        <v>3</v>
      </c>
      <c r="AQ67" s="24">
        <v>1</v>
      </c>
      <c r="AR67" s="24">
        <v>2</v>
      </c>
      <c r="AS67" s="24">
        <v>54</v>
      </c>
      <c r="AT67" s="22" t="s">
        <v>45</v>
      </c>
      <c r="AU67" s="22"/>
    </row>
    <row r="68" spans="1:47" ht="38.25" x14ac:dyDescent="0.2">
      <c r="A68" s="22" t="s">
        <v>35</v>
      </c>
      <c r="B68" s="22" t="s">
        <v>534</v>
      </c>
      <c r="C68" s="22"/>
      <c r="D68" s="22" t="s">
        <v>60</v>
      </c>
      <c r="E68" s="22" t="s">
        <v>535</v>
      </c>
      <c r="F68" s="71" t="s">
        <v>920</v>
      </c>
      <c r="G68" s="22"/>
      <c r="H68" s="22"/>
      <c r="I68" s="22" t="s">
        <v>536</v>
      </c>
      <c r="J68" s="22" t="s">
        <v>537</v>
      </c>
      <c r="K68" s="22" t="s">
        <v>63</v>
      </c>
      <c r="L68" s="24">
        <v>2019</v>
      </c>
      <c r="M68" s="24"/>
      <c r="N68" s="38">
        <f>8500000/100000*3*5</f>
        <v>1275</v>
      </c>
      <c r="O68" s="39"/>
      <c r="P68" s="27">
        <f t="shared" ref="P68:P74" si="4">N68*O68</f>
        <v>0</v>
      </c>
      <c r="Q68" s="28"/>
      <c r="R68" s="28">
        <f t="shared" ref="R68:R74" si="5">IF(Q68&lt;4.99,(Q68*12%+4),IF(Q68&lt;10.99,(Q68*12%+8),IF(Q68&lt;14.99,(Q68*12%+12),IF(Q68&lt;879.99,(Q68*12%+16),IF(Q68&lt;2569.99,(Q68*7%+60),240)))))</f>
        <v>4</v>
      </c>
      <c r="S68" s="29">
        <f t="shared" ref="S68:S74" si="6">R68*P68</f>
        <v>0</v>
      </c>
      <c r="T68" s="24"/>
      <c r="U68" s="24"/>
      <c r="V68" s="24"/>
      <c r="W68" s="24"/>
      <c r="X68" s="24"/>
      <c r="Y68" s="24"/>
      <c r="Z68" s="22">
        <v>0</v>
      </c>
      <c r="AA68" s="22"/>
      <c r="AB68" s="22"/>
      <c r="AC68" s="22"/>
      <c r="AD68" s="22"/>
      <c r="AE68" s="22"/>
      <c r="AF68" s="22"/>
      <c r="AG68" s="22"/>
      <c r="AH68" s="22"/>
      <c r="AI68" s="22" t="s">
        <v>42</v>
      </c>
      <c r="AJ68" s="22" t="s">
        <v>182</v>
      </c>
      <c r="AK68" s="41" t="s">
        <v>538</v>
      </c>
      <c r="AL68" s="71" t="s">
        <v>539</v>
      </c>
      <c r="AM68" s="24">
        <v>1</v>
      </c>
      <c r="AN68" s="24">
        <v>2</v>
      </c>
      <c r="AO68" s="24">
        <v>3</v>
      </c>
      <c r="AP68" s="24">
        <v>3</v>
      </c>
      <c r="AQ68" s="24">
        <v>1</v>
      </c>
      <c r="AR68" s="24">
        <v>1</v>
      </c>
      <c r="AS68" s="24">
        <v>18</v>
      </c>
      <c r="AT68" s="22" t="s">
        <v>48</v>
      </c>
      <c r="AU68" s="22"/>
    </row>
    <row r="69" spans="1:47" s="156" customFormat="1" ht="38.25" x14ac:dyDescent="0.2">
      <c r="A69" s="22" t="s">
        <v>35</v>
      </c>
      <c r="B69" s="23" t="s">
        <v>177</v>
      </c>
      <c r="C69" s="22"/>
      <c r="D69" s="22" t="s">
        <v>37</v>
      </c>
      <c r="E69" s="22" t="s">
        <v>178</v>
      </c>
      <c r="F69" s="71" t="s">
        <v>920</v>
      </c>
      <c r="G69" s="22"/>
      <c r="H69" s="22"/>
      <c r="I69" s="22" t="s">
        <v>179</v>
      </c>
      <c r="J69" s="22"/>
      <c r="K69" s="22" t="s">
        <v>180</v>
      </c>
      <c r="L69" s="24">
        <v>2021</v>
      </c>
      <c r="M69" s="24"/>
      <c r="N69" s="38">
        <f>40*80</f>
        <v>3200</v>
      </c>
      <c r="O69" s="39"/>
      <c r="P69" s="27">
        <f t="shared" si="4"/>
        <v>0</v>
      </c>
      <c r="Q69" s="28"/>
      <c r="R69" s="28">
        <f t="shared" si="5"/>
        <v>4</v>
      </c>
      <c r="S69" s="29">
        <f t="shared" si="6"/>
        <v>0</v>
      </c>
      <c r="T69" s="24"/>
      <c r="U69" s="24"/>
      <c r="V69" s="24"/>
      <c r="W69" s="24"/>
      <c r="X69" s="24"/>
      <c r="Y69" s="24"/>
      <c r="Z69" s="22">
        <v>0</v>
      </c>
      <c r="AA69" s="22"/>
      <c r="AB69" s="22"/>
      <c r="AC69" s="22"/>
      <c r="AD69" s="22"/>
      <c r="AE69" s="22"/>
      <c r="AF69" s="22"/>
      <c r="AG69" s="22"/>
      <c r="AH69" s="22"/>
      <c r="AI69" s="22" t="s">
        <v>181</v>
      </c>
      <c r="AJ69" s="22" t="s">
        <v>182</v>
      </c>
      <c r="AK69" s="41" t="s">
        <v>132</v>
      </c>
      <c r="AL69" s="71" t="s">
        <v>183</v>
      </c>
      <c r="AM69" s="24">
        <v>1</v>
      </c>
      <c r="AN69" s="24">
        <v>2</v>
      </c>
      <c r="AO69" s="24">
        <v>3</v>
      </c>
      <c r="AP69" s="24">
        <v>3</v>
      </c>
      <c r="AQ69" s="24">
        <v>1</v>
      </c>
      <c r="AR69" s="24">
        <v>2</v>
      </c>
      <c r="AS69" s="24">
        <v>36</v>
      </c>
      <c r="AT69" s="22" t="s">
        <v>48</v>
      </c>
      <c r="AU69" s="22"/>
    </row>
    <row r="70" spans="1:47" s="156" customFormat="1" ht="38.25" x14ac:dyDescent="0.2">
      <c r="A70" s="144" t="s">
        <v>35</v>
      </c>
      <c r="B70" s="144" t="s">
        <v>65</v>
      </c>
      <c r="C70" s="144"/>
      <c r="D70" s="144" t="s">
        <v>37</v>
      </c>
      <c r="E70" s="144" t="s">
        <v>66</v>
      </c>
      <c r="F70" s="155" t="s">
        <v>923</v>
      </c>
      <c r="G70" s="144"/>
      <c r="H70" s="144"/>
      <c r="I70" s="144" t="s">
        <v>67</v>
      </c>
      <c r="J70" s="144" t="s">
        <v>68</v>
      </c>
      <c r="K70" s="144" t="s">
        <v>69</v>
      </c>
      <c r="L70" s="148">
        <v>2020</v>
      </c>
      <c r="M70" s="148"/>
      <c r="N70" s="149">
        <v>6100</v>
      </c>
      <c r="O70" s="150"/>
      <c r="P70" s="151">
        <f t="shared" si="4"/>
        <v>0</v>
      </c>
      <c r="Q70" s="152"/>
      <c r="R70" s="152">
        <f t="shared" si="5"/>
        <v>4</v>
      </c>
      <c r="S70" s="153">
        <f t="shared" si="6"/>
        <v>0</v>
      </c>
      <c r="T70" s="148"/>
      <c r="U70" s="148"/>
      <c r="V70" s="148"/>
      <c r="W70" s="148"/>
      <c r="X70" s="148"/>
      <c r="Y70" s="148"/>
      <c r="Z70" s="144"/>
      <c r="AA70" s="144"/>
      <c r="AB70" s="144"/>
      <c r="AC70" s="144"/>
      <c r="AD70" s="144"/>
      <c r="AE70" s="144"/>
      <c r="AF70" s="144"/>
      <c r="AG70" s="144"/>
      <c r="AH70" s="144"/>
      <c r="AI70" s="144" t="s">
        <v>42</v>
      </c>
      <c r="AJ70" s="144"/>
      <c r="AK70" s="159" t="s">
        <v>70</v>
      </c>
      <c r="AL70" s="155" t="s">
        <v>71</v>
      </c>
      <c r="AM70" s="148">
        <v>3</v>
      </c>
      <c r="AN70" s="148">
        <v>3</v>
      </c>
      <c r="AO70" s="148">
        <v>2</v>
      </c>
      <c r="AP70" s="148">
        <v>3</v>
      </c>
      <c r="AQ70" s="148">
        <v>1</v>
      </c>
      <c r="AR70" s="148">
        <v>2</v>
      </c>
      <c r="AS70" s="148">
        <v>108</v>
      </c>
      <c r="AT70" s="144" t="s">
        <v>48</v>
      </c>
      <c r="AU70" s="144"/>
    </row>
    <row r="71" spans="1:47" s="156" customFormat="1" ht="38.25" x14ac:dyDescent="0.2">
      <c r="A71" s="22" t="s">
        <v>35</v>
      </c>
      <c r="B71" s="22" t="s">
        <v>323</v>
      </c>
      <c r="C71" s="22"/>
      <c r="D71" s="22" t="s">
        <v>60</v>
      </c>
      <c r="E71" s="22" t="s">
        <v>66</v>
      </c>
      <c r="F71" s="71" t="s">
        <v>923</v>
      </c>
      <c r="G71" s="22"/>
      <c r="H71" s="22"/>
      <c r="I71" s="22" t="s">
        <v>324</v>
      </c>
      <c r="J71" s="22" t="s">
        <v>325</v>
      </c>
      <c r="K71" s="22" t="s">
        <v>63</v>
      </c>
      <c r="L71" s="24">
        <v>2022</v>
      </c>
      <c r="M71" s="24"/>
      <c r="N71" s="38"/>
      <c r="O71" s="39"/>
      <c r="P71" s="27">
        <f t="shared" si="4"/>
        <v>0</v>
      </c>
      <c r="Q71" s="28"/>
      <c r="R71" s="28">
        <f t="shared" si="5"/>
        <v>4</v>
      </c>
      <c r="S71" s="29">
        <f t="shared" si="6"/>
        <v>0</v>
      </c>
      <c r="T71" s="24"/>
      <c r="U71" s="24"/>
      <c r="V71" s="24"/>
      <c r="W71" s="24"/>
      <c r="X71" s="24"/>
      <c r="Y71" s="24"/>
      <c r="Z71" s="22">
        <v>0</v>
      </c>
      <c r="AA71" s="22">
        <v>0</v>
      </c>
      <c r="AB71" s="22"/>
      <c r="AC71" s="22"/>
      <c r="AD71" s="22"/>
      <c r="AE71" s="22"/>
      <c r="AF71" s="22"/>
      <c r="AG71" s="22"/>
      <c r="AH71" s="22"/>
      <c r="AI71" s="22" t="s">
        <v>42</v>
      </c>
      <c r="AJ71" s="22"/>
      <c r="AK71" s="41" t="s">
        <v>70</v>
      </c>
      <c r="AL71" s="71" t="s">
        <v>1095</v>
      </c>
      <c r="AM71" s="24">
        <v>3</v>
      </c>
      <c r="AN71" s="24">
        <v>1</v>
      </c>
      <c r="AO71" s="24">
        <v>2</v>
      </c>
      <c r="AP71" s="24">
        <v>3</v>
      </c>
      <c r="AQ71" s="24">
        <v>2</v>
      </c>
      <c r="AR71" s="24">
        <v>1</v>
      </c>
      <c r="AS71" s="24">
        <v>36</v>
      </c>
      <c r="AT71" s="22" t="s">
        <v>45</v>
      </c>
      <c r="AU71" s="22"/>
    </row>
    <row r="72" spans="1:47" ht="38.25" x14ac:dyDescent="0.2">
      <c r="A72" s="144" t="s">
        <v>58</v>
      </c>
      <c r="B72" s="144" t="s">
        <v>342</v>
      </c>
      <c r="C72" s="144"/>
      <c r="D72" s="144" t="s">
        <v>60</v>
      </c>
      <c r="E72" s="144" t="s">
        <v>66</v>
      </c>
      <c r="F72" s="155" t="s">
        <v>923</v>
      </c>
      <c r="G72" s="144"/>
      <c r="H72" s="144"/>
      <c r="I72" s="144" t="s">
        <v>343</v>
      </c>
      <c r="J72" s="144" t="s">
        <v>344</v>
      </c>
      <c r="K72" s="144" t="s">
        <v>266</v>
      </c>
      <c r="L72" s="148">
        <v>2019</v>
      </c>
      <c r="M72" s="148"/>
      <c r="N72" s="149">
        <f>750/6*5</f>
        <v>625</v>
      </c>
      <c r="O72" s="150"/>
      <c r="P72" s="151">
        <f t="shared" si="4"/>
        <v>0</v>
      </c>
      <c r="Q72" s="152"/>
      <c r="R72" s="152">
        <f t="shared" si="5"/>
        <v>4</v>
      </c>
      <c r="S72" s="153">
        <f t="shared" si="6"/>
        <v>0</v>
      </c>
      <c r="T72" s="148"/>
      <c r="U72" s="148"/>
      <c r="V72" s="148"/>
      <c r="W72" s="148"/>
      <c r="X72" s="148"/>
      <c r="Y72" s="148"/>
      <c r="Z72" s="144">
        <v>10000</v>
      </c>
      <c r="AA72" s="144"/>
      <c r="AB72" s="144"/>
      <c r="AC72" s="144"/>
      <c r="AD72" s="144"/>
      <c r="AE72" s="144">
        <f>1600000</f>
        <v>1600000</v>
      </c>
      <c r="AF72" s="144"/>
      <c r="AG72" s="144"/>
      <c r="AH72" s="144"/>
      <c r="AI72" s="144" t="s">
        <v>42</v>
      </c>
      <c r="AJ72" s="144"/>
      <c r="AK72" s="159" t="s">
        <v>95</v>
      </c>
      <c r="AL72" s="155" t="s">
        <v>345</v>
      </c>
      <c r="AM72" s="148">
        <v>3</v>
      </c>
      <c r="AN72" s="148">
        <v>2</v>
      </c>
      <c r="AO72" s="148">
        <v>2</v>
      </c>
      <c r="AP72" s="148">
        <v>1</v>
      </c>
      <c r="AQ72" s="148">
        <v>3</v>
      </c>
      <c r="AR72" s="148">
        <v>2</v>
      </c>
      <c r="AS72" s="148">
        <v>72</v>
      </c>
      <c r="AT72" s="144" t="s">
        <v>45</v>
      </c>
      <c r="AU72" s="144"/>
    </row>
    <row r="73" spans="1:47" s="129" customFormat="1" ht="38.25" x14ac:dyDescent="0.2">
      <c r="A73" s="22" t="s">
        <v>35</v>
      </c>
      <c r="B73" s="23" t="s">
        <v>488</v>
      </c>
      <c r="C73" s="22"/>
      <c r="D73" s="22" t="s">
        <v>37</v>
      </c>
      <c r="E73" s="22" t="s">
        <v>66</v>
      </c>
      <c r="F73" s="71" t="s">
        <v>923</v>
      </c>
      <c r="G73" s="22"/>
      <c r="H73" s="22"/>
      <c r="I73" s="22" t="s">
        <v>489</v>
      </c>
      <c r="J73" s="23" t="s">
        <v>490</v>
      </c>
      <c r="K73" s="22" t="s">
        <v>491</v>
      </c>
      <c r="L73" s="24">
        <v>2020</v>
      </c>
      <c r="M73" s="24"/>
      <c r="N73" s="25" t="s">
        <v>446</v>
      </c>
      <c r="O73" s="26"/>
      <c r="P73" s="27" t="e">
        <f t="shared" si="4"/>
        <v>#VALUE!</v>
      </c>
      <c r="Q73" s="28"/>
      <c r="R73" s="28">
        <f t="shared" si="5"/>
        <v>4</v>
      </c>
      <c r="S73" s="29" t="e">
        <f t="shared" si="6"/>
        <v>#VALUE!</v>
      </c>
      <c r="T73" s="24"/>
      <c r="U73" s="24"/>
      <c r="V73" s="24"/>
      <c r="W73" s="24"/>
      <c r="X73" s="24"/>
      <c r="Y73" s="24"/>
      <c r="Z73" s="22"/>
      <c r="AA73" s="22"/>
      <c r="AB73" s="22"/>
      <c r="AC73" s="22"/>
      <c r="AD73" s="22"/>
      <c r="AE73" s="22"/>
      <c r="AF73" s="22"/>
      <c r="AG73" s="22"/>
      <c r="AH73" s="22"/>
      <c r="AI73" s="22" t="s">
        <v>42</v>
      </c>
      <c r="AJ73" s="22" t="s">
        <v>43</v>
      </c>
      <c r="AK73" s="22" t="s">
        <v>95</v>
      </c>
      <c r="AL73" s="71" t="s">
        <v>492</v>
      </c>
      <c r="AM73" s="24">
        <v>2</v>
      </c>
      <c r="AN73" s="24">
        <v>2</v>
      </c>
      <c r="AO73" s="24">
        <v>2</v>
      </c>
      <c r="AP73" s="24">
        <v>3</v>
      </c>
      <c r="AQ73" s="24">
        <v>1</v>
      </c>
      <c r="AR73" s="24">
        <v>2</v>
      </c>
      <c r="AS73" s="24">
        <v>48</v>
      </c>
      <c r="AT73" s="22" t="s">
        <v>48</v>
      </c>
      <c r="AU73" s="22"/>
    </row>
    <row r="74" spans="1:47" ht="38.25" x14ac:dyDescent="0.2">
      <c r="A74" s="22" t="s">
        <v>58</v>
      </c>
      <c r="B74" s="23" t="s">
        <v>592</v>
      </c>
      <c r="C74" s="22"/>
      <c r="D74" s="22" t="s">
        <v>37</v>
      </c>
      <c r="E74" s="22" t="s">
        <v>593</v>
      </c>
      <c r="F74" s="22"/>
      <c r="G74" s="97" t="s">
        <v>980</v>
      </c>
      <c r="H74" s="22"/>
      <c r="I74" s="22" t="s">
        <v>594</v>
      </c>
      <c r="J74" s="22" t="s">
        <v>595</v>
      </c>
      <c r="K74" s="22" t="s">
        <v>309</v>
      </c>
      <c r="L74" s="24">
        <v>2018</v>
      </c>
      <c r="M74" s="24"/>
      <c r="N74" s="25">
        <f>8500000/100000*250/2</f>
        <v>10625</v>
      </c>
      <c r="O74" s="26"/>
      <c r="P74" s="27">
        <f t="shared" si="4"/>
        <v>0</v>
      </c>
      <c r="Q74" s="28"/>
      <c r="R74" s="28">
        <f t="shared" si="5"/>
        <v>4</v>
      </c>
      <c r="S74" s="29">
        <f t="shared" si="6"/>
        <v>0</v>
      </c>
      <c r="T74" s="24"/>
      <c r="U74" s="24"/>
      <c r="V74" s="24"/>
      <c r="W74" s="24"/>
      <c r="X74" s="24"/>
      <c r="Y74" s="24"/>
      <c r="Z74" s="22">
        <v>0</v>
      </c>
      <c r="AA74" s="22"/>
      <c r="AB74" s="22"/>
      <c r="AC74" s="22"/>
      <c r="AD74" s="22"/>
      <c r="AE74" s="22"/>
      <c r="AF74" s="22"/>
      <c r="AG74" s="22"/>
      <c r="AH74" s="22"/>
      <c r="AI74" s="22" t="s">
        <v>42</v>
      </c>
      <c r="AJ74" s="22"/>
      <c r="AK74" s="40" t="s">
        <v>596</v>
      </c>
      <c r="AL74" s="71" t="s">
        <v>597</v>
      </c>
      <c r="AM74" s="24">
        <v>1</v>
      </c>
      <c r="AN74" s="24">
        <v>1</v>
      </c>
      <c r="AO74" s="24">
        <v>1</v>
      </c>
      <c r="AP74" s="24">
        <v>2</v>
      </c>
      <c r="AQ74" s="24">
        <v>1</v>
      </c>
      <c r="AR74" s="24">
        <v>1</v>
      </c>
      <c r="AS74" s="24">
        <v>2</v>
      </c>
      <c r="AT74" s="22" t="s">
        <v>48</v>
      </c>
      <c r="AU74" s="22"/>
    </row>
    <row r="75" spans="1:47" ht="38.25" x14ac:dyDescent="0.2">
      <c r="A75" s="22" t="s">
        <v>58</v>
      </c>
      <c r="B75" s="22" t="s">
        <v>806</v>
      </c>
      <c r="C75" s="22"/>
      <c r="D75" s="68" t="s">
        <v>37</v>
      </c>
      <c r="E75" s="88" t="s">
        <v>807</v>
      </c>
      <c r="F75" s="88"/>
      <c r="G75" s="88"/>
      <c r="H75" s="65" t="s">
        <v>921</v>
      </c>
      <c r="I75" s="65" t="s">
        <v>808</v>
      </c>
      <c r="J75" s="22" t="s">
        <v>809</v>
      </c>
      <c r="K75" s="65" t="s">
        <v>63</v>
      </c>
      <c r="L75" s="24">
        <v>2021</v>
      </c>
      <c r="M75" s="24"/>
      <c r="N75" s="38"/>
      <c r="O75" s="39"/>
      <c r="P75" s="27"/>
      <c r="Q75" s="28"/>
      <c r="R75" s="28"/>
      <c r="S75" s="29"/>
      <c r="T75" s="24"/>
      <c r="U75" s="24"/>
      <c r="V75" s="24"/>
      <c r="W75" s="24"/>
      <c r="X75" s="24"/>
      <c r="Y75" s="24"/>
      <c r="Z75" s="22"/>
      <c r="AA75" s="22"/>
      <c r="AB75" s="22"/>
      <c r="AC75" s="22"/>
      <c r="AD75" s="22"/>
      <c r="AE75" s="22"/>
      <c r="AF75" s="22"/>
      <c r="AG75" s="22"/>
      <c r="AH75" s="22"/>
      <c r="AI75" s="22" t="s">
        <v>42</v>
      </c>
      <c r="AJ75" s="22"/>
      <c r="AK75" s="41"/>
      <c r="AL75" s="67"/>
      <c r="AM75" s="24">
        <v>2</v>
      </c>
      <c r="AN75" s="24">
        <v>2</v>
      </c>
      <c r="AO75" s="24">
        <v>1</v>
      </c>
      <c r="AP75" s="24">
        <v>3</v>
      </c>
      <c r="AQ75" s="24">
        <v>3</v>
      </c>
      <c r="AR75" s="24">
        <v>2</v>
      </c>
      <c r="AS75" s="24">
        <v>72</v>
      </c>
      <c r="AT75" s="22" t="s">
        <v>45</v>
      </c>
      <c r="AU75" s="40">
        <v>44166</v>
      </c>
    </row>
    <row r="76" spans="1:47" ht="38.25" x14ac:dyDescent="0.2">
      <c r="A76" s="13" t="s">
        <v>72</v>
      </c>
      <c r="B76" s="13" t="s">
        <v>73</v>
      </c>
      <c r="C76" s="13"/>
      <c r="D76" s="13" t="s">
        <v>37</v>
      </c>
      <c r="E76" s="13" t="s">
        <v>74</v>
      </c>
      <c r="F76" s="70" t="s">
        <v>924</v>
      </c>
      <c r="G76" s="13"/>
      <c r="H76" s="13"/>
      <c r="I76" s="13" t="s">
        <v>75</v>
      </c>
      <c r="J76" s="13" t="s">
        <v>1160</v>
      </c>
      <c r="K76" s="13" t="s">
        <v>42</v>
      </c>
      <c r="L76" s="14">
        <v>2021</v>
      </c>
      <c r="M76" s="14"/>
      <c r="N76" s="15">
        <v>17000</v>
      </c>
      <c r="O76" s="16"/>
      <c r="P76" s="17">
        <v>150</v>
      </c>
      <c r="Q76" s="18">
        <v>4150</v>
      </c>
      <c r="R76" s="18">
        <f>IF(Q76&lt;4.99,(Q76*12%+4),IF(Q76&lt;10.99,(Q76*12%+8),IF(Q76&lt;14.99,(Q76*12%+12),IF(Q76&lt;879.99,(Q76*12%+16),IF(Q76&lt;2569.99,(Q76*7%+60),240)))))</f>
        <v>240</v>
      </c>
      <c r="S76" s="19">
        <f>R76*P76</f>
        <v>36000</v>
      </c>
      <c r="T76" s="14"/>
      <c r="U76" s="14"/>
      <c r="V76" s="14"/>
      <c r="W76" s="14"/>
      <c r="X76" s="14"/>
      <c r="Y76" s="14"/>
      <c r="Z76" s="135">
        <f>Q76*100*3</f>
        <v>1245000</v>
      </c>
      <c r="AA76" s="13"/>
      <c r="AB76" s="13"/>
      <c r="AC76" s="13"/>
      <c r="AD76" s="13"/>
      <c r="AE76" s="13">
        <f>400*2400</f>
        <v>960000</v>
      </c>
      <c r="AF76" s="13"/>
      <c r="AG76" s="13"/>
      <c r="AH76" s="13"/>
      <c r="AI76" s="13" t="s">
        <v>42</v>
      </c>
      <c r="AJ76" s="13"/>
      <c r="AK76" s="13" t="s">
        <v>76</v>
      </c>
      <c r="AL76" s="70" t="s">
        <v>77</v>
      </c>
      <c r="AM76" s="14">
        <v>3</v>
      </c>
      <c r="AN76" s="14">
        <v>3</v>
      </c>
      <c r="AO76" s="14">
        <v>2</v>
      </c>
      <c r="AP76" s="14">
        <v>1</v>
      </c>
      <c r="AQ76" s="14">
        <v>2</v>
      </c>
      <c r="AR76" s="14">
        <v>3</v>
      </c>
      <c r="AS76" s="14">
        <v>108</v>
      </c>
      <c r="AT76" s="13" t="s">
        <v>45</v>
      </c>
      <c r="AU76" s="13"/>
    </row>
    <row r="77" spans="1:47" ht="38.25" x14ac:dyDescent="0.2">
      <c r="A77" s="42" t="s">
        <v>72</v>
      </c>
      <c r="B77" s="42" t="s">
        <v>184</v>
      </c>
      <c r="C77" s="42"/>
      <c r="D77" s="42" t="s">
        <v>37</v>
      </c>
      <c r="E77" s="42" t="s">
        <v>74</v>
      </c>
      <c r="F77" s="73" t="s">
        <v>924</v>
      </c>
      <c r="G77" s="42"/>
      <c r="H77" s="109"/>
      <c r="I77" s="42" t="s">
        <v>371</v>
      </c>
      <c r="J77" s="42"/>
      <c r="K77" s="42" t="s">
        <v>42</v>
      </c>
      <c r="L77" s="43">
        <v>2020</v>
      </c>
      <c r="M77" s="43"/>
      <c r="N77" s="44">
        <f>150000*2/3</f>
        <v>100000</v>
      </c>
      <c r="O77" s="45"/>
      <c r="P77" s="46">
        <f>N77*O77</f>
        <v>0</v>
      </c>
      <c r="Q77" s="47"/>
      <c r="R77" s="47">
        <f>IF(Q77&lt;4.99,(Q77*12%+4),IF(Q77&lt;10.99,(Q77*12%+8),IF(Q77&lt;14.99,(Q77*12%+12),IF(Q77&lt;879.99,(Q77*12%+16),IF(Q77&lt;2569.99,(Q77*7%+60),240)))))</f>
        <v>4</v>
      </c>
      <c r="S77" s="48">
        <f>R77*P77</f>
        <v>0</v>
      </c>
      <c r="T77" s="43"/>
      <c r="U77" s="43"/>
      <c r="V77" s="43"/>
      <c r="W77" s="43"/>
      <c r="X77" s="43"/>
      <c r="Y77" s="43"/>
      <c r="Z77" s="42"/>
      <c r="AA77" s="42"/>
      <c r="AB77" s="42"/>
      <c r="AC77" s="42"/>
      <c r="AD77" s="42"/>
      <c r="AE77" s="42"/>
      <c r="AF77" s="42"/>
      <c r="AG77" s="42"/>
      <c r="AH77" s="42"/>
      <c r="AI77" s="42" t="s">
        <v>42</v>
      </c>
      <c r="AJ77" s="42"/>
      <c r="AK77" s="42" t="s">
        <v>76</v>
      </c>
      <c r="AL77" s="73" t="s">
        <v>372</v>
      </c>
      <c r="AM77" s="43">
        <v>3</v>
      </c>
      <c r="AN77" s="43">
        <v>3</v>
      </c>
      <c r="AO77" s="43">
        <v>2</v>
      </c>
      <c r="AP77" s="43">
        <v>3</v>
      </c>
      <c r="AQ77" s="43">
        <v>2</v>
      </c>
      <c r="AR77" s="43">
        <v>3</v>
      </c>
      <c r="AS77" s="43">
        <v>324</v>
      </c>
      <c r="AT77" s="42" t="s">
        <v>45</v>
      </c>
      <c r="AU77" s="42"/>
    </row>
    <row r="78" spans="1:47" s="133" customFormat="1" ht="76.5" x14ac:dyDescent="0.2">
      <c r="A78" s="22" t="s">
        <v>58</v>
      </c>
      <c r="B78" s="22" t="s">
        <v>810</v>
      </c>
      <c r="C78" s="22"/>
      <c r="D78" s="65"/>
      <c r="E78" s="88" t="s">
        <v>652</v>
      </c>
      <c r="F78" s="88"/>
      <c r="G78" s="88"/>
      <c r="H78" s="65" t="s">
        <v>919</v>
      </c>
      <c r="I78" s="65" t="s">
        <v>811</v>
      </c>
      <c r="J78" s="22"/>
      <c r="K78" s="22" t="s">
        <v>42</v>
      </c>
      <c r="L78" s="24">
        <v>2023</v>
      </c>
      <c r="M78" s="24"/>
      <c r="N78" s="38"/>
      <c r="O78" s="39"/>
      <c r="P78" s="27"/>
      <c r="Q78" s="28"/>
      <c r="R78" s="28"/>
      <c r="S78" s="29"/>
      <c r="T78" s="24"/>
      <c r="U78" s="24"/>
      <c r="V78" s="24"/>
      <c r="W78" s="24"/>
      <c r="X78" s="24"/>
      <c r="Y78" s="24"/>
      <c r="Z78" s="22"/>
      <c r="AA78" s="22"/>
      <c r="AB78" s="22"/>
      <c r="AC78" s="22"/>
      <c r="AD78" s="22"/>
      <c r="AE78" s="22"/>
      <c r="AF78" s="22"/>
      <c r="AG78" s="22"/>
      <c r="AH78" s="22"/>
      <c r="AI78" s="22" t="s">
        <v>42</v>
      </c>
      <c r="AJ78" s="22"/>
      <c r="AK78" s="41"/>
      <c r="AL78" s="67"/>
      <c r="AM78" s="24"/>
      <c r="AN78" s="24"/>
      <c r="AO78" s="24"/>
      <c r="AP78" s="24"/>
      <c r="AQ78" s="24"/>
      <c r="AR78" s="24"/>
      <c r="AS78" s="24">
        <v>0</v>
      </c>
      <c r="AT78" s="22"/>
      <c r="AU78" s="22"/>
    </row>
    <row r="79" spans="1:47" ht="38.25" x14ac:dyDescent="0.2">
      <c r="A79" s="22" t="s">
        <v>58</v>
      </c>
      <c r="B79" s="22" t="s">
        <v>304</v>
      </c>
      <c r="C79" s="22"/>
      <c r="D79" s="22" t="s">
        <v>305</v>
      </c>
      <c r="E79" s="22" t="s">
        <v>306</v>
      </c>
      <c r="F79" s="22"/>
      <c r="G79" s="65" t="s">
        <v>947</v>
      </c>
      <c r="H79" s="22"/>
      <c r="I79" s="22" t="s">
        <v>307</v>
      </c>
      <c r="J79" s="22" t="s">
        <v>308</v>
      </c>
      <c r="K79" s="22" t="s">
        <v>309</v>
      </c>
      <c r="L79" s="24">
        <v>2020</v>
      </c>
      <c r="M79" s="24"/>
      <c r="N79" s="51">
        <f>85000/30000</f>
        <v>2.8333333333333335</v>
      </c>
      <c r="O79" s="39"/>
      <c r="P79" s="27">
        <f>N79*O79</f>
        <v>0</v>
      </c>
      <c r="Q79" s="28"/>
      <c r="R79" s="28">
        <f>IF(Q79&lt;4.99,(Q79*12%+4),IF(Q79&lt;10.99,(Q79*12%+8),IF(Q79&lt;14.99,(Q79*12%+12),IF(Q79&lt;879.99,(Q79*12%+16),IF(Q79&lt;2569.99,(Q79*7%+60),240)))))</f>
        <v>4</v>
      </c>
      <c r="S79" s="29">
        <f>R79*P79</f>
        <v>0</v>
      </c>
      <c r="T79" s="24"/>
      <c r="U79" s="24"/>
      <c r="V79" s="24"/>
      <c r="W79" s="24"/>
      <c r="X79" s="24"/>
      <c r="Y79" s="24"/>
      <c r="Z79" s="22">
        <v>0</v>
      </c>
      <c r="AA79" s="22"/>
      <c r="AB79" s="22"/>
      <c r="AC79" s="22"/>
      <c r="AD79" s="22"/>
      <c r="AE79" s="22"/>
      <c r="AF79" s="22"/>
      <c r="AG79" s="22"/>
      <c r="AH79" s="22"/>
      <c r="AI79" s="22" t="s">
        <v>128</v>
      </c>
      <c r="AJ79" s="22"/>
      <c r="AK79" s="22" t="s">
        <v>227</v>
      </c>
      <c r="AL79" s="71" t="s">
        <v>310</v>
      </c>
      <c r="AM79" s="24">
        <v>2</v>
      </c>
      <c r="AN79" s="24">
        <v>1</v>
      </c>
      <c r="AO79" s="24">
        <v>3</v>
      </c>
      <c r="AP79" s="24">
        <v>3</v>
      </c>
      <c r="AQ79" s="24">
        <v>1</v>
      </c>
      <c r="AR79" s="24">
        <v>1</v>
      </c>
      <c r="AS79" s="24">
        <v>18</v>
      </c>
      <c r="AT79" s="22" t="s">
        <v>48</v>
      </c>
      <c r="AU79" s="22"/>
    </row>
    <row r="80" spans="1:47" ht="51" x14ac:dyDescent="0.2">
      <c r="A80" s="22" t="s">
        <v>58</v>
      </c>
      <c r="B80" s="22" t="s">
        <v>588</v>
      </c>
      <c r="C80" s="22"/>
      <c r="D80" s="22" t="s">
        <v>98</v>
      </c>
      <c r="E80" s="22" t="s">
        <v>306</v>
      </c>
      <c r="F80" s="22"/>
      <c r="G80" s="97" t="s">
        <v>979</v>
      </c>
      <c r="H80" s="22"/>
      <c r="I80" s="22" t="s">
        <v>589</v>
      </c>
      <c r="J80" s="22" t="s">
        <v>590</v>
      </c>
      <c r="K80" s="22" t="s">
        <v>63</v>
      </c>
      <c r="L80" s="24">
        <v>2021</v>
      </c>
      <c r="M80" s="24"/>
      <c r="N80" s="51">
        <f>85000/10000</f>
        <v>8.5</v>
      </c>
      <c r="O80" s="39"/>
      <c r="P80" s="27">
        <f>N80*O80</f>
        <v>0</v>
      </c>
      <c r="Q80" s="28"/>
      <c r="R80" s="28">
        <f>IF(Q80&lt;4.99,(Q80*12%+4),IF(Q80&lt;10.99,(Q80*12%+8),IF(Q80&lt;14.99,(Q80*12%+12),IF(Q80&lt;879.99,(Q80*12%+16),IF(Q80&lt;2569.99,(Q80*7%+60),240)))))</f>
        <v>4</v>
      </c>
      <c r="S80" s="29">
        <f>R80*P80</f>
        <v>0</v>
      </c>
      <c r="T80" s="24"/>
      <c r="U80" s="24"/>
      <c r="V80" s="24"/>
      <c r="W80" s="24"/>
      <c r="X80" s="24"/>
      <c r="Y80" s="24"/>
      <c r="Z80" s="22">
        <v>0</v>
      </c>
      <c r="AA80" s="22"/>
      <c r="AB80" s="22"/>
      <c r="AC80" s="22"/>
      <c r="AD80" s="22"/>
      <c r="AE80" s="22"/>
      <c r="AF80" s="22"/>
      <c r="AG80" s="22"/>
      <c r="AH80" s="22"/>
      <c r="AI80" s="22" t="s">
        <v>42</v>
      </c>
      <c r="AJ80" s="22"/>
      <c r="AK80" s="22" t="s">
        <v>227</v>
      </c>
      <c r="AL80" s="71" t="s">
        <v>591</v>
      </c>
      <c r="AM80" s="24">
        <v>2</v>
      </c>
      <c r="AN80" s="24">
        <v>1</v>
      </c>
      <c r="AO80" s="24">
        <v>3</v>
      </c>
      <c r="AP80" s="24">
        <v>3</v>
      </c>
      <c r="AQ80" s="24">
        <v>1</v>
      </c>
      <c r="AR80" s="24">
        <v>2</v>
      </c>
      <c r="AS80" s="24">
        <v>36</v>
      </c>
      <c r="AT80" s="22" t="s">
        <v>48</v>
      </c>
      <c r="AU80" s="22"/>
    </row>
    <row r="81" spans="1:47" ht="38.25" x14ac:dyDescent="0.2">
      <c r="A81" s="22" t="s">
        <v>35</v>
      </c>
      <c r="B81" s="22" t="s">
        <v>268</v>
      </c>
      <c r="C81" s="22"/>
      <c r="D81" s="22" t="s">
        <v>37</v>
      </c>
      <c r="E81" s="22" t="s">
        <v>38</v>
      </c>
      <c r="F81" s="71" t="s">
        <v>922</v>
      </c>
      <c r="G81" s="22"/>
      <c r="H81" s="22"/>
      <c r="I81" s="22" t="s">
        <v>269</v>
      </c>
      <c r="J81" s="22"/>
      <c r="K81" s="22" t="s">
        <v>42</v>
      </c>
      <c r="L81" s="24">
        <v>2021</v>
      </c>
      <c r="M81" s="24"/>
      <c r="N81" s="51">
        <f>0.75*4400</f>
        <v>3300</v>
      </c>
      <c r="O81" s="39"/>
      <c r="P81" s="27">
        <f>N81*O81</f>
        <v>0</v>
      </c>
      <c r="Q81" s="28"/>
      <c r="R81" s="28">
        <f>IF(Q81&lt;4.99,(Q81*12%+4),IF(Q81&lt;10.99,(Q81*12%+8),IF(Q81&lt;14.99,(Q81*12%+12),IF(Q81&lt;879.99,(Q81*12%+16),IF(Q81&lt;2569.99,(Q81*7%+60),240)))))</f>
        <v>4</v>
      </c>
      <c r="S81" s="29">
        <f>R81*P81</f>
        <v>0</v>
      </c>
      <c r="T81" s="24"/>
      <c r="U81" s="24"/>
      <c r="V81" s="24"/>
      <c r="W81" s="24"/>
      <c r="X81" s="24"/>
      <c r="Y81" s="24"/>
      <c r="Z81" s="22"/>
      <c r="AA81" s="22"/>
      <c r="AB81" s="22"/>
      <c r="AC81" s="22"/>
      <c r="AD81" s="22"/>
      <c r="AE81" s="22"/>
      <c r="AF81" s="22"/>
      <c r="AG81" s="22"/>
      <c r="AH81" s="22"/>
      <c r="AI81" s="22" t="s">
        <v>42</v>
      </c>
      <c r="AJ81" s="22" t="s">
        <v>43</v>
      </c>
      <c r="AK81" s="22" t="s">
        <v>44</v>
      </c>
      <c r="AL81" s="71" t="s">
        <v>270</v>
      </c>
      <c r="AM81" s="24">
        <v>2</v>
      </c>
      <c r="AN81" s="24">
        <v>3</v>
      </c>
      <c r="AO81" s="24">
        <v>3</v>
      </c>
      <c r="AP81" s="24">
        <v>3</v>
      </c>
      <c r="AQ81" s="24">
        <v>1</v>
      </c>
      <c r="AR81" s="24">
        <v>2</v>
      </c>
      <c r="AS81" s="24">
        <v>108</v>
      </c>
      <c r="AT81" s="22" t="s">
        <v>45</v>
      </c>
      <c r="AU81" s="40">
        <v>43647</v>
      </c>
    </row>
    <row r="82" spans="1:47" x14ac:dyDescent="0.2">
      <c r="A82" s="42" t="s">
        <v>58</v>
      </c>
      <c r="B82" s="42" t="s">
        <v>1108</v>
      </c>
      <c r="C82" s="42"/>
      <c r="D82" s="42" t="s">
        <v>60</v>
      </c>
      <c r="E82" s="42" t="s">
        <v>1107</v>
      </c>
      <c r="F82" s="73"/>
      <c r="G82" s="42"/>
      <c r="H82" s="42"/>
      <c r="I82" s="42" t="s">
        <v>1109</v>
      </c>
      <c r="J82" s="42" t="s">
        <v>1110</v>
      </c>
      <c r="K82" s="42"/>
      <c r="L82" s="43"/>
      <c r="M82" s="43"/>
      <c r="N82" s="44">
        <v>3</v>
      </c>
      <c r="O82" s="45"/>
      <c r="P82" s="46">
        <v>2</v>
      </c>
      <c r="Q82" s="47">
        <v>1000</v>
      </c>
      <c r="R82" s="47"/>
      <c r="S82" s="48"/>
      <c r="T82" s="43"/>
      <c r="U82" s="43"/>
      <c r="V82" s="43"/>
      <c r="W82" s="43"/>
      <c r="X82" s="43"/>
      <c r="Y82" s="43"/>
      <c r="Z82" s="42"/>
      <c r="AA82" s="42"/>
      <c r="AB82" s="162"/>
      <c r="AC82" s="42"/>
      <c r="AD82" s="42"/>
      <c r="AE82" s="42"/>
      <c r="AF82" s="42"/>
      <c r="AG82" s="42"/>
      <c r="AH82" s="42"/>
      <c r="AI82" s="42" t="s">
        <v>42</v>
      </c>
      <c r="AJ82" s="42"/>
      <c r="AK82" s="42"/>
      <c r="AL82" s="178" t="s">
        <v>1162</v>
      </c>
      <c r="AM82" s="43">
        <v>2</v>
      </c>
      <c r="AN82" s="43">
        <v>1</v>
      </c>
      <c r="AO82" s="43">
        <v>2</v>
      </c>
      <c r="AP82" s="43">
        <v>3</v>
      </c>
      <c r="AQ82" s="43">
        <v>3</v>
      </c>
      <c r="AR82" s="43">
        <v>2</v>
      </c>
      <c r="AS82" s="43">
        <f>AR82*AQ82*AP82*AO82*AN82*AM82</f>
        <v>72</v>
      </c>
      <c r="AT82" s="42"/>
      <c r="AU82" s="60">
        <v>44621</v>
      </c>
    </row>
    <row r="83" spans="1:47" x14ac:dyDescent="0.2">
      <c r="A83" s="30" t="s">
        <v>35</v>
      </c>
      <c r="B83" s="30" t="s">
        <v>165</v>
      </c>
      <c r="C83" s="30"/>
      <c r="D83" s="30" t="s">
        <v>37</v>
      </c>
      <c r="E83" s="30" t="s">
        <v>1163</v>
      </c>
      <c r="F83" s="72"/>
      <c r="G83" s="30"/>
      <c r="H83" s="30"/>
      <c r="I83" s="30" t="s">
        <v>1112</v>
      </c>
      <c r="J83" s="30" t="s">
        <v>1113</v>
      </c>
      <c r="K83" s="30"/>
      <c r="L83" s="31"/>
      <c r="M83" s="31"/>
      <c r="N83" s="32">
        <v>150</v>
      </c>
      <c r="O83" s="33"/>
      <c r="P83" s="34">
        <v>20</v>
      </c>
      <c r="Q83" s="35">
        <v>20000</v>
      </c>
      <c r="R83" s="35"/>
      <c r="S83" s="36"/>
      <c r="T83" s="31"/>
      <c r="U83" s="31"/>
      <c r="V83" s="31"/>
      <c r="W83" s="31"/>
      <c r="X83" s="31"/>
      <c r="Y83" s="31"/>
      <c r="Z83" s="30"/>
      <c r="AA83" s="30"/>
      <c r="AB83" s="132"/>
      <c r="AC83" s="30"/>
      <c r="AD83" s="30"/>
      <c r="AE83" s="30"/>
      <c r="AF83" s="30"/>
      <c r="AG83" s="30"/>
      <c r="AH83" s="30"/>
      <c r="AI83" s="30" t="s">
        <v>42</v>
      </c>
      <c r="AJ83" s="30"/>
      <c r="AK83" s="30"/>
      <c r="AL83" s="72"/>
      <c r="AM83" s="31">
        <v>2</v>
      </c>
      <c r="AN83" s="31">
        <v>2</v>
      </c>
      <c r="AO83" s="31">
        <v>2</v>
      </c>
      <c r="AP83" s="31">
        <v>3</v>
      </c>
      <c r="AQ83" s="31">
        <v>1</v>
      </c>
      <c r="AR83" s="31">
        <v>2</v>
      </c>
      <c r="AS83" s="31">
        <f>AR83*AQ83*AP83*AO83*AN83*AM83</f>
        <v>48</v>
      </c>
      <c r="AT83" s="30"/>
      <c r="AU83" s="37">
        <v>44621</v>
      </c>
    </row>
    <row r="84" spans="1:47" x14ac:dyDescent="0.2">
      <c r="A84" s="30" t="s">
        <v>35</v>
      </c>
      <c r="B84" s="30" t="s">
        <v>268</v>
      </c>
      <c r="C84" s="30"/>
      <c r="D84" s="30" t="s">
        <v>37</v>
      </c>
      <c r="E84" s="30" t="s">
        <v>1185</v>
      </c>
      <c r="F84" s="72"/>
      <c r="G84" s="30"/>
      <c r="H84" s="30"/>
      <c r="I84" s="30" t="s">
        <v>1184</v>
      </c>
      <c r="J84" s="30"/>
      <c r="K84" s="30" t="s">
        <v>42</v>
      </c>
      <c r="L84" s="31">
        <v>2023</v>
      </c>
      <c r="M84" s="31"/>
      <c r="N84" s="32"/>
      <c r="O84" s="33"/>
      <c r="P84" s="34"/>
      <c r="Q84" s="35"/>
      <c r="R84" s="35"/>
      <c r="S84" s="36"/>
      <c r="T84" s="31"/>
      <c r="U84" s="31"/>
      <c r="V84" s="31"/>
      <c r="W84" s="31"/>
      <c r="X84" s="31"/>
      <c r="Y84" s="31"/>
      <c r="Z84" s="30"/>
      <c r="AA84" s="30"/>
      <c r="AB84" s="132"/>
      <c r="AC84" s="30"/>
      <c r="AD84" s="30"/>
      <c r="AE84" s="30"/>
      <c r="AF84" s="30"/>
      <c r="AG84" s="30"/>
      <c r="AH84" s="30"/>
      <c r="AI84" s="30"/>
      <c r="AJ84" s="30"/>
      <c r="AK84" s="30"/>
      <c r="AL84" s="72"/>
      <c r="AM84" s="31"/>
      <c r="AN84" s="31"/>
      <c r="AO84" s="31"/>
      <c r="AP84" s="31"/>
      <c r="AQ84" s="31"/>
      <c r="AR84" s="31"/>
      <c r="AS84" s="31"/>
      <c r="AT84" s="30"/>
      <c r="AU84" s="37">
        <v>44713</v>
      </c>
    </row>
    <row r="85" spans="1:47" x14ac:dyDescent="0.2">
      <c r="A85" s="30" t="s">
        <v>35</v>
      </c>
      <c r="B85" s="30" t="s">
        <v>263</v>
      </c>
      <c r="C85" s="30"/>
      <c r="D85" s="30" t="s">
        <v>60</v>
      </c>
      <c r="E85" s="30" t="s">
        <v>1087</v>
      </c>
      <c r="F85" s="72"/>
      <c r="G85" s="30"/>
      <c r="H85" s="30"/>
      <c r="I85" s="30" t="s">
        <v>1088</v>
      </c>
      <c r="J85" s="30"/>
      <c r="K85" s="30"/>
      <c r="L85" s="31">
        <v>2023</v>
      </c>
      <c r="M85" s="31"/>
      <c r="N85" s="32">
        <v>2800</v>
      </c>
      <c r="O85" s="33" t="s">
        <v>1012</v>
      </c>
      <c r="P85" s="31">
        <v>20</v>
      </c>
      <c r="Q85" s="35">
        <v>1000</v>
      </c>
      <c r="R85" s="31"/>
      <c r="S85" s="31"/>
      <c r="T85" s="31"/>
      <c r="U85" s="31"/>
      <c r="V85" s="31"/>
      <c r="W85" s="31"/>
      <c r="X85" s="31"/>
      <c r="Y85" s="31"/>
      <c r="Z85" s="30"/>
      <c r="AA85" s="30"/>
      <c r="AB85" s="30"/>
      <c r="AC85" s="30"/>
      <c r="AD85" s="30"/>
      <c r="AE85" s="30"/>
      <c r="AF85" s="30"/>
      <c r="AG85" s="30"/>
      <c r="AH85" s="30"/>
      <c r="AI85" s="30" t="s">
        <v>42</v>
      </c>
      <c r="AJ85" s="30"/>
      <c r="AK85" s="30"/>
      <c r="AL85" s="72"/>
      <c r="AM85" s="31">
        <v>3</v>
      </c>
      <c r="AN85" s="31">
        <v>3</v>
      </c>
      <c r="AO85" s="31">
        <v>2</v>
      </c>
      <c r="AP85" s="31">
        <v>3</v>
      </c>
      <c r="AQ85" s="31">
        <v>1</v>
      </c>
      <c r="AR85" s="31">
        <v>2</v>
      </c>
      <c r="AS85" s="31">
        <f>AM85*AN85*AO85*AP85*AQ85*AR85</f>
        <v>108</v>
      </c>
      <c r="AT85" s="30" t="s">
        <v>45</v>
      </c>
      <c r="AU85" s="37">
        <v>44621</v>
      </c>
    </row>
    <row r="86" spans="1:47" ht="38.25" x14ac:dyDescent="0.2">
      <c r="A86" s="30" t="s">
        <v>35</v>
      </c>
      <c r="B86" s="30" t="s">
        <v>187</v>
      </c>
      <c r="C86" s="30"/>
      <c r="D86" s="30" t="s">
        <v>37</v>
      </c>
      <c r="E86" s="30" t="s">
        <v>188</v>
      </c>
      <c r="F86" s="72" t="s">
        <v>972</v>
      </c>
      <c r="G86" s="30"/>
      <c r="H86" s="30"/>
      <c r="I86" s="30" t="s">
        <v>189</v>
      </c>
      <c r="J86" s="30" t="s">
        <v>190</v>
      </c>
      <c r="K86" s="30" t="s">
        <v>42</v>
      </c>
      <c r="L86" s="31">
        <v>2015</v>
      </c>
      <c r="M86" s="31"/>
      <c r="N86" s="32">
        <f>0.3*4400+40490/298930000*8500000</f>
        <v>2471.3230522195831</v>
      </c>
      <c r="O86" s="33"/>
      <c r="P86" s="34">
        <f>N86*O86</f>
        <v>0</v>
      </c>
      <c r="Q86" s="35"/>
      <c r="R86" s="35">
        <f>IF(Q86&lt;4.99,(Q86*12%+4),IF(Q86&lt;10.99,(Q86*12%+8),IF(Q86&lt;14.99,(Q86*12%+12),IF(Q86&lt;879.99,(Q86*12%+16),IF(Q86&lt;2569.99,(Q86*7%+60),240)))))</f>
        <v>4</v>
      </c>
      <c r="S86" s="36">
        <f>R86*P86</f>
        <v>0</v>
      </c>
      <c r="T86" s="31"/>
      <c r="U86" s="31"/>
      <c r="V86" s="31"/>
      <c r="W86" s="31"/>
      <c r="X86" s="31"/>
      <c r="Y86" s="31"/>
      <c r="Z86" s="30"/>
      <c r="AA86" s="30"/>
      <c r="AB86" s="30"/>
      <c r="AC86" s="30"/>
      <c r="AD86" s="30"/>
      <c r="AE86" s="30"/>
      <c r="AF86" s="30"/>
      <c r="AG86" s="30"/>
      <c r="AH86" s="30"/>
      <c r="AI86" s="30" t="s">
        <v>42</v>
      </c>
      <c r="AJ86" s="30"/>
      <c r="AK86" s="30" t="s">
        <v>129</v>
      </c>
      <c r="AL86" s="72"/>
      <c r="AM86" s="31">
        <v>1</v>
      </c>
      <c r="AN86" s="31">
        <v>2</v>
      </c>
      <c r="AO86" s="31">
        <v>2</v>
      </c>
      <c r="AP86" s="31">
        <v>3</v>
      </c>
      <c r="AQ86" s="31">
        <v>1</v>
      </c>
      <c r="AR86" s="31">
        <v>2</v>
      </c>
      <c r="AS86" s="31">
        <v>24</v>
      </c>
      <c r="AT86" s="30" t="s">
        <v>45</v>
      </c>
      <c r="AU86" s="30"/>
    </row>
    <row r="87" spans="1:47" x14ac:dyDescent="0.2">
      <c r="A87" s="30" t="s">
        <v>86</v>
      </c>
      <c r="B87" s="30" t="s">
        <v>1090</v>
      </c>
      <c r="C87" s="30"/>
      <c r="D87" s="30" t="s">
        <v>60</v>
      </c>
      <c r="E87" s="30" t="s">
        <v>188</v>
      </c>
      <c r="F87" s="72"/>
      <c r="G87" s="30"/>
      <c r="H87" s="106"/>
      <c r="I87" s="30" t="s">
        <v>1089</v>
      </c>
      <c r="J87" s="30" t="s">
        <v>1236</v>
      </c>
      <c r="K87" s="30" t="s">
        <v>63</v>
      </c>
      <c r="L87" s="31">
        <v>2023</v>
      </c>
      <c r="M87" s="31"/>
      <c r="N87" s="32">
        <v>60</v>
      </c>
      <c r="O87" s="33">
        <v>0.1</v>
      </c>
      <c r="P87" s="34">
        <v>6</v>
      </c>
      <c r="Q87" s="35">
        <v>3000</v>
      </c>
      <c r="R87" s="35"/>
      <c r="S87" s="36"/>
      <c r="T87" s="31"/>
      <c r="U87" s="31"/>
      <c r="V87" s="31"/>
      <c r="W87" s="31"/>
      <c r="X87" s="31"/>
      <c r="Y87" s="31"/>
      <c r="Z87" s="30"/>
      <c r="AA87" s="30"/>
      <c r="AB87" s="30"/>
      <c r="AC87" s="30"/>
      <c r="AD87" s="30"/>
      <c r="AE87" s="30"/>
      <c r="AF87" s="30"/>
      <c r="AG87" s="132">
        <f>Q87*P87*12*0.25</f>
        <v>54000</v>
      </c>
      <c r="AH87" s="30"/>
      <c r="AI87" s="30" t="s">
        <v>42</v>
      </c>
      <c r="AJ87" s="30"/>
      <c r="AK87" s="30"/>
      <c r="AL87" s="72" t="s">
        <v>1091</v>
      </c>
      <c r="AM87" s="31">
        <v>1</v>
      </c>
      <c r="AN87" s="31">
        <v>1</v>
      </c>
      <c r="AO87" s="31">
        <v>2</v>
      </c>
      <c r="AP87" s="31">
        <v>3</v>
      </c>
      <c r="AQ87" s="31">
        <v>2</v>
      </c>
      <c r="AR87" s="31">
        <v>2</v>
      </c>
      <c r="AS87" s="31">
        <f>AR87*AQ87*AP87*AO87*AN87*AM87</f>
        <v>24</v>
      </c>
      <c r="AT87" s="30" t="s">
        <v>45</v>
      </c>
      <c r="AU87" s="37">
        <v>44621</v>
      </c>
    </row>
    <row r="88" spans="1:47" ht="38.25" x14ac:dyDescent="0.2">
      <c r="A88" s="22" t="s">
        <v>35</v>
      </c>
      <c r="B88" s="22" t="s">
        <v>548</v>
      </c>
      <c r="C88" s="22"/>
      <c r="D88" s="22" t="s">
        <v>37</v>
      </c>
      <c r="E88" s="22" t="s">
        <v>188</v>
      </c>
      <c r="F88" s="71" t="s">
        <v>972</v>
      </c>
      <c r="G88" s="22"/>
      <c r="H88" s="22"/>
      <c r="I88" s="22" t="s">
        <v>549</v>
      </c>
      <c r="J88" s="22" t="s">
        <v>550</v>
      </c>
      <c r="K88" s="22">
        <v>41970</v>
      </c>
      <c r="L88" s="24">
        <v>2018</v>
      </c>
      <c r="M88" s="24"/>
      <c r="N88" s="51">
        <v>4400</v>
      </c>
      <c r="O88" s="39"/>
      <c r="P88" s="27">
        <f>N88*O88</f>
        <v>0</v>
      </c>
      <c r="Q88" s="28"/>
      <c r="R88" s="28">
        <f>IF(Q88&lt;4.99,(Q88*12%+4),IF(Q88&lt;10.99,(Q88*12%+8),IF(Q88&lt;14.99,(Q88*12%+12),IF(Q88&lt;879.99,(Q88*12%+16),IF(Q88&lt;2569.99,(Q88*7%+60),240)))))</f>
        <v>4</v>
      </c>
      <c r="S88" s="29">
        <f>R88*P88</f>
        <v>0</v>
      </c>
      <c r="T88" s="24"/>
      <c r="U88" s="24"/>
      <c r="V88" s="24"/>
      <c r="W88" s="24"/>
      <c r="X88" s="24"/>
      <c r="Y88" s="24"/>
      <c r="Z88" s="22">
        <v>0</v>
      </c>
      <c r="AA88" s="22"/>
      <c r="AB88" s="22"/>
      <c r="AC88" s="22"/>
      <c r="AD88" s="22"/>
      <c r="AE88" s="22"/>
      <c r="AF88" s="22"/>
      <c r="AG88" s="22"/>
      <c r="AH88" s="22"/>
      <c r="AI88" s="22" t="s">
        <v>551</v>
      </c>
      <c r="AJ88" s="22"/>
      <c r="AK88" s="22" t="s">
        <v>129</v>
      </c>
      <c r="AL88" s="71" t="s">
        <v>552</v>
      </c>
      <c r="AM88" s="24">
        <v>1</v>
      </c>
      <c r="AN88" s="24">
        <v>3</v>
      </c>
      <c r="AO88" s="24">
        <v>2</v>
      </c>
      <c r="AP88" s="24">
        <v>3</v>
      </c>
      <c r="AQ88" s="24">
        <v>1</v>
      </c>
      <c r="AR88" s="24">
        <v>1</v>
      </c>
      <c r="AS88" s="24">
        <v>18</v>
      </c>
      <c r="AT88" s="22" t="s">
        <v>48</v>
      </c>
      <c r="AU88" s="22"/>
    </row>
    <row r="89" spans="1:47" ht="38.25" x14ac:dyDescent="0.2">
      <c r="A89" s="22" t="s">
        <v>35</v>
      </c>
      <c r="B89" s="22" t="s">
        <v>219</v>
      </c>
      <c r="C89" s="22"/>
      <c r="D89" s="65" t="s">
        <v>37</v>
      </c>
      <c r="E89" s="88" t="s">
        <v>83</v>
      </c>
      <c r="F89" s="79" t="s">
        <v>918</v>
      </c>
      <c r="G89" s="88"/>
      <c r="H89" s="88"/>
      <c r="I89" s="65" t="s">
        <v>813</v>
      </c>
      <c r="J89" s="22"/>
      <c r="K89" s="22" t="s">
        <v>834</v>
      </c>
      <c r="L89" s="24">
        <v>2022</v>
      </c>
      <c r="M89" s="24"/>
      <c r="N89" s="38"/>
      <c r="O89" s="39"/>
      <c r="P89" s="27"/>
      <c r="Q89" s="28"/>
      <c r="R89" s="28"/>
      <c r="S89" s="29"/>
      <c r="T89" s="24"/>
      <c r="U89" s="24"/>
      <c r="V89" s="24"/>
      <c r="W89" s="24"/>
      <c r="X89" s="24"/>
      <c r="Y89" s="24"/>
      <c r="Z89" s="22"/>
      <c r="AA89" s="22"/>
      <c r="AB89" s="22"/>
      <c r="AC89" s="22"/>
      <c r="AD89" s="22"/>
      <c r="AE89" s="22"/>
      <c r="AF89" s="22"/>
      <c r="AG89" s="22"/>
      <c r="AH89" s="22"/>
      <c r="AI89" s="22" t="s">
        <v>42</v>
      </c>
      <c r="AJ89" s="22"/>
      <c r="AK89" s="41"/>
      <c r="AL89" s="67"/>
      <c r="AM89" s="24">
        <v>3</v>
      </c>
      <c r="AN89" s="24">
        <v>2</v>
      </c>
      <c r="AO89" s="24">
        <v>3</v>
      </c>
      <c r="AP89" s="24">
        <v>3</v>
      </c>
      <c r="AQ89" s="24">
        <v>1</v>
      </c>
      <c r="AR89" s="24">
        <v>2</v>
      </c>
      <c r="AS89" s="24">
        <v>108</v>
      </c>
      <c r="AT89" s="22" t="s">
        <v>45</v>
      </c>
      <c r="AU89" s="69">
        <v>44166</v>
      </c>
    </row>
    <row r="90" spans="1:47" ht="38.25" x14ac:dyDescent="0.2">
      <c r="A90" s="22" t="s">
        <v>86</v>
      </c>
      <c r="B90" s="22" t="s">
        <v>438</v>
      </c>
      <c r="C90" s="22"/>
      <c r="D90" s="65" t="s">
        <v>37</v>
      </c>
      <c r="E90" s="88" t="s">
        <v>83</v>
      </c>
      <c r="F90" s="65" t="s">
        <v>918</v>
      </c>
      <c r="G90" s="88"/>
      <c r="H90" s="88"/>
      <c r="I90" s="65" t="s">
        <v>812</v>
      </c>
      <c r="J90" s="22"/>
      <c r="K90" s="22" t="s">
        <v>42</v>
      </c>
      <c r="L90" s="24">
        <v>2022</v>
      </c>
      <c r="M90" s="24"/>
      <c r="N90" s="38"/>
      <c r="O90" s="39"/>
      <c r="P90" s="27"/>
      <c r="Q90" s="28"/>
      <c r="R90" s="28"/>
      <c r="S90" s="29"/>
      <c r="T90" s="24"/>
      <c r="U90" s="24"/>
      <c r="V90" s="24"/>
      <c r="W90" s="24"/>
      <c r="X90" s="24"/>
      <c r="Y90" s="24"/>
      <c r="Z90" s="22"/>
      <c r="AA90" s="22"/>
      <c r="AB90" s="22"/>
      <c r="AC90" s="22"/>
      <c r="AD90" s="22"/>
      <c r="AE90" s="22"/>
      <c r="AF90" s="22"/>
      <c r="AG90" s="22"/>
      <c r="AH90" s="22"/>
      <c r="AI90" s="22" t="s">
        <v>42</v>
      </c>
      <c r="AJ90" s="22"/>
      <c r="AK90" s="41"/>
      <c r="AL90" s="67"/>
      <c r="AM90" s="24">
        <v>3</v>
      </c>
      <c r="AN90" s="24">
        <v>2</v>
      </c>
      <c r="AO90" s="24">
        <v>3</v>
      </c>
      <c r="AP90" s="24">
        <v>1</v>
      </c>
      <c r="AQ90" s="24">
        <v>2</v>
      </c>
      <c r="AR90" s="24">
        <v>2</v>
      </c>
      <c r="AS90" s="24">
        <v>72</v>
      </c>
      <c r="AT90" s="22" t="s">
        <v>48</v>
      </c>
      <c r="AU90" s="69">
        <v>44197</v>
      </c>
    </row>
    <row r="91" spans="1:47" ht="51" x14ac:dyDescent="0.2">
      <c r="A91" s="144" t="s">
        <v>35</v>
      </c>
      <c r="B91" s="144" t="s">
        <v>112</v>
      </c>
      <c r="C91" s="144"/>
      <c r="D91" s="144" t="s">
        <v>98</v>
      </c>
      <c r="E91" s="144" t="s">
        <v>83</v>
      </c>
      <c r="F91" s="155" t="s">
        <v>918</v>
      </c>
      <c r="G91" s="144"/>
      <c r="H91" s="144"/>
      <c r="I91" s="144" t="s">
        <v>113</v>
      </c>
      <c r="J91" s="144" t="s">
        <v>114</v>
      </c>
      <c r="K91" s="144" t="s">
        <v>42</v>
      </c>
      <c r="L91" s="148">
        <v>2020</v>
      </c>
      <c r="M91" s="148"/>
      <c r="N91" s="149">
        <f>8000000*0.0001</f>
        <v>800</v>
      </c>
      <c r="O91" s="150"/>
      <c r="P91" s="151">
        <f>N91*O91</f>
        <v>0</v>
      </c>
      <c r="Q91" s="152"/>
      <c r="R91" s="152">
        <f t="shared" ref="R91:R100" si="7">IF(Q91&lt;4.99,(Q91*12%+4),IF(Q91&lt;10.99,(Q91*12%+8),IF(Q91&lt;14.99,(Q91*12%+12),IF(Q91&lt;879.99,(Q91*12%+16),IF(Q91&lt;2569.99,(Q91*7%+60),240)))))</f>
        <v>4</v>
      </c>
      <c r="S91" s="153">
        <f t="shared" ref="S91:S100" si="8">R91*P91</f>
        <v>0</v>
      </c>
      <c r="T91" s="148"/>
      <c r="U91" s="148"/>
      <c r="V91" s="148"/>
      <c r="W91" s="148"/>
      <c r="X91" s="148"/>
      <c r="Y91" s="148"/>
      <c r="Z91" s="144">
        <v>10000</v>
      </c>
      <c r="AA91" s="144"/>
      <c r="AB91" s="144"/>
      <c r="AC91" s="144"/>
      <c r="AD91" s="144"/>
      <c r="AE91" s="144">
        <f>430*1690</f>
        <v>726700</v>
      </c>
      <c r="AF91" s="144"/>
      <c r="AG91" s="144"/>
      <c r="AH91" s="144"/>
      <c r="AI91" s="144" t="s">
        <v>42</v>
      </c>
      <c r="AJ91" s="144"/>
      <c r="AK91" s="144" t="s">
        <v>44</v>
      </c>
      <c r="AL91" s="155" t="s">
        <v>115</v>
      </c>
      <c r="AM91" s="148">
        <v>3</v>
      </c>
      <c r="AN91" s="148">
        <v>2</v>
      </c>
      <c r="AO91" s="148">
        <v>3</v>
      </c>
      <c r="AP91" s="148">
        <v>3</v>
      </c>
      <c r="AQ91" s="148">
        <v>1</v>
      </c>
      <c r="AR91" s="148">
        <v>1</v>
      </c>
      <c r="AS91" s="148">
        <v>54</v>
      </c>
      <c r="AT91" s="144" t="s">
        <v>45</v>
      </c>
      <c r="AU91" s="144"/>
    </row>
    <row r="92" spans="1:47" ht="38.25" x14ac:dyDescent="0.2">
      <c r="A92" s="144" t="s">
        <v>72</v>
      </c>
      <c r="B92" s="144" t="s">
        <v>73</v>
      </c>
      <c r="C92" s="144"/>
      <c r="D92" s="144" t="s">
        <v>37</v>
      </c>
      <c r="E92" s="144" t="s">
        <v>83</v>
      </c>
      <c r="F92" s="155" t="s">
        <v>918</v>
      </c>
      <c r="G92" s="144"/>
      <c r="H92" s="144"/>
      <c r="I92" s="144" t="s">
        <v>131</v>
      </c>
      <c r="J92" s="144" t="s">
        <v>1155</v>
      </c>
      <c r="K92" s="144" t="s">
        <v>42</v>
      </c>
      <c r="L92" s="148">
        <v>2019</v>
      </c>
      <c r="M92" s="148"/>
      <c r="N92" s="149">
        <v>17000</v>
      </c>
      <c r="O92" s="150"/>
      <c r="P92" s="151">
        <v>120</v>
      </c>
      <c r="Q92" s="152">
        <v>1600</v>
      </c>
      <c r="R92" s="152">
        <f t="shared" si="7"/>
        <v>172</v>
      </c>
      <c r="S92" s="153">
        <f t="shared" si="8"/>
        <v>20640</v>
      </c>
      <c r="T92" s="148"/>
      <c r="U92" s="148"/>
      <c r="V92" s="148"/>
      <c r="W92" s="148"/>
      <c r="X92" s="148"/>
      <c r="Y92" s="148"/>
      <c r="Z92" s="144">
        <v>0</v>
      </c>
      <c r="AA92" s="144"/>
      <c r="AB92" s="144"/>
      <c r="AC92" s="154">
        <f>P92*Q92*8</f>
        <v>1536000</v>
      </c>
      <c r="AD92" s="154"/>
      <c r="AE92" s="154">
        <f>1430*1382</f>
        <v>1976260</v>
      </c>
      <c r="AF92" s="154"/>
      <c r="AG92" s="154"/>
      <c r="AH92" s="154"/>
      <c r="AI92" s="144" t="s">
        <v>42</v>
      </c>
      <c r="AJ92" s="144"/>
      <c r="AK92" s="144" t="s">
        <v>132</v>
      </c>
      <c r="AL92" s="155"/>
      <c r="AM92" s="148">
        <v>3</v>
      </c>
      <c r="AN92" s="148">
        <v>2</v>
      </c>
      <c r="AO92" s="148">
        <v>3</v>
      </c>
      <c r="AP92" s="148">
        <v>2</v>
      </c>
      <c r="AQ92" s="148">
        <v>1</v>
      </c>
      <c r="AR92" s="148">
        <v>3</v>
      </c>
      <c r="AS92" s="148">
        <v>108</v>
      </c>
      <c r="AT92" s="144" t="s">
        <v>45</v>
      </c>
      <c r="AU92" s="144"/>
    </row>
    <row r="93" spans="1:47" ht="38.25" x14ac:dyDescent="0.2">
      <c r="A93" s="22" t="s">
        <v>35</v>
      </c>
      <c r="B93" s="22" t="s">
        <v>526</v>
      </c>
      <c r="C93" s="22"/>
      <c r="D93" s="22" t="s">
        <v>37</v>
      </c>
      <c r="E93" s="22" t="s">
        <v>83</v>
      </c>
      <c r="F93" s="71" t="s">
        <v>918</v>
      </c>
      <c r="G93" s="22"/>
      <c r="H93" s="22"/>
      <c r="I93" s="22" t="s">
        <v>527</v>
      </c>
      <c r="J93" s="22"/>
      <c r="K93" s="22" t="s">
        <v>42</v>
      </c>
      <c r="L93" s="24">
        <v>2021</v>
      </c>
      <c r="M93" s="24"/>
      <c r="N93" s="51">
        <v>622</v>
      </c>
      <c r="O93" s="39"/>
      <c r="P93" s="27">
        <f>N93*O93</f>
        <v>0</v>
      </c>
      <c r="Q93" s="28"/>
      <c r="R93" s="28">
        <f t="shared" si="7"/>
        <v>4</v>
      </c>
      <c r="S93" s="29">
        <f t="shared" si="8"/>
        <v>0</v>
      </c>
      <c r="T93" s="24"/>
      <c r="U93" s="24"/>
      <c r="V93" s="24"/>
      <c r="W93" s="24"/>
      <c r="X93" s="24"/>
      <c r="Y93" s="24"/>
      <c r="Z93" s="22"/>
      <c r="AA93" s="22"/>
      <c r="AB93" s="22"/>
      <c r="AC93" s="22"/>
      <c r="AD93" s="22"/>
      <c r="AE93" s="22"/>
      <c r="AF93" s="22"/>
      <c r="AG93" s="22"/>
      <c r="AH93" s="22"/>
      <c r="AI93" s="22" t="s">
        <v>64</v>
      </c>
      <c r="AJ93" s="22"/>
      <c r="AK93" s="22" t="s">
        <v>132</v>
      </c>
      <c r="AL93" s="71" t="s">
        <v>528</v>
      </c>
      <c r="AM93" s="24">
        <v>3</v>
      </c>
      <c r="AN93" s="24">
        <v>3</v>
      </c>
      <c r="AO93" s="24">
        <v>3</v>
      </c>
      <c r="AP93" s="24">
        <v>3</v>
      </c>
      <c r="AQ93" s="24">
        <v>1</v>
      </c>
      <c r="AR93" s="24">
        <v>2</v>
      </c>
      <c r="AS93" s="24">
        <v>162</v>
      </c>
      <c r="AT93" s="22" t="s">
        <v>45</v>
      </c>
      <c r="AU93" s="22"/>
    </row>
    <row r="94" spans="1:47" s="133" customFormat="1" ht="25.5" x14ac:dyDescent="0.2">
      <c r="A94" s="13" t="s">
        <v>58</v>
      </c>
      <c r="B94" s="13" t="s">
        <v>1053</v>
      </c>
      <c r="C94" s="13"/>
      <c r="D94" s="13" t="s">
        <v>37</v>
      </c>
      <c r="E94" s="13" t="s">
        <v>1156</v>
      </c>
      <c r="F94" s="70"/>
      <c r="G94" s="13"/>
      <c r="H94" s="13"/>
      <c r="I94" s="13" t="s">
        <v>247</v>
      </c>
      <c r="J94" s="13"/>
      <c r="K94" s="13" t="s">
        <v>42</v>
      </c>
      <c r="L94" s="14">
        <v>2022</v>
      </c>
      <c r="M94" s="14"/>
      <c r="N94" s="15">
        <v>100</v>
      </c>
      <c r="O94" s="16"/>
      <c r="P94" s="17">
        <v>10</v>
      </c>
      <c r="Q94" s="18">
        <v>2000</v>
      </c>
      <c r="R94" s="18">
        <f t="shared" si="7"/>
        <v>200</v>
      </c>
      <c r="S94" s="19">
        <f t="shared" si="8"/>
        <v>2000</v>
      </c>
      <c r="T94" s="14"/>
      <c r="U94" s="14"/>
      <c r="V94" s="14"/>
      <c r="W94" s="14"/>
      <c r="X94" s="14"/>
      <c r="Y94" s="14"/>
      <c r="Z94" s="130">
        <f>S94*P94*5</f>
        <v>100000</v>
      </c>
      <c r="AA94" s="13">
        <v>10000</v>
      </c>
      <c r="AB94" s="13"/>
      <c r="AC94" s="13"/>
      <c r="AD94" s="13"/>
      <c r="AE94" s="130">
        <f>Z94</f>
        <v>100000</v>
      </c>
      <c r="AF94" s="13"/>
      <c r="AG94" s="13"/>
      <c r="AH94" s="13"/>
      <c r="AI94" s="13" t="s">
        <v>42</v>
      </c>
      <c r="AJ94" s="13"/>
      <c r="AK94" s="20" t="s">
        <v>76</v>
      </c>
      <c r="AL94" s="70" t="s">
        <v>248</v>
      </c>
      <c r="AM94" s="14">
        <v>3</v>
      </c>
      <c r="AN94" s="14">
        <v>1</v>
      </c>
      <c r="AO94" s="14">
        <v>3</v>
      </c>
      <c r="AP94" s="14">
        <v>3</v>
      </c>
      <c r="AQ94" s="14">
        <v>1</v>
      </c>
      <c r="AR94" s="14">
        <v>2</v>
      </c>
      <c r="AS94" s="14">
        <v>54</v>
      </c>
      <c r="AT94" s="13" t="s">
        <v>45</v>
      </c>
      <c r="AU94" s="13"/>
    </row>
    <row r="95" spans="1:47" ht="76.5" x14ac:dyDescent="0.2">
      <c r="A95" s="30" t="s">
        <v>58</v>
      </c>
      <c r="B95" s="30" t="s">
        <v>333</v>
      </c>
      <c r="C95" s="30"/>
      <c r="D95" s="30" t="s">
        <v>37</v>
      </c>
      <c r="E95" s="30" t="s">
        <v>334</v>
      </c>
      <c r="F95" s="30"/>
      <c r="G95" s="72" t="s">
        <v>950</v>
      </c>
      <c r="H95" s="30"/>
      <c r="I95" s="30" t="s">
        <v>335</v>
      </c>
      <c r="J95" s="30" t="s">
        <v>336</v>
      </c>
      <c r="K95" s="30" t="s">
        <v>201</v>
      </c>
      <c r="L95" s="31">
        <v>2019</v>
      </c>
      <c r="M95" s="31"/>
      <c r="N95" s="32">
        <f>2000/7500000000*8500000</f>
        <v>2.2666666666666666</v>
      </c>
      <c r="O95" s="33"/>
      <c r="P95" s="34">
        <f t="shared" ref="P95:P100" si="9">N95*O95</f>
        <v>0</v>
      </c>
      <c r="Q95" s="35"/>
      <c r="R95" s="35">
        <f t="shared" si="7"/>
        <v>4</v>
      </c>
      <c r="S95" s="36">
        <f t="shared" si="8"/>
        <v>0</v>
      </c>
      <c r="T95" s="31"/>
      <c r="U95" s="31"/>
      <c r="V95" s="31"/>
      <c r="W95" s="31"/>
      <c r="X95" s="31"/>
      <c r="Y95" s="31"/>
      <c r="Z95" s="30">
        <v>5000</v>
      </c>
      <c r="AA95" s="30"/>
      <c r="AB95" s="30"/>
      <c r="AC95" s="30"/>
      <c r="AD95" s="30"/>
      <c r="AE95" s="30">
        <f>Z95</f>
        <v>5000</v>
      </c>
      <c r="AF95" s="30"/>
      <c r="AG95" s="30"/>
      <c r="AH95" s="30"/>
      <c r="AI95" s="30" t="s">
        <v>42</v>
      </c>
      <c r="AJ95" s="30"/>
      <c r="AK95" s="30" t="s">
        <v>95</v>
      </c>
      <c r="AL95" s="72" t="s">
        <v>337</v>
      </c>
      <c r="AM95" s="31">
        <v>2</v>
      </c>
      <c r="AN95" s="31">
        <v>1</v>
      </c>
      <c r="AO95" s="31">
        <v>2</v>
      </c>
      <c r="AP95" s="31">
        <v>3</v>
      </c>
      <c r="AQ95" s="31">
        <v>1</v>
      </c>
      <c r="AR95" s="31">
        <v>1</v>
      </c>
      <c r="AS95" s="31">
        <v>12</v>
      </c>
      <c r="AT95" s="30" t="s">
        <v>48</v>
      </c>
      <c r="AU95" s="30"/>
    </row>
    <row r="96" spans="1:47" ht="38.25" x14ac:dyDescent="0.2">
      <c r="A96" s="22" t="s">
        <v>35</v>
      </c>
      <c r="B96" s="22" t="s">
        <v>78</v>
      </c>
      <c r="C96" s="22"/>
      <c r="D96" s="22" t="s">
        <v>37</v>
      </c>
      <c r="E96" s="22" t="s">
        <v>668</v>
      </c>
      <c r="F96" s="71" t="s">
        <v>988</v>
      </c>
      <c r="G96" s="22"/>
      <c r="H96" s="22"/>
      <c r="I96" s="22" t="s">
        <v>669</v>
      </c>
      <c r="J96" s="22" t="s">
        <v>670</v>
      </c>
      <c r="K96" s="22" t="s">
        <v>556</v>
      </c>
      <c r="L96" s="24">
        <v>2020</v>
      </c>
      <c r="M96" s="24"/>
      <c r="N96" s="38">
        <v>600</v>
      </c>
      <c r="O96" s="39"/>
      <c r="P96" s="27">
        <f t="shared" si="9"/>
        <v>0</v>
      </c>
      <c r="Q96" s="28"/>
      <c r="R96" s="28">
        <f t="shared" si="7"/>
        <v>4</v>
      </c>
      <c r="S96" s="29">
        <f t="shared" si="8"/>
        <v>0</v>
      </c>
      <c r="T96" s="24"/>
      <c r="U96" s="24"/>
      <c r="V96" s="24"/>
      <c r="W96" s="24"/>
      <c r="X96" s="24"/>
      <c r="Y96" s="24"/>
      <c r="Z96" s="22">
        <v>5000</v>
      </c>
      <c r="AA96" s="22"/>
      <c r="AB96" s="22"/>
      <c r="AC96" s="22"/>
      <c r="AD96" s="22"/>
      <c r="AE96" s="22">
        <f>20*2230</f>
        <v>44600</v>
      </c>
      <c r="AF96" s="22"/>
      <c r="AG96" s="22"/>
      <c r="AH96" s="22"/>
      <c r="AI96" s="22" t="s">
        <v>42</v>
      </c>
      <c r="AJ96" s="22"/>
      <c r="AK96" s="22" t="s">
        <v>56</v>
      </c>
      <c r="AL96" s="71" t="s">
        <v>671</v>
      </c>
      <c r="AM96" s="24">
        <v>1</v>
      </c>
      <c r="AN96" s="24">
        <v>2</v>
      </c>
      <c r="AO96" s="24">
        <v>1</v>
      </c>
      <c r="AP96" s="24">
        <v>3</v>
      </c>
      <c r="AQ96" s="24">
        <v>1</v>
      </c>
      <c r="AR96" s="24">
        <v>2</v>
      </c>
      <c r="AS96" s="24">
        <v>12</v>
      </c>
      <c r="AT96" s="22" t="s">
        <v>48</v>
      </c>
      <c r="AU96" s="22"/>
    </row>
    <row r="97" spans="1:47" ht="38.25" x14ac:dyDescent="0.2">
      <c r="A97" s="22" t="s">
        <v>58</v>
      </c>
      <c r="B97" s="22" t="s">
        <v>207</v>
      </c>
      <c r="C97" s="22"/>
      <c r="D97" s="22" t="s">
        <v>37</v>
      </c>
      <c r="E97" s="22" t="s">
        <v>208</v>
      </c>
      <c r="F97" s="22"/>
      <c r="G97" s="22"/>
      <c r="H97" s="65" t="s">
        <v>936</v>
      </c>
      <c r="I97" s="22" t="s">
        <v>209</v>
      </c>
      <c r="J97" s="22"/>
      <c r="K97" s="22" t="s">
        <v>128</v>
      </c>
      <c r="L97" s="24">
        <v>2021</v>
      </c>
      <c r="M97" s="24"/>
      <c r="N97" s="51">
        <f>8500000/100000*1.5</f>
        <v>127.5</v>
      </c>
      <c r="O97" s="39"/>
      <c r="P97" s="27">
        <f t="shared" si="9"/>
        <v>0</v>
      </c>
      <c r="Q97" s="28"/>
      <c r="R97" s="28">
        <f t="shared" si="7"/>
        <v>4</v>
      </c>
      <c r="S97" s="29">
        <f t="shared" si="8"/>
        <v>0</v>
      </c>
      <c r="T97" s="24"/>
      <c r="U97" s="24"/>
      <c r="V97" s="24"/>
      <c r="W97" s="24"/>
      <c r="X97" s="24"/>
      <c r="Y97" s="24"/>
      <c r="Z97" s="22"/>
      <c r="AA97" s="22"/>
      <c r="AB97" s="22"/>
      <c r="AC97" s="22"/>
      <c r="AD97" s="22"/>
      <c r="AE97" s="22"/>
      <c r="AF97" s="22"/>
      <c r="AG97" s="22"/>
      <c r="AH97" s="22"/>
      <c r="AI97" s="22" t="s">
        <v>64</v>
      </c>
      <c r="AJ97" s="22"/>
      <c r="AK97" s="22" t="s">
        <v>56</v>
      </c>
      <c r="AL97" s="71" t="s">
        <v>210</v>
      </c>
      <c r="AM97" s="24">
        <v>1</v>
      </c>
      <c r="AN97" s="24">
        <v>1</v>
      </c>
      <c r="AO97" s="24">
        <v>1</v>
      </c>
      <c r="AP97" s="24">
        <v>3</v>
      </c>
      <c r="AQ97" s="24">
        <v>1</v>
      </c>
      <c r="AR97" s="24">
        <v>1</v>
      </c>
      <c r="AS97" s="24">
        <v>3</v>
      </c>
      <c r="AT97" s="22" t="s">
        <v>45</v>
      </c>
      <c r="AU97" s="22"/>
    </row>
    <row r="98" spans="1:47" x14ac:dyDescent="0.2">
      <c r="A98" s="30" t="s">
        <v>58</v>
      </c>
      <c r="B98" s="30" t="s">
        <v>575</v>
      </c>
      <c r="C98" s="30"/>
      <c r="D98" s="30" t="s">
        <v>37</v>
      </c>
      <c r="E98" s="30" t="s">
        <v>576</v>
      </c>
      <c r="F98" s="72"/>
      <c r="G98" s="30" t="s">
        <v>977</v>
      </c>
      <c r="H98" s="30"/>
      <c r="I98" s="30" t="s">
        <v>577</v>
      </c>
      <c r="J98" s="30" t="s">
        <v>1165</v>
      </c>
      <c r="K98" s="30" t="s">
        <v>42</v>
      </c>
      <c r="L98" s="31">
        <v>2021</v>
      </c>
      <c r="M98" s="31"/>
      <c r="N98" s="32">
        <f>5.5*80</f>
        <v>440</v>
      </c>
      <c r="O98" s="33"/>
      <c r="P98" s="34">
        <f t="shared" si="9"/>
        <v>0</v>
      </c>
      <c r="Q98" s="35"/>
      <c r="R98" s="35">
        <f t="shared" si="7"/>
        <v>4</v>
      </c>
      <c r="S98" s="36">
        <f t="shared" si="8"/>
        <v>0</v>
      </c>
      <c r="T98" s="31"/>
      <c r="U98" s="31"/>
      <c r="V98" s="31"/>
      <c r="W98" s="31"/>
      <c r="X98" s="31"/>
      <c r="Y98" s="31"/>
      <c r="Z98" s="30">
        <v>0</v>
      </c>
      <c r="AA98" s="30"/>
      <c r="AB98" s="30"/>
      <c r="AC98" s="30"/>
      <c r="AD98" s="30"/>
      <c r="AE98" s="30"/>
      <c r="AF98" s="30"/>
      <c r="AG98" s="30"/>
      <c r="AH98" s="30"/>
      <c r="AI98" s="30" t="s">
        <v>42</v>
      </c>
      <c r="AJ98" s="30"/>
      <c r="AK98" s="37" t="s">
        <v>56</v>
      </c>
      <c r="AL98" s="72" t="s">
        <v>557</v>
      </c>
      <c r="AM98" s="31">
        <v>1</v>
      </c>
      <c r="AN98" s="31">
        <v>1</v>
      </c>
      <c r="AO98" s="31">
        <v>2</v>
      </c>
      <c r="AP98" s="31">
        <v>3</v>
      </c>
      <c r="AQ98" s="31">
        <v>1</v>
      </c>
      <c r="AR98" s="31">
        <v>1</v>
      </c>
      <c r="AS98" s="31">
        <v>6</v>
      </c>
      <c r="AT98" s="30" t="s">
        <v>48</v>
      </c>
      <c r="AU98" s="30"/>
    </row>
    <row r="99" spans="1:47" s="133" customFormat="1" ht="63.75" x14ac:dyDescent="0.2">
      <c r="A99" s="30" t="s">
        <v>58</v>
      </c>
      <c r="B99" s="30" t="s">
        <v>553</v>
      </c>
      <c r="C99" s="30"/>
      <c r="D99" s="30" t="s">
        <v>37</v>
      </c>
      <c r="E99" s="30" t="s">
        <v>973</v>
      </c>
      <c r="F99" s="72"/>
      <c r="G99" s="72" t="s">
        <v>974</v>
      </c>
      <c r="H99" s="30"/>
      <c r="I99" s="30" t="s">
        <v>554</v>
      </c>
      <c r="J99" s="30" t="s">
        <v>555</v>
      </c>
      <c r="K99" s="30" t="s">
        <v>556</v>
      </c>
      <c r="L99" s="31">
        <v>2019</v>
      </c>
      <c r="M99" s="31"/>
      <c r="N99" s="32">
        <f>8500000/100000</f>
        <v>85</v>
      </c>
      <c r="O99" s="33"/>
      <c r="P99" s="34">
        <f t="shared" si="9"/>
        <v>0</v>
      </c>
      <c r="Q99" s="35">
        <v>4000</v>
      </c>
      <c r="R99" s="35">
        <f t="shared" si="7"/>
        <v>240</v>
      </c>
      <c r="S99" s="36">
        <f t="shared" si="8"/>
        <v>0</v>
      </c>
      <c r="T99" s="31"/>
      <c r="U99" s="31"/>
      <c r="V99" s="31"/>
      <c r="W99" s="31"/>
      <c r="X99" s="31"/>
      <c r="Y99" s="31"/>
      <c r="Z99" s="30">
        <v>0</v>
      </c>
      <c r="AA99" s="30"/>
      <c r="AB99" s="30"/>
      <c r="AC99" s="30"/>
      <c r="AD99" s="30"/>
      <c r="AE99" s="30"/>
      <c r="AF99" s="30"/>
      <c r="AG99" s="30"/>
      <c r="AH99" s="30"/>
      <c r="AI99" s="30" t="s">
        <v>201</v>
      </c>
      <c r="AJ99" s="30"/>
      <c r="AK99" s="37" t="s">
        <v>56</v>
      </c>
      <c r="AL99" s="72" t="s">
        <v>557</v>
      </c>
      <c r="AM99" s="31">
        <v>1</v>
      </c>
      <c r="AN99" s="31">
        <v>2</v>
      </c>
      <c r="AO99" s="31">
        <v>1</v>
      </c>
      <c r="AP99" s="31">
        <v>3</v>
      </c>
      <c r="AQ99" s="31">
        <v>1</v>
      </c>
      <c r="AR99" s="31">
        <v>1</v>
      </c>
      <c r="AS99" s="31">
        <v>6</v>
      </c>
      <c r="AT99" s="30" t="s">
        <v>48</v>
      </c>
      <c r="AU99" s="30"/>
    </row>
    <row r="100" spans="1:47" ht="38.25" x14ac:dyDescent="0.2">
      <c r="A100" s="22" t="s">
        <v>58</v>
      </c>
      <c r="B100" s="22" t="s">
        <v>692</v>
      </c>
      <c r="C100" s="22"/>
      <c r="D100" s="22" t="s">
        <v>37</v>
      </c>
      <c r="E100" s="22" t="s">
        <v>693</v>
      </c>
      <c r="F100" s="22"/>
      <c r="G100" s="22"/>
      <c r="H100" s="65" t="s">
        <v>990</v>
      </c>
      <c r="I100" s="22" t="s">
        <v>694</v>
      </c>
      <c r="J100" s="22"/>
      <c r="K100" s="22" t="s">
        <v>42</v>
      </c>
      <c r="L100" s="24">
        <v>2023</v>
      </c>
      <c r="M100" s="24"/>
      <c r="N100" s="52">
        <f>8500000/100000*7.5+0.17*8500000*0.8</f>
        <v>1156637.5</v>
      </c>
      <c r="O100" s="39"/>
      <c r="P100" s="27">
        <f t="shared" si="9"/>
        <v>0</v>
      </c>
      <c r="Q100" s="28"/>
      <c r="R100" s="28">
        <f t="shared" si="7"/>
        <v>4</v>
      </c>
      <c r="S100" s="29">
        <f t="shared" si="8"/>
        <v>0</v>
      </c>
      <c r="T100" s="24"/>
      <c r="U100" s="24"/>
      <c r="V100" s="24"/>
      <c r="W100" s="24"/>
      <c r="X100" s="24"/>
      <c r="Y100" s="24"/>
      <c r="Z100" s="22"/>
      <c r="AA100" s="22"/>
      <c r="AB100" s="22"/>
      <c r="AC100" s="22"/>
      <c r="AD100" s="22"/>
      <c r="AE100" s="22"/>
      <c r="AF100" s="22"/>
      <c r="AG100" s="22"/>
      <c r="AH100" s="22"/>
      <c r="AI100" s="22" t="s">
        <v>42</v>
      </c>
      <c r="AJ100" s="22"/>
      <c r="AK100" s="22" t="s">
        <v>56</v>
      </c>
      <c r="AL100" s="71" t="s">
        <v>695</v>
      </c>
      <c r="AM100" s="24">
        <v>1</v>
      </c>
      <c r="AN100" s="24">
        <v>3</v>
      </c>
      <c r="AO100" s="24">
        <v>1</v>
      </c>
      <c r="AP100" s="24">
        <v>3</v>
      </c>
      <c r="AQ100" s="24">
        <v>1</v>
      </c>
      <c r="AR100" s="24">
        <v>2</v>
      </c>
      <c r="AS100" s="24">
        <v>18</v>
      </c>
      <c r="AT100" s="22" t="s">
        <v>45</v>
      </c>
      <c r="AU100" s="22"/>
    </row>
    <row r="101" spans="1:47" ht="38.25" x14ac:dyDescent="0.2">
      <c r="A101" s="22" t="s">
        <v>47</v>
      </c>
      <c r="B101" s="22" t="s">
        <v>816</v>
      </c>
      <c r="C101" s="22"/>
      <c r="D101" s="65" t="s">
        <v>37</v>
      </c>
      <c r="E101" s="88" t="s">
        <v>599</v>
      </c>
      <c r="F101" s="97" t="s">
        <v>917</v>
      </c>
      <c r="G101" s="88"/>
      <c r="H101" s="88"/>
      <c r="I101" s="65" t="s">
        <v>817</v>
      </c>
      <c r="J101" s="22" t="s">
        <v>818</v>
      </c>
      <c r="K101" s="22" t="s">
        <v>201</v>
      </c>
      <c r="L101" s="24">
        <v>2020</v>
      </c>
      <c r="M101" s="24"/>
      <c r="N101" s="38"/>
      <c r="O101" s="39"/>
      <c r="P101" s="27"/>
      <c r="Q101" s="28"/>
      <c r="R101" s="28"/>
      <c r="S101" s="29"/>
      <c r="T101" s="24"/>
      <c r="U101" s="24"/>
      <c r="V101" s="24"/>
      <c r="W101" s="24"/>
      <c r="X101" s="24"/>
      <c r="Y101" s="24"/>
      <c r="Z101" s="22"/>
      <c r="AA101" s="22"/>
      <c r="AB101" s="22"/>
      <c r="AC101" s="22"/>
      <c r="AD101" s="22"/>
      <c r="AE101" s="22"/>
      <c r="AF101" s="22"/>
      <c r="AG101" s="22"/>
      <c r="AH101" s="22"/>
      <c r="AI101" s="22" t="s">
        <v>819</v>
      </c>
      <c r="AJ101" s="22"/>
      <c r="AK101" s="41"/>
      <c r="AL101" s="67"/>
      <c r="AM101" s="24">
        <v>1</v>
      </c>
      <c r="AN101" s="24">
        <v>3</v>
      </c>
      <c r="AO101" s="24">
        <v>1</v>
      </c>
      <c r="AP101" s="24">
        <v>1</v>
      </c>
      <c r="AQ101" s="24">
        <v>1</v>
      </c>
      <c r="AR101" s="24">
        <v>2</v>
      </c>
      <c r="AS101" s="24">
        <v>6</v>
      </c>
      <c r="AT101" s="22" t="s">
        <v>48</v>
      </c>
      <c r="AU101" s="22"/>
    </row>
    <row r="102" spans="1:47" ht="38.25" x14ac:dyDescent="0.2">
      <c r="A102" s="22" t="s">
        <v>35</v>
      </c>
      <c r="B102" s="22" t="s">
        <v>517</v>
      </c>
      <c r="C102" s="22"/>
      <c r="D102" s="65" t="s">
        <v>60</v>
      </c>
      <c r="E102" s="88" t="s">
        <v>599</v>
      </c>
      <c r="F102" s="97" t="s">
        <v>917</v>
      </c>
      <c r="G102" s="88"/>
      <c r="H102" s="77"/>
      <c r="I102" s="65" t="s">
        <v>814</v>
      </c>
      <c r="J102" s="22" t="s">
        <v>815</v>
      </c>
      <c r="K102" s="22" t="s">
        <v>42</v>
      </c>
      <c r="L102" s="24">
        <v>2021</v>
      </c>
      <c r="M102" s="24"/>
      <c r="N102" s="38"/>
      <c r="O102" s="39"/>
      <c r="P102" s="27"/>
      <c r="Q102" s="28"/>
      <c r="R102" s="28"/>
      <c r="S102" s="29"/>
      <c r="T102" s="24"/>
      <c r="U102" s="24"/>
      <c r="V102" s="24"/>
      <c r="W102" s="24"/>
      <c r="X102" s="24"/>
      <c r="Y102" s="24"/>
      <c r="Z102" s="22"/>
      <c r="AA102" s="22"/>
      <c r="AB102" s="22"/>
      <c r="AC102" s="22"/>
      <c r="AD102" s="22"/>
      <c r="AE102" s="22"/>
      <c r="AF102" s="22"/>
      <c r="AG102" s="22"/>
      <c r="AH102" s="22"/>
      <c r="AI102" s="22" t="s">
        <v>42</v>
      </c>
      <c r="AJ102" s="22"/>
      <c r="AK102" s="41"/>
      <c r="AL102" s="67"/>
      <c r="AM102" s="24"/>
      <c r="AN102" s="24"/>
      <c r="AO102" s="24"/>
      <c r="AP102" s="24"/>
      <c r="AQ102" s="24"/>
      <c r="AR102" s="24"/>
      <c r="AS102" s="24">
        <v>0</v>
      </c>
      <c r="AT102" s="22"/>
      <c r="AU102" s="69"/>
    </row>
    <row r="103" spans="1:47" ht="38.25" x14ac:dyDescent="0.2">
      <c r="A103" s="22" t="s">
        <v>35</v>
      </c>
      <c r="B103" s="22" t="s">
        <v>598</v>
      </c>
      <c r="C103" s="22"/>
      <c r="D103" s="22" t="s">
        <v>37</v>
      </c>
      <c r="E103" s="22" t="s">
        <v>599</v>
      </c>
      <c r="F103" s="71" t="s">
        <v>917</v>
      </c>
      <c r="G103" s="22"/>
      <c r="H103" s="22"/>
      <c r="I103" s="22" t="s">
        <v>600</v>
      </c>
      <c r="J103" s="22" t="s">
        <v>601</v>
      </c>
      <c r="K103" s="22" t="s">
        <v>63</v>
      </c>
      <c r="L103" s="24">
        <v>2021</v>
      </c>
      <c r="M103" s="24"/>
      <c r="N103" s="51">
        <f>8500000/100000*1.8</f>
        <v>153</v>
      </c>
      <c r="O103" s="39"/>
      <c r="P103" s="27">
        <f>N103*O103</f>
        <v>0</v>
      </c>
      <c r="Q103" s="28"/>
      <c r="R103" s="28">
        <f>IF(Q103&lt;4.99,(Q103*12%+4),IF(Q103&lt;10.99,(Q103*12%+8),IF(Q103&lt;14.99,(Q103*12%+12),IF(Q103&lt;879.99,(Q103*12%+16),IF(Q103&lt;2569.99,(Q103*7%+60),240)))))</f>
        <v>4</v>
      </c>
      <c r="S103" s="29">
        <f>R103*P103</f>
        <v>0</v>
      </c>
      <c r="T103" s="24"/>
      <c r="U103" s="24"/>
      <c r="V103" s="24"/>
      <c r="W103" s="24"/>
      <c r="X103" s="24"/>
      <c r="Y103" s="24"/>
      <c r="Z103" s="22">
        <v>0</v>
      </c>
      <c r="AA103" s="22"/>
      <c r="AB103" s="22"/>
      <c r="AC103" s="22"/>
      <c r="AD103" s="22"/>
      <c r="AE103" s="22"/>
      <c r="AF103" s="22"/>
      <c r="AG103" s="22"/>
      <c r="AH103" s="22"/>
      <c r="AI103" s="22" t="s">
        <v>42</v>
      </c>
      <c r="AJ103" s="22" t="s">
        <v>43</v>
      </c>
      <c r="AK103" s="40" t="s">
        <v>95</v>
      </c>
      <c r="AL103" s="71" t="s">
        <v>602</v>
      </c>
      <c r="AM103" s="24">
        <v>2</v>
      </c>
      <c r="AN103" s="24">
        <v>2</v>
      </c>
      <c r="AO103" s="24">
        <v>2</v>
      </c>
      <c r="AP103" s="24">
        <v>3</v>
      </c>
      <c r="AQ103" s="24">
        <v>1</v>
      </c>
      <c r="AR103" s="24">
        <v>2</v>
      </c>
      <c r="AS103" s="24">
        <v>48</v>
      </c>
      <c r="AT103" s="22" t="s">
        <v>45</v>
      </c>
      <c r="AU103" s="22"/>
    </row>
    <row r="104" spans="1:47" ht="38.25" x14ac:dyDescent="0.2">
      <c r="A104" s="22" t="s">
        <v>35</v>
      </c>
      <c r="B104" s="22" t="s">
        <v>91</v>
      </c>
      <c r="C104" s="22"/>
      <c r="D104" s="22" t="s">
        <v>37</v>
      </c>
      <c r="E104" s="22" t="s">
        <v>599</v>
      </c>
      <c r="F104" s="71" t="s">
        <v>917</v>
      </c>
      <c r="G104" s="22"/>
      <c r="H104" s="22"/>
      <c r="I104" s="22" t="s">
        <v>618</v>
      </c>
      <c r="J104" s="22"/>
      <c r="K104" s="22" t="s">
        <v>42</v>
      </c>
      <c r="L104" s="24">
        <v>2021</v>
      </c>
      <c r="M104" s="24"/>
      <c r="N104" s="38">
        <f>80*2.5</f>
        <v>200</v>
      </c>
      <c r="O104" s="39"/>
      <c r="P104" s="27">
        <f>N104*O104</f>
        <v>0</v>
      </c>
      <c r="Q104" s="28"/>
      <c r="R104" s="28">
        <f>IF(Q104&lt;4.99,(Q104*12%+4),IF(Q104&lt;10.99,(Q104*12%+8),IF(Q104&lt;14.99,(Q104*12%+12),IF(Q104&lt;879.99,(Q104*12%+16),IF(Q104&lt;2569.99,(Q104*7%+60),240)))))</f>
        <v>4</v>
      </c>
      <c r="S104" s="29">
        <f>R104*P104</f>
        <v>0</v>
      </c>
      <c r="T104" s="24"/>
      <c r="U104" s="24"/>
      <c r="V104" s="24"/>
      <c r="W104" s="24"/>
      <c r="X104" s="24"/>
      <c r="Y104" s="24"/>
      <c r="Z104" s="22">
        <v>5000</v>
      </c>
      <c r="AA104" s="22"/>
      <c r="AB104" s="22"/>
      <c r="AC104" s="22"/>
      <c r="AD104" s="22"/>
      <c r="AE104" s="22"/>
      <c r="AF104" s="22"/>
      <c r="AG104" s="22"/>
      <c r="AH104" s="22"/>
      <c r="AI104" s="22" t="s">
        <v>42</v>
      </c>
      <c r="AJ104" s="22" t="s">
        <v>43</v>
      </c>
      <c r="AK104" s="40" t="s">
        <v>95</v>
      </c>
      <c r="AL104" s="71" t="s">
        <v>619</v>
      </c>
      <c r="AM104" s="24">
        <v>2</v>
      </c>
      <c r="AN104" s="24">
        <v>2</v>
      </c>
      <c r="AO104" s="24">
        <v>2</v>
      </c>
      <c r="AP104" s="24">
        <v>3</v>
      </c>
      <c r="AQ104" s="24">
        <v>1</v>
      </c>
      <c r="AR104" s="24">
        <v>1</v>
      </c>
      <c r="AS104" s="24">
        <v>24</v>
      </c>
      <c r="AT104" s="22" t="s">
        <v>45</v>
      </c>
      <c r="AU104" s="22"/>
    </row>
    <row r="105" spans="1:47" x14ac:dyDescent="0.2">
      <c r="A105" s="22" t="s">
        <v>35</v>
      </c>
      <c r="B105" s="22" t="s">
        <v>1042</v>
      </c>
      <c r="C105" s="22"/>
      <c r="D105" s="22" t="s">
        <v>37</v>
      </c>
      <c r="E105" s="22" t="s">
        <v>1041</v>
      </c>
      <c r="F105" s="172"/>
      <c r="G105" s="22"/>
      <c r="H105" s="22"/>
      <c r="I105" s="22" t="s">
        <v>1043</v>
      </c>
      <c r="J105" s="22" t="s">
        <v>1044</v>
      </c>
      <c r="K105" s="22" t="s">
        <v>63</v>
      </c>
      <c r="L105" s="24">
        <v>2022</v>
      </c>
      <c r="M105" s="24"/>
      <c r="N105" s="38">
        <v>40</v>
      </c>
      <c r="O105" s="39"/>
      <c r="P105" s="27">
        <v>20</v>
      </c>
      <c r="Q105" s="28">
        <v>20000</v>
      </c>
      <c r="R105" s="28">
        <v>240</v>
      </c>
      <c r="S105" s="29"/>
      <c r="T105" s="24"/>
      <c r="U105" s="24"/>
      <c r="V105" s="24"/>
      <c r="W105" s="24"/>
      <c r="X105" s="24"/>
      <c r="Y105" s="24"/>
      <c r="Z105" s="113">
        <f>Q105*P105*5</f>
        <v>2000000</v>
      </c>
      <c r="AA105" s="22"/>
      <c r="AB105" s="22"/>
      <c r="AC105" s="22"/>
      <c r="AD105" s="22"/>
      <c r="AE105" s="22">
        <f>28*28900</f>
        <v>809200</v>
      </c>
      <c r="AF105" s="22"/>
      <c r="AG105" s="22"/>
      <c r="AH105" s="22"/>
      <c r="AI105" s="22"/>
      <c r="AJ105" s="22"/>
      <c r="AK105" s="40"/>
      <c r="AL105" s="71"/>
      <c r="AM105" s="24"/>
      <c r="AN105" s="24"/>
      <c r="AO105" s="24"/>
      <c r="AP105" s="24"/>
      <c r="AQ105" s="24"/>
      <c r="AR105" s="24"/>
      <c r="AS105" s="24"/>
      <c r="AT105" s="22"/>
      <c r="AU105" s="22"/>
    </row>
    <row r="106" spans="1:47" ht="38.25" x14ac:dyDescent="0.2">
      <c r="A106" s="13" t="s">
        <v>86</v>
      </c>
      <c r="B106" s="13" t="s">
        <v>105</v>
      </c>
      <c r="C106" s="13"/>
      <c r="D106" s="13" t="s">
        <v>98</v>
      </c>
      <c r="E106" s="13" t="s">
        <v>106</v>
      </c>
      <c r="F106" s="13"/>
      <c r="G106" s="13"/>
      <c r="H106" s="70" t="s">
        <v>926</v>
      </c>
      <c r="I106" s="13" t="s">
        <v>107</v>
      </c>
      <c r="J106" s="13"/>
      <c r="K106" s="13" t="s">
        <v>42</v>
      </c>
      <c r="L106" s="14">
        <v>2021</v>
      </c>
      <c r="M106" s="14"/>
      <c r="N106" s="15">
        <f>8000000*0.04</f>
        <v>320000</v>
      </c>
      <c r="O106" s="16"/>
      <c r="P106" s="17">
        <f>N106*O106</f>
        <v>0</v>
      </c>
      <c r="Q106" s="18"/>
      <c r="R106" s="18">
        <f>IF(Q106&lt;4.99,(Q106*12%+4),IF(Q106&lt;10.99,(Q106*12%+8),IF(Q106&lt;14.99,(Q106*12%+12),IF(Q106&lt;879.99,(Q106*12%+16),IF(Q106&lt;2569.99,(Q106*7%+60),240)))))</f>
        <v>4</v>
      </c>
      <c r="S106" s="19">
        <f>R106*P106</f>
        <v>0</v>
      </c>
      <c r="T106" s="14"/>
      <c r="U106" s="14"/>
      <c r="V106" s="14"/>
      <c r="W106" s="14"/>
      <c r="X106" s="14"/>
      <c r="Y106" s="14"/>
      <c r="Z106" s="13"/>
      <c r="AA106" s="13"/>
      <c r="AB106" s="13"/>
      <c r="AC106" s="13"/>
      <c r="AD106" s="13"/>
      <c r="AE106" s="13"/>
      <c r="AF106" s="13"/>
      <c r="AG106" s="13"/>
      <c r="AH106" s="13"/>
      <c r="AI106" s="13" t="s">
        <v>64</v>
      </c>
      <c r="AJ106" s="13"/>
      <c r="AK106" s="13"/>
      <c r="AL106" s="70" t="s">
        <v>108</v>
      </c>
      <c r="AM106" s="14">
        <v>1</v>
      </c>
      <c r="AN106" s="14">
        <v>3</v>
      </c>
      <c r="AO106" s="14">
        <v>1</v>
      </c>
      <c r="AP106" s="14">
        <v>1</v>
      </c>
      <c r="AQ106" s="14">
        <v>2</v>
      </c>
      <c r="AR106" s="14">
        <v>2</v>
      </c>
      <c r="AS106" s="14">
        <v>12</v>
      </c>
      <c r="AT106" s="13" t="s">
        <v>48</v>
      </c>
      <c r="AU106" s="13"/>
    </row>
    <row r="107" spans="1:47" ht="38.25" x14ac:dyDescent="0.2">
      <c r="A107" s="42" t="s">
        <v>58</v>
      </c>
      <c r="B107" s="42" t="s">
        <v>568</v>
      </c>
      <c r="C107" s="42"/>
      <c r="D107" s="42" t="s">
        <v>569</v>
      </c>
      <c r="E107" s="42" t="s">
        <v>570</v>
      </c>
      <c r="F107" s="73"/>
      <c r="G107" s="73" t="s">
        <v>976</v>
      </c>
      <c r="H107" s="42"/>
      <c r="I107" s="42" t="s">
        <v>571</v>
      </c>
      <c r="J107" s="42" t="s">
        <v>572</v>
      </c>
      <c r="K107" s="42" t="s">
        <v>573</v>
      </c>
      <c r="L107" s="43">
        <v>2019</v>
      </c>
      <c r="M107" s="43"/>
      <c r="N107" s="44">
        <f>8500000/10000*5</f>
        <v>4250</v>
      </c>
      <c r="O107" s="45"/>
      <c r="P107" s="46">
        <f>N107*O107</f>
        <v>0</v>
      </c>
      <c r="Q107" s="47"/>
      <c r="R107" s="47">
        <f>IF(Q107&lt;4.99,(Q107*12%+4),IF(Q107&lt;10.99,(Q107*12%+8),IF(Q107&lt;14.99,(Q107*12%+12),IF(Q107&lt;879.99,(Q107*12%+16),IF(Q107&lt;2569.99,(Q107*7%+60),240)))))</f>
        <v>4</v>
      </c>
      <c r="S107" s="48">
        <f>R107*P107</f>
        <v>0</v>
      </c>
      <c r="T107" s="43"/>
      <c r="U107" s="43"/>
      <c r="V107" s="43"/>
      <c r="W107" s="43"/>
      <c r="X107" s="43"/>
      <c r="Y107" s="43"/>
      <c r="Z107" s="42">
        <v>5000</v>
      </c>
      <c r="AA107" s="42"/>
      <c r="AB107" s="42"/>
      <c r="AC107" s="42"/>
      <c r="AD107" s="42"/>
      <c r="AE107" s="42"/>
      <c r="AF107" s="42"/>
      <c r="AG107" s="42"/>
      <c r="AH107" s="42"/>
      <c r="AI107" s="42" t="s">
        <v>42</v>
      </c>
      <c r="AJ107" s="42"/>
      <c r="AK107" s="60" t="s">
        <v>76</v>
      </c>
      <c r="AL107" s="73" t="s">
        <v>574</v>
      </c>
      <c r="AM107" s="43">
        <v>2</v>
      </c>
      <c r="AN107" s="43">
        <v>2</v>
      </c>
      <c r="AO107" s="43">
        <v>1</v>
      </c>
      <c r="AP107" s="43">
        <v>3</v>
      </c>
      <c r="AQ107" s="43">
        <v>1</v>
      </c>
      <c r="AR107" s="43">
        <v>2</v>
      </c>
      <c r="AS107" s="43">
        <v>24</v>
      </c>
      <c r="AT107" s="42" t="s">
        <v>48</v>
      </c>
      <c r="AU107" s="42"/>
    </row>
    <row r="108" spans="1:47" s="116" customFormat="1" ht="38.25" x14ac:dyDescent="0.2">
      <c r="A108" s="22" t="s">
        <v>58</v>
      </c>
      <c r="B108" s="22" t="s">
        <v>820</v>
      </c>
      <c r="C108" s="22"/>
      <c r="D108" s="65" t="s">
        <v>37</v>
      </c>
      <c r="E108" s="65" t="s">
        <v>915</v>
      </c>
      <c r="F108" s="88"/>
      <c r="G108" s="77"/>
      <c r="H108" s="65" t="s">
        <v>916</v>
      </c>
      <c r="I108" s="68" t="s">
        <v>1045</v>
      </c>
      <c r="J108" s="22" t="s">
        <v>821</v>
      </c>
      <c r="K108" s="22" t="s">
        <v>1177</v>
      </c>
      <c r="L108" s="24">
        <v>2023</v>
      </c>
      <c r="M108" s="24"/>
      <c r="N108" s="38">
        <v>1</v>
      </c>
      <c r="O108" s="39"/>
      <c r="P108" s="27">
        <v>1</v>
      </c>
      <c r="Q108" s="28">
        <v>25000</v>
      </c>
      <c r="R108" s="28">
        <v>240</v>
      </c>
      <c r="S108" s="29"/>
      <c r="T108" s="24"/>
      <c r="U108" s="24"/>
      <c r="V108" s="24"/>
      <c r="W108" s="24"/>
      <c r="X108" s="24"/>
      <c r="Y108" s="24"/>
      <c r="Z108" s="113">
        <f>Q108*P108*12</f>
        <v>300000</v>
      </c>
      <c r="AA108" s="22"/>
      <c r="AB108" s="22"/>
      <c r="AC108" s="22"/>
      <c r="AD108" s="22"/>
      <c r="AE108" s="22">
        <v>0</v>
      </c>
      <c r="AF108" s="22"/>
      <c r="AG108" s="22"/>
      <c r="AH108" s="22"/>
      <c r="AI108" s="22" t="s">
        <v>42</v>
      </c>
      <c r="AJ108" s="22"/>
      <c r="AK108" s="41"/>
      <c r="AL108" s="185" t="s">
        <v>1178</v>
      </c>
      <c r="AM108" s="24">
        <v>1</v>
      </c>
      <c r="AN108" s="24">
        <v>1</v>
      </c>
      <c r="AO108" s="24">
        <v>1</v>
      </c>
      <c r="AP108" s="24">
        <v>3</v>
      </c>
      <c r="AQ108" s="24">
        <v>2</v>
      </c>
      <c r="AR108" s="24">
        <v>1</v>
      </c>
      <c r="AS108" s="24">
        <v>6</v>
      </c>
      <c r="AT108" s="22"/>
      <c r="AU108" s="69">
        <v>44197</v>
      </c>
    </row>
    <row r="109" spans="1:47" ht="38.25" x14ac:dyDescent="0.2">
      <c r="A109" s="22" t="s">
        <v>35</v>
      </c>
      <c r="B109" s="23" t="s">
        <v>255</v>
      </c>
      <c r="C109" s="22"/>
      <c r="D109" s="22" t="s">
        <v>60</v>
      </c>
      <c r="E109" s="22" t="s">
        <v>170</v>
      </c>
      <c r="F109" s="71" t="s">
        <v>933</v>
      </c>
      <c r="G109" s="95"/>
      <c r="H109" s="22"/>
      <c r="I109" s="22" t="s">
        <v>428</v>
      </c>
      <c r="J109" s="22"/>
      <c r="K109" s="22" t="s">
        <v>42</v>
      </c>
      <c r="L109" s="24">
        <v>2022</v>
      </c>
      <c r="M109" s="24"/>
      <c r="N109" s="51">
        <v>4400</v>
      </c>
      <c r="O109" s="39"/>
      <c r="P109" s="27">
        <f>N109*O109</f>
        <v>0</v>
      </c>
      <c r="Q109" s="28"/>
      <c r="R109" s="28">
        <f>IF(Q109&lt;4.99,(Q109*12%+4),IF(Q109&lt;10.99,(Q109*12%+8),IF(Q109&lt;14.99,(Q109*12%+12),IF(Q109&lt;879.99,(Q109*12%+16),IF(Q109&lt;2569.99,(Q109*7%+60),240)))))</f>
        <v>4</v>
      </c>
      <c r="S109" s="29">
        <f>R109*P109</f>
        <v>0</v>
      </c>
      <c r="T109" s="24"/>
      <c r="U109" s="24"/>
      <c r="V109" s="24"/>
      <c r="W109" s="24"/>
      <c r="X109" s="24"/>
      <c r="Y109" s="24"/>
      <c r="Z109" s="22"/>
      <c r="AA109" s="22"/>
      <c r="AB109" s="22"/>
      <c r="AC109" s="22"/>
      <c r="AD109" s="22"/>
      <c r="AE109" s="22"/>
      <c r="AF109" s="22"/>
      <c r="AG109" s="22"/>
      <c r="AH109" s="22"/>
      <c r="AI109" s="22" t="s">
        <v>42</v>
      </c>
      <c r="AJ109" s="22" t="s">
        <v>182</v>
      </c>
      <c r="AK109" s="40" t="s">
        <v>227</v>
      </c>
      <c r="AL109" s="71" t="s">
        <v>429</v>
      </c>
      <c r="AM109" s="24">
        <v>3</v>
      </c>
      <c r="AN109" s="24">
        <v>3</v>
      </c>
      <c r="AO109" s="24">
        <v>3</v>
      </c>
      <c r="AP109" s="24">
        <v>3</v>
      </c>
      <c r="AQ109" s="24">
        <v>1</v>
      </c>
      <c r="AR109" s="24">
        <v>1</v>
      </c>
      <c r="AS109" s="24">
        <v>81</v>
      </c>
      <c r="AT109" s="22" t="s">
        <v>45</v>
      </c>
      <c r="AU109" s="22"/>
    </row>
    <row r="110" spans="1:47" s="133" customFormat="1" ht="38.25" x14ac:dyDescent="0.2">
      <c r="A110" s="22" t="s">
        <v>86</v>
      </c>
      <c r="B110" s="22" t="s">
        <v>1238</v>
      </c>
      <c r="C110" s="22"/>
      <c r="D110" s="22" t="s">
        <v>98</v>
      </c>
      <c r="E110" s="22" t="s">
        <v>170</v>
      </c>
      <c r="F110" s="71" t="s">
        <v>933</v>
      </c>
      <c r="G110" s="22"/>
      <c r="H110" s="22"/>
      <c r="I110" s="22" t="s">
        <v>533</v>
      </c>
      <c r="J110" s="22"/>
      <c r="K110" s="22" t="s">
        <v>42</v>
      </c>
      <c r="L110" s="24">
        <v>2023</v>
      </c>
      <c r="M110" s="24"/>
      <c r="N110" s="38">
        <f>0.02*8000000</f>
        <v>160000</v>
      </c>
      <c r="O110" s="39"/>
      <c r="P110" s="27">
        <v>40</v>
      </c>
      <c r="Q110" s="28">
        <v>800</v>
      </c>
      <c r="R110" s="28">
        <f>IF(Q110&lt;4.99,(Q110*12%+4),IF(Q110&lt;10.99,(Q110*12%+8),IF(Q110&lt;14.99,(Q110*12%+12),IF(Q110&lt;879.99,(Q110*12%+16),IF(Q110&lt;2569.99,(Q110*7%+60),240)))))</f>
        <v>112</v>
      </c>
      <c r="S110" s="29">
        <f>R110*P110</f>
        <v>4480</v>
      </c>
      <c r="T110" s="24"/>
      <c r="U110" s="24"/>
      <c r="V110" s="24"/>
      <c r="W110" s="24"/>
      <c r="X110" s="24"/>
      <c r="Y110" s="24"/>
      <c r="Z110" s="22"/>
      <c r="AA110" s="22"/>
      <c r="AB110" s="22"/>
      <c r="AC110" s="22"/>
      <c r="AD110" s="22"/>
      <c r="AE110" s="22"/>
      <c r="AF110" s="22"/>
      <c r="AG110" s="113">
        <f>Q110*P110*12*0.2</f>
        <v>76800</v>
      </c>
      <c r="AH110" s="22"/>
      <c r="AI110" s="22" t="s">
        <v>42</v>
      </c>
      <c r="AJ110" s="22"/>
      <c r="AK110" s="40"/>
      <c r="AL110" s="71" t="s">
        <v>1237</v>
      </c>
      <c r="AM110" s="24">
        <v>3</v>
      </c>
      <c r="AN110" s="24">
        <v>3</v>
      </c>
      <c r="AO110" s="24">
        <v>3</v>
      </c>
      <c r="AP110" s="24">
        <v>1</v>
      </c>
      <c r="AQ110" s="24">
        <v>2</v>
      </c>
      <c r="AR110" s="24">
        <v>1</v>
      </c>
      <c r="AS110" s="24">
        <v>54</v>
      </c>
      <c r="AT110" s="22"/>
      <c r="AU110" s="22"/>
    </row>
    <row r="111" spans="1:47" ht="38.25" x14ac:dyDescent="0.2">
      <c r="A111" s="22" t="s">
        <v>35</v>
      </c>
      <c r="B111" s="22" t="s">
        <v>581</v>
      </c>
      <c r="C111" s="22"/>
      <c r="D111" s="22" t="s">
        <v>98</v>
      </c>
      <c r="E111" s="22" t="s">
        <v>170</v>
      </c>
      <c r="F111" s="71" t="s">
        <v>933</v>
      </c>
      <c r="G111" s="22"/>
      <c r="H111" s="22"/>
      <c r="I111" s="22" t="s">
        <v>582</v>
      </c>
      <c r="J111" s="22" t="s">
        <v>583</v>
      </c>
      <c r="K111" s="22" t="s">
        <v>42</v>
      </c>
      <c r="L111" s="24">
        <v>2021</v>
      </c>
      <c r="M111" s="24"/>
      <c r="N111" s="51">
        <v>1400</v>
      </c>
      <c r="O111" s="39"/>
      <c r="P111" s="27">
        <f>N111*O111</f>
        <v>0</v>
      </c>
      <c r="Q111" s="28"/>
      <c r="R111" s="28">
        <f>IF(Q111&lt;4.99,(Q111*12%+4),IF(Q111&lt;10.99,(Q111*12%+8),IF(Q111&lt;14.99,(Q111*12%+12),IF(Q111&lt;879.99,(Q111*12%+16),IF(Q111&lt;2569.99,(Q111*7%+60),240)))))</f>
        <v>4</v>
      </c>
      <c r="S111" s="29">
        <f>R111*P111</f>
        <v>0</v>
      </c>
      <c r="T111" s="24"/>
      <c r="U111" s="24"/>
      <c r="V111" s="24"/>
      <c r="W111" s="24"/>
      <c r="X111" s="24"/>
      <c r="Y111" s="24"/>
      <c r="Z111" s="22"/>
      <c r="AA111" s="22"/>
      <c r="AB111" s="22"/>
      <c r="AC111" s="22"/>
      <c r="AD111" s="22"/>
      <c r="AE111" s="22"/>
      <c r="AF111" s="22"/>
      <c r="AG111" s="22"/>
      <c r="AH111" s="22"/>
      <c r="AI111" s="22" t="s">
        <v>42</v>
      </c>
      <c r="AJ111" s="22"/>
      <c r="AK111" s="40" t="s">
        <v>132</v>
      </c>
      <c r="AL111" s="71" t="s">
        <v>584</v>
      </c>
      <c r="AM111" s="24">
        <v>3</v>
      </c>
      <c r="AN111" s="24">
        <v>2</v>
      </c>
      <c r="AO111" s="24">
        <v>3</v>
      </c>
      <c r="AP111" s="24">
        <v>3</v>
      </c>
      <c r="AQ111" s="24">
        <v>1</v>
      </c>
      <c r="AR111" s="24">
        <v>2</v>
      </c>
      <c r="AS111" s="24">
        <v>108</v>
      </c>
      <c r="AT111" s="22" t="s">
        <v>45</v>
      </c>
      <c r="AU111" s="22"/>
    </row>
    <row r="112" spans="1:47" x14ac:dyDescent="0.2">
      <c r="A112" s="22" t="s">
        <v>72</v>
      </c>
      <c r="B112" s="22" t="s">
        <v>184</v>
      </c>
      <c r="C112" s="22"/>
      <c r="D112" s="22" t="s">
        <v>98</v>
      </c>
      <c r="E112" s="22" t="s">
        <v>170</v>
      </c>
      <c r="F112" s="71"/>
      <c r="G112" s="22"/>
      <c r="H112" s="22"/>
      <c r="I112" s="22" t="s">
        <v>1071</v>
      </c>
      <c r="J112" s="22"/>
      <c r="K112" s="22" t="s">
        <v>42</v>
      </c>
      <c r="L112" s="24">
        <v>2023</v>
      </c>
      <c r="M112" s="24"/>
      <c r="N112" s="51"/>
      <c r="O112" s="39"/>
      <c r="P112" s="27"/>
      <c r="Q112" s="28"/>
      <c r="R112" s="28"/>
      <c r="S112" s="29"/>
      <c r="T112" s="24"/>
      <c r="U112" s="24"/>
      <c r="V112" s="24"/>
      <c r="W112" s="24"/>
      <c r="X112" s="24"/>
      <c r="Y112" s="24"/>
      <c r="Z112" s="22"/>
      <c r="AA112" s="22"/>
      <c r="AB112" s="22"/>
      <c r="AC112" s="22"/>
      <c r="AD112" s="22"/>
      <c r="AE112" s="22"/>
      <c r="AF112" s="22"/>
      <c r="AG112" s="22"/>
      <c r="AH112" s="22"/>
      <c r="AI112" s="22"/>
      <c r="AJ112" s="22"/>
      <c r="AK112" s="40"/>
      <c r="AL112" s="71"/>
      <c r="AM112" s="24"/>
      <c r="AN112" s="24"/>
      <c r="AO112" s="24"/>
      <c r="AP112" s="24"/>
      <c r="AQ112" s="24"/>
      <c r="AR112" s="24"/>
      <c r="AS112" s="24"/>
      <c r="AT112" s="22"/>
      <c r="AU112" s="22"/>
    </row>
    <row r="113" spans="1:47" ht="38.25" x14ac:dyDescent="0.2">
      <c r="A113" s="22" t="s">
        <v>35</v>
      </c>
      <c r="B113" s="22" t="s">
        <v>616</v>
      </c>
      <c r="C113" s="22"/>
      <c r="D113" s="22" t="s">
        <v>37</v>
      </c>
      <c r="E113" s="22" t="s">
        <v>170</v>
      </c>
      <c r="F113" s="71" t="s">
        <v>933</v>
      </c>
      <c r="G113" s="22"/>
      <c r="H113" s="22"/>
      <c r="I113" s="22" t="s">
        <v>702</v>
      </c>
      <c r="J113" s="22"/>
      <c r="K113" s="22" t="s">
        <v>64</v>
      </c>
      <c r="L113" s="24">
        <v>2022</v>
      </c>
      <c r="M113" s="24"/>
      <c r="N113" s="51" t="e">
        <f>0.007*#REF!</f>
        <v>#REF!</v>
      </c>
      <c r="O113" s="39"/>
      <c r="P113" s="27" t="e">
        <f>N113*O113</f>
        <v>#REF!</v>
      </c>
      <c r="Q113" s="28"/>
      <c r="R113" s="28">
        <f>IF(Q113&lt;4.99,(Q113*12%+4),IF(Q113&lt;10.99,(Q113*12%+8),IF(Q113&lt;14.99,(Q113*12%+12),IF(Q113&lt;879.99,(Q113*12%+16),IF(Q113&lt;2569.99,(Q113*7%+60),240)))))</f>
        <v>4</v>
      </c>
      <c r="S113" s="29" t="e">
        <f>R113*P113</f>
        <v>#REF!</v>
      </c>
      <c r="T113" s="24"/>
      <c r="U113" s="24"/>
      <c r="V113" s="24"/>
      <c r="W113" s="24"/>
      <c r="X113" s="24"/>
      <c r="Y113" s="24"/>
      <c r="Z113" s="22"/>
      <c r="AA113" s="22"/>
      <c r="AB113" s="22"/>
      <c r="AC113" s="22"/>
      <c r="AD113" s="22"/>
      <c r="AE113" s="22"/>
      <c r="AF113" s="22"/>
      <c r="AG113" s="22"/>
      <c r="AH113" s="22"/>
      <c r="AI113" s="22" t="s">
        <v>64</v>
      </c>
      <c r="AJ113" s="22"/>
      <c r="AK113" s="22"/>
      <c r="AL113" s="71" t="s">
        <v>703</v>
      </c>
      <c r="AM113" s="24">
        <v>3</v>
      </c>
      <c r="AN113" s="24">
        <v>2</v>
      </c>
      <c r="AO113" s="24">
        <v>1</v>
      </c>
      <c r="AP113" s="24">
        <v>3</v>
      </c>
      <c r="AQ113" s="24"/>
      <c r="AR113" s="24"/>
      <c r="AS113" s="24">
        <v>18</v>
      </c>
      <c r="AT113" s="22"/>
      <c r="AU113" s="22"/>
    </row>
    <row r="114" spans="1:47" s="133" customFormat="1" x14ac:dyDescent="0.2">
      <c r="A114" s="30" t="s">
        <v>35</v>
      </c>
      <c r="B114" s="30" t="s">
        <v>358</v>
      </c>
      <c r="C114" s="30"/>
      <c r="D114" s="30" t="s">
        <v>37</v>
      </c>
      <c r="E114" s="30" t="s">
        <v>170</v>
      </c>
      <c r="F114" s="72"/>
      <c r="G114" s="30"/>
      <c r="H114" s="30"/>
      <c r="I114" s="30" t="s">
        <v>1233</v>
      </c>
      <c r="J114" s="30"/>
      <c r="K114" s="30" t="s">
        <v>42</v>
      </c>
      <c r="L114" s="31">
        <v>2023</v>
      </c>
      <c r="M114" s="31"/>
      <c r="N114" s="32"/>
      <c r="O114" s="33"/>
      <c r="P114" s="34">
        <v>30</v>
      </c>
      <c r="Q114" s="35">
        <v>5500</v>
      </c>
      <c r="R114" s="35">
        <v>240</v>
      </c>
      <c r="S114" s="36"/>
      <c r="T114" s="31"/>
      <c r="U114" s="31"/>
      <c r="V114" s="31"/>
      <c r="W114" s="31"/>
      <c r="X114" s="31"/>
      <c r="Y114" s="31"/>
      <c r="Z114" s="30"/>
      <c r="AA114" s="30"/>
      <c r="AB114" s="30"/>
      <c r="AC114" s="30"/>
      <c r="AD114" s="30"/>
      <c r="AE114" s="30"/>
      <c r="AF114" s="30"/>
      <c r="AG114" s="132">
        <f>Q114*P114*0.6*12</f>
        <v>1188000</v>
      </c>
      <c r="AH114" s="30"/>
      <c r="AI114" s="30"/>
      <c r="AJ114" s="30"/>
      <c r="AK114" s="30"/>
      <c r="AL114" s="72"/>
      <c r="AM114" s="31"/>
      <c r="AN114" s="31"/>
      <c r="AO114" s="31"/>
      <c r="AP114" s="31"/>
      <c r="AQ114" s="31"/>
      <c r="AR114" s="31"/>
      <c r="AS114" s="31"/>
      <c r="AT114" s="30"/>
      <c r="AU114" s="30"/>
    </row>
    <row r="115" spans="1:47" ht="51" x14ac:dyDescent="0.2">
      <c r="A115" s="30" t="s">
        <v>58</v>
      </c>
      <c r="B115" s="30" t="s">
        <v>59</v>
      </c>
      <c r="C115" s="30"/>
      <c r="D115" s="30" t="s">
        <v>37</v>
      </c>
      <c r="E115" s="30" t="s">
        <v>504</v>
      </c>
      <c r="F115" s="30"/>
      <c r="G115" s="30"/>
      <c r="H115" s="72" t="s">
        <v>968</v>
      </c>
      <c r="I115" s="30" t="s">
        <v>505</v>
      </c>
      <c r="J115" s="30" t="s">
        <v>1166</v>
      </c>
      <c r="K115" s="30" t="s">
        <v>507</v>
      </c>
      <c r="L115" s="31">
        <v>2019</v>
      </c>
      <c r="M115" s="31"/>
      <c r="N115" s="32">
        <v>220</v>
      </c>
      <c r="O115" s="33"/>
      <c r="P115" s="34">
        <f>N115*O115</f>
        <v>0</v>
      </c>
      <c r="Q115" s="35"/>
      <c r="R115" s="35">
        <f>IF(Q115&lt;4.99,(Q115*12%+4),IF(Q115&lt;10.99,(Q115*12%+8),IF(Q115&lt;14.99,(Q115*12%+12),IF(Q115&lt;879.99,(Q115*12%+16),IF(Q115&lt;2569.99,(Q115*7%+60),240)))))</f>
        <v>4</v>
      </c>
      <c r="S115" s="36">
        <f>R115*P115</f>
        <v>0</v>
      </c>
      <c r="T115" s="31"/>
      <c r="U115" s="31"/>
      <c r="V115" s="31"/>
      <c r="W115" s="31"/>
      <c r="X115" s="31"/>
      <c r="Y115" s="31"/>
      <c r="Z115" s="30">
        <v>0</v>
      </c>
      <c r="AA115" s="30"/>
      <c r="AB115" s="30"/>
      <c r="AC115" s="30"/>
      <c r="AD115" s="30"/>
      <c r="AE115" s="30"/>
      <c r="AF115" s="30"/>
      <c r="AG115" s="30"/>
      <c r="AH115" s="30"/>
      <c r="AI115" s="30" t="s">
        <v>42</v>
      </c>
      <c r="AJ115" s="30"/>
      <c r="AK115" s="37"/>
      <c r="AL115" s="72" t="s">
        <v>508</v>
      </c>
      <c r="AM115" s="31">
        <v>1</v>
      </c>
      <c r="AN115" s="31">
        <v>2</v>
      </c>
      <c r="AO115" s="31">
        <v>1</v>
      </c>
      <c r="AP115" s="31">
        <v>3</v>
      </c>
      <c r="AQ115" s="31">
        <v>1</v>
      </c>
      <c r="AR115" s="31">
        <v>2</v>
      </c>
      <c r="AS115" s="31">
        <v>12</v>
      </c>
      <c r="AT115" s="30" t="s">
        <v>48</v>
      </c>
      <c r="AU115" s="30"/>
    </row>
    <row r="116" spans="1:47" ht="38.25" x14ac:dyDescent="0.2">
      <c r="A116" s="22" t="s">
        <v>1192</v>
      </c>
      <c r="B116" s="22" t="s">
        <v>719</v>
      </c>
      <c r="C116" s="22"/>
      <c r="D116" s="22" t="s">
        <v>37</v>
      </c>
      <c r="E116" s="22" t="s">
        <v>720</v>
      </c>
      <c r="F116" s="22"/>
      <c r="G116" s="22"/>
      <c r="H116" s="80" t="s">
        <v>992</v>
      </c>
      <c r="I116" s="22" t="s">
        <v>721</v>
      </c>
      <c r="J116" s="22" t="s">
        <v>722</v>
      </c>
      <c r="K116" s="22" t="s">
        <v>723</v>
      </c>
      <c r="L116" s="24">
        <v>2021</v>
      </c>
      <c r="M116" s="24"/>
      <c r="N116" s="51">
        <f>8500000/100000</f>
        <v>85</v>
      </c>
      <c r="O116" s="39"/>
      <c r="P116" s="27">
        <f>N116*O116</f>
        <v>0</v>
      </c>
      <c r="Q116" s="28"/>
      <c r="R116" s="28">
        <f>IF(Q116&lt;4.99,(Q116*12%+4),IF(Q116&lt;10.99,(Q116*12%+8),IF(Q116&lt;14.99,(Q116*12%+12),IF(Q116&lt;879.99,(Q116*12%+16),IF(Q116&lt;2569.99,(Q116*7%+60),240)))))</f>
        <v>4</v>
      </c>
      <c r="S116" s="29">
        <f>R116*P116</f>
        <v>0</v>
      </c>
      <c r="T116" s="24"/>
      <c r="U116" s="24"/>
      <c r="V116" s="24"/>
      <c r="W116" s="24"/>
      <c r="X116" s="24"/>
      <c r="Y116" s="24"/>
      <c r="Z116" s="22"/>
      <c r="AA116" s="22"/>
      <c r="AB116" s="22"/>
      <c r="AC116" s="22"/>
      <c r="AD116" s="22"/>
      <c r="AE116" s="22"/>
      <c r="AF116" s="22"/>
      <c r="AG116" s="22"/>
      <c r="AH116" s="22"/>
      <c r="AI116" s="22" t="s">
        <v>64</v>
      </c>
      <c r="AJ116" s="22" t="s">
        <v>182</v>
      </c>
      <c r="AK116" s="40" t="s">
        <v>56</v>
      </c>
      <c r="AL116" s="71" t="s">
        <v>1191</v>
      </c>
      <c r="AM116" s="24">
        <v>1</v>
      </c>
      <c r="AN116" s="24">
        <v>2</v>
      </c>
      <c r="AO116" s="24">
        <v>1</v>
      </c>
      <c r="AP116" s="24">
        <v>3</v>
      </c>
      <c r="AQ116" s="24">
        <v>1</v>
      </c>
      <c r="AR116" s="24">
        <v>2</v>
      </c>
      <c r="AS116" s="24">
        <v>12</v>
      </c>
      <c r="AT116" s="22" t="s">
        <v>48</v>
      </c>
      <c r="AU116" s="22"/>
    </row>
    <row r="117" spans="1:47" ht="38.25" x14ac:dyDescent="0.2">
      <c r="A117" s="22" t="s">
        <v>35</v>
      </c>
      <c r="B117" s="22" t="s">
        <v>456</v>
      </c>
      <c r="C117" s="22"/>
      <c r="D117" s="22" t="s">
        <v>60</v>
      </c>
      <c r="E117" s="22" t="s">
        <v>457</v>
      </c>
      <c r="F117" s="22"/>
      <c r="G117" s="97" t="s">
        <v>962</v>
      </c>
      <c r="H117" s="22"/>
      <c r="I117" s="22" t="s">
        <v>458</v>
      </c>
      <c r="J117" s="22" t="s">
        <v>459</v>
      </c>
      <c r="K117" s="22" t="s">
        <v>460</v>
      </c>
      <c r="L117" s="24">
        <v>2018</v>
      </c>
      <c r="M117" s="24"/>
      <c r="N117" s="51">
        <f>130/81500000*8500000</f>
        <v>13.558282208588956</v>
      </c>
      <c r="O117" s="39"/>
      <c r="P117" s="27">
        <f>N117*O117</f>
        <v>0</v>
      </c>
      <c r="Q117" s="28"/>
      <c r="R117" s="28">
        <f>IF(Q117&lt;4.99,(Q117*12%+4),IF(Q117&lt;10.99,(Q117*12%+8),IF(Q117&lt;14.99,(Q117*12%+12),IF(Q117&lt;879.99,(Q117*12%+16),IF(Q117&lt;2569.99,(Q117*7%+60),240)))))</f>
        <v>4</v>
      </c>
      <c r="S117" s="29">
        <f>R117*P117</f>
        <v>0</v>
      </c>
      <c r="T117" s="24"/>
      <c r="U117" s="24"/>
      <c r="V117" s="24"/>
      <c r="W117" s="24"/>
      <c r="X117" s="24"/>
      <c r="Y117" s="24"/>
      <c r="Z117" s="22">
        <v>0</v>
      </c>
      <c r="AA117" s="22"/>
      <c r="AB117" s="22"/>
      <c r="AC117" s="22"/>
      <c r="AD117" s="22"/>
      <c r="AE117" s="22"/>
      <c r="AF117" s="22"/>
      <c r="AG117" s="22"/>
      <c r="AH117" s="22"/>
      <c r="AI117" s="22" t="s">
        <v>42</v>
      </c>
      <c r="AJ117" s="22"/>
      <c r="AK117" s="40" t="s">
        <v>70</v>
      </c>
      <c r="AL117" s="71" t="s">
        <v>461</v>
      </c>
      <c r="AM117" s="24">
        <v>1</v>
      </c>
      <c r="AN117" s="24">
        <v>1</v>
      </c>
      <c r="AO117" s="24">
        <v>1</v>
      </c>
      <c r="AP117" s="24">
        <v>3</v>
      </c>
      <c r="AQ117" s="24">
        <v>1</v>
      </c>
      <c r="AR117" s="24">
        <v>2</v>
      </c>
      <c r="AS117" s="24">
        <v>6</v>
      </c>
      <c r="AT117" s="22" t="s">
        <v>48</v>
      </c>
      <c r="AU117" s="22"/>
    </row>
    <row r="118" spans="1:47" ht="38.25" x14ac:dyDescent="0.2">
      <c r="A118" s="22" t="s">
        <v>35</v>
      </c>
      <c r="B118" s="22" t="s">
        <v>744</v>
      </c>
      <c r="C118" s="22"/>
      <c r="D118" s="22" t="s">
        <v>37</v>
      </c>
      <c r="E118" s="22" t="s">
        <v>457</v>
      </c>
      <c r="F118" s="22"/>
      <c r="G118" s="97" t="s">
        <v>962</v>
      </c>
      <c r="H118" s="22"/>
      <c r="I118" s="22" t="s">
        <v>745</v>
      </c>
      <c r="J118" s="22" t="s">
        <v>746</v>
      </c>
      <c r="K118" s="22" t="s">
        <v>42</v>
      </c>
      <c r="L118" s="24">
        <v>2018</v>
      </c>
      <c r="M118" s="24"/>
      <c r="N118" s="51">
        <v>990</v>
      </c>
      <c r="O118" s="39"/>
      <c r="P118" s="27">
        <f>N118*O118</f>
        <v>0</v>
      </c>
      <c r="Q118" s="28"/>
      <c r="R118" s="28">
        <f>IF(Q118&lt;4.99,(Q118*12%+4),IF(Q118&lt;10.99,(Q118*12%+8),IF(Q118&lt;14.99,(Q118*12%+12),IF(Q118&lt;879.99,(Q118*12%+16),IF(Q118&lt;2569.99,(Q118*7%+60),240)))))</f>
        <v>4</v>
      </c>
      <c r="S118" s="29">
        <f>R118*P118</f>
        <v>0</v>
      </c>
      <c r="T118" s="24"/>
      <c r="U118" s="24"/>
      <c r="V118" s="24"/>
      <c r="W118" s="24"/>
      <c r="X118" s="24"/>
      <c r="Y118" s="24"/>
      <c r="Z118" s="22">
        <v>0</v>
      </c>
      <c r="AA118" s="22"/>
      <c r="AB118" s="22"/>
      <c r="AC118" s="22"/>
      <c r="AD118" s="22"/>
      <c r="AE118" s="22"/>
      <c r="AF118" s="22"/>
      <c r="AG118" s="22"/>
      <c r="AH118" s="22"/>
      <c r="AI118" s="22" t="s">
        <v>42</v>
      </c>
      <c r="AJ118" s="22" t="s">
        <v>43</v>
      </c>
      <c r="AK118" s="40" t="s">
        <v>56</v>
      </c>
      <c r="AL118" s="71" t="s">
        <v>747</v>
      </c>
      <c r="AM118" s="24">
        <v>1</v>
      </c>
      <c r="AN118" s="24">
        <v>2</v>
      </c>
      <c r="AO118" s="24">
        <v>2</v>
      </c>
      <c r="AP118" s="24">
        <v>2</v>
      </c>
      <c r="AQ118" s="24">
        <v>1</v>
      </c>
      <c r="AR118" s="24">
        <v>2</v>
      </c>
      <c r="AS118" s="24">
        <v>16</v>
      </c>
      <c r="AT118" s="22" t="s">
        <v>48</v>
      </c>
      <c r="AU118" s="22"/>
    </row>
    <row r="119" spans="1:47" s="129" customFormat="1" ht="38.25" x14ac:dyDescent="0.2">
      <c r="A119" s="22" t="s">
        <v>58</v>
      </c>
      <c r="B119" s="22" t="s">
        <v>822</v>
      </c>
      <c r="C119" s="22"/>
      <c r="D119" s="65" t="s">
        <v>823</v>
      </c>
      <c r="E119" s="88" t="s">
        <v>824</v>
      </c>
      <c r="F119" s="88"/>
      <c r="G119" s="88" t="s">
        <v>914</v>
      </c>
      <c r="H119" s="88"/>
      <c r="I119" s="65" t="s">
        <v>825</v>
      </c>
      <c r="J119" s="22" t="s">
        <v>826</v>
      </c>
      <c r="K119" s="22" t="s">
        <v>834</v>
      </c>
      <c r="L119" s="24">
        <v>2021</v>
      </c>
      <c r="M119" s="24"/>
      <c r="N119" s="38"/>
      <c r="O119" s="39"/>
      <c r="P119" s="27"/>
      <c r="Q119" s="28"/>
      <c r="R119" s="28"/>
      <c r="S119" s="29"/>
      <c r="T119" s="24"/>
      <c r="U119" s="24"/>
      <c r="V119" s="24"/>
      <c r="W119" s="24"/>
      <c r="X119" s="24"/>
      <c r="Y119" s="24"/>
      <c r="Z119" s="22"/>
      <c r="AA119" s="22"/>
      <c r="AB119" s="22"/>
      <c r="AC119" s="22"/>
      <c r="AD119" s="22"/>
      <c r="AE119" s="22"/>
      <c r="AF119" s="22"/>
      <c r="AG119" s="22"/>
      <c r="AH119" s="22"/>
      <c r="AI119" s="22" t="s">
        <v>42</v>
      </c>
      <c r="AJ119" s="22"/>
      <c r="AK119" s="41"/>
      <c r="AL119" s="67"/>
      <c r="AM119" s="24"/>
      <c r="AN119" s="24"/>
      <c r="AO119" s="24"/>
      <c r="AP119" s="24"/>
      <c r="AQ119" s="24"/>
      <c r="AR119" s="24"/>
      <c r="AS119" s="24">
        <v>0</v>
      </c>
      <c r="AT119" s="22"/>
      <c r="AU119" s="69"/>
    </row>
    <row r="120" spans="1:47" ht="38.25" x14ac:dyDescent="0.2">
      <c r="A120" s="30" t="s">
        <v>58</v>
      </c>
      <c r="B120" s="30" t="s">
        <v>133</v>
      </c>
      <c r="C120" s="30"/>
      <c r="D120" s="30" t="s">
        <v>98</v>
      </c>
      <c r="E120" s="30" t="s">
        <v>134</v>
      </c>
      <c r="F120" s="30"/>
      <c r="G120" s="30"/>
      <c r="H120" s="72" t="s">
        <v>930</v>
      </c>
      <c r="I120" s="30" t="s">
        <v>135</v>
      </c>
      <c r="J120" s="30"/>
      <c r="K120" s="30" t="s">
        <v>64</v>
      </c>
      <c r="L120" s="31">
        <v>2024</v>
      </c>
      <c r="M120" s="31"/>
      <c r="N120" s="32">
        <f>8500000/100000*20</f>
        <v>1700</v>
      </c>
      <c r="O120" s="33"/>
      <c r="P120" s="34">
        <f>N120*O120</f>
        <v>0</v>
      </c>
      <c r="Q120" s="35"/>
      <c r="R120" s="35">
        <f>IF(Q120&lt;4.99,(Q120*12%+4),IF(Q120&lt;10.99,(Q120*12%+8),IF(Q120&lt;14.99,(Q120*12%+12),IF(Q120&lt;879.99,(Q120*12%+16),IF(Q120&lt;2569.99,(Q120*7%+60),240)))))</f>
        <v>4</v>
      </c>
      <c r="S120" s="36">
        <f>R120*P120</f>
        <v>0</v>
      </c>
      <c r="T120" s="31"/>
      <c r="U120" s="31"/>
      <c r="V120" s="31"/>
      <c r="W120" s="31"/>
      <c r="X120" s="31"/>
      <c r="Y120" s="31"/>
      <c r="Z120" s="30">
        <v>0</v>
      </c>
      <c r="AA120" s="30"/>
      <c r="AB120" s="30"/>
      <c r="AC120" s="30"/>
      <c r="AD120" s="30"/>
      <c r="AE120" s="30"/>
      <c r="AF120" s="30"/>
      <c r="AG120" s="30"/>
      <c r="AH120" s="30"/>
      <c r="AI120" s="30" t="s">
        <v>64</v>
      </c>
      <c r="AJ120" s="30"/>
      <c r="AK120" s="30" t="s">
        <v>56</v>
      </c>
      <c r="AL120" s="72" t="s">
        <v>136</v>
      </c>
      <c r="AM120" s="31">
        <v>1</v>
      </c>
      <c r="AN120" s="31">
        <v>2</v>
      </c>
      <c r="AO120" s="31">
        <v>1</v>
      </c>
      <c r="AP120" s="31">
        <v>3</v>
      </c>
      <c r="AQ120" s="31">
        <v>3</v>
      </c>
      <c r="AR120" s="31">
        <v>1</v>
      </c>
      <c r="AS120" s="31">
        <v>18</v>
      </c>
      <c r="AT120" s="30" t="s">
        <v>48</v>
      </c>
      <c r="AU120" s="30"/>
    </row>
    <row r="121" spans="1:47" ht="38.25" x14ac:dyDescent="0.2">
      <c r="A121" s="22" t="s">
        <v>86</v>
      </c>
      <c r="B121" s="22" t="s">
        <v>105</v>
      </c>
      <c r="C121" s="22"/>
      <c r="D121" s="22" t="s">
        <v>98</v>
      </c>
      <c r="E121" s="22" t="s">
        <v>540</v>
      </c>
      <c r="F121" s="80" t="s">
        <v>971</v>
      </c>
      <c r="G121" s="22"/>
      <c r="H121" s="22"/>
      <c r="I121" s="22" t="s">
        <v>541</v>
      </c>
      <c r="J121" s="22"/>
      <c r="K121" s="22" t="s">
        <v>42</v>
      </c>
      <c r="L121" s="24">
        <v>2021</v>
      </c>
      <c r="M121" s="24"/>
      <c r="N121" s="38">
        <f>8000000*0.04</f>
        <v>320000</v>
      </c>
      <c r="O121" s="39"/>
      <c r="P121" s="27">
        <f>N121*O121</f>
        <v>0</v>
      </c>
      <c r="Q121" s="28"/>
      <c r="R121" s="28">
        <f>IF(Q121&lt;4.99,(Q121*12%+4),IF(Q121&lt;10.99,(Q121*12%+8),IF(Q121&lt;14.99,(Q121*12%+12),IF(Q121&lt;879.99,(Q121*12%+16),IF(Q121&lt;2569.99,(Q121*7%+60),240)))))</f>
        <v>4</v>
      </c>
      <c r="S121" s="29">
        <f>R121*P121</f>
        <v>0</v>
      </c>
      <c r="T121" s="24"/>
      <c r="U121" s="24"/>
      <c r="V121" s="24"/>
      <c r="W121" s="24"/>
      <c r="X121" s="24"/>
      <c r="Y121" s="24"/>
      <c r="Z121" s="22"/>
      <c r="AA121" s="22"/>
      <c r="AB121" s="22"/>
      <c r="AC121" s="22"/>
      <c r="AD121" s="22"/>
      <c r="AE121" s="22"/>
      <c r="AF121" s="22"/>
      <c r="AG121" s="22"/>
      <c r="AH121" s="22"/>
      <c r="AI121" s="22" t="s">
        <v>42</v>
      </c>
      <c r="AJ121" s="22" t="s">
        <v>43</v>
      </c>
      <c r="AK121" s="22"/>
      <c r="AL121" s="71" t="s">
        <v>542</v>
      </c>
      <c r="AM121" s="24">
        <v>2</v>
      </c>
      <c r="AN121" s="24">
        <v>2</v>
      </c>
      <c r="AO121" s="24">
        <v>2</v>
      </c>
      <c r="AP121" s="24">
        <v>1</v>
      </c>
      <c r="AQ121" s="24">
        <v>2</v>
      </c>
      <c r="AR121" s="24">
        <v>1</v>
      </c>
      <c r="AS121" s="24">
        <v>16</v>
      </c>
      <c r="AT121" s="22" t="s">
        <v>45</v>
      </c>
      <c r="AU121" s="40">
        <v>43556</v>
      </c>
    </row>
    <row r="122" spans="1:47" ht="38.25" x14ac:dyDescent="0.2">
      <c r="A122" s="22" t="s">
        <v>58</v>
      </c>
      <c r="B122" s="22" t="s">
        <v>122</v>
      </c>
      <c r="C122" s="22"/>
      <c r="D122" s="22" t="s">
        <v>37</v>
      </c>
      <c r="E122" s="22" t="s">
        <v>798</v>
      </c>
      <c r="F122" s="22"/>
      <c r="G122" s="22"/>
      <c r="H122" s="78" t="s">
        <v>1000</v>
      </c>
      <c r="I122" s="22"/>
      <c r="J122" s="22" t="s">
        <v>799</v>
      </c>
      <c r="K122" s="22" t="s">
        <v>64</v>
      </c>
      <c r="L122" s="24">
        <v>2022</v>
      </c>
      <c r="M122" s="24"/>
      <c r="N122" s="38">
        <f>0.025*8000000</f>
        <v>200000</v>
      </c>
      <c r="O122" s="39"/>
      <c r="P122" s="27">
        <f>N122*O122</f>
        <v>0</v>
      </c>
      <c r="Q122" s="28"/>
      <c r="R122" s="28">
        <f>IF(Q122&lt;4.99,(Q122*12%+4),IF(Q122&lt;10.99,(Q122*12%+8),IF(Q122&lt;14.99,(Q122*12%+12),IF(Q122&lt;879.99,(Q122*12%+16),IF(Q122&lt;2569.99,(Q122*7%+60),240)))))</f>
        <v>4</v>
      </c>
      <c r="S122" s="29">
        <f>R122*P122</f>
        <v>0</v>
      </c>
      <c r="T122" s="24"/>
      <c r="U122" s="24"/>
      <c r="V122" s="24"/>
      <c r="W122" s="24"/>
      <c r="X122" s="24"/>
      <c r="Y122" s="24"/>
      <c r="Z122" s="22"/>
      <c r="AA122" s="22"/>
      <c r="AB122" s="22"/>
      <c r="AC122" s="22"/>
      <c r="AD122" s="22"/>
      <c r="AE122" s="22"/>
      <c r="AF122" s="22"/>
      <c r="AG122" s="22"/>
      <c r="AH122" s="22"/>
      <c r="AI122" s="22" t="s">
        <v>64</v>
      </c>
      <c r="AJ122" s="22"/>
      <c r="AK122" s="22"/>
      <c r="AL122" s="71" t="s">
        <v>800</v>
      </c>
      <c r="AM122" s="24">
        <v>1</v>
      </c>
      <c r="AN122" s="24">
        <v>3</v>
      </c>
      <c r="AO122" s="24">
        <v>1</v>
      </c>
      <c r="AP122" s="24">
        <v>3</v>
      </c>
      <c r="AQ122" s="24">
        <v>1</v>
      </c>
      <c r="AR122" s="24">
        <v>2</v>
      </c>
      <c r="AS122" s="24">
        <v>18</v>
      </c>
      <c r="AT122" s="22" t="s">
        <v>48</v>
      </c>
      <c r="AU122" s="22"/>
    </row>
    <row r="123" spans="1:47" s="129" customFormat="1" ht="38.25" x14ac:dyDescent="0.2">
      <c r="A123" s="22" t="s">
        <v>35</v>
      </c>
      <c r="B123" s="22" t="s">
        <v>642</v>
      </c>
      <c r="C123" s="22"/>
      <c r="D123" s="65" t="s">
        <v>60</v>
      </c>
      <c r="E123" s="88" t="s">
        <v>88</v>
      </c>
      <c r="F123" s="80" t="s">
        <v>913</v>
      </c>
      <c r="G123" s="88"/>
      <c r="H123" s="88"/>
      <c r="I123" s="65" t="s">
        <v>831</v>
      </c>
      <c r="J123" s="22"/>
      <c r="K123" s="22" t="s">
        <v>42</v>
      </c>
      <c r="L123" s="24">
        <v>2022</v>
      </c>
      <c r="M123" s="24"/>
      <c r="N123" s="38"/>
      <c r="O123" s="39"/>
      <c r="P123" s="27"/>
      <c r="Q123" s="28"/>
      <c r="R123" s="28"/>
      <c r="S123" s="29"/>
      <c r="T123" s="24"/>
      <c r="U123" s="24"/>
      <c r="V123" s="24"/>
      <c r="W123" s="24"/>
      <c r="X123" s="24"/>
      <c r="Y123" s="24"/>
      <c r="Z123" s="22"/>
      <c r="AA123" s="22"/>
      <c r="AB123" s="22"/>
      <c r="AC123" s="22"/>
      <c r="AD123" s="22"/>
      <c r="AE123" s="22"/>
      <c r="AF123" s="22"/>
      <c r="AG123" s="22"/>
      <c r="AH123" s="22"/>
      <c r="AI123" s="22" t="s">
        <v>42</v>
      </c>
      <c r="AJ123" s="22"/>
      <c r="AK123" s="41"/>
      <c r="AL123" s="67" t="s">
        <v>194</v>
      </c>
      <c r="AM123" s="24">
        <v>1</v>
      </c>
      <c r="AN123" s="24">
        <v>1</v>
      </c>
      <c r="AO123" s="24">
        <v>2</v>
      </c>
      <c r="AP123" s="24">
        <v>3</v>
      </c>
      <c r="AQ123" s="24">
        <v>1</v>
      </c>
      <c r="AR123" s="24">
        <v>2</v>
      </c>
      <c r="AS123" s="24">
        <v>12</v>
      </c>
      <c r="AT123" s="22" t="s">
        <v>48</v>
      </c>
      <c r="AU123" s="69"/>
    </row>
    <row r="124" spans="1:47" ht="38.25" x14ac:dyDescent="0.2">
      <c r="A124" s="22" t="s">
        <v>58</v>
      </c>
      <c r="B124" s="22" t="s">
        <v>829</v>
      </c>
      <c r="C124" s="22"/>
      <c r="D124" s="65"/>
      <c r="E124" s="88" t="s">
        <v>88</v>
      </c>
      <c r="F124" s="80" t="s">
        <v>913</v>
      </c>
      <c r="G124" s="88"/>
      <c r="H124" s="88"/>
      <c r="I124" s="65" t="s">
        <v>830</v>
      </c>
      <c r="J124" s="22"/>
      <c r="K124" s="22" t="s">
        <v>42</v>
      </c>
      <c r="L124" s="24">
        <v>2023</v>
      </c>
      <c r="M124" s="24"/>
      <c r="N124" s="38"/>
      <c r="O124" s="39"/>
      <c r="P124" s="27"/>
      <c r="Q124" s="28"/>
      <c r="R124" s="28"/>
      <c r="S124" s="29"/>
      <c r="T124" s="24"/>
      <c r="U124" s="24"/>
      <c r="V124" s="24"/>
      <c r="W124" s="24"/>
      <c r="X124" s="24"/>
      <c r="Y124" s="24"/>
      <c r="Z124" s="22"/>
      <c r="AA124" s="22"/>
      <c r="AB124" s="22"/>
      <c r="AC124" s="22"/>
      <c r="AD124" s="22"/>
      <c r="AE124" s="22"/>
      <c r="AF124" s="22"/>
      <c r="AG124" s="22"/>
      <c r="AH124" s="22"/>
      <c r="AI124" s="22" t="s">
        <v>42</v>
      </c>
      <c r="AJ124" s="22"/>
      <c r="AK124" s="41"/>
      <c r="AL124" s="67"/>
      <c r="AM124" s="24"/>
      <c r="AN124" s="24"/>
      <c r="AO124" s="24"/>
      <c r="AP124" s="24"/>
      <c r="AQ124" s="24"/>
      <c r="AR124" s="24"/>
      <c r="AS124" s="24">
        <v>0</v>
      </c>
      <c r="AT124" s="22"/>
      <c r="AU124" s="69"/>
    </row>
    <row r="125" spans="1:47" ht="38.25" x14ac:dyDescent="0.2">
      <c r="A125" s="22" t="s">
        <v>47</v>
      </c>
      <c r="B125" s="22" t="s">
        <v>827</v>
      </c>
      <c r="C125" s="22"/>
      <c r="D125" s="65" t="s">
        <v>37</v>
      </c>
      <c r="E125" s="88" t="s">
        <v>88</v>
      </c>
      <c r="F125" s="80" t="s">
        <v>913</v>
      </c>
      <c r="G125" s="88"/>
      <c r="H125" s="88"/>
      <c r="I125" s="65" t="s">
        <v>828</v>
      </c>
      <c r="J125" s="22"/>
      <c r="K125" s="22" t="s">
        <v>42</v>
      </c>
      <c r="L125" s="24">
        <v>2022</v>
      </c>
      <c r="M125" s="24"/>
      <c r="N125" s="38"/>
      <c r="O125" s="39"/>
      <c r="P125" s="27"/>
      <c r="Q125" s="28"/>
      <c r="R125" s="28"/>
      <c r="S125" s="29"/>
      <c r="T125" s="24"/>
      <c r="U125" s="24"/>
      <c r="V125" s="24"/>
      <c r="W125" s="24"/>
      <c r="X125" s="24"/>
      <c r="Y125" s="24"/>
      <c r="Z125" s="22"/>
      <c r="AA125" s="22"/>
      <c r="AB125" s="22"/>
      <c r="AC125" s="22"/>
      <c r="AD125" s="22"/>
      <c r="AE125" s="22"/>
      <c r="AF125" s="22"/>
      <c r="AG125" s="22"/>
      <c r="AH125" s="22"/>
      <c r="AI125" s="22" t="s">
        <v>42</v>
      </c>
      <c r="AJ125" s="22"/>
      <c r="AK125" s="41"/>
      <c r="AL125" s="67"/>
      <c r="AM125" s="24"/>
      <c r="AN125" s="24"/>
      <c r="AO125" s="24"/>
      <c r="AP125" s="24"/>
      <c r="AQ125" s="24"/>
      <c r="AR125" s="24"/>
      <c r="AS125" s="24">
        <v>0</v>
      </c>
      <c r="AT125" s="22"/>
      <c r="AU125" s="69"/>
    </row>
    <row r="126" spans="1:47" ht="38.25" x14ac:dyDescent="0.2">
      <c r="A126" s="13" t="s">
        <v>86</v>
      </c>
      <c r="B126" s="13" t="s">
        <v>87</v>
      </c>
      <c r="C126" s="13"/>
      <c r="D126" s="13" t="s">
        <v>37</v>
      </c>
      <c r="E126" s="13" t="s">
        <v>88</v>
      </c>
      <c r="F126" s="70" t="s">
        <v>913</v>
      </c>
      <c r="G126" s="13"/>
      <c r="H126" s="13"/>
      <c r="I126" s="13" t="s">
        <v>89</v>
      </c>
      <c r="J126" s="13"/>
      <c r="K126" s="13" t="s">
        <v>42</v>
      </c>
      <c r="L126" s="14">
        <v>2020</v>
      </c>
      <c r="M126" s="14"/>
      <c r="N126" s="15" t="e">
        <f>#REF!+#REF!+#REF!</f>
        <v>#REF!</v>
      </c>
      <c r="O126" s="16"/>
      <c r="P126" s="17" t="e">
        <f>N126*O126</f>
        <v>#REF!</v>
      </c>
      <c r="Q126" s="18"/>
      <c r="R126" s="18">
        <f>IF(Q126&lt;4.99,(Q126*12%+4),IF(Q126&lt;10.99,(Q126*12%+8),IF(Q126&lt;14.99,(Q126*12%+12),IF(Q126&lt;879.99,(Q126*12%+16),IF(Q126&lt;2569.99,(Q126*7%+60),240)))))</f>
        <v>4</v>
      </c>
      <c r="S126" s="19" t="e">
        <f>R126*P126</f>
        <v>#REF!</v>
      </c>
      <c r="T126" s="14"/>
      <c r="U126" s="14"/>
      <c r="V126" s="14"/>
      <c r="W126" s="14"/>
      <c r="X126" s="14"/>
      <c r="Y126" s="14"/>
      <c r="Z126" s="13"/>
      <c r="AA126" s="13"/>
      <c r="AB126" s="13"/>
      <c r="AC126" s="13"/>
      <c r="AD126" s="13"/>
      <c r="AE126" s="13"/>
      <c r="AF126" s="13"/>
      <c r="AG126" s="13"/>
      <c r="AH126" s="13"/>
      <c r="AI126" s="13" t="s">
        <v>42</v>
      </c>
      <c r="AJ126" s="13"/>
      <c r="AK126" s="20"/>
      <c r="AL126" s="70" t="s">
        <v>90</v>
      </c>
      <c r="AM126" s="14">
        <v>1</v>
      </c>
      <c r="AN126" s="14">
        <v>3</v>
      </c>
      <c r="AO126" s="14">
        <v>2</v>
      </c>
      <c r="AP126" s="14">
        <v>1</v>
      </c>
      <c r="AQ126" s="14">
        <v>2</v>
      </c>
      <c r="AR126" s="14">
        <v>2</v>
      </c>
      <c r="AS126" s="14">
        <v>24</v>
      </c>
      <c r="AT126" s="13" t="s">
        <v>48</v>
      </c>
      <c r="AU126" s="13"/>
    </row>
    <row r="127" spans="1:47" ht="38.25" x14ac:dyDescent="0.2">
      <c r="A127" s="22" t="s">
        <v>35</v>
      </c>
      <c r="B127" s="22" t="s">
        <v>211</v>
      </c>
      <c r="C127" s="22"/>
      <c r="D127" s="22" t="s">
        <v>60</v>
      </c>
      <c r="E127" s="22" t="s">
        <v>88</v>
      </c>
      <c r="F127" s="71" t="s">
        <v>913</v>
      </c>
      <c r="G127" s="22"/>
      <c r="H127" s="22"/>
      <c r="I127" s="22" t="s">
        <v>212</v>
      </c>
      <c r="J127" s="22"/>
      <c r="K127" s="22" t="s">
        <v>42</v>
      </c>
      <c r="L127" s="24">
        <v>2020</v>
      </c>
      <c r="M127" s="24"/>
      <c r="N127" s="38">
        <f>8500000/100000*150</f>
        <v>12750</v>
      </c>
      <c r="O127" s="39"/>
      <c r="P127" s="27">
        <f>N127*O127</f>
        <v>0</v>
      </c>
      <c r="Q127" s="28"/>
      <c r="R127" s="28">
        <f>IF(Q127&lt;4.99,(Q127*12%+4),IF(Q127&lt;10.99,(Q127*12%+8),IF(Q127&lt;14.99,(Q127*12%+12),IF(Q127&lt;879.99,(Q127*12%+16),IF(Q127&lt;2569.99,(Q127*7%+60),240)))))</f>
        <v>4</v>
      </c>
      <c r="S127" s="29">
        <f>R127*P127</f>
        <v>0</v>
      </c>
      <c r="T127" s="24"/>
      <c r="U127" s="24"/>
      <c r="V127" s="24"/>
      <c r="W127" s="24"/>
      <c r="X127" s="24"/>
      <c r="Y127" s="24"/>
      <c r="Z127" s="22">
        <v>5000</v>
      </c>
      <c r="AA127" s="22"/>
      <c r="AB127" s="22"/>
      <c r="AC127" s="22"/>
      <c r="AD127" s="22"/>
      <c r="AE127" s="22">
        <v>0</v>
      </c>
      <c r="AF127" s="22"/>
      <c r="AG127" s="22"/>
      <c r="AH127" s="22"/>
      <c r="AI127" s="22" t="s">
        <v>42</v>
      </c>
      <c r="AJ127" s="22" t="s">
        <v>182</v>
      </c>
      <c r="AK127" s="40" t="s">
        <v>213</v>
      </c>
      <c r="AL127" s="71" t="s">
        <v>214</v>
      </c>
      <c r="AM127" s="24">
        <v>1</v>
      </c>
      <c r="AN127" s="24">
        <v>2</v>
      </c>
      <c r="AO127" s="24">
        <v>2</v>
      </c>
      <c r="AP127" s="24">
        <v>3</v>
      </c>
      <c r="AQ127" s="24">
        <v>1</v>
      </c>
      <c r="AR127" s="24">
        <v>2</v>
      </c>
      <c r="AS127" s="24">
        <v>24</v>
      </c>
      <c r="AT127" s="22" t="s">
        <v>45</v>
      </c>
      <c r="AU127" s="22"/>
    </row>
    <row r="128" spans="1:47" s="133" customFormat="1" ht="38.25" x14ac:dyDescent="0.2">
      <c r="A128" s="42" t="s">
        <v>58</v>
      </c>
      <c r="B128" s="42" t="s">
        <v>122</v>
      </c>
      <c r="C128" s="42"/>
      <c r="D128" s="42" t="s">
        <v>37</v>
      </c>
      <c r="E128" s="42" t="s">
        <v>88</v>
      </c>
      <c r="F128" s="73" t="s">
        <v>913</v>
      </c>
      <c r="G128" s="109"/>
      <c r="H128" s="42"/>
      <c r="I128" s="42" t="s">
        <v>700</v>
      </c>
      <c r="J128" s="42"/>
      <c r="K128" s="42" t="s">
        <v>42</v>
      </c>
      <c r="L128" s="43">
        <v>2021</v>
      </c>
      <c r="M128" s="43"/>
      <c r="N128" s="44">
        <f>0.025*8000000</f>
        <v>200000</v>
      </c>
      <c r="O128" s="45"/>
      <c r="P128" s="46">
        <f>N128*O128</f>
        <v>0</v>
      </c>
      <c r="Q128" s="47"/>
      <c r="R128" s="47">
        <f>IF(Q128&lt;4.99,(Q128*12%+4),IF(Q128&lt;10.99,(Q128*12%+8),IF(Q128&lt;14.99,(Q128*12%+12),IF(Q128&lt;879.99,(Q128*12%+16),IF(Q128&lt;2569.99,(Q128*7%+60),240)))))</f>
        <v>4</v>
      </c>
      <c r="S128" s="48">
        <f>R128*P128</f>
        <v>0</v>
      </c>
      <c r="T128" s="43"/>
      <c r="U128" s="43"/>
      <c r="V128" s="43"/>
      <c r="W128" s="43"/>
      <c r="X128" s="43"/>
      <c r="Y128" s="43"/>
      <c r="Z128" s="42"/>
      <c r="AA128" s="42"/>
      <c r="AB128" s="42"/>
      <c r="AC128" s="42"/>
      <c r="AD128" s="42"/>
      <c r="AE128" s="42"/>
      <c r="AF128" s="42"/>
      <c r="AG128" s="42"/>
      <c r="AH128" s="42"/>
      <c r="AI128" s="42" t="s">
        <v>42</v>
      </c>
      <c r="AJ128" s="42" t="s">
        <v>182</v>
      </c>
      <c r="AK128" s="60" t="s">
        <v>213</v>
      </c>
      <c r="AL128" s="73" t="s">
        <v>701</v>
      </c>
      <c r="AM128" s="43">
        <v>1</v>
      </c>
      <c r="AN128" s="43">
        <v>3</v>
      </c>
      <c r="AO128" s="43">
        <v>2</v>
      </c>
      <c r="AP128" s="43">
        <v>3</v>
      </c>
      <c r="AQ128" s="43">
        <v>1</v>
      </c>
      <c r="AR128" s="43">
        <v>2</v>
      </c>
      <c r="AS128" s="43">
        <v>36</v>
      </c>
      <c r="AT128" s="42" t="s">
        <v>45</v>
      </c>
      <c r="AU128" s="42"/>
    </row>
    <row r="129" spans="1:47" ht="38.25" x14ac:dyDescent="0.2">
      <c r="A129" s="22" t="s">
        <v>35</v>
      </c>
      <c r="B129" s="22" t="s">
        <v>100</v>
      </c>
      <c r="C129" s="22"/>
      <c r="D129" s="65" t="s">
        <v>60</v>
      </c>
      <c r="E129" s="88" t="s">
        <v>706</v>
      </c>
      <c r="F129" s="78" t="s">
        <v>912</v>
      </c>
      <c r="G129" s="88"/>
      <c r="H129" s="88"/>
      <c r="I129" s="65" t="s">
        <v>832</v>
      </c>
      <c r="J129" s="22" t="s">
        <v>833</v>
      </c>
      <c r="K129" s="22" t="s">
        <v>834</v>
      </c>
      <c r="L129" s="24">
        <v>2021</v>
      </c>
      <c r="M129" s="24"/>
      <c r="N129" s="38"/>
      <c r="O129" s="39"/>
      <c r="P129" s="27"/>
      <c r="Q129" s="28"/>
      <c r="R129" s="28"/>
      <c r="S129" s="29"/>
      <c r="T129" s="24"/>
      <c r="U129" s="24"/>
      <c r="V129" s="24"/>
      <c r="W129" s="24"/>
      <c r="X129" s="24"/>
      <c r="Y129" s="24"/>
      <c r="Z129" s="22"/>
      <c r="AA129" s="22"/>
      <c r="AB129" s="22"/>
      <c r="AC129" s="22"/>
      <c r="AD129" s="22"/>
      <c r="AE129" s="22"/>
      <c r="AF129" s="22"/>
      <c r="AG129" s="22"/>
      <c r="AH129" s="22"/>
      <c r="AI129" s="22" t="s">
        <v>42</v>
      </c>
      <c r="AJ129" s="22"/>
      <c r="AK129" s="41"/>
      <c r="AL129" s="67"/>
      <c r="AM129" s="24"/>
      <c r="AN129" s="24"/>
      <c r="AO129" s="24"/>
      <c r="AP129" s="24"/>
      <c r="AQ129" s="24"/>
      <c r="AR129" s="24"/>
      <c r="AS129" s="24">
        <v>0</v>
      </c>
      <c r="AT129" s="22"/>
      <c r="AU129" s="69"/>
    </row>
    <row r="130" spans="1:47" x14ac:dyDescent="0.2">
      <c r="A130" s="30" t="s">
        <v>47</v>
      </c>
      <c r="B130" s="30" t="s">
        <v>1136</v>
      </c>
      <c r="C130" s="30"/>
      <c r="D130" s="30" t="s">
        <v>37</v>
      </c>
      <c r="E130" s="30" t="s">
        <v>706</v>
      </c>
      <c r="F130" s="72"/>
      <c r="G130" s="30"/>
      <c r="H130" s="106"/>
      <c r="I130" s="30" t="s">
        <v>1137</v>
      </c>
      <c r="J130" s="30" t="s">
        <v>1138</v>
      </c>
      <c r="K130" s="30"/>
      <c r="L130" s="31"/>
      <c r="M130" s="31"/>
      <c r="N130" s="32"/>
      <c r="O130" s="33"/>
      <c r="P130" s="34"/>
      <c r="Q130" s="35"/>
      <c r="R130" s="35"/>
      <c r="S130" s="36"/>
      <c r="T130" s="31"/>
      <c r="U130" s="31"/>
      <c r="V130" s="31"/>
      <c r="W130" s="31"/>
      <c r="X130" s="31"/>
      <c r="Y130" s="31"/>
      <c r="Z130" s="30"/>
      <c r="AA130" s="30"/>
      <c r="AB130" s="30"/>
      <c r="AC130" s="30"/>
      <c r="AD130" s="30"/>
      <c r="AE130" s="30"/>
      <c r="AF130" s="30"/>
      <c r="AG130" s="30"/>
      <c r="AH130" s="30"/>
      <c r="AI130" s="30"/>
      <c r="AJ130" s="30"/>
      <c r="AK130" s="30"/>
      <c r="AL130" s="72"/>
      <c r="AM130" s="31"/>
      <c r="AN130" s="31"/>
      <c r="AO130" s="31"/>
      <c r="AP130" s="31"/>
      <c r="AQ130" s="31"/>
      <c r="AR130" s="31"/>
      <c r="AS130" s="31"/>
      <c r="AT130" s="30"/>
      <c r="AU130" s="30"/>
    </row>
    <row r="131" spans="1:47" x14ac:dyDescent="0.2">
      <c r="A131" s="30" t="s">
        <v>35</v>
      </c>
      <c r="B131" s="30" t="s">
        <v>82</v>
      </c>
      <c r="C131" s="30"/>
      <c r="D131" s="30" t="s">
        <v>37</v>
      </c>
      <c r="E131" s="30" t="s">
        <v>706</v>
      </c>
      <c r="F131" s="72"/>
      <c r="G131" s="30"/>
      <c r="H131" s="106"/>
      <c r="I131" s="30" t="s">
        <v>1218</v>
      </c>
      <c r="J131" s="30"/>
      <c r="K131" s="30"/>
      <c r="L131" s="31">
        <v>2023</v>
      </c>
      <c r="M131" s="31"/>
      <c r="N131" s="32">
        <v>85</v>
      </c>
      <c r="O131" s="33">
        <v>0.2</v>
      </c>
      <c r="P131" s="34">
        <v>15</v>
      </c>
      <c r="Q131" s="35">
        <v>5000</v>
      </c>
      <c r="R131" s="35">
        <v>240</v>
      </c>
      <c r="S131" s="36"/>
      <c r="T131" s="31"/>
      <c r="U131" s="31"/>
      <c r="V131" s="31"/>
      <c r="W131" s="31"/>
      <c r="X131" s="31"/>
      <c r="Y131" s="31"/>
      <c r="Z131" s="30"/>
      <c r="AA131" s="30"/>
      <c r="AB131" s="30"/>
      <c r="AC131" s="30"/>
      <c r="AD131" s="30"/>
      <c r="AE131" s="30"/>
      <c r="AF131" s="30"/>
      <c r="AG131" s="30"/>
      <c r="AH131" s="30"/>
      <c r="AI131" s="30"/>
      <c r="AJ131" s="30"/>
      <c r="AK131" s="30"/>
      <c r="AL131" s="72"/>
      <c r="AM131" s="31"/>
      <c r="AN131" s="31"/>
      <c r="AO131" s="31"/>
      <c r="AP131" s="31"/>
      <c r="AQ131" s="31"/>
      <c r="AR131" s="31"/>
      <c r="AS131" s="31"/>
      <c r="AT131" s="30"/>
      <c r="AU131" s="37">
        <v>44805</v>
      </c>
    </row>
    <row r="132" spans="1:47" ht="38.25" x14ac:dyDescent="0.2">
      <c r="A132" s="13" t="s">
        <v>35</v>
      </c>
      <c r="B132" s="13" t="s">
        <v>78</v>
      </c>
      <c r="C132" s="13"/>
      <c r="D132" s="13" t="s">
        <v>60</v>
      </c>
      <c r="E132" s="13" t="s">
        <v>79</v>
      </c>
      <c r="F132" s="70" t="s">
        <v>912</v>
      </c>
      <c r="G132" s="13"/>
      <c r="H132" s="108"/>
      <c r="I132" s="13" t="s">
        <v>80</v>
      </c>
      <c r="J132" s="13" t="s">
        <v>1125</v>
      </c>
      <c r="K132" s="13" t="s">
        <v>42</v>
      </c>
      <c r="L132" s="14">
        <v>2021</v>
      </c>
      <c r="M132" s="14"/>
      <c r="N132" s="15">
        <v>600</v>
      </c>
      <c r="O132" s="16"/>
      <c r="P132" s="17">
        <f>N132*O132</f>
        <v>0</v>
      </c>
      <c r="Q132" s="18"/>
      <c r="R132" s="18">
        <f>IF(Q132&lt;4.99,(Q132*12%+4),IF(Q132&lt;10.99,(Q132*12%+8),IF(Q132&lt;14.99,(Q132*12%+12),IF(Q132&lt;879.99,(Q132*12%+16),IF(Q132&lt;2569.99,(Q132*7%+60),240)))))</f>
        <v>4</v>
      </c>
      <c r="S132" s="19">
        <f>R132*P132</f>
        <v>0</v>
      </c>
      <c r="T132" s="14"/>
      <c r="U132" s="14"/>
      <c r="V132" s="14"/>
      <c r="W132" s="14"/>
      <c r="X132" s="14"/>
      <c r="Y132" s="14"/>
      <c r="Z132" s="13"/>
      <c r="AA132" s="13"/>
      <c r="AB132" s="13"/>
      <c r="AC132" s="13"/>
      <c r="AD132" s="13"/>
      <c r="AE132" s="13"/>
      <c r="AF132" s="13"/>
      <c r="AG132" s="13"/>
      <c r="AH132" s="13"/>
      <c r="AI132" s="13" t="s">
        <v>201</v>
      </c>
      <c r="AJ132" s="13"/>
      <c r="AK132" s="13"/>
      <c r="AL132" s="70" t="s">
        <v>81</v>
      </c>
      <c r="AM132" s="14">
        <v>3</v>
      </c>
      <c r="AN132" s="14">
        <v>2</v>
      </c>
      <c r="AO132" s="14">
        <v>1</v>
      </c>
      <c r="AP132" s="14">
        <v>3</v>
      </c>
      <c r="AQ132" s="14">
        <v>1</v>
      </c>
      <c r="AR132" s="14">
        <v>2</v>
      </c>
      <c r="AS132" s="14">
        <v>36</v>
      </c>
      <c r="AT132" s="13" t="s">
        <v>45</v>
      </c>
      <c r="AU132" s="13"/>
    </row>
    <row r="133" spans="1:47" ht="38.25" x14ac:dyDescent="0.2">
      <c r="A133" s="22" t="s">
        <v>58</v>
      </c>
      <c r="B133" s="23" t="s">
        <v>287</v>
      </c>
      <c r="C133" s="22"/>
      <c r="D133" s="23" t="s">
        <v>37</v>
      </c>
      <c r="E133" s="22" t="s">
        <v>288</v>
      </c>
      <c r="F133" s="88" t="s">
        <v>946</v>
      </c>
      <c r="G133" s="22"/>
      <c r="H133" s="95"/>
      <c r="I133" s="23" t="s">
        <v>289</v>
      </c>
      <c r="J133" s="22" t="s">
        <v>290</v>
      </c>
      <c r="K133" s="22" t="s">
        <v>63</v>
      </c>
      <c r="L133" s="24">
        <v>2021</v>
      </c>
      <c r="M133" s="24"/>
      <c r="N133" s="52">
        <f>8500000/100000*15</f>
        <v>1275</v>
      </c>
      <c r="O133" s="39"/>
      <c r="P133" s="27">
        <f>N133*O133</f>
        <v>0</v>
      </c>
      <c r="Q133" s="28"/>
      <c r="R133" s="28">
        <f>IF(Q133&lt;4.99,(Q133*12%+4),IF(Q133&lt;10.99,(Q133*12%+8),IF(Q133&lt;14.99,(Q133*12%+12),IF(Q133&lt;879.99,(Q133*12%+16),IF(Q133&lt;2569.99,(Q133*7%+60),240)))))</f>
        <v>4</v>
      </c>
      <c r="S133" s="29">
        <f>R133*P133</f>
        <v>0</v>
      </c>
      <c r="T133" s="24"/>
      <c r="U133" s="24"/>
      <c r="V133" s="24"/>
      <c r="W133" s="24"/>
      <c r="X133" s="24"/>
      <c r="Y133" s="24"/>
      <c r="Z133" s="22">
        <v>0</v>
      </c>
      <c r="AA133" s="22"/>
      <c r="AB133" s="22"/>
      <c r="AC133" s="22"/>
      <c r="AD133" s="22"/>
      <c r="AE133" s="22"/>
      <c r="AF133" s="22"/>
      <c r="AG133" s="22"/>
      <c r="AH133" s="22"/>
      <c r="AI133" s="22" t="s">
        <v>42</v>
      </c>
      <c r="AJ133" s="22"/>
      <c r="AK133" s="40" t="s">
        <v>56</v>
      </c>
      <c r="AL133" s="71" t="s">
        <v>291</v>
      </c>
      <c r="AM133" s="24">
        <v>1</v>
      </c>
      <c r="AN133" s="24">
        <v>1</v>
      </c>
      <c r="AO133" s="24">
        <v>2</v>
      </c>
      <c r="AP133" s="24">
        <v>3</v>
      </c>
      <c r="AQ133" s="24">
        <v>1</v>
      </c>
      <c r="AR133" s="24">
        <v>2</v>
      </c>
      <c r="AS133" s="24">
        <v>12</v>
      </c>
      <c r="AT133" s="22" t="s">
        <v>48</v>
      </c>
      <c r="AU133" s="22"/>
    </row>
    <row r="134" spans="1:47" ht="38.25" x14ac:dyDescent="0.2">
      <c r="A134" s="22" t="s">
        <v>35</v>
      </c>
      <c r="B134" s="22" t="s">
        <v>116</v>
      </c>
      <c r="C134" s="22"/>
      <c r="D134" s="23" t="s">
        <v>311</v>
      </c>
      <c r="E134" s="22" t="s">
        <v>312</v>
      </c>
      <c r="F134" s="83" t="s">
        <v>948</v>
      </c>
      <c r="G134" s="22"/>
      <c r="H134" s="22"/>
      <c r="I134" s="23" t="s">
        <v>313</v>
      </c>
      <c r="J134" s="23" t="s">
        <v>314</v>
      </c>
      <c r="K134" s="23" t="s">
        <v>315</v>
      </c>
      <c r="L134" s="24">
        <v>2020</v>
      </c>
      <c r="M134" s="24"/>
      <c r="N134" s="38">
        <f>8500000/100000*56</f>
        <v>4760</v>
      </c>
      <c r="O134" s="39"/>
      <c r="P134" s="27">
        <f>N134*O134</f>
        <v>0</v>
      </c>
      <c r="Q134" s="28"/>
      <c r="R134" s="28">
        <f>IF(Q134&lt;4.99,(Q134*12%+4),IF(Q134&lt;10.99,(Q134*12%+8),IF(Q134&lt;14.99,(Q134*12%+12),IF(Q134&lt;879.99,(Q134*12%+16),IF(Q134&lt;2569.99,(Q134*7%+60),240)))))</f>
        <v>4</v>
      </c>
      <c r="S134" s="29">
        <f>R134*P134</f>
        <v>0</v>
      </c>
      <c r="T134" s="24"/>
      <c r="U134" s="24"/>
      <c r="V134" s="24"/>
      <c r="W134" s="24"/>
      <c r="X134" s="24"/>
      <c r="Y134" s="24"/>
      <c r="Z134" s="22"/>
      <c r="AA134" s="22"/>
      <c r="AB134" s="22"/>
      <c r="AC134" s="22"/>
      <c r="AD134" s="22"/>
      <c r="AE134" s="22"/>
      <c r="AF134" s="22"/>
      <c r="AG134" s="22"/>
      <c r="AH134" s="22"/>
      <c r="AI134" s="22" t="s">
        <v>42</v>
      </c>
      <c r="AJ134" s="22"/>
      <c r="AK134" s="40" t="s">
        <v>95</v>
      </c>
      <c r="AL134" s="71" t="s">
        <v>316</v>
      </c>
      <c r="AM134" s="24">
        <v>1</v>
      </c>
      <c r="AN134" s="24">
        <v>1</v>
      </c>
      <c r="AO134" s="24">
        <v>1</v>
      </c>
      <c r="AP134" s="24">
        <v>3</v>
      </c>
      <c r="AQ134" s="24">
        <v>1</v>
      </c>
      <c r="AR134" s="24">
        <v>1</v>
      </c>
      <c r="AS134" s="24">
        <v>3</v>
      </c>
      <c r="AT134" s="22" t="s">
        <v>48</v>
      </c>
      <c r="AU134" s="22"/>
    </row>
    <row r="135" spans="1:47" ht="38.25" x14ac:dyDescent="0.2">
      <c r="A135" s="22" t="s">
        <v>58</v>
      </c>
      <c r="B135" s="22" t="s">
        <v>801</v>
      </c>
      <c r="C135" s="22"/>
      <c r="D135" s="22" t="s">
        <v>37</v>
      </c>
      <c r="E135" s="22" t="s">
        <v>802</v>
      </c>
      <c r="F135" s="98" t="s">
        <v>1001</v>
      </c>
      <c r="G135" s="22"/>
      <c r="H135" s="22"/>
      <c r="I135" s="22"/>
      <c r="J135" s="22" t="s">
        <v>803</v>
      </c>
      <c r="K135" s="22"/>
      <c r="L135" s="24"/>
      <c r="M135" s="24"/>
      <c r="N135" s="38"/>
      <c r="O135" s="39"/>
      <c r="P135" s="24"/>
      <c r="Q135" s="28"/>
      <c r="R135" s="24"/>
      <c r="S135" s="24"/>
      <c r="T135" s="24"/>
      <c r="U135" s="24"/>
      <c r="V135" s="24"/>
      <c r="W135" s="24"/>
      <c r="X135" s="24"/>
      <c r="Y135" s="24"/>
      <c r="Z135" s="22"/>
      <c r="AA135" s="22"/>
      <c r="AB135" s="22"/>
      <c r="AC135" s="22"/>
      <c r="AD135" s="22"/>
      <c r="AE135" s="22"/>
      <c r="AF135" s="22"/>
      <c r="AG135" s="22"/>
      <c r="AH135" s="22"/>
      <c r="AI135" s="22"/>
      <c r="AJ135" s="22"/>
      <c r="AK135" s="22"/>
      <c r="AL135" s="71"/>
      <c r="AM135" s="24"/>
      <c r="AN135" s="24"/>
      <c r="AO135" s="24"/>
      <c r="AP135" s="24"/>
      <c r="AQ135" s="24"/>
      <c r="AR135" s="24"/>
      <c r="AS135" s="24"/>
      <c r="AT135" s="22"/>
      <c r="AU135" s="22"/>
    </row>
    <row r="136" spans="1:47" ht="38.25" x14ac:dyDescent="0.2">
      <c r="A136" s="22" t="s">
        <v>58</v>
      </c>
      <c r="B136" s="22" t="s">
        <v>234</v>
      </c>
      <c r="C136" s="22"/>
      <c r="D136" s="22" t="s">
        <v>37</v>
      </c>
      <c r="E136" s="22" t="s">
        <v>235</v>
      </c>
      <c r="F136" s="83" t="s">
        <v>939</v>
      </c>
      <c r="G136" s="22"/>
      <c r="H136" s="22"/>
      <c r="I136" s="22" t="s">
        <v>236</v>
      </c>
      <c r="J136" s="22"/>
      <c r="K136" s="22" t="s">
        <v>42</v>
      </c>
      <c r="L136" s="24">
        <v>2022</v>
      </c>
      <c r="M136" s="24"/>
      <c r="N136" s="52">
        <f>0.15*1500000</f>
        <v>225000</v>
      </c>
      <c r="O136" s="39"/>
      <c r="P136" s="27">
        <f>N136*O136</f>
        <v>0</v>
      </c>
      <c r="Q136" s="28"/>
      <c r="R136" s="28">
        <f>IF(Q136&lt;4.99,(Q136*12%+4),IF(Q136&lt;10.99,(Q136*12%+8),IF(Q136&lt;14.99,(Q136*12%+12),IF(Q136&lt;879.99,(Q136*12%+16),IF(Q136&lt;2569.99,(Q136*7%+60),240)))))</f>
        <v>4</v>
      </c>
      <c r="S136" s="29">
        <f>R136*P136</f>
        <v>0</v>
      </c>
      <c r="T136" s="24"/>
      <c r="U136" s="24"/>
      <c r="V136" s="24"/>
      <c r="W136" s="24"/>
      <c r="X136" s="24"/>
      <c r="Y136" s="24"/>
      <c r="Z136" s="22"/>
      <c r="AA136" s="22"/>
      <c r="AB136" s="22"/>
      <c r="AC136" s="22"/>
      <c r="AD136" s="22"/>
      <c r="AE136" s="22"/>
      <c r="AF136" s="22"/>
      <c r="AG136" s="22"/>
      <c r="AH136" s="22"/>
      <c r="AI136" s="22" t="s">
        <v>42</v>
      </c>
      <c r="AJ136" s="22"/>
      <c r="AK136" s="40"/>
      <c r="AL136" s="71"/>
      <c r="AM136" s="24">
        <v>2</v>
      </c>
      <c r="AN136" s="24">
        <v>3</v>
      </c>
      <c r="AO136" s="24">
        <v>3</v>
      </c>
      <c r="AP136" s="24">
        <v>3</v>
      </c>
      <c r="AQ136" s="24">
        <v>1</v>
      </c>
      <c r="AR136" s="24">
        <v>1</v>
      </c>
      <c r="AS136" s="24">
        <v>54</v>
      </c>
      <c r="AT136" s="22" t="s">
        <v>48</v>
      </c>
      <c r="AU136" s="22"/>
    </row>
    <row r="137" spans="1:47" ht="38.25" x14ac:dyDescent="0.2">
      <c r="A137" s="22" t="s">
        <v>58</v>
      </c>
      <c r="B137" s="23" t="s">
        <v>515</v>
      </c>
      <c r="C137" s="22"/>
      <c r="D137" s="22" t="s">
        <v>37</v>
      </c>
      <c r="E137" s="22" t="s">
        <v>235</v>
      </c>
      <c r="F137" s="83" t="s">
        <v>939</v>
      </c>
      <c r="G137" s="22"/>
      <c r="H137" s="22"/>
      <c r="I137" s="22" t="s">
        <v>516</v>
      </c>
      <c r="J137" s="22"/>
      <c r="K137" s="22" t="s">
        <v>42</v>
      </c>
      <c r="L137" s="24">
        <v>2022</v>
      </c>
      <c r="M137" s="24"/>
      <c r="N137" s="38">
        <f>8500000/200000</f>
        <v>42.5</v>
      </c>
      <c r="O137" s="39"/>
      <c r="P137" s="27">
        <f>N137*O137</f>
        <v>0</v>
      </c>
      <c r="Q137" s="28"/>
      <c r="R137" s="28">
        <f>IF(Q137&lt;4.99,(Q137*12%+4),IF(Q137&lt;10.99,(Q137*12%+8),IF(Q137&lt;14.99,(Q137*12%+12),IF(Q137&lt;879.99,(Q137*12%+16),IF(Q137&lt;2569.99,(Q137*7%+60),240)))))</f>
        <v>4</v>
      </c>
      <c r="S137" s="29">
        <f>R137*P137</f>
        <v>0</v>
      </c>
      <c r="T137" s="24"/>
      <c r="U137" s="24"/>
      <c r="V137" s="24"/>
      <c r="W137" s="24"/>
      <c r="X137" s="24"/>
      <c r="Y137" s="24"/>
      <c r="Z137" s="22"/>
      <c r="AA137" s="22"/>
      <c r="AB137" s="22"/>
      <c r="AC137" s="22"/>
      <c r="AD137" s="22"/>
      <c r="AE137" s="22"/>
      <c r="AF137" s="22"/>
      <c r="AG137" s="22"/>
      <c r="AH137" s="22"/>
      <c r="AI137" s="22" t="s">
        <v>42</v>
      </c>
      <c r="AJ137" s="22"/>
      <c r="AK137" s="40"/>
      <c r="AL137" s="71"/>
      <c r="AM137" s="24">
        <v>2</v>
      </c>
      <c r="AN137" s="24">
        <v>1</v>
      </c>
      <c r="AO137" s="24">
        <v>3</v>
      </c>
      <c r="AP137" s="24">
        <v>2</v>
      </c>
      <c r="AQ137" s="24">
        <v>2</v>
      </c>
      <c r="AR137" s="24">
        <v>2</v>
      </c>
      <c r="AS137" s="24">
        <v>48</v>
      </c>
      <c r="AT137" s="22" t="s">
        <v>48</v>
      </c>
      <c r="AU137" s="22"/>
    </row>
    <row r="138" spans="1:47" s="133" customFormat="1" ht="38.25" x14ac:dyDescent="0.2">
      <c r="A138" s="22" t="s">
        <v>35</v>
      </c>
      <c r="B138" s="22" t="s">
        <v>517</v>
      </c>
      <c r="C138" s="22"/>
      <c r="D138" s="22" t="s">
        <v>60</v>
      </c>
      <c r="E138" s="22" t="s">
        <v>679</v>
      </c>
      <c r="F138" s="95"/>
      <c r="G138" s="85" t="s">
        <v>989</v>
      </c>
      <c r="H138" s="22"/>
      <c r="I138" s="22" t="s">
        <v>680</v>
      </c>
      <c r="J138" s="22"/>
      <c r="K138" s="22" t="s">
        <v>63</v>
      </c>
      <c r="L138" s="24">
        <v>2020</v>
      </c>
      <c r="M138" s="24"/>
      <c r="N138" s="51">
        <v>6250</v>
      </c>
      <c r="O138" s="39"/>
      <c r="P138" s="27">
        <f>N138*O138</f>
        <v>0</v>
      </c>
      <c r="Q138" s="28"/>
      <c r="R138" s="28">
        <f>IF(Q138&lt;4.99,(Q138*12%+4),IF(Q138&lt;10.99,(Q138*12%+8),IF(Q138&lt;14.99,(Q138*12%+12),IF(Q138&lt;879.99,(Q138*12%+16),IF(Q138&lt;2569.99,(Q138*7%+60),240)))))</f>
        <v>4</v>
      </c>
      <c r="S138" s="29">
        <f>R138*P138</f>
        <v>0</v>
      </c>
      <c r="T138" s="24"/>
      <c r="U138" s="24"/>
      <c r="V138" s="24"/>
      <c r="W138" s="24"/>
      <c r="X138" s="24"/>
      <c r="Y138" s="24"/>
      <c r="Z138" s="22"/>
      <c r="AA138" s="22"/>
      <c r="AB138" s="22"/>
      <c r="AC138" s="22"/>
      <c r="AD138" s="22"/>
      <c r="AE138" s="22"/>
      <c r="AF138" s="22"/>
      <c r="AG138" s="22"/>
      <c r="AH138" s="22"/>
      <c r="AI138" s="22" t="s">
        <v>42</v>
      </c>
      <c r="AJ138" s="22" t="s">
        <v>43</v>
      </c>
      <c r="AK138" s="40" t="s">
        <v>70</v>
      </c>
      <c r="AL138" s="71" t="s">
        <v>681</v>
      </c>
      <c r="AM138" s="24">
        <v>2</v>
      </c>
      <c r="AN138" s="24">
        <v>2</v>
      </c>
      <c r="AO138" s="24">
        <v>2</v>
      </c>
      <c r="AP138" s="24">
        <v>3</v>
      </c>
      <c r="AQ138" s="24">
        <v>1</v>
      </c>
      <c r="AR138" s="24">
        <v>1</v>
      </c>
      <c r="AS138" s="24">
        <v>24</v>
      </c>
      <c r="AT138" s="22" t="s">
        <v>48</v>
      </c>
      <c r="AU138" s="22"/>
    </row>
    <row r="139" spans="1:47" s="156" customFormat="1" ht="38.25" x14ac:dyDescent="0.2">
      <c r="A139" s="22" t="s">
        <v>35</v>
      </c>
      <c r="B139" s="22" t="s">
        <v>603</v>
      </c>
      <c r="C139" s="22"/>
      <c r="D139" s="22" t="s">
        <v>60</v>
      </c>
      <c r="E139" s="22" t="s">
        <v>679</v>
      </c>
      <c r="F139" s="22"/>
      <c r="G139" s="71" t="s">
        <v>989</v>
      </c>
      <c r="H139" s="22"/>
      <c r="I139" s="22" t="s">
        <v>781</v>
      </c>
      <c r="J139" s="22" t="s">
        <v>781</v>
      </c>
      <c r="K139" s="22" t="s">
        <v>128</v>
      </c>
      <c r="L139" s="24">
        <v>2020</v>
      </c>
      <c r="M139" s="24"/>
      <c r="N139" s="51">
        <v>1600</v>
      </c>
      <c r="O139" s="39"/>
      <c r="P139" s="27">
        <f>N139*O139</f>
        <v>0</v>
      </c>
      <c r="Q139" s="28"/>
      <c r="R139" s="28">
        <f>IF(Q139&lt;4.99,(Q139*12%+4),IF(Q139&lt;10.99,(Q139*12%+8),IF(Q139&lt;14.99,(Q139*12%+12),IF(Q139&lt;879.99,(Q139*12%+16),IF(Q139&lt;2569.99,(Q139*7%+60),240)))))</f>
        <v>4</v>
      </c>
      <c r="S139" s="29">
        <f>R139*P139</f>
        <v>0</v>
      </c>
      <c r="T139" s="24"/>
      <c r="U139" s="24"/>
      <c r="V139" s="24"/>
      <c r="W139" s="24"/>
      <c r="X139" s="24"/>
      <c r="Y139" s="24"/>
      <c r="Z139" s="22"/>
      <c r="AA139" s="22"/>
      <c r="AB139" s="22"/>
      <c r="AC139" s="22"/>
      <c r="AD139" s="22"/>
      <c r="AE139" s="22"/>
      <c r="AF139" s="22"/>
      <c r="AG139" s="22"/>
      <c r="AH139" s="22"/>
      <c r="AI139" s="22" t="s">
        <v>64</v>
      </c>
      <c r="AJ139" s="22"/>
      <c r="AK139" s="22"/>
      <c r="AL139" s="71"/>
      <c r="AM139" s="24">
        <v>1</v>
      </c>
      <c r="AN139" s="24">
        <v>2</v>
      </c>
      <c r="AO139" s="24">
        <v>1</v>
      </c>
      <c r="AP139" s="24">
        <v>3</v>
      </c>
      <c r="AQ139" s="24">
        <v>1</v>
      </c>
      <c r="AR139" s="24">
        <v>1</v>
      </c>
      <c r="AS139" s="24">
        <v>6</v>
      </c>
      <c r="AT139" s="22" t="s">
        <v>48</v>
      </c>
      <c r="AU139" s="22"/>
    </row>
    <row r="140" spans="1:47" ht="38.25" x14ac:dyDescent="0.2">
      <c r="A140" s="22" t="s">
        <v>35</v>
      </c>
      <c r="B140" s="22" t="s">
        <v>263</v>
      </c>
      <c r="C140" s="22"/>
      <c r="D140" s="22" t="s">
        <v>37</v>
      </c>
      <c r="E140" s="22" t="s">
        <v>394</v>
      </c>
      <c r="F140" s="79" t="s">
        <v>956</v>
      </c>
      <c r="G140" s="22"/>
      <c r="H140" s="22"/>
      <c r="I140" s="22" t="s">
        <v>395</v>
      </c>
      <c r="J140" s="22"/>
      <c r="K140" s="22" t="s">
        <v>128</v>
      </c>
      <c r="L140" s="24">
        <v>2021</v>
      </c>
      <c r="M140" s="24"/>
      <c r="N140" s="51">
        <v>2800</v>
      </c>
      <c r="O140" s="39"/>
      <c r="P140" s="27">
        <f>N140*O140</f>
        <v>0</v>
      </c>
      <c r="Q140" s="28"/>
      <c r="R140" s="28">
        <f>IF(Q140&lt;4.99,(Q140*12%+4),IF(Q140&lt;10.99,(Q140*12%+8),IF(Q140&lt;14.99,(Q140*12%+12),IF(Q140&lt;879.99,(Q140*12%+16),IF(Q140&lt;2569.99,(Q140*7%+60),240)))))</f>
        <v>4</v>
      </c>
      <c r="S140" s="29">
        <f>R140*P140</f>
        <v>0</v>
      </c>
      <c r="T140" s="24"/>
      <c r="U140" s="24"/>
      <c r="V140" s="24"/>
      <c r="W140" s="24"/>
      <c r="X140" s="24"/>
      <c r="Y140" s="24"/>
      <c r="Z140" s="22">
        <v>0</v>
      </c>
      <c r="AA140" s="22"/>
      <c r="AB140" s="22"/>
      <c r="AC140" s="22"/>
      <c r="AD140" s="22"/>
      <c r="AE140" s="22"/>
      <c r="AF140" s="22"/>
      <c r="AG140" s="22"/>
      <c r="AH140" s="22"/>
      <c r="AI140" s="22" t="s">
        <v>42</v>
      </c>
      <c r="AJ140" s="22" t="s">
        <v>182</v>
      </c>
      <c r="AK140" s="40" t="s">
        <v>129</v>
      </c>
      <c r="AL140" s="71" t="s">
        <v>396</v>
      </c>
      <c r="AM140" s="24">
        <v>2</v>
      </c>
      <c r="AN140" s="24">
        <v>2</v>
      </c>
      <c r="AO140" s="24">
        <v>1</v>
      </c>
      <c r="AP140" s="24">
        <v>3</v>
      </c>
      <c r="AQ140" s="24">
        <v>1</v>
      </c>
      <c r="AR140" s="24">
        <v>2</v>
      </c>
      <c r="AS140" s="24">
        <v>24</v>
      </c>
      <c r="AT140" s="22" t="s">
        <v>45</v>
      </c>
      <c r="AU140" s="22"/>
    </row>
    <row r="141" spans="1:47" x14ac:dyDescent="0.2">
      <c r="A141" s="22" t="s">
        <v>35</v>
      </c>
      <c r="B141" s="22" t="s">
        <v>558</v>
      </c>
      <c r="C141" s="22"/>
      <c r="D141" s="22" t="s">
        <v>37</v>
      </c>
      <c r="E141" s="22" t="s">
        <v>394</v>
      </c>
      <c r="F141" s="65"/>
      <c r="G141" s="22"/>
      <c r="H141" s="22"/>
      <c r="I141" s="22" t="s">
        <v>1139</v>
      </c>
      <c r="J141" s="22"/>
      <c r="K141" s="22"/>
      <c r="L141" s="24"/>
      <c r="M141" s="24"/>
      <c r="N141" s="51">
        <v>1600</v>
      </c>
      <c r="O141" s="39"/>
      <c r="P141" s="27">
        <v>15</v>
      </c>
      <c r="Q141" s="28"/>
      <c r="R141" s="28"/>
      <c r="S141" s="29"/>
      <c r="T141" s="24"/>
      <c r="U141" s="24"/>
      <c r="V141" s="24"/>
      <c r="W141" s="24"/>
      <c r="X141" s="24"/>
      <c r="Y141" s="24"/>
      <c r="Z141" s="22"/>
      <c r="AA141" s="22"/>
      <c r="AB141" s="22"/>
      <c r="AC141" s="22"/>
      <c r="AD141" s="22"/>
      <c r="AE141" s="22"/>
      <c r="AF141" s="22"/>
      <c r="AG141" s="22"/>
      <c r="AH141" s="22"/>
      <c r="AI141" s="22" t="s">
        <v>42</v>
      </c>
      <c r="AJ141" s="22"/>
      <c r="AK141" s="40"/>
      <c r="AL141" s="71" t="s">
        <v>1140</v>
      </c>
      <c r="AM141" s="24"/>
      <c r="AN141" s="24"/>
      <c r="AO141" s="24"/>
      <c r="AP141" s="24"/>
      <c r="AQ141" s="24"/>
      <c r="AR141" s="24"/>
      <c r="AS141" s="24"/>
      <c r="AT141" s="22"/>
      <c r="AU141" s="22"/>
    </row>
    <row r="142" spans="1:47" s="129" customFormat="1" ht="38.25" x14ac:dyDescent="0.2">
      <c r="A142" s="22" t="s">
        <v>86</v>
      </c>
      <c r="B142" s="23" t="s">
        <v>462</v>
      </c>
      <c r="C142" s="22"/>
      <c r="D142" s="22" t="s">
        <v>37</v>
      </c>
      <c r="E142" s="22" t="s">
        <v>394</v>
      </c>
      <c r="F142" s="79" t="s">
        <v>956</v>
      </c>
      <c r="G142" s="22"/>
      <c r="H142" s="22"/>
      <c r="I142" s="22" t="s">
        <v>463</v>
      </c>
      <c r="J142" s="22"/>
      <c r="K142" s="22" t="s">
        <v>42</v>
      </c>
      <c r="L142" s="24">
        <v>2022</v>
      </c>
      <c r="M142" s="24"/>
      <c r="N142" s="25">
        <f>8500000/100000*5</f>
        <v>425</v>
      </c>
      <c r="O142" s="26"/>
      <c r="P142" s="27">
        <f>N142*O142</f>
        <v>0</v>
      </c>
      <c r="Q142" s="28"/>
      <c r="R142" s="28">
        <f>IF(Q142&lt;4.99,(Q142*12%+4),IF(Q142&lt;10.99,(Q142*12%+8),IF(Q142&lt;14.99,(Q142*12%+12),IF(Q142&lt;879.99,(Q142*12%+16),IF(Q142&lt;2569.99,(Q142*7%+60),240)))))</f>
        <v>4</v>
      </c>
      <c r="S142" s="29">
        <f>R142*P142</f>
        <v>0</v>
      </c>
      <c r="T142" s="24"/>
      <c r="U142" s="24"/>
      <c r="V142" s="24"/>
      <c r="W142" s="24"/>
      <c r="X142" s="24"/>
      <c r="Y142" s="24"/>
      <c r="Z142" s="22"/>
      <c r="AA142" s="22"/>
      <c r="AB142" s="22"/>
      <c r="AC142" s="22"/>
      <c r="AD142" s="22"/>
      <c r="AE142" s="22"/>
      <c r="AF142" s="22"/>
      <c r="AG142" s="22"/>
      <c r="AH142" s="22"/>
      <c r="AI142" s="22" t="s">
        <v>42</v>
      </c>
      <c r="AJ142" s="22"/>
      <c r="AK142" s="40"/>
      <c r="AL142" s="71" t="s">
        <v>464</v>
      </c>
      <c r="AM142" s="24">
        <v>2</v>
      </c>
      <c r="AN142" s="24">
        <v>2</v>
      </c>
      <c r="AO142" s="24">
        <v>1</v>
      </c>
      <c r="AP142" s="24">
        <v>3</v>
      </c>
      <c r="AQ142" s="24">
        <v>1</v>
      </c>
      <c r="AR142" s="24">
        <v>2</v>
      </c>
      <c r="AS142" s="24">
        <v>24</v>
      </c>
      <c r="AT142" s="22" t="s">
        <v>45</v>
      </c>
      <c r="AU142" s="22"/>
    </row>
    <row r="143" spans="1:47" ht="51" x14ac:dyDescent="0.2">
      <c r="A143" s="13" t="s">
        <v>47</v>
      </c>
      <c r="B143" s="13" t="s">
        <v>122</v>
      </c>
      <c r="C143" s="13"/>
      <c r="D143" s="13" t="s">
        <v>37</v>
      </c>
      <c r="E143" s="13" t="s">
        <v>123</v>
      </c>
      <c r="F143" s="70" t="s">
        <v>929</v>
      </c>
      <c r="G143" s="13"/>
      <c r="H143" s="13"/>
      <c r="I143" s="13" t="s">
        <v>124</v>
      </c>
      <c r="J143" s="13"/>
      <c r="K143" s="13" t="s">
        <v>42</v>
      </c>
      <c r="L143" s="14">
        <v>2023</v>
      </c>
      <c r="M143" s="14"/>
      <c r="N143" s="15"/>
      <c r="O143" s="16"/>
      <c r="P143" s="14"/>
      <c r="Q143" s="18"/>
      <c r="R143" s="14"/>
      <c r="S143" s="14"/>
      <c r="T143" s="14"/>
      <c r="U143" s="14"/>
      <c r="V143" s="14"/>
      <c r="W143" s="14"/>
      <c r="X143" s="14"/>
      <c r="Y143" s="14"/>
      <c r="Z143" s="13"/>
      <c r="AA143" s="13"/>
      <c r="AB143" s="13"/>
      <c r="AC143" s="13"/>
      <c r="AD143" s="13"/>
      <c r="AE143" s="13"/>
      <c r="AF143" s="13"/>
      <c r="AG143" s="13"/>
      <c r="AH143" s="13"/>
      <c r="AI143" s="13"/>
      <c r="AJ143" s="13"/>
      <c r="AK143" s="13"/>
      <c r="AL143" s="70"/>
      <c r="AM143" s="14">
        <v>3</v>
      </c>
      <c r="AN143" s="14">
        <v>2</v>
      </c>
      <c r="AO143" s="14">
        <v>1</v>
      </c>
      <c r="AP143" s="14">
        <v>3</v>
      </c>
      <c r="AQ143" s="14">
        <v>2</v>
      </c>
      <c r="AR143" s="14">
        <v>3</v>
      </c>
      <c r="AS143" s="14">
        <f>AM143*AN143*AO143*AP143*AQ143*AR143</f>
        <v>108</v>
      </c>
      <c r="AT143" s="13" t="s">
        <v>45</v>
      </c>
      <c r="AU143" s="13" t="s">
        <v>125</v>
      </c>
    </row>
    <row r="144" spans="1:47" ht="38.25" x14ac:dyDescent="0.2">
      <c r="A144" s="30" t="s">
        <v>58</v>
      </c>
      <c r="B144" s="30" t="s">
        <v>451</v>
      </c>
      <c r="C144" s="30"/>
      <c r="D144" s="30" t="s">
        <v>98</v>
      </c>
      <c r="E144" s="30" t="s">
        <v>381</v>
      </c>
      <c r="F144" s="30"/>
      <c r="G144" s="30"/>
      <c r="H144" s="72" t="s">
        <v>961</v>
      </c>
      <c r="I144" s="30" t="s">
        <v>453</v>
      </c>
      <c r="J144" s="30" t="s">
        <v>454</v>
      </c>
      <c r="K144" s="30" t="s">
        <v>315</v>
      </c>
      <c r="L144" s="31">
        <v>2019</v>
      </c>
      <c r="M144" s="31"/>
      <c r="N144" s="32">
        <f>50000/7750000000*8500000</f>
        <v>54.838709677419352</v>
      </c>
      <c r="O144" s="33"/>
      <c r="P144" s="34">
        <f>N144*O144</f>
        <v>0</v>
      </c>
      <c r="Q144" s="35"/>
      <c r="R144" s="35">
        <f>IF(Q144&lt;4.99,(Q144*12%+4),IF(Q144&lt;10.99,(Q144*12%+8),IF(Q144&lt;14.99,(Q144*12%+12),IF(Q144&lt;879.99,(Q144*12%+16),IF(Q144&lt;2569.99,(Q144*7%+60),240)))))</f>
        <v>4</v>
      </c>
      <c r="S144" s="36">
        <f>R144*P144</f>
        <v>0</v>
      </c>
      <c r="T144" s="31"/>
      <c r="U144" s="31"/>
      <c r="V144" s="31"/>
      <c r="W144" s="31"/>
      <c r="X144" s="31"/>
      <c r="Y144" s="31"/>
      <c r="Z144" s="30">
        <v>10000</v>
      </c>
      <c r="AA144" s="30"/>
      <c r="AB144" s="30"/>
      <c r="AC144" s="30"/>
      <c r="AD144" s="30"/>
      <c r="AE144" s="30">
        <v>0</v>
      </c>
      <c r="AF144" s="30"/>
      <c r="AG144" s="30"/>
      <c r="AH144" s="30"/>
      <c r="AI144" s="30" t="s">
        <v>42</v>
      </c>
      <c r="AJ144" s="30"/>
      <c r="AK144" s="30" t="s">
        <v>95</v>
      </c>
      <c r="AL144" s="72" t="s">
        <v>455</v>
      </c>
      <c r="AM144" s="31">
        <v>1</v>
      </c>
      <c r="AN144" s="31">
        <v>1</v>
      </c>
      <c r="AO144" s="31">
        <v>2</v>
      </c>
      <c r="AP144" s="31">
        <v>3</v>
      </c>
      <c r="AQ144" s="31">
        <v>2</v>
      </c>
      <c r="AR144" s="31">
        <v>2</v>
      </c>
      <c r="AS144" s="31">
        <v>24</v>
      </c>
      <c r="AT144" s="30" t="s">
        <v>48</v>
      </c>
      <c r="AU144" s="30"/>
    </row>
    <row r="145" spans="1:47" x14ac:dyDescent="0.2">
      <c r="A145" s="30" t="s">
        <v>35</v>
      </c>
      <c r="B145" s="30" t="s">
        <v>1117</v>
      </c>
      <c r="C145" s="30"/>
      <c r="D145" s="30" t="s">
        <v>60</v>
      </c>
      <c r="E145" s="30" t="s">
        <v>381</v>
      </c>
      <c r="F145" s="30"/>
      <c r="G145" s="30"/>
      <c r="H145" s="72"/>
      <c r="I145" s="30" t="s">
        <v>1206</v>
      </c>
      <c r="J145" s="30" t="s">
        <v>1207</v>
      </c>
      <c r="K145" s="30" t="s">
        <v>63</v>
      </c>
      <c r="L145" s="31">
        <v>2023</v>
      </c>
      <c r="M145" s="31"/>
      <c r="N145" s="32"/>
      <c r="O145" s="33"/>
      <c r="P145" s="34"/>
      <c r="Q145" s="35"/>
      <c r="R145" s="35"/>
      <c r="S145" s="36"/>
      <c r="T145" s="31"/>
      <c r="U145" s="31"/>
      <c r="V145" s="31"/>
      <c r="W145" s="31"/>
      <c r="X145" s="31"/>
      <c r="Y145" s="31"/>
      <c r="Z145" s="30"/>
      <c r="AA145" s="30"/>
      <c r="AB145" s="30"/>
      <c r="AC145" s="30"/>
      <c r="AD145" s="30"/>
      <c r="AE145" s="30"/>
      <c r="AF145" s="30"/>
      <c r="AG145" s="30"/>
      <c r="AH145" s="30"/>
      <c r="AI145" s="30"/>
      <c r="AJ145" s="30"/>
      <c r="AK145" s="30"/>
      <c r="AL145" s="72"/>
      <c r="AM145" s="31"/>
      <c r="AN145" s="31"/>
      <c r="AO145" s="31"/>
      <c r="AP145" s="31"/>
      <c r="AQ145" s="31"/>
      <c r="AR145" s="31"/>
      <c r="AS145" s="31"/>
      <c r="AT145" s="30" t="s">
        <v>45</v>
      </c>
      <c r="AU145" s="37">
        <v>44743</v>
      </c>
    </row>
    <row r="146" spans="1:47" ht="38.25" x14ac:dyDescent="0.2">
      <c r="A146" s="22" t="s">
        <v>58</v>
      </c>
      <c r="B146" s="23" t="s">
        <v>789</v>
      </c>
      <c r="C146" s="22"/>
      <c r="D146" s="22" t="s">
        <v>98</v>
      </c>
      <c r="E146" s="22" t="s">
        <v>452</v>
      </c>
      <c r="F146" s="22"/>
      <c r="G146" s="22"/>
      <c r="H146" s="71" t="s">
        <v>961</v>
      </c>
      <c r="I146" s="22" t="s">
        <v>790</v>
      </c>
      <c r="J146" s="22" t="s">
        <v>791</v>
      </c>
      <c r="K146" s="22" t="s">
        <v>792</v>
      </c>
      <c r="L146" s="24">
        <v>2018</v>
      </c>
      <c r="M146" s="24"/>
      <c r="N146" s="38">
        <v>8</v>
      </c>
      <c r="O146" s="39"/>
      <c r="P146" s="27">
        <f>N146*O146</f>
        <v>0</v>
      </c>
      <c r="Q146" s="28"/>
      <c r="R146" s="28">
        <f>IF(Q146&lt;4.99,(Q146*12%+4),IF(Q146&lt;10.99,(Q146*12%+8),IF(Q146&lt;14.99,(Q146*12%+12),IF(Q146&lt;879.99,(Q146*12%+16),IF(Q146&lt;2569.99,(Q146*7%+60),240)))))</f>
        <v>4</v>
      </c>
      <c r="S146" s="29">
        <f>R146*P146</f>
        <v>0</v>
      </c>
      <c r="T146" s="24"/>
      <c r="U146" s="24"/>
      <c r="V146" s="24"/>
      <c r="W146" s="24"/>
      <c r="X146" s="24"/>
      <c r="Y146" s="24"/>
      <c r="Z146" s="22"/>
      <c r="AA146" s="22"/>
      <c r="AB146" s="22"/>
      <c r="AC146" s="22"/>
      <c r="AD146" s="22"/>
      <c r="AE146" s="22"/>
      <c r="AF146" s="22"/>
      <c r="AG146" s="22"/>
      <c r="AH146" s="22"/>
      <c r="AI146" s="22" t="s">
        <v>128</v>
      </c>
      <c r="AJ146" s="22" t="s">
        <v>182</v>
      </c>
      <c r="AK146" s="40" t="s">
        <v>132</v>
      </c>
      <c r="AL146" s="71" t="s">
        <v>793</v>
      </c>
      <c r="AM146" s="24">
        <v>1</v>
      </c>
      <c r="AN146" s="24">
        <v>1</v>
      </c>
      <c r="AO146" s="24">
        <v>2</v>
      </c>
      <c r="AP146" s="24">
        <v>3</v>
      </c>
      <c r="AQ146" s="24">
        <v>2</v>
      </c>
      <c r="AR146" s="24">
        <v>1</v>
      </c>
      <c r="AS146" s="24">
        <v>12</v>
      </c>
      <c r="AT146" s="22" t="s">
        <v>48</v>
      </c>
      <c r="AU146" s="22"/>
    </row>
    <row r="147" spans="1:47" x14ac:dyDescent="0.2">
      <c r="A147" s="22" t="s">
        <v>35</v>
      </c>
      <c r="B147" s="23" t="s">
        <v>1059</v>
      </c>
      <c r="C147" s="22"/>
      <c r="D147" s="22" t="s">
        <v>37</v>
      </c>
      <c r="E147" s="22" t="s">
        <v>1058</v>
      </c>
      <c r="F147" s="22"/>
      <c r="G147" s="22"/>
      <c r="H147" s="71"/>
      <c r="I147" s="22" t="s">
        <v>1060</v>
      </c>
      <c r="J147" s="22"/>
      <c r="K147" s="22" t="s">
        <v>42</v>
      </c>
      <c r="L147" s="24">
        <v>2023</v>
      </c>
      <c r="M147" s="24"/>
      <c r="N147" s="38">
        <v>40</v>
      </c>
      <c r="O147" s="39"/>
      <c r="P147" s="27"/>
      <c r="Q147" s="28"/>
      <c r="R147" s="28"/>
      <c r="S147" s="29"/>
      <c r="T147" s="24"/>
      <c r="U147" s="24"/>
      <c r="V147" s="24"/>
      <c r="W147" s="24"/>
      <c r="X147" s="24"/>
      <c r="Y147" s="24"/>
      <c r="Z147" s="22"/>
      <c r="AA147" s="22"/>
      <c r="AB147" s="22"/>
      <c r="AC147" s="22"/>
      <c r="AD147" s="22"/>
      <c r="AE147" s="22"/>
      <c r="AF147" s="22"/>
      <c r="AG147" s="22"/>
      <c r="AH147" s="22"/>
      <c r="AI147" s="22"/>
      <c r="AJ147" s="22"/>
      <c r="AK147" s="40"/>
      <c r="AL147" s="71"/>
      <c r="AM147" s="24"/>
      <c r="AN147" s="24"/>
      <c r="AO147" s="24"/>
      <c r="AP147" s="24"/>
      <c r="AQ147" s="24"/>
      <c r="AR147" s="24"/>
      <c r="AS147" s="24"/>
      <c r="AT147" s="22"/>
      <c r="AU147" s="22"/>
    </row>
    <row r="148" spans="1:47" s="133" customFormat="1" x14ac:dyDescent="0.2">
      <c r="A148" s="22" t="s">
        <v>58</v>
      </c>
      <c r="B148" s="23" t="s">
        <v>1022</v>
      </c>
      <c r="C148" s="22"/>
      <c r="D148" s="22" t="s">
        <v>37</v>
      </c>
      <c r="E148" s="22" t="s">
        <v>477</v>
      </c>
      <c r="F148" s="22"/>
      <c r="G148" s="22"/>
      <c r="H148" s="71"/>
      <c r="I148" s="22" t="s">
        <v>1023</v>
      </c>
      <c r="J148" s="22" t="s">
        <v>1074</v>
      </c>
      <c r="K148" s="22"/>
      <c r="L148" s="24"/>
      <c r="M148" s="24"/>
      <c r="N148" s="38">
        <v>5</v>
      </c>
      <c r="O148" s="39"/>
      <c r="P148" s="27">
        <v>5</v>
      </c>
      <c r="Q148" s="28">
        <v>20000</v>
      </c>
      <c r="R148" s="28">
        <v>240</v>
      </c>
      <c r="S148" s="29">
        <f>Q148*P148*12</f>
        <v>1200000</v>
      </c>
      <c r="T148" s="24"/>
      <c r="U148" s="24"/>
      <c r="V148" s="24"/>
      <c r="W148" s="24" t="s">
        <v>45</v>
      </c>
      <c r="X148" s="24"/>
      <c r="Y148" s="24"/>
      <c r="Z148" s="22">
        <v>300000</v>
      </c>
      <c r="AA148" s="22">
        <v>0</v>
      </c>
      <c r="AB148" s="22"/>
      <c r="AC148" s="22"/>
      <c r="AD148" s="22"/>
      <c r="AE148" s="22">
        <v>0</v>
      </c>
      <c r="AF148" s="22"/>
      <c r="AG148" s="22">
        <f>Z148</f>
        <v>300000</v>
      </c>
      <c r="AH148" s="22"/>
      <c r="AI148" s="22"/>
      <c r="AJ148" s="22"/>
      <c r="AK148" s="40"/>
      <c r="AL148" s="71"/>
      <c r="AM148" s="24"/>
      <c r="AN148" s="24"/>
      <c r="AO148" s="24"/>
      <c r="AP148" s="24"/>
      <c r="AQ148" s="24"/>
      <c r="AR148" s="24"/>
      <c r="AS148" s="24"/>
      <c r="AT148" s="22"/>
      <c r="AU148" s="22"/>
    </row>
    <row r="149" spans="1:47" ht="38.25" x14ac:dyDescent="0.2">
      <c r="A149" s="30" t="s">
        <v>35</v>
      </c>
      <c r="B149" s="30" t="s">
        <v>476</v>
      </c>
      <c r="C149" s="30"/>
      <c r="D149" s="30" t="s">
        <v>98</v>
      </c>
      <c r="E149" s="30" t="s">
        <v>477</v>
      </c>
      <c r="F149" s="30"/>
      <c r="G149" s="72" t="s">
        <v>964</v>
      </c>
      <c r="H149" s="30"/>
      <c r="I149" s="30" t="s">
        <v>478</v>
      </c>
      <c r="J149" s="30" t="s">
        <v>479</v>
      </c>
      <c r="K149" s="30" t="s">
        <v>201</v>
      </c>
      <c r="L149" s="31">
        <v>2016</v>
      </c>
      <c r="M149" s="31"/>
      <c r="N149" s="32">
        <v>140</v>
      </c>
      <c r="O149" s="33"/>
      <c r="P149" s="34">
        <f>N149*O149</f>
        <v>0</v>
      </c>
      <c r="Q149" s="35"/>
      <c r="R149" s="35">
        <f>IF(Q149&lt;4.99,(Q149*12%+4),IF(Q149&lt;10.99,(Q149*12%+8),IF(Q149&lt;14.99,(Q149*12%+12),IF(Q149&lt;879.99,(Q149*12%+16),IF(Q149&lt;2569.99,(Q149*7%+60),240)))))</f>
        <v>4</v>
      </c>
      <c r="S149" s="36">
        <f>R149*P149</f>
        <v>0</v>
      </c>
      <c r="T149" s="31"/>
      <c r="U149" s="31"/>
      <c r="V149" s="31"/>
      <c r="W149" s="31"/>
      <c r="X149" s="31"/>
      <c r="Y149" s="31"/>
      <c r="Z149" s="30"/>
      <c r="AA149" s="30"/>
      <c r="AB149" s="30"/>
      <c r="AC149" s="30"/>
      <c r="AD149" s="30"/>
      <c r="AE149" s="30"/>
      <c r="AF149" s="30"/>
      <c r="AG149" s="30"/>
      <c r="AH149" s="30"/>
      <c r="AI149" s="30" t="s">
        <v>201</v>
      </c>
      <c r="AJ149" s="30"/>
      <c r="AK149" s="37" t="s">
        <v>95</v>
      </c>
      <c r="AL149" s="72" t="s">
        <v>480</v>
      </c>
      <c r="AM149" s="31">
        <v>1</v>
      </c>
      <c r="AN149" s="31">
        <v>3</v>
      </c>
      <c r="AO149" s="31">
        <v>2</v>
      </c>
      <c r="AP149" s="31">
        <v>2</v>
      </c>
      <c r="AQ149" s="31">
        <v>2</v>
      </c>
      <c r="AR149" s="31">
        <v>2</v>
      </c>
      <c r="AS149" s="31">
        <v>48</v>
      </c>
      <c r="AT149" s="30" t="s">
        <v>45</v>
      </c>
      <c r="AU149" s="37">
        <v>43466</v>
      </c>
    </row>
    <row r="150" spans="1:47" ht="38.25" x14ac:dyDescent="0.2">
      <c r="A150" s="22" t="s">
        <v>35</v>
      </c>
      <c r="B150" s="22" t="s">
        <v>219</v>
      </c>
      <c r="C150" s="22"/>
      <c r="D150" s="65" t="s">
        <v>60</v>
      </c>
      <c r="E150" s="88" t="s">
        <v>835</v>
      </c>
      <c r="F150" s="65" t="s">
        <v>911</v>
      </c>
      <c r="G150" s="88"/>
      <c r="H150" s="88"/>
      <c r="I150" s="65" t="s">
        <v>842</v>
      </c>
      <c r="J150" s="22"/>
      <c r="K150" s="22" t="s">
        <v>42</v>
      </c>
      <c r="L150" s="24">
        <v>2022</v>
      </c>
      <c r="M150" s="24"/>
      <c r="N150" s="38"/>
      <c r="O150" s="39"/>
      <c r="P150" s="27"/>
      <c r="Q150" s="28"/>
      <c r="R150" s="28"/>
      <c r="S150" s="29"/>
      <c r="T150" s="24"/>
      <c r="U150" s="24"/>
      <c r="V150" s="24"/>
      <c r="W150" s="24"/>
      <c r="X150" s="24"/>
      <c r="Y150" s="24"/>
      <c r="Z150" s="22"/>
      <c r="AA150" s="22"/>
      <c r="AB150" s="22"/>
      <c r="AC150" s="22"/>
      <c r="AD150" s="22"/>
      <c r="AE150" s="22"/>
      <c r="AF150" s="22"/>
      <c r="AG150" s="22"/>
      <c r="AH150" s="22"/>
      <c r="AI150" s="22" t="s">
        <v>42</v>
      </c>
      <c r="AJ150" s="22"/>
      <c r="AK150" s="41"/>
      <c r="AL150" s="67"/>
      <c r="AM150" s="24"/>
      <c r="AN150" s="24"/>
      <c r="AO150" s="24"/>
      <c r="AP150" s="24"/>
      <c r="AQ150" s="24"/>
      <c r="AR150" s="24"/>
      <c r="AS150" s="24">
        <v>0</v>
      </c>
      <c r="AT150" s="22"/>
      <c r="AU150" s="69"/>
    </row>
    <row r="151" spans="1:47" ht="38.25" x14ac:dyDescent="0.2">
      <c r="A151" s="22" t="s">
        <v>35</v>
      </c>
      <c r="B151" s="22" t="s">
        <v>268</v>
      </c>
      <c r="C151" s="22"/>
      <c r="D151" s="65" t="s">
        <v>60</v>
      </c>
      <c r="E151" s="88" t="s">
        <v>835</v>
      </c>
      <c r="F151" s="65" t="s">
        <v>911</v>
      </c>
      <c r="G151" s="88"/>
      <c r="H151" s="88"/>
      <c r="I151" s="65" t="s">
        <v>841</v>
      </c>
      <c r="J151" s="22"/>
      <c r="K151" s="22" t="s">
        <v>64</v>
      </c>
      <c r="L151" s="24">
        <v>2023</v>
      </c>
      <c r="M151" s="24"/>
      <c r="N151" s="38"/>
      <c r="O151" s="39"/>
      <c r="P151" s="27"/>
      <c r="Q151" s="28"/>
      <c r="R151" s="28"/>
      <c r="S151" s="29"/>
      <c r="T151" s="24"/>
      <c r="U151" s="24"/>
      <c r="V151" s="24"/>
      <c r="W151" s="24"/>
      <c r="X151" s="24"/>
      <c r="Y151" s="24"/>
      <c r="Z151" s="22"/>
      <c r="AA151" s="22"/>
      <c r="AB151" s="22"/>
      <c r="AC151" s="22"/>
      <c r="AD151" s="22"/>
      <c r="AE151" s="22"/>
      <c r="AF151" s="22"/>
      <c r="AG151" s="22"/>
      <c r="AH151" s="22"/>
      <c r="AI151" s="22" t="s">
        <v>64</v>
      </c>
      <c r="AJ151" s="22"/>
      <c r="AK151" s="41"/>
      <c r="AL151" s="67"/>
      <c r="AM151" s="24"/>
      <c r="AN151" s="24"/>
      <c r="AO151" s="24"/>
      <c r="AP151" s="24"/>
      <c r="AQ151" s="24"/>
      <c r="AR151" s="24"/>
      <c r="AS151" s="24">
        <v>0</v>
      </c>
      <c r="AT151" s="22"/>
      <c r="AU151" s="69"/>
    </row>
    <row r="152" spans="1:47" ht="38.25" x14ac:dyDescent="0.2">
      <c r="A152" s="22" t="s">
        <v>35</v>
      </c>
      <c r="B152" s="22" t="s">
        <v>838</v>
      </c>
      <c r="C152" s="22"/>
      <c r="D152" s="65" t="s">
        <v>37</v>
      </c>
      <c r="E152" s="88" t="s">
        <v>835</v>
      </c>
      <c r="F152" s="65" t="s">
        <v>911</v>
      </c>
      <c r="G152" s="88"/>
      <c r="H152" s="88"/>
      <c r="I152" s="65" t="s">
        <v>839</v>
      </c>
      <c r="J152" s="22" t="s">
        <v>840</v>
      </c>
      <c r="K152" s="22" t="s">
        <v>63</v>
      </c>
      <c r="L152" s="24">
        <v>2022</v>
      </c>
      <c r="M152" s="24"/>
      <c r="N152" s="38"/>
      <c r="O152" s="39"/>
      <c r="P152" s="27"/>
      <c r="Q152" s="28"/>
      <c r="R152" s="28"/>
      <c r="S152" s="29"/>
      <c r="T152" s="24"/>
      <c r="U152" s="24"/>
      <c r="V152" s="24"/>
      <c r="W152" s="24"/>
      <c r="X152" s="24"/>
      <c r="Y152" s="24"/>
      <c r="Z152" s="22"/>
      <c r="AA152" s="22"/>
      <c r="AB152" s="22"/>
      <c r="AC152" s="22"/>
      <c r="AD152" s="22"/>
      <c r="AE152" s="22"/>
      <c r="AF152" s="22"/>
      <c r="AG152" s="22"/>
      <c r="AH152" s="22"/>
      <c r="AI152" s="22" t="s">
        <v>42</v>
      </c>
      <c r="AJ152" s="22"/>
      <c r="AK152" s="41"/>
      <c r="AL152" s="67"/>
      <c r="AM152" s="24"/>
      <c r="AN152" s="24"/>
      <c r="AO152" s="24"/>
      <c r="AP152" s="24"/>
      <c r="AQ152" s="24"/>
      <c r="AR152" s="24"/>
      <c r="AS152" s="24">
        <v>0</v>
      </c>
      <c r="AT152" s="22"/>
      <c r="AU152" s="69"/>
    </row>
    <row r="153" spans="1:47" x14ac:dyDescent="0.2">
      <c r="A153" s="22" t="s">
        <v>35</v>
      </c>
      <c r="B153" s="22" t="s">
        <v>1239</v>
      </c>
      <c r="C153" s="22"/>
      <c r="D153" s="68" t="s">
        <v>37</v>
      </c>
      <c r="E153" s="88" t="s">
        <v>835</v>
      </c>
      <c r="F153" s="65"/>
      <c r="G153" s="88"/>
      <c r="H153" s="88"/>
      <c r="I153" s="68" t="s">
        <v>1240</v>
      </c>
      <c r="J153" s="22"/>
      <c r="K153" s="22" t="s">
        <v>42</v>
      </c>
      <c r="L153" s="24">
        <v>2023</v>
      </c>
      <c r="M153" s="24"/>
      <c r="N153" s="38">
        <v>1600</v>
      </c>
      <c r="O153" s="39"/>
      <c r="P153" s="27">
        <v>20</v>
      </c>
      <c r="Q153" s="28">
        <v>5000</v>
      </c>
      <c r="R153" s="28">
        <v>240</v>
      </c>
      <c r="S153" s="29"/>
      <c r="T153" s="24"/>
      <c r="U153" s="24"/>
      <c r="V153" s="24"/>
      <c r="W153" s="24"/>
      <c r="X153" s="24"/>
      <c r="Y153" s="24"/>
      <c r="Z153" s="22"/>
      <c r="AA153" s="22"/>
      <c r="AB153" s="22"/>
      <c r="AC153" s="22"/>
      <c r="AD153" s="22"/>
      <c r="AE153" s="22"/>
      <c r="AF153" s="22"/>
      <c r="AG153" s="113">
        <f>Q153*P153*12*0.3</f>
        <v>360000</v>
      </c>
      <c r="AH153" s="22"/>
      <c r="AI153" s="22"/>
      <c r="AJ153" s="22"/>
      <c r="AK153" s="41"/>
      <c r="AL153" s="67"/>
      <c r="AM153" s="24"/>
      <c r="AN153" s="24"/>
      <c r="AO153" s="24"/>
      <c r="AP153" s="24"/>
      <c r="AQ153" s="24"/>
      <c r="AR153" s="24"/>
      <c r="AS153" s="24"/>
      <c r="AT153" s="22"/>
      <c r="AU153" s="69"/>
    </row>
    <row r="154" spans="1:47" ht="38.25" x14ac:dyDescent="0.2">
      <c r="A154" s="22" t="s">
        <v>35</v>
      </c>
      <c r="B154" s="22" t="s">
        <v>255</v>
      </c>
      <c r="C154" s="22"/>
      <c r="D154" s="65" t="s">
        <v>98</v>
      </c>
      <c r="E154" s="88" t="s">
        <v>835</v>
      </c>
      <c r="F154" s="65" t="s">
        <v>911</v>
      </c>
      <c r="G154" s="88"/>
      <c r="H154" s="88"/>
      <c r="I154" s="65" t="s">
        <v>257</v>
      </c>
      <c r="J154" s="22"/>
      <c r="K154" s="22" t="s">
        <v>42</v>
      </c>
      <c r="L154" s="24">
        <v>2020</v>
      </c>
      <c r="M154" s="24"/>
      <c r="N154" s="38"/>
      <c r="O154" s="39"/>
      <c r="P154" s="27"/>
      <c r="Q154" s="28"/>
      <c r="R154" s="28"/>
      <c r="S154" s="29"/>
      <c r="T154" s="24"/>
      <c r="U154" s="24"/>
      <c r="V154" s="24"/>
      <c r="W154" s="24"/>
      <c r="X154" s="24"/>
      <c r="Y154" s="24"/>
      <c r="Z154" s="22"/>
      <c r="AA154" s="22"/>
      <c r="AB154" s="22"/>
      <c r="AC154" s="22"/>
      <c r="AD154" s="22"/>
      <c r="AE154" s="22"/>
      <c r="AF154" s="22"/>
      <c r="AG154" s="22"/>
      <c r="AH154" s="22"/>
      <c r="AI154" s="22" t="s">
        <v>42</v>
      </c>
      <c r="AJ154" s="22"/>
      <c r="AK154" s="41"/>
      <c r="AL154" s="67" t="s">
        <v>258</v>
      </c>
      <c r="AM154" s="24">
        <v>1</v>
      </c>
      <c r="AN154" s="24">
        <v>2</v>
      </c>
      <c r="AO154" s="24">
        <v>1</v>
      </c>
      <c r="AP154" s="24">
        <v>3</v>
      </c>
      <c r="AQ154" s="24">
        <v>2</v>
      </c>
      <c r="AR154" s="24">
        <v>2</v>
      </c>
      <c r="AS154" s="24">
        <v>24</v>
      </c>
      <c r="AT154" s="22" t="s">
        <v>48</v>
      </c>
      <c r="AU154" s="69"/>
    </row>
    <row r="155" spans="1:47" ht="38.25" x14ac:dyDescent="0.2">
      <c r="A155" s="30" t="s">
        <v>72</v>
      </c>
      <c r="B155" s="30" t="s">
        <v>73</v>
      </c>
      <c r="C155" s="30"/>
      <c r="D155" s="139" t="s">
        <v>37</v>
      </c>
      <c r="E155" s="139" t="s">
        <v>835</v>
      </c>
      <c r="F155" s="139" t="s">
        <v>911</v>
      </c>
      <c r="G155" s="139"/>
      <c r="H155" s="139"/>
      <c r="I155" s="139" t="s">
        <v>836</v>
      </c>
      <c r="J155" s="30" t="s">
        <v>1167</v>
      </c>
      <c r="K155" s="30" t="s">
        <v>42</v>
      </c>
      <c r="L155" s="31">
        <v>2021</v>
      </c>
      <c r="M155" s="31"/>
      <c r="N155" s="32"/>
      <c r="O155" s="33"/>
      <c r="P155" s="34"/>
      <c r="Q155" s="35"/>
      <c r="R155" s="35"/>
      <c r="S155" s="36"/>
      <c r="T155" s="31"/>
      <c r="U155" s="31"/>
      <c r="V155" s="31"/>
      <c r="W155" s="31"/>
      <c r="X155" s="31"/>
      <c r="Y155" s="31"/>
      <c r="Z155" s="30"/>
      <c r="AA155" s="30"/>
      <c r="AB155" s="30"/>
      <c r="AC155" s="30"/>
      <c r="AD155" s="30"/>
      <c r="AE155" s="30"/>
      <c r="AF155" s="30"/>
      <c r="AG155" s="30"/>
      <c r="AH155" s="30"/>
      <c r="AI155" s="30" t="s">
        <v>42</v>
      </c>
      <c r="AJ155" s="30"/>
      <c r="AK155" s="50"/>
      <c r="AL155" s="141" t="s">
        <v>837</v>
      </c>
      <c r="AM155" s="31">
        <v>3</v>
      </c>
      <c r="AN155" s="31">
        <v>3</v>
      </c>
      <c r="AO155" s="31">
        <v>3</v>
      </c>
      <c r="AP155" s="31">
        <v>1</v>
      </c>
      <c r="AQ155" s="31">
        <v>2</v>
      </c>
      <c r="AR155" s="31">
        <v>2</v>
      </c>
      <c r="AS155" s="31">
        <v>108</v>
      </c>
      <c r="AT155" s="30" t="s">
        <v>45</v>
      </c>
      <c r="AU155" s="142"/>
    </row>
    <row r="156" spans="1:47" s="129" customFormat="1" ht="38.25" x14ac:dyDescent="0.2">
      <c r="A156" s="144" t="s">
        <v>86</v>
      </c>
      <c r="B156" s="144" t="s">
        <v>438</v>
      </c>
      <c r="C156" s="144"/>
      <c r="D156" s="144" t="s">
        <v>422</v>
      </c>
      <c r="E156" s="144" t="s">
        <v>224</v>
      </c>
      <c r="F156" s="155" t="s">
        <v>911</v>
      </c>
      <c r="G156" s="144"/>
      <c r="H156" s="144"/>
      <c r="I156" s="144" t="s">
        <v>439</v>
      </c>
      <c r="J156" s="144" t="s">
        <v>440</v>
      </c>
      <c r="K156" s="144" t="s">
        <v>201</v>
      </c>
      <c r="L156" s="148">
        <v>2018</v>
      </c>
      <c r="M156" s="148"/>
      <c r="N156" s="149">
        <f>0.02*8000000</f>
        <v>160000</v>
      </c>
      <c r="O156" s="150"/>
      <c r="P156" s="151">
        <f t="shared" ref="P156:P161" si="10">N156*O156</f>
        <v>0</v>
      </c>
      <c r="Q156" s="152"/>
      <c r="R156" s="152">
        <f t="shared" ref="R156:R161" si="11">IF(Q156&lt;4.99,(Q156*12%+4),IF(Q156&lt;10.99,(Q156*12%+8),IF(Q156&lt;14.99,(Q156*12%+12),IF(Q156&lt;879.99,(Q156*12%+16),IF(Q156&lt;2569.99,(Q156*7%+60),240)))))</f>
        <v>4</v>
      </c>
      <c r="S156" s="153">
        <f t="shared" ref="S156:S161" si="12">R156*P156</f>
        <v>0</v>
      </c>
      <c r="T156" s="148"/>
      <c r="U156" s="148"/>
      <c r="V156" s="148"/>
      <c r="W156" s="148"/>
      <c r="X156" s="148"/>
      <c r="Y156" s="148"/>
      <c r="Z156" s="144">
        <v>36000</v>
      </c>
      <c r="AA156" s="144"/>
      <c r="AB156" s="144"/>
      <c r="AC156" s="144"/>
      <c r="AD156" s="144"/>
      <c r="AE156" s="144">
        <f>2500*350</f>
        <v>875000</v>
      </c>
      <c r="AF156" s="144"/>
      <c r="AG156" s="144"/>
      <c r="AH156" s="144"/>
      <c r="AI156" s="144" t="s">
        <v>42</v>
      </c>
      <c r="AJ156" s="144" t="s">
        <v>43</v>
      </c>
      <c r="AK156" s="161" t="s">
        <v>132</v>
      </c>
      <c r="AL156" s="155" t="s">
        <v>441</v>
      </c>
      <c r="AM156" s="148">
        <v>1</v>
      </c>
      <c r="AN156" s="148">
        <v>2</v>
      </c>
      <c r="AO156" s="148">
        <v>3</v>
      </c>
      <c r="AP156" s="148">
        <v>2</v>
      </c>
      <c r="AQ156" s="148">
        <v>2</v>
      </c>
      <c r="AR156" s="148">
        <v>2</v>
      </c>
      <c r="AS156" s="148">
        <v>48</v>
      </c>
      <c r="AT156" s="144" t="s">
        <v>48</v>
      </c>
      <c r="AU156" s="144"/>
    </row>
    <row r="157" spans="1:47" ht="38.25" x14ac:dyDescent="0.2">
      <c r="A157" s="22" t="s">
        <v>35</v>
      </c>
      <c r="B157" s="22" t="s">
        <v>526</v>
      </c>
      <c r="C157" s="22"/>
      <c r="D157" s="22" t="s">
        <v>37</v>
      </c>
      <c r="E157" s="22" t="s">
        <v>696</v>
      </c>
      <c r="F157" s="22"/>
      <c r="G157" s="83" t="s">
        <v>991</v>
      </c>
      <c r="H157" s="22"/>
      <c r="I157" s="22" t="s">
        <v>697</v>
      </c>
      <c r="J157" s="22" t="s">
        <v>698</v>
      </c>
      <c r="K157" s="22" t="s">
        <v>63</v>
      </c>
      <c r="L157" s="24">
        <v>2023</v>
      </c>
      <c r="M157" s="24"/>
      <c r="N157" s="51">
        <v>622</v>
      </c>
      <c r="O157" s="39"/>
      <c r="P157" s="27">
        <f t="shared" si="10"/>
        <v>0</v>
      </c>
      <c r="Q157" s="28"/>
      <c r="R157" s="28">
        <f t="shared" si="11"/>
        <v>4</v>
      </c>
      <c r="S157" s="29">
        <f t="shared" si="12"/>
        <v>0</v>
      </c>
      <c r="T157" s="24"/>
      <c r="U157" s="24"/>
      <c r="V157" s="24"/>
      <c r="W157" s="24"/>
      <c r="X157" s="24"/>
      <c r="Y157" s="24"/>
      <c r="Z157" s="22">
        <v>0</v>
      </c>
      <c r="AA157" s="22"/>
      <c r="AB157" s="22"/>
      <c r="AC157" s="22"/>
      <c r="AD157" s="22"/>
      <c r="AE157" s="22"/>
      <c r="AF157" s="22"/>
      <c r="AG157" s="22"/>
      <c r="AH157" s="22">
        <v>100000</v>
      </c>
      <c r="AI157" s="22" t="s">
        <v>42</v>
      </c>
      <c r="AJ157" s="22"/>
      <c r="AK157" s="22" t="s">
        <v>44</v>
      </c>
      <c r="AL157" s="71" t="s">
        <v>1221</v>
      </c>
      <c r="AM157" s="24">
        <v>1</v>
      </c>
      <c r="AN157" s="24">
        <v>2</v>
      </c>
      <c r="AO157" s="24">
        <v>2</v>
      </c>
      <c r="AP157" s="24">
        <v>3</v>
      </c>
      <c r="AQ157" s="24">
        <v>1</v>
      </c>
      <c r="AR157" s="24">
        <v>1</v>
      </c>
      <c r="AS157" s="24">
        <v>12</v>
      </c>
      <c r="AT157" s="22" t="s">
        <v>48</v>
      </c>
      <c r="AU157" s="22"/>
    </row>
    <row r="158" spans="1:47" ht="51" x14ac:dyDescent="0.2">
      <c r="A158" s="13" t="s">
        <v>35</v>
      </c>
      <c r="B158" s="13" t="s">
        <v>116</v>
      </c>
      <c r="C158" s="13"/>
      <c r="D158" s="13" t="s">
        <v>60</v>
      </c>
      <c r="E158" s="13" t="s">
        <v>117</v>
      </c>
      <c r="F158" s="70" t="s">
        <v>928</v>
      </c>
      <c r="G158" s="108"/>
      <c r="H158" s="13"/>
      <c r="I158" s="13" t="s">
        <v>118</v>
      </c>
      <c r="J158" s="13" t="s">
        <v>119</v>
      </c>
      <c r="K158" s="13" t="s">
        <v>120</v>
      </c>
      <c r="L158" s="14">
        <v>2019</v>
      </c>
      <c r="M158" s="14"/>
      <c r="N158" s="15">
        <f>8500000/100000*56</f>
        <v>4760</v>
      </c>
      <c r="O158" s="16"/>
      <c r="P158" s="17">
        <f t="shared" si="10"/>
        <v>0</v>
      </c>
      <c r="Q158" s="18"/>
      <c r="R158" s="18">
        <f t="shared" si="11"/>
        <v>4</v>
      </c>
      <c r="S158" s="19">
        <f t="shared" si="12"/>
        <v>0</v>
      </c>
      <c r="T158" s="14"/>
      <c r="U158" s="14"/>
      <c r="V158" s="14"/>
      <c r="W158" s="14"/>
      <c r="X158" s="14"/>
      <c r="Y158" s="14"/>
      <c r="Z158" s="13">
        <v>5000</v>
      </c>
      <c r="AA158" s="13"/>
      <c r="AB158" s="13"/>
      <c r="AC158" s="13"/>
      <c r="AD158" s="13"/>
      <c r="AE158" s="13">
        <f>650*2400</f>
        <v>1560000</v>
      </c>
      <c r="AF158" s="13"/>
      <c r="AG158" s="13"/>
      <c r="AH158" s="13"/>
      <c r="AI158" s="13" t="s">
        <v>42</v>
      </c>
      <c r="AJ158" s="13" t="s">
        <v>43</v>
      </c>
      <c r="AK158" s="13" t="s">
        <v>95</v>
      </c>
      <c r="AL158" s="70" t="s">
        <v>121</v>
      </c>
      <c r="AM158" s="14">
        <v>2</v>
      </c>
      <c r="AN158" s="14">
        <v>1</v>
      </c>
      <c r="AO158" s="14">
        <v>2</v>
      </c>
      <c r="AP158" s="14">
        <v>3</v>
      </c>
      <c r="AQ158" s="14">
        <v>1</v>
      </c>
      <c r="AR158" s="14">
        <v>2</v>
      </c>
      <c r="AS158" s="14">
        <v>24</v>
      </c>
      <c r="AT158" s="13" t="s">
        <v>45</v>
      </c>
      <c r="AU158" s="13"/>
    </row>
    <row r="159" spans="1:47" s="156" customFormat="1" ht="38.25" x14ac:dyDescent="0.2">
      <c r="A159" s="22" t="s">
        <v>86</v>
      </c>
      <c r="B159" s="22" t="s">
        <v>281</v>
      </c>
      <c r="C159" s="22"/>
      <c r="D159" s="22" t="s">
        <v>98</v>
      </c>
      <c r="E159" s="22" t="s">
        <v>282</v>
      </c>
      <c r="F159" s="98" t="s">
        <v>910</v>
      </c>
      <c r="G159" s="22"/>
      <c r="H159" s="22"/>
      <c r="I159" s="22" t="s">
        <v>283</v>
      </c>
      <c r="J159" s="22" t="s">
        <v>284</v>
      </c>
      <c r="K159" s="22" t="s">
        <v>285</v>
      </c>
      <c r="L159" s="24">
        <v>2020</v>
      </c>
      <c r="M159" s="24"/>
      <c r="N159" s="52">
        <f>0.8*150000</f>
        <v>120000</v>
      </c>
      <c r="O159" s="39"/>
      <c r="P159" s="27">
        <f t="shared" si="10"/>
        <v>0</v>
      </c>
      <c r="Q159" s="28"/>
      <c r="R159" s="28">
        <f t="shared" si="11"/>
        <v>4</v>
      </c>
      <c r="S159" s="29">
        <f t="shared" si="12"/>
        <v>0</v>
      </c>
      <c r="T159" s="24"/>
      <c r="U159" s="24"/>
      <c r="V159" s="24"/>
      <c r="W159" s="24"/>
      <c r="X159" s="24"/>
      <c r="Y159" s="24"/>
      <c r="Z159" s="22"/>
      <c r="AA159" s="22"/>
      <c r="AB159" s="22"/>
      <c r="AC159" s="22"/>
      <c r="AD159" s="22"/>
      <c r="AE159" s="22"/>
      <c r="AF159" s="22"/>
      <c r="AG159" s="22"/>
      <c r="AH159" s="22"/>
      <c r="AI159" s="22" t="s">
        <v>42</v>
      </c>
      <c r="AJ159" s="22"/>
      <c r="AK159" s="22" t="s">
        <v>132</v>
      </c>
      <c r="AL159" s="71" t="s">
        <v>286</v>
      </c>
      <c r="AM159" s="24">
        <v>1</v>
      </c>
      <c r="AN159" s="24">
        <v>3</v>
      </c>
      <c r="AO159" s="24">
        <v>1</v>
      </c>
      <c r="AP159" s="24">
        <v>2</v>
      </c>
      <c r="AQ159" s="24">
        <v>2</v>
      </c>
      <c r="AR159" s="24">
        <v>1</v>
      </c>
      <c r="AS159" s="24">
        <v>12</v>
      </c>
      <c r="AT159" s="22" t="s">
        <v>48</v>
      </c>
      <c r="AU159" s="22"/>
    </row>
    <row r="160" spans="1:47" s="156" customFormat="1" ht="38.25" x14ac:dyDescent="0.2">
      <c r="A160" s="22" t="s">
        <v>72</v>
      </c>
      <c r="B160" s="22" t="s">
        <v>229</v>
      </c>
      <c r="C160" s="22"/>
      <c r="D160" s="22" t="s">
        <v>498</v>
      </c>
      <c r="E160" s="22" t="s">
        <v>499</v>
      </c>
      <c r="F160" s="95"/>
      <c r="G160" s="65" t="s">
        <v>967</v>
      </c>
      <c r="H160" s="22"/>
      <c r="I160" s="22" t="s">
        <v>500</v>
      </c>
      <c r="J160" s="22" t="s">
        <v>501</v>
      </c>
      <c r="K160" s="22" t="s">
        <v>502</v>
      </c>
      <c r="L160" s="24">
        <v>2020</v>
      </c>
      <c r="M160" s="24"/>
      <c r="N160" s="52">
        <v>15000</v>
      </c>
      <c r="O160" s="39"/>
      <c r="P160" s="27">
        <f t="shared" si="10"/>
        <v>0</v>
      </c>
      <c r="Q160" s="28"/>
      <c r="R160" s="28">
        <f t="shared" si="11"/>
        <v>4</v>
      </c>
      <c r="S160" s="29">
        <f t="shared" si="12"/>
        <v>0</v>
      </c>
      <c r="T160" s="24"/>
      <c r="U160" s="24"/>
      <c r="V160" s="24"/>
      <c r="W160" s="24"/>
      <c r="X160" s="24"/>
      <c r="Y160" s="24"/>
      <c r="Z160" s="22">
        <v>0</v>
      </c>
      <c r="AA160" s="22"/>
      <c r="AB160" s="22"/>
      <c r="AC160" s="22"/>
      <c r="AD160" s="22"/>
      <c r="AE160" s="22"/>
      <c r="AF160" s="22"/>
      <c r="AG160" s="22"/>
      <c r="AH160" s="22"/>
      <c r="AI160" s="22" t="s">
        <v>42</v>
      </c>
      <c r="AJ160" s="22"/>
      <c r="AK160" s="40"/>
      <c r="AL160" s="71" t="s">
        <v>503</v>
      </c>
      <c r="AM160" s="24">
        <v>1</v>
      </c>
      <c r="AN160" s="24">
        <v>2</v>
      </c>
      <c r="AO160" s="24">
        <v>1</v>
      </c>
      <c r="AP160" s="24">
        <v>3</v>
      </c>
      <c r="AQ160" s="24">
        <v>3</v>
      </c>
      <c r="AR160" s="24">
        <v>1</v>
      </c>
      <c r="AS160" s="24">
        <v>18</v>
      </c>
      <c r="AT160" s="22" t="s">
        <v>48</v>
      </c>
      <c r="AU160" s="22"/>
    </row>
    <row r="161" spans="1:47" ht="38.25" x14ac:dyDescent="0.2">
      <c r="A161" s="22" t="s">
        <v>72</v>
      </c>
      <c r="B161" s="22" t="s">
        <v>153</v>
      </c>
      <c r="C161" s="22"/>
      <c r="D161" s="22" t="s">
        <v>60</v>
      </c>
      <c r="E161" s="22" t="s">
        <v>403</v>
      </c>
      <c r="F161" s="65" t="s">
        <v>957</v>
      </c>
      <c r="G161" s="22"/>
      <c r="H161" s="22"/>
      <c r="I161" s="22" t="s">
        <v>404</v>
      </c>
      <c r="J161" s="22"/>
      <c r="K161" s="22" t="s">
        <v>63</v>
      </c>
      <c r="L161" s="24">
        <v>2020</v>
      </c>
      <c r="M161" s="24"/>
      <c r="N161" s="38">
        <v>1000000</v>
      </c>
      <c r="O161" s="39"/>
      <c r="P161" s="27">
        <f t="shared" si="10"/>
        <v>0</v>
      </c>
      <c r="Q161" s="28"/>
      <c r="R161" s="28">
        <f t="shared" si="11"/>
        <v>4</v>
      </c>
      <c r="S161" s="29">
        <f t="shared" si="12"/>
        <v>0</v>
      </c>
      <c r="T161" s="24"/>
      <c r="U161" s="24"/>
      <c r="V161" s="24"/>
      <c r="W161" s="24"/>
      <c r="X161" s="24"/>
      <c r="Y161" s="24"/>
      <c r="Z161" s="22">
        <v>0</v>
      </c>
      <c r="AA161" s="22"/>
      <c r="AB161" s="22"/>
      <c r="AC161" s="22"/>
      <c r="AD161" s="22"/>
      <c r="AE161" s="22"/>
      <c r="AF161" s="22"/>
      <c r="AG161" s="22"/>
      <c r="AH161" s="22"/>
      <c r="AI161" s="22" t="s">
        <v>42</v>
      </c>
      <c r="AJ161" s="22"/>
      <c r="AK161" s="22" t="s">
        <v>56</v>
      </c>
      <c r="AL161" s="71" t="s">
        <v>405</v>
      </c>
      <c r="AM161" s="24">
        <v>1</v>
      </c>
      <c r="AN161" s="24">
        <v>3</v>
      </c>
      <c r="AO161" s="24">
        <v>1</v>
      </c>
      <c r="AP161" s="24">
        <v>1</v>
      </c>
      <c r="AQ161" s="24">
        <v>3</v>
      </c>
      <c r="AR161" s="24">
        <v>2</v>
      </c>
      <c r="AS161" s="24">
        <v>18</v>
      </c>
      <c r="AT161" s="22" t="s">
        <v>45</v>
      </c>
      <c r="AU161" s="22"/>
    </row>
    <row r="162" spans="1:47" x14ac:dyDescent="0.2">
      <c r="A162" s="22" t="s">
        <v>35</v>
      </c>
      <c r="B162" s="22" t="s">
        <v>543</v>
      </c>
      <c r="C162" s="22"/>
      <c r="D162" s="22" t="s">
        <v>37</v>
      </c>
      <c r="E162" s="22" t="s">
        <v>1226</v>
      </c>
      <c r="F162" s="65"/>
      <c r="G162" s="22"/>
      <c r="H162" s="22"/>
      <c r="I162" s="22" t="s">
        <v>1227</v>
      </c>
      <c r="J162" s="22"/>
      <c r="K162" s="22" t="s">
        <v>834</v>
      </c>
      <c r="L162" s="24">
        <v>2023</v>
      </c>
      <c r="M162" s="24"/>
      <c r="N162" s="38"/>
      <c r="O162" s="39"/>
      <c r="P162" s="27">
        <v>20</v>
      </c>
      <c r="Q162" s="28"/>
      <c r="R162" s="28"/>
      <c r="S162" s="29"/>
      <c r="T162" s="24"/>
      <c r="U162" s="24"/>
      <c r="V162" s="24"/>
      <c r="W162" s="24"/>
      <c r="X162" s="24"/>
      <c r="Y162" s="24"/>
      <c r="Z162" s="22"/>
      <c r="AA162" s="22"/>
      <c r="AB162" s="22"/>
      <c r="AC162" s="22"/>
      <c r="AD162" s="22"/>
      <c r="AE162" s="22"/>
      <c r="AF162" s="22"/>
      <c r="AG162" s="22"/>
      <c r="AH162" s="22"/>
      <c r="AI162" s="22"/>
      <c r="AJ162" s="22"/>
      <c r="AK162" s="22"/>
      <c r="AL162" s="71"/>
      <c r="AM162" s="24"/>
      <c r="AN162" s="24"/>
      <c r="AO162" s="24"/>
      <c r="AP162" s="24"/>
      <c r="AQ162" s="24"/>
      <c r="AR162" s="24"/>
      <c r="AS162" s="24"/>
      <c r="AT162" s="22"/>
      <c r="AU162" s="22"/>
    </row>
    <row r="163" spans="1:47" x14ac:dyDescent="0.2">
      <c r="A163" s="22" t="s">
        <v>35</v>
      </c>
      <c r="B163" s="22" t="s">
        <v>268</v>
      </c>
      <c r="C163" s="22"/>
      <c r="D163" s="22" t="s">
        <v>37</v>
      </c>
      <c r="E163" s="22" t="s">
        <v>1181</v>
      </c>
      <c r="F163" s="65"/>
      <c r="G163" s="22"/>
      <c r="H163" s="22"/>
      <c r="I163" s="22"/>
      <c r="J163" s="22"/>
      <c r="K163" s="22"/>
      <c r="L163" s="24"/>
      <c r="M163" s="24"/>
      <c r="N163" s="38"/>
      <c r="O163" s="39"/>
      <c r="P163" s="27"/>
      <c r="Q163" s="28"/>
      <c r="R163" s="28"/>
      <c r="S163" s="29"/>
      <c r="T163" s="24"/>
      <c r="U163" s="24"/>
      <c r="V163" s="24"/>
      <c r="W163" s="24"/>
      <c r="X163" s="24"/>
      <c r="Y163" s="24"/>
      <c r="Z163" s="22"/>
      <c r="AA163" s="22"/>
      <c r="AB163" s="22"/>
      <c r="AC163" s="22"/>
      <c r="AD163" s="22"/>
      <c r="AE163" s="22"/>
      <c r="AF163" s="22"/>
      <c r="AG163" s="22"/>
      <c r="AH163" s="22"/>
      <c r="AI163" s="22"/>
      <c r="AJ163" s="22"/>
      <c r="AK163" s="22"/>
      <c r="AL163" s="71"/>
      <c r="AM163" s="24"/>
      <c r="AN163" s="24"/>
      <c r="AO163" s="24"/>
      <c r="AP163" s="24"/>
      <c r="AQ163" s="24"/>
      <c r="AR163" s="24"/>
      <c r="AS163" s="24"/>
      <c r="AT163" s="22"/>
      <c r="AU163" s="22"/>
    </row>
    <row r="164" spans="1:47" ht="38.25" x14ac:dyDescent="0.2">
      <c r="A164" s="22" t="s">
        <v>35</v>
      </c>
      <c r="B164" s="22" t="s">
        <v>268</v>
      </c>
      <c r="C164" s="22"/>
      <c r="D164" s="65" t="s">
        <v>37</v>
      </c>
      <c r="E164" s="88" t="s">
        <v>317</v>
      </c>
      <c r="F164" s="65" t="s">
        <v>909</v>
      </c>
      <c r="G164" s="88"/>
      <c r="H164" s="88"/>
      <c r="I164" s="65" t="s">
        <v>843</v>
      </c>
      <c r="J164" s="22" t="s">
        <v>844</v>
      </c>
      <c r="K164" s="22" t="s">
        <v>42</v>
      </c>
      <c r="L164" s="24">
        <v>2022</v>
      </c>
      <c r="M164" s="24"/>
      <c r="N164" s="38"/>
      <c r="O164" s="39"/>
      <c r="P164" s="27"/>
      <c r="Q164" s="28"/>
      <c r="R164" s="28"/>
      <c r="S164" s="29"/>
      <c r="T164" s="24"/>
      <c r="U164" s="24"/>
      <c r="V164" s="24"/>
      <c r="W164" s="24"/>
      <c r="X164" s="24"/>
      <c r="Y164" s="24"/>
      <c r="Z164" s="22"/>
      <c r="AA164" s="22"/>
      <c r="AB164" s="22"/>
      <c r="AC164" s="22"/>
      <c r="AD164" s="22"/>
      <c r="AE164" s="22"/>
      <c r="AF164" s="22"/>
      <c r="AG164" s="22"/>
      <c r="AH164" s="22"/>
      <c r="AI164" s="22" t="s">
        <v>42</v>
      </c>
      <c r="AJ164" s="22"/>
      <c r="AK164" s="41"/>
      <c r="AL164" s="67" t="s">
        <v>845</v>
      </c>
      <c r="AM164" s="24">
        <v>2</v>
      </c>
      <c r="AN164" s="24">
        <v>1</v>
      </c>
      <c r="AO164" s="24">
        <v>2</v>
      </c>
      <c r="AP164" s="24">
        <v>3</v>
      </c>
      <c r="AQ164" s="24">
        <v>2</v>
      </c>
      <c r="AR164" s="24">
        <v>1</v>
      </c>
      <c r="AS164" s="24">
        <v>24</v>
      </c>
      <c r="AT164" s="22" t="s">
        <v>45</v>
      </c>
      <c r="AU164" s="69">
        <v>44197</v>
      </c>
    </row>
    <row r="165" spans="1:47" x14ac:dyDescent="0.2">
      <c r="A165" s="30" t="s">
        <v>58</v>
      </c>
      <c r="B165" s="30" t="s">
        <v>1051</v>
      </c>
      <c r="C165" s="30"/>
      <c r="D165" s="30" t="s">
        <v>37</v>
      </c>
      <c r="E165" s="30" t="s">
        <v>1050</v>
      </c>
      <c r="F165" s="72"/>
      <c r="G165" s="30"/>
      <c r="H165" s="30"/>
      <c r="I165" s="30" t="s">
        <v>1052</v>
      </c>
      <c r="J165" s="30" t="s">
        <v>1127</v>
      </c>
      <c r="K165" s="30" t="s">
        <v>42</v>
      </c>
      <c r="L165" s="31">
        <v>2023</v>
      </c>
      <c r="M165" s="31"/>
      <c r="N165" s="32">
        <v>80</v>
      </c>
      <c r="O165" s="33"/>
      <c r="P165" s="34">
        <v>40</v>
      </c>
      <c r="Q165" s="35">
        <v>2000</v>
      </c>
      <c r="R165" s="35"/>
      <c r="S165" s="36"/>
      <c r="T165" s="31"/>
      <c r="U165" s="31"/>
      <c r="V165" s="31"/>
      <c r="W165" s="31"/>
      <c r="X165" s="31"/>
      <c r="Y165" s="31"/>
      <c r="Z165" s="132">
        <f>Q165*P165*0.5*5</f>
        <v>200000</v>
      </c>
      <c r="AA165" s="30">
        <v>5000</v>
      </c>
      <c r="AB165" s="30"/>
      <c r="AC165" s="30"/>
      <c r="AD165" s="30"/>
      <c r="AE165" s="30">
        <v>0</v>
      </c>
      <c r="AF165" s="30"/>
      <c r="AG165" s="132">
        <f>Z165</f>
        <v>200000</v>
      </c>
      <c r="AH165" s="30"/>
      <c r="AI165" s="30"/>
      <c r="AJ165" s="30"/>
      <c r="AK165" s="30"/>
      <c r="AL165" s="72"/>
      <c r="AM165" s="31"/>
      <c r="AN165" s="31"/>
      <c r="AO165" s="31"/>
      <c r="AP165" s="31"/>
      <c r="AQ165" s="31"/>
      <c r="AR165" s="31"/>
      <c r="AS165" s="31"/>
      <c r="AT165" s="30"/>
      <c r="AU165" s="30"/>
    </row>
    <row r="166" spans="1:47" x14ac:dyDescent="0.2">
      <c r="A166" s="30" t="s">
        <v>72</v>
      </c>
      <c r="B166" s="30" t="s">
        <v>363</v>
      </c>
      <c r="C166" s="30"/>
      <c r="D166" s="30" t="s">
        <v>37</v>
      </c>
      <c r="E166" s="30" t="s">
        <v>1215</v>
      </c>
      <c r="F166" s="72"/>
      <c r="G166" s="30"/>
      <c r="H166" s="30"/>
      <c r="I166" s="30" t="s">
        <v>1216</v>
      </c>
      <c r="J166" s="30" t="s">
        <v>1217</v>
      </c>
      <c r="K166" s="30" t="s">
        <v>42</v>
      </c>
      <c r="L166" s="31">
        <v>2023</v>
      </c>
      <c r="M166" s="31"/>
      <c r="N166" s="32"/>
      <c r="O166" s="33"/>
      <c r="P166" s="34">
        <v>50</v>
      </c>
      <c r="Q166" s="35">
        <v>18000</v>
      </c>
      <c r="R166" s="35"/>
      <c r="S166" s="36"/>
      <c r="T166" s="31"/>
      <c r="U166" s="31"/>
      <c r="V166" s="31"/>
      <c r="W166" s="31"/>
      <c r="X166" s="31"/>
      <c r="Y166" s="31"/>
      <c r="Z166" s="132"/>
      <c r="AA166" s="30"/>
      <c r="AB166" s="30"/>
      <c r="AC166" s="30"/>
      <c r="AD166" s="30"/>
      <c r="AE166" s="30"/>
      <c r="AF166" s="30"/>
      <c r="AG166" s="132">
        <f>P166*Q166*7</f>
        <v>6300000</v>
      </c>
      <c r="AH166" s="30"/>
      <c r="AI166" s="30" t="s">
        <v>42</v>
      </c>
      <c r="AJ166" s="30"/>
      <c r="AK166" s="30"/>
      <c r="AL166" s="72"/>
      <c r="AM166" s="31"/>
      <c r="AN166" s="31"/>
      <c r="AO166" s="31"/>
      <c r="AP166" s="31"/>
      <c r="AQ166" s="31"/>
      <c r="AR166" s="31"/>
      <c r="AS166" s="31"/>
      <c r="AT166" s="30"/>
      <c r="AU166" s="37">
        <v>44805</v>
      </c>
    </row>
    <row r="167" spans="1:47" ht="38.25" x14ac:dyDescent="0.2">
      <c r="A167" s="22" t="s">
        <v>35</v>
      </c>
      <c r="B167" s="22" t="s">
        <v>219</v>
      </c>
      <c r="C167" s="22"/>
      <c r="D167" s="22" t="s">
        <v>220</v>
      </c>
      <c r="E167" s="22" t="s">
        <v>221</v>
      </c>
      <c r="F167" s="22"/>
      <c r="G167" s="22"/>
      <c r="H167" s="97" t="s">
        <v>937</v>
      </c>
      <c r="I167" s="22" t="s">
        <v>222</v>
      </c>
      <c r="J167" s="22"/>
      <c r="K167" s="22" t="s">
        <v>168</v>
      </c>
      <c r="L167" s="24">
        <v>2019</v>
      </c>
      <c r="M167" s="24"/>
      <c r="N167" s="38">
        <f>80/1.5</f>
        <v>53.333333333333336</v>
      </c>
      <c r="O167" s="39"/>
      <c r="P167" s="27">
        <f>N167*O167</f>
        <v>0</v>
      </c>
      <c r="Q167" s="28"/>
      <c r="R167" s="28">
        <f>IF(Q167&lt;4.99,(Q167*12%+4),IF(Q167&lt;10.99,(Q167*12%+8),IF(Q167&lt;14.99,(Q167*12%+12),IF(Q167&lt;879.99,(Q167*12%+16),IF(Q167&lt;2569.99,(Q167*7%+60),240)))))</f>
        <v>4</v>
      </c>
      <c r="S167" s="29">
        <f>R167*P167</f>
        <v>0</v>
      </c>
      <c r="T167" s="24"/>
      <c r="U167" s="24"/>
      <c r="V167" s="24"/>
      <c r="W167" s="24"/>
      <c r="X167" s="24"/>
      <c r="Y167" s="24"/>
      <c r="Z167" s="22">
        <v>0</v>
      </c>
      <c r="AA167" s="22"/>
      <c r="AB167" s="22"/>
      <c r="AC167" s="22"/>
      <c r="AD167" s="22"/>
      <c r="AE167" s="22"/>
      <c r="AF167" s="22"/>
      <c r="AG167" s="22"/>
      <c r="AH167" s="22"/>
      <c r="AI167" s="22" t="s">
        <v>64</v>
      </c>
      <c r="AJ167" s="22"/>
      <c r="AK167" s="22" t="s">
        <v>213</v>
      </c>
      <c r="AL167" s="71"/>
      <c r="AM167" s="24">
        <v>1</v>
      </c>
      <c r="AN167" s="24">
        <v>2</v>
      </c>
      <c r="AO167" s="24">
        <v>0</v>
      </c>
      <c r="AP167" s="24">
        <v>3</v>
      </c>
      <c r="AQ167" s="24">
        <v>1</v>
      </c>
      <c r="AR167" s="24">
        <v>1</v>
      </c>
      <c r="AS167" s="24">
        <v>0</v>
      </c>
      <c r="AT167" s="22" t="s">
        <v>48</v>
      </c>
      <c r="AU167" s="22"/>
    </row>
    <row r="168" spans="1:47" x14ac:dyDescent="0.2">
      <c r="A168" s="13" t="s">
        <v>35</v>
      </c>
      <c r="B168" s="13" t="s">
        <v>1025</v>
      </c>
      <c r="C168" s="13"/>
      <c r="D168" s="13" t="s">
        <v>37</v>
      </c>
      <c r="E168" s="13" t="s">
        <v>1024</v>
      </c>
      <c r="F168" s="70"/>
      <c r="G168" s="13"/>
      <c r="H168" s="13"/>
      <c r="I168" s="13" t="s">
        <v>1026</v>
      </c>
      <c r="J168" s="13" t="s">
        <v>1157</v>
      </c>
      <c r="K168" s="13" t="s">
        <v>63</v>
      </c>
      <c r="L168" s="14">
        <v>2022</v>
      </c>
      <c r="M168" s="14"/>
      <c r="N168" s="15"/>
      <c r="O168" s="16"/>
      <c r="P168" s="17">
        <v>30</v>
      </c>
      <c r="Q168" s="18"/>
      <c r="R168" s="18">
        <v>2000</v>
      </c>
      <c r="S168" s="19">
        <v>180</v>
      </c>
      <c r="T168" s="14"/>
      <c r="U168" s="14"/>
      <c r="V168" s="14"/>
      <c r="W168" s="14"/>
      <c r="X168" s="14"/>
      <c r="Y168" s="14"/>
      <c r="Z168" s="13">
        <f>R168*P168*0.5*12</f>
        <v>360000</v>
      </c>
      <c r="AA168" s="13">
        <v>5000</v>
      </c>
      <c r="AB168" s="13"/>
      <c r="AC168" s="13"/>
      <c r="AD168" s="13"/>
      <c r="AE168" s="13">
        <v>0</v>
      </c>
      <c r="AF168" s="13">
        <v>0</v>
      </c>
      <c r="AG168" s="13">
        <f>Z168</f>
        <v>360000</v>
      </c>
      <c r="AH168" s="13">
        <f>AA168</f>
        <v>5000</v>
      </c>
      <c r="AI168" s="13"/>
      <c r="AJ168" s="13"/>
      <c r="AK168" s="13"/>
      <c r="AL168" s="70"/>
      <c r="AM168" s="14"/>
      <c r="AN168" s="14"/>
      <c r="AO168" s="14"/>
      <c r="AP168" s="14"/>
      <c r="AQ168" s="14"/>
      <c r="AR168" s="14"/>
      <c r="AS168" s="14"/>
      <c r="AT168" s="13"/>
      <c r="AU168" s="13"/>
    </row>
    <row r="169" spans="1:47" ht="38.25" x14ac:dyDescent="0.2">
      <c r="A169" s="22" t="s">
        <v>86</v>
      </c>
      <c r="B169" s="22" t="s">
        <v>259</v>
      </c>
      <c r="C169" s="22"/>
      <c r="D169" s="22" t="s">
        <v>37</v>
      </c>
      <c r="E169" s="22" t="s">
        <v>748</v>
      </c>
      <c r="F169" s="22"/>
      <c r="G169" s="110" t="s">
        <v>996</v>
      </c>
      <c r="H169" s="22"/>
      <c r="I169" s="22" t="s">
        <v>749</v>
      </c>
      <c r="J169" s="22" t="s">
        <v>750</v>
      </c>
      <c r="K169" s="22" t="s">
        <v>128</v>
      </c>
      <c r="L169" s="24">
        <v>2021</v>
      </c>
      <c r="M169" s="24"/>
      <c r="N169" s="38">
        <v>70000</v>
      </c>
      <c r="O169" s="39"/>
      <c r="P169" s="27">
        <f>N169*O169</f>
        <v>0</v>
      </c>
      <c r="Q169" s="28"/>
      <c r="R169" s="28">
        <f>IF(Q169&lt;4.99,(Q169*12%+4),IF(Q169&lt;10.99,(Q169*12%+8),IF(Q169&lt;14.99,(Q169*12%+12),IF(Q169&lt;879.99,(Q169*12%+16),IF(Q169&lt;2569.99,(Q169*7%+60),240)))))</f>
        <v>4</v>
      </c>
      <c r="S169" s="29">
        <f>R169*P169</f>
        <v>0</v>
      </c>
      <c r="T169" s="24"/>
      <c r="U169" s="24"/>
      <c r="V169" s="24"/>
      <c r="W169" s="24"/>
      <c r="X169" s="24"/>
      <c r="Y169" s="24"/>
      <c r="Z169" s="22"/>
      <c r="AA169" s="22"/>
      <c r="AB169" s="22"/>
      <c r="AC169" s="22"/>
      <c r="AD169" s="22"/>
      <c r="AE169" s="22"/>
      <c r="AF169" s="22"/>
      <c r="AG169" s="22"/>
      <c r="AH169" s="22"/>
      <c r="AI169" s="22" t="s">
        <v>751</v>
      </c>
      <c r="AJ169" s="22"/>
      <c r="AK169" s="22"/>
      <c r="AL169" s="71"/>
      <c r="AM169" s="24">
        <v>2</v>
      </c>
      <c r="AN169" s="24">
        <v>3</v>
      </c>
      <c r="AO169" s="24">
        <v>2</v>
      </c>
      <c r="AP169" s="24">
        <v>2</v>
      </c>
      <c r="AQ169" s="24">
        <v>2</v>
      </c>
      <c r="AR169" s="24">
        <v>2</v>
      </c>
      <c r="AS169" s="24">
        <v>96</v>
      </c>
      <c r="AT169" s="22" t="s">
        <v>48</v>
      </c>
      <c r="AU169" s="22"/>
    </row>
    <row r="170" spans="1:47" ht="38.25" x14ac:dyDescent="0.2">
      <c r="A170" s="22" t="s">
        <v>72</v>
      </c>
      <c r="B170" s="22" t="s">
        <v>773</v>
      </c>
      <c r="C170" s="22"/>
      <c r="D170" s="22" t="s">
        <v>37</v>
      </c>
      <c r="E170" s="22" t="s">
        <v>774</v>
      </c>
      <c r="F170" s="95"/>
      <c r="G170" s="22"/>
      <c r="H170" s="78" t="s">
        <v>998</v>
      </c>
      <c r="I170" s="22" t="s">
        <v>775</v>
      </c>
      <c r="J170" s="22" t="s">
        <v>776</v>
      </c>
      <c r="K170" s="22" t="s">
        <v>63</v>
      </c>
      <c r="L170" s="24">
        <v>2022</v>
      </c>
      <c r="M170" s="24"/>
      <c r="N170" s="38"/>
      <c r="O170" s="39"/>
      <c r="P170" s="27">
        <f>N170*O170</f>
        <v>0</v>
      </c>
      <c r="Q170" s="28"/>
      <c r="R170" s="28">
        <f>IF(Q170&lt;4.99,(Q170*12%+4),IF(Q170&lt;10.99,(Q170*12%+8),IF(Q170&lt;14.99,(Q170*12%+12),IF(Q170&lt;879.99,(Q170*12%+16),IF(Q170&lt;2569.99,(Q170*7%+60),240)))))</f>
        <v>4</v>
      </c>
      <c r="S170" s="29">
        <f>R170*P170</f>
        <v>0</v>
      </c>
      <c r="T170" s="24"/>
      <c r="U170" s="24"/>
      <c r="V170" s="24"/>
      <c r="W170" s="24"/>
      <c r="X170" s="24"/>
      <c r="Y170" s="24"/>
      <c r="Z170" s="22">
        <v>5000</v>
      </c>
      <c r="AA170" s="22"/>
      <c r="AB170" s="22"/>
      <c r="AC170" s="22"/>
      <c r="AD170" s="22"/>
      <c r="AE170" s="22">
        <v>0</v>
      </c>
      <c r="AF170" s="22"/>
      <c r="AG170" s="22"/>
      <c r="AH170" s="22"/>
      <c r="AI170" s="22" t="s">
        <v>42</v>
      </c>
      <c r="AJ170" s="22"/>
      <c r="AK170" s="22"/>
      <c r="AL170" s="71"/>
      <c r="AM170" s="24">
        <v>1</v>
      </c>
      <c r="AN170" s="24">
        <v>2</v>
      </c>
      <c r="AO170" s="24">
        <v>1</v>
      </c>
      <c r="AP170" s="24">
        <v>2</v>
      </c>
      <c r="AQ170" s="24">
        <v>1</v>
      </c>
      <c r="AR170" s="24">
        <v>2</v>
      </c>
      <c r="AS170" s="24">
        <v>8</v>
      </c>
      <c r="AT170" s="22" t="s">
        <v>48</v>
      </c>
      <c r="AU170" s="22"/>
    </row>
    <row r="171" spans="1:47" ht="51" x14ac:dyDescent="0.2">
      <c r="A171" s="22" t="s">
        <v>35</v>
      </c>
      <c r="B171" s="22" t="s">
        <v>1002</v>
      </c>
      <c r="C171" s="22"/>
      <c r="D171" s="22" t="s">
        <v>37</v>
      </c>
      <c r="E171" s="22" t="s">
        <v>52</v>
      </c>
      <c r="F171" s="67" t="s">
        <v>908</v>
      </c>
      <c r="G171" s="22"/>
      <c r="H171" s="78"/>
      <c r="I171" s="22" t="s">
        <v>1003</v>
      </c>
      <c r="J171" s="22" t="s">
        <v>1128</v>
      </c>
      <c r="K171" s="22" t="s">
        <v>42</v>
      </c>
      <c r="L171" s="24">
        <v>2022</v>
      </c>
      <c r="M171" s="24"/>
      <c r="N171" s="38">
        <v>160</v>
      </c>
      <c r="O171" s="39"/>
      <c r="P171" s="27">
        <v>40</v>
      </c>
      <c r="Q171" s="28">
        <v>4500</v>
      </c>
      <c r="R171" s="28">
        <v>240</v>
      </c>
      <c r="S171" s="29"/>
      <c r="T171" s="24" t="s">
        <v>1004</v>
      </c>
      <c r="U171" s="24" t="s">
        <v>45</v>
      </c>
      <c r="V171" s="24" t="s">
        <v>48</v>
      </c>
      <c r="W171" s="24" t="s">
        <v>45</v>
      </c>
      <c r="X171" s="24" t="s">
        <v>45</v>
      </c>
      <c r="Y171" s="24"/>
      <c r="Z171" s="22">
        <v>135000</v>
      </c>
      <c r="AA171" s="22">
        <v>0</v>
      </c>
      <c r="AB171" s="22"/>
      <c r="AC171" s="22"/>
      <c r="AD171" s="22"/>
      <c r="AE171" s="22">
        <f>50*5800</f>
        <v>290000</v>
      </c>
      <c r="AF171" s="22">
        <v>0</v>
      </c>
      <c r="AG171" s="22">
        <f>AE171*2</f>
        <v>580000</v>
      </c>
      <c r="AH171" s="22">
        <v>0</v>
      </c>
      <c r="AI171" s="22" t="s">
        <v>42</v>
      </c>
      <c r="AJ171" s="22"/>
      <c r="AK171" s="22"/>
      <c r="AL171" s="71"/>
      <c r="AM171" s="24"/>
      <c r="AN171" s="24"/>
      <c r="AO171" s="24"/>
      <c r="AP171" s="24"/>
      <c r="AQ171" s="24"/>
      <c r="AR171" s="24"/>
      <c r="AS171" s="24"/>
      <c r="AT171" s="22"/>
      <c r="AU171" s="22"/>
    </row>
    <row r="172" spans="1:47" x14ac:dyDescent="0.2">
      <c r="A172" s="22" t="s">
        <v>35</v>
      </c>
      <c r="B172" s="22" t="s">
        <v>268</v>
      </c>
      <c r="C172" s="22"/>
      <c r="D172" s="22" t="s">
        <v>37</v>
      </c>
      <c r="E172" s="22" t="s">
        <v>52</v>
      </c>
      <c r="F172" s="67"/>
      <c r="G172" s="22"/>
      <c r="H172" s="78"/>
      <c r="I172" s="22" t="s">
        <v>1020</v>
      </c>
      <c r="J172" s="22" t="s">
        <v>1021</v>
      </c>
      <c r="K172" s="22" t="s">
        <v>1017</v>
      </c>
      <c r="L172" s="24">
        <v>2021</v>
      </c>
      <c r="M172" s="24"/>
      <c r="N172" s="38"/>
      <c r="O172" s="39"/>
      <c r="P172" s="27">
        <v>30</v>
      </c>
      <c r="Q172" s="28">
        <v>9300</v>
      </c>
      <c r="R172" s="28">
        <v>240</v>
      </c>
      <c r="S172" s="29">
        <f>Q172*40</f>
        <v>372000</v>
      </c>
      <c r="T172" s="24"/>
      <c r="U172" s="24"/>
      <c r="V172" s="24"/>
      <c r="W172" s="24"/>
      <c r="X172" s="24"/>
      <c r="Y172" s="24"/>
      <c r="Z172" s="115">
        <f>S172</f>
        <v>372000</v>
      </c>
      <c r="AA172" s="22">
        <v>0</v>
      </c>
      <c r="AB172" s="22"/>
      <c r="AC172" s="22"/>
      <c r="AD172" s="22"/>
      <c r="AE172" s="22">
        <f>30*5800</f>
        <v>174000</v>
      </c>
      <c r="AF172" s="22"/>
      <c r="AG172" s="22">
        <f>AE172*1.2</f>
        <v>208800</v>
      </c>
      <c r="AH172" s="22"/>
      <c r="AI172" s="22"/>
      <c r="AJ172" s="22"/>
      <c r="AK172" s="22"/>
      <c r="AL172" s="71"/>
      <c r="AM172" s="24"/>
      <c r="AN172" s="24"/>
      <c r="AO172" s="24"/>
      <c r="AP172" s="24"/>
      <c r="AQ172" s="24"/>
      <c r="AR172" s="24"/>
      <c r="AS172" s="24"/>
      <c r="AT172" s="22"/>
      <c r="AU172" s="22"/>
    </row>
    <row r="173" spans="1:47" ht="51" x14ac:dyDescent="0.2">
      <c r="A173" s="13" t="s">
        <v>58</v>
      </c>
      <c r="B173" s="13" t="s">
        <v>59</v>
      </c>
      <c r="C173" s="13"/>
      <c r="D173" s="13" t="s">
        <v>60</v>
      </c>
      <c r="E173" s="13" t="s">
        <v>52</v>
      </c>
      <c r="F173" s="101" t="s">
        <v>908</v>
      </c>
      <c r="G173" s="13"/>
      <c r="H173" s="13"/>
      <c r="I173" s="13" t="s">
        <v>61</v>
      </c>
      <c r="J173" s="13" t="s">
        <v>62</v>
      </c>
      <c r="K173" s="13" t="s">
        <v>63</v>
      </c>
      <c r="L173" s="14">
        <v>2020</v>
      </c>
      <c r="M173" s="14"/>
      <c r="N173" s="15">
        <v>220</v>
      </c>
      <c r="O173" s="16"/>
      <c r="P173" s="17">
        <f t="shared" ref="P173:P179" si="13">N173*O173</f>
        <v>0</v>
      </c>
      <c r="Q173" s="18"/>
      <c r="R173" s="18">
        <f t="shared" ref="R173:R179" si="14">IF(Q173&lt;4.99,(Q173*12%+4),IF(Q173&lt;10.99,(Q173*12%+8),IF(Q173&lt;14.99,(Q173*12%+12),IF(Q173&lt;879.99,(Q173*12%+16),IF(Q173&lt;2569.99,(Q173*7%+60),240)))))</f>
        <v>4</v>
      </c>
      <c r="S173" s="19">
        <f t="shared" ref="S173:S179" si="15">R173*P173</f>
        <v>0</v>
      </c>
      <c r="T173" s="14"/>
      <c r="U173" s="14"/>
      <c r="V173" s="14"/>
      <c r="W173" s="14"/>
      <c r="X173" s="14"/>
      <c r="Y173" s="14"/>
      <c r="Z173" s="13"/>
      <c r="AA173" s="13"/>
      <c r="AB173" s="13"/>
      <c r="AC173" s="13"/>
      <c r="AD173" s="13"/>
      <c r="AE173" s="13"/>
      <c r="AF173" s="13"/>
      <c r="AG173" s="13"/>
      <c r="AH173" s="13"/>
      <c r="AI173" s="13" t="s">
        <v>64</v>
      </c>
      <c r="AJ173" s="13"/>
      <c r="AK173" s="13"/>
      <c r="AL173" s="70"/>
      <c r="AM173" s="14">
        <v>3</v>
      </c>
      <c r="AN173" s="14">
        <v>2</v>
      </c>
      <c r="AO173" s="14">
        <v>3</v>
      </c>
      <c r="AP173" s="14">
        <v>3</v>
      </c>
      <c r="AQ173" s="14">
        <v>1</v>
      </c>
      <c r="AR173" s="14">
        <v>2</v>
      </c>
      <c r="AS173" s="14">
        <v>108</v>
      </c>
      <c r="AT173" s="13" t="s">
        <v>48</v>
      </c>
      <c r="AU173" s="13"/>
    </row>
    <row r="174" spans="1:47" ht="51" x14ac:dyDescent="0.2">
      <c r="A174" s="144" t="s">
        <v>72</v>
      </c>
      <c r="B174" s="144" t="s">
        <v>147</v>
      </c>
      <c r="C174" s="144"/>
      <c r="D174" s="144" t="s">
        <v>37</v>
      </c>
      <c r="E174" s="144" t="s">
        <v>52</v>
      </c>
      <c r="F174" s="146" t="s">
        <v>908</v>
      </c>
      <c r="G174" s="144"/>
      <c r="H174" s="144"/>
      <c r="I174" s="144" t="s">
        <v>148</v>
      </c>
      <c r="J174" s="144" t="s">
        <v>149</v>
      </c>
      <c r="K174" s="144" t="s">
        <v>128</v>
      </c>
      <c r="L174" s="148">
        <v>2020</v>
      </c>
      <c r="M174" s="148"/>
      <c r="N174" s="149">
        <v>17000</v>
      </c>
      <c r="O174" s="150"/>
      <c r="P174" s="151">
        <f t="shared" si="13"/>
        <v>0</v>
      </c>
      <c r="Q174" s="152"/>
      <c r="R174" s="152">
        <f t="shared" si="14"/>
        <v>4</v>
      </c>
      <c r="S174" s="153">
        <f t="shared" si="15"/>
        <v>0</v>
      </c>
      <c r="T174" s="148"/>
      <c r="U174" s="148"/>
      <c r="V174" s="148"/>
      <c r="W174" s="148"/>
      <c r="X174" s="148"/>
      <c r="Y174" s="148"/>
      <c r="Z174" s="144">
        <v>20000</v>
      </c>
      <c r="AA174" s="144"/>
      <c r="AB174" s="144"/>
      <c r="AC174" s="144"/>
      <c r="AD174" s="144"/>
      <c r="AE174" s="144">
        <f>540*1400</f>
        <v>756000</v>
      </c>
      <c r="AF174" s="144"/>
      <c r="AG174" s="144"/>
      <c r="AH174" s="144"/>
      <c r="AI174" s="144" t="s">
        <v>42</v>
      </c>
      <c r="AJ174" s="144" t="s">
        <v>150</v>
      </c>
      <c r="AK174" s="159" t="s">
        <v>151</v>
      </c>
      <c r="AL174" s="155" t="s">
        <v>152</v>
      </c>
      <c r="AM174" s="148">
        <v>3</v>
      </c>
      <c r="AN174" s="148">
        <v>3</v>
      </c>
      <c r="AO174" s="148">
        <v>3</v>
      </c>
      <c r="AP174" s="148">
        <v>1</v>
      </c>
      <c r="AQ174" s="148">
        <v>3</v>
      </c>
      <c r="AR174" s="148">
        <v>2</v>
      </c>
      <c r="AS174" s="148">
        <v>162</v>
      </c>
      <c r="AT174" s="144" t="s">
        <v>45</v>
      </c>
      <c r="AU174" s="144"/>
    </row>
    <row r="175" spans="1:47" ht="38.25" x14ac:dyDescent="0.2">
      <c r="A175" s="144" t="s">
        <v>35</v>
      </c>
      <c r="B175" s="144" t="s">
        <v>203</v>
      </c>
      <c r="C175" s="144"/>
      <c r="D175" s="144" t="s">
        <v>37</v>
      </c>
      <c r="E175" s="144" t="s">
        <v>52</v>
      </c>
      <c r="F175" s="155" t="s">
        <v>935</v>
      </c>
      <c r="G175" s="144"/>
      <c r="H175" s="144"/>
      <c r="I175" s="144" t="s">
        <v>204</v>
      </c>
      <c r="J175" s="144" t="s">
        <v>205</v>
      </c>
      <c r="K175" s="144" t="s">
        <v>42</v>
      </c>
      <c r="L175" s="148">
        <v>2019</v>
      </c>
      <c r="M175" s="148"/>
      <c r="N175" s="149">
        <f>1670000/7750000000*8500000*0.7*2</f>
        <v>2564.2580645161293</v>
      </c>
      <c r="O175" s="150"/>
      <c r="P175" s="151">
        <f t="shared" si="13"/>
        <v>0</v>
      </c>
      <c r="Q175" s="152"/>
      <c r="R175" s="152">
        <f t="shared" si="14"/>
        <v>4</v>
      </c>
      <c r="S175" s="153">
        <f t="shared" si="15"/>
        <v>0</v>
      </c>
      <c r="T175" s="148"/>
      <c r="U175" s="148"/>
      <c r="V175" s="148"/>
      <c r="W175" s="148"/>
      <c r="X175" s="148"/>
      <c r="Y175" s="148"/>
      <c r="Z175" s="144">
        <v>5000</v>
      </c>
      <c r="AA175" s="144"/>
      <c r="AB175" s="144"/>
      <c r="AC175" s="144"/>
      <c r="AD175" s="144"/>
      <c r="AE175" s="144">
        <f>55*4000</f>
        <v>220000</v>
      </c>
      <c r="AF175" s="144"/>
      <c r="AG175" s="144"/>
      <c r="AH175" s="144"/>
      <c r="AI175" s="144" t="s">
        <v>42</v>
      </c>
      <c r="AJ175" s="144" t="s">
        <v>43</v>
      </c>
      <c r="AK175" s="159" t="s">
        <v>95</v>
      </c>
      <c r="AL175" s="155" t="s">
        <v>206</v>
      </c>
      <c r="AM175" s="148">
        <v>3</v>
      </c>
      <c r="AN175" s="148">
        <v>2</v>
      </c>
      <c r="AO175" s="148">
        <v>2</v>
      </c>
      <c r="AP175" s="148">
        <v>3</v>
      </c>
      <c r="AQ175" s="148">
        <v>1</v>
      </c>
      <c r="AR175" s="148">
        <v>2</v>
      </c>
      <c r="AS175" s="148">
        <v>72</v>
      </c>
      <c r="AT175" s="144" t="s">
        <v>45</v>
      </c>
      <c r="AU175" s="144"/>
    </row>
    <row r="176" spans="1:47" ht="51" x14ac:dyDescent="0.2">
      <c r="A176" s="22" t="s">
        <v>86</v>
      </c>
      <c r="B176" s="23" t="s">
        <v>509</v>
      </c>
      <c r="C176" s="22"/>
      <c r="D176" s="22" t="s">
        <v>98</v>
      </c>
      <c r="E176" s="22" t="s">
        <v>52</v>
      </c>
      <c r="F176" s="67" t="s">
        <v>908</v>
      </c>
      <c r="G176" s="22"/>
      <c r="H176" s="22"/>
      <c r="I176" s="22" t="s">
        <v>510</v>
      </c>
      <c r="J176" s="22"/>
      <c r="K176" s="22" t="s">
        <v>42</v>
      </c>
      <c r="L176" s="24">
        <v>2021</v>
      </c>
      <c r="M176" s="24"/>
      <c r="N176" s="38">
        <f>0.0075*8500000</f>
        <v>63750</v>
      </c>
      <c r="O176" s="39"/>
      <c r="P176" s="27">
        <f t="shared" si="13"/>
        <v>0</v>
      </c>
      <c r="Q176" s="28"/>
      <c r="R176" s="28">
        <f t="shared" si="14"/>
        <v>4</v>
      </c>
      <c r="S176" s="29">
        <f t="shared" si="15"/>
        <v>0</v>
      </c>
      <c r="T176" s="24"/>
      <c r="U176" s="24"/>
      <c r="V176" s="24"/>
      <c r="W176" s="24"/>
      <c r="X176" s="24"/>
      <c r="Y176" s="24"/>
      <c r="Z176" s="22"/>
      <c r="AA176" s="22"/>
      <c r="AB176" s="22"/>
      <c r="AC176" s="22"/>
      <c r="AD176" s="22"/>
      <c r="AE176" s="22"/>
      <c r="AF176" s="22"/>
      <c r="AG176" s="22"/>
      <c r="AH176" s="22"/>
      <c r="AI176" s="22" t="s">
        <v>42</v>
      </c>
      <c r="AJ176" s="22"/>
      <c r="AK176" s="22"/>
      <c r="AL176" s="71" t="s">
        <v>511</v>
      </c>
      <c r="AM176" s="24">
        <v>3</v>
      </c>
      <c r="AN176" s="24">
        <v>1</v>
      </c>
      <c r="AO176" s="24">
        <v>2</v>
      </c>
      <c r="AP176" s="24">
        <v>2</v>
      </c>
      <c r="AQ176" s="24">
        <v>2</v>
      </c>
      <c r="AR176" s="24">
        <v>2</v>
      </c>
      <c r="AS176" s="24">
        <v>48</v>
      </c>
      <c r="AT176" s="22" t="s">
        <v>45</v>
      </c>
      <c r="AU176" s="22"/>
    </row>
    <row r="177" spans="1:47" x14ac:dyDescent="0.2">
      <c r="A177" s="22" t="s">
        <v>35</v>
      </c>
      <c r="B177" s="23" t="s">
        <v>268</v>
      </c>
      <c r="C177" s="22"/>
      <c r="D177" s="22" t="s">
        <v>60</v>
      </c>
      <c r="E177" s="22" t="s">
        <v>52</v>
      </c>
      <c r="F177" s="67"/>
      <c r="G177" s="22"/>
      <c r="H177" s="22"/>
      <c r="I177" s="22" t="s">
        <v>1245</v>
      </c>
      <c r="J177" s="22"/>
      <c r="K177" s="22" t="s">
        <v>42</v>
      </c>
      <c r="L177" s="24">
        <v>2023</v>
      </c>
      <c r="M177" s="24"/>
      <c r="N177" s="38">
        <v>4400</v>
      </c>
      <c r="O177" s="39"/>
      <c r="P177" s="27">
        <v>10</v>
      </c>
      <c r="Q177" s="28">
        <v>2700</v>
      </c>
      <c r="R177" s="28">
        <v>240</v>
      </c>
      <c r="S177" s="29"/>
      <c r="T177" s="24"/>
      <c r="U177" s="24"/>
      <c r="V177" s="24"/>
      <c r="W177" s="24"/>
      <c r="X177" s="24"/>
      <c r="Y177" s="24"/>
      <c r="Z177" s="22"/>
      <c r="AA177" s="22"/>
      <c r="AB177" s="22"/>
      <c r="AC177" s="22"/>
      <c r="AD177" s="22"/>
      <c r="AE177" s="22"/>
      <c r="AF177" s="22"/>
      <c r="AG177" s="113">
        <f>Q177*P177*12*0.3</f>
        <v>97200</v>
      </c>
      <c r="AH177" s="22"/>
      <c r="AI177" s="22"/>
      <c r="AJ177" s="22"/>
      <c r="AK177" s="22"/>
      <c r="AL177" s="71" t="s">
        <v>1246</v>
      </c>
      <c r="AM177" s="24"/>
      <c r="AN177" s="24"/>
      <c r="AO177" s="24"/>
      <c r="AP177" s="24"/>
      <c r="AQ177" s="24"/>
      <c r="AR177" s="24"/>
      <c r="AS177" s="24"/>
      <c r="AT177" s="22"/>
      <c r="AU177" s="40">
        <v>44805</v>
      </c>
    </row>
    <row r="178" spans="1:47" ht="51" x14ac:dyDescent="0.2">
      <c r="A178" s="22" t="s">
        <v>35</v>
      </c>
      <c r="B178" s="22" t="s">
        <v>558</v>
      </c>
      <c r="C178" s="22"/>
      <c r="D178" s="22" t="s">
        <v>37</v>
      </c>
      <c r="E178" s="22" t="s">
        <v>52</v>
      </c>
      <c r="F178" s="67" t="s">
        <v>908</v>
      </c>
      <c r="G178" s="22"/>
      <c r="H178" s="22"/>
      <c r="I178" s="22" t="s">
        <v>126</v>
      </c>
      <c r="J178" s="22" t="s">
        <v>127</v>
      </c>
      <c r="K178" s="22" t="s">
        <v>42</v>
      </c>
      <c r="L178" s="24">
        <v>2020</v>
      </c>
      <c r="M178" s="24"/>
      <c r="N178" s="51">
        <v>1600</v>
      </c>
      <c r="O178" s="39"/>
      <c r="P178" s="27">
        <f t="shared" si="13"/>
        <v>0</v>
      </c>
      <c r="Q178" s="28"/>
      <c r="R178" s="28">
        <f t="shared" si="14"/>
        <v>4</v>
      </c>
      <c r="S178" s="29">
        <f t="shared" si="15"/>
        <v>0</v>
      </c>
      <c r="T178" s="24"/>
      <c r="U178" s="24"/>
      <c r="V178" s="24"/>
      <c r="W178" s="24"/>
      <c r="X178" s="24"/>
      <c r="Y178" s="24"/>
      <c r="Z178" s="22"/>
      <c r="AA178" s="22"/>
      <c r="AB178" s="22"/>
      <c r="AC178" s="22"/>
      <c r="AD178" s="22"/>
      <c r="AE178" s="22"/>
      <c r="AF178" s="22"/>
      <c r="AG178" s="22"/>
      <c r="AH178" s="22"/>
      <c r="AI178" s="22" t="s">
        <v>42</v>
      </c>
      <c r="AJ178" s="22" t="s">
        <v>182</v>
      </c>
      <c r="AK178" s="41" t="s">
        <v>213</v>
      </c>
      <c r="AL178" s="71" t="s">
        <v>559</v>
      </c>
      <c r="AM178" s="24">
        <v>3</v>
      </c>
      <c r="AN178" s="24">
        <v>2</v>
      </c>
      <c r="AO178" s="24">
        <v>3</v>
      </c>
      <c r="AP178" s="24">
        <v>3</v>
      </c>
      <c r="AQ178" s="24">
        <v>1</v>
      </c>
      <c r="AR178" s="24">
        <v>1</v>
      </c>
      <c r="AS178" s="24">
        <v>54</v>
      </c>
      <c r="AT178" s="22" t="s">
        <v>45</v>
      </c>
      <c r="AU178" s="22"/>
    </row>
    <row r="179" spans="1:47" s="156" customFormat="1" ht="51" x14ac:dyDescent="0.2">
      <c r="A179" s="42" t="s">
        <v>49</v>
      </c>
      <c r="B179" s="42" t="s">
        <v>50</v>
      </c>
      <c r="C179" s="42"/>
      <c r="D179" s="42" t="s">
        <v>51</v>
      </c>
      <c r="E179" s="42" t="s">
        <v>52</v>
      </c>
      <c r="F179" s="73" t="s">
        <v>908</v>
      </c>
      <c r="G179" s="42"/>
      <c r="H179" s="42"/>
      <c r="I179" s="42" t="s">
        <v>585</v>
      </c>
      <c r="J179" s="42" t="s">
        <v>586</v>
      </c>
      <c r="K179" s="42">
        <v>2017</v>
      </c>
      <c r="L179" s="43">
        <v>2018</v>
      </c>
      <c r="M179" s="43"/>
      <c r="N179" s="44">
        <f>2000000/83*8.5/2</f>
        <v>102409.63855421687</v>
      </c>
      <c r="O179" s="45"/>
      <c r="P179" s="46">
        <f t="shared" si="13"/>
        <v>0</v>
      </c>
      <c r="Q179" s="47"/>
      <c r="R179" s="47">
        <f t="shared" si="14"/>
        <v>4</v>
      </c>
      <c r="S179" s="48">
        <f t="shared" si="15"/>
        <v>0</v>
      </c>
      <c r="T179" s="43"/>
      <c r="U179" s="43"/>
      <c r="V179" s="43"/>
      <c r="W179" s="43"/>
      <c r="X179" s="43"/>
      <c r="Y179" s="43"/>
      <c r="Z179" s="42"/>
      <c r="AA179" s="42"/>
      <c r="AB179" s="42"/>
      <c r="AC179" s="42"/>
      <c r="AD179" s="42"/>
      <c r="AE179" s="42"/>
      <c r="AF179" s="42"/>
      <c r="AG179" s="42"/>
      <c r="AH179" s="42"/>
      <c r="AI179" s="42" t="s">
        <v>55</v>
      </c>
      <c r="AJ179" s="42" t="s">
        <v>43</v>
      </c>
      <c r="AK179" s="42" t="s">
        <v>56</v>
      </c>
      <c r="AL179" s="73" t="s">
        <v>587</v>
      </c>
      <c r="AM179" s="43">
        <v>3</v>
      </c>
      <c r="AN179" s="43">
        <v>3</v>
      </c>
      <c r="AO179" s="43">
        <v>3</v>
      </c>
      <c r="AP179" s="43">
        <v>1</v>
      </c>
      <c r="AQ179" s="43">
        <v>1</v>
      </c>
      <c r="AR179" s="43">
        <v>1</v>
      </c>
      <c r="AS179" s="43">
        <v>27</v>
      </c>
      <c r="AT179" s="42" t="s">
        <v>45</v>
      </c>
      <c r="AU179" s="42"/>
    </row>
    <row r="180" spans="1:47" s="156" customFormat="1" ht="38.25" x14ac:dyDescent="0.2">
      <c r="A180" s="22" t="s">
        <v>58</v>
      </c>
      <c r="B180" s="22" t="s">
        <v>849</v>
      </c>
      <c r="C180" s="22"/>
      <c r="D180" s="65" t="s">
        <v>98</v>
      </c>
      <c r="E180" s="88" t="s">
        <v>297</v>
      </c>
      <c r="F180" s="97" t="s">
        <v>907</v>
      </c>
      <c r="G180" s="88"/>
      <c r="H180" s="88"/>
      <c r="I180" s="65" t="s">
        <v>850</v>
      </c>
      <c r="J180" s="22"/>
      <c r="K180" s="22" t="s">
        <v>42</v>
      </c>
      <c r="L180" s="24">
        <v>2023</v>
      </c>
      <c r="M180" s="24"/>
      <c r="N180" s="38"/>
      <c r="O180" s="39"/>
      <c r="P180" s="27"/>
      <c r="Q180" s="28"/>
      <c r="R180" s="28"/>
      <c r="S180" s="29"/>
      <c r="T180" s="24"/>
      <c r="U180" s="24"/>
      <c r="V180" s="24"/>
      <c r="W180" s="24"/>
      <c r="X180" s="24"/>
      <c r="Y180" s="24"/>
      <c r="Z180" s="22"/>
      <c r="AA180" s="22"/>
      <c r="AB180" s="22"/>
      <c r="AC180" s="22"/>
      <c r="AD180" s="22"/>
      <c r="AE180" s="22"/>
      <c r="AF180" s="22"/>
      <c r="AG180" s="22"/>
      <c r="AH180" s="22"/>
      <c r="AI180" s="22" t="s">
        <v>42</v>
      </c>
      <c r="AJ180" s="22"/>
      <c r="AK180" s="41"/>
      <c r="AL180" s="67"/>
      <c r="AM180" s="24"/>
      <c r="AN180" s="24"/>
      <c r="AO180" s="24"/>
      <c r="AP180" s="24"/>
      <c r="AQ180" s="24"/>
      <c r="AR180" s="24"/>
      <c r="AS180" s="24">
        <v>0</v>
      </c>
      <c r="AT180" s="22"/>
      <c r="AU180" s="69"/>
    </row>
    <row r="181" spans="1:47" ht="38.25" x14ac:dyDescent="0.2">
      <c r="A181" s="30" t="s">
        <v>58</v>
      </c>
      <c r="B181" s="30" t="s">
        <v>296</v>
      </c>
      <c r="C181" s="30"/>
      <c r="D181" s="30" t="s">
        <v>60</v>
      </c>
      <c r="E181" s="30" t="s">
        <v>297</v>
      </c>
      <c r="F181" s="72" t="s">
        <v>907</v>
      </c>
      <c r="G181" s="30"/>
      <c r="H181" s="30"/>
      <c r="I181" s="30" t="s">
        <v>298</v>
      </c>
      <c r="J181" s="30" t="s">
        <v>299</v>
      </c>
      <c r="K181" s="30" t="s">
        <v>201</v>
      </c>
      <c r="L181" s="31">
        <v>2018</v>
      </c>
      <c r="M181" s="31"/>
      <c r="N181" s="32">
        <f>750/6*5</f>
        <v>625</v>
      </c>
      <c r="O181" s="33"/>
      <c r="P181" s="34">
        <f>N181*O181</f>
        <v>0</v>
      </c>
      <c r="Q181" s="35"/>
      <c r="R181" s="35">
        <f>IF(Q181&lt;4.99,(Q181*12%+4),IF(Q181&lt;10.99,(Q181*12%+8),IF(Q181&lt;14.99,(Q181*12%+12),IF(Q181&lt;879.99,(Q181*12%+16),IF(Q181&lt;2569.99,(Q181*7%+60),240)))))</f>
        <v>4</v>
      </c>
      <c r="S181" s="36">
        <f>R181*P181</f>
        <v>0</v>
      </c>
      <c r="T181" s="31"/>
      <c r="U181" s="31"/>
      <c r="V181" s="31"/>
      <c r="W181" s="31"/>
      <c r="X181" s="31"/>
      <c r="Y181" s="31"/>
      <c r="Z181" s="30"/>
      <c r="AA181" s="30"/>
      <c r="AB181" s="30"/>
      <c r="AC181" s="30"/>
      <c r="AD181" s="30"/>
      <c r="AE181" s="30"/>
      <c r="AF181" s="30"/>
      <c r="AG181" s="30"/>
      <c r="AH181" s="30"/>
      <c r="AI181" s="30"/>
      <c r="AJ181" s="30"/>
      <c r="AK181" s="30"/>
      <c r="AL181" s="72"/>
      <c r="AM181" s="31"/>
      <c r="AN181" s="31"/>
      <c r="AO181" s="31"/>
      <c r="AP181" s="31"/>
      <c r="AQ181" s="31"/>
      <c r="AR181" s="31"/>
      <c r="AS181" s="31"/>
      <c r="AT181" s="30"/>
      <c r="AU181" s="30"/>
    </row>
    <row r="182" spans="1:47" ht="38.25" x14ac:dyDescent="0.2">
      <c r="A182" s="22" t="s">
        <v>58</v>
      </c>
      <c r="B182" s="22" t="s">
        <v>59</v>
      </c>
      <c r="C182" s="22"/>
      <c r="D182" s="22" t="s">
        <v>37</v>
      </c>
      <c r="E182" s="22" t="s">
        <v>297</v>
      </c>
      <c r="F182" s="71" t="s">
        <v>907</v>
      </c>
      <c r="G182" s="22"/>
      <c r="H182" s="22"/>
      <c r="I182" s="22" t="s">
        <v>397</v>
      </c>
      <c r="J182" s="22"/>
      <c r="K182" s="23" t="s">
        <v>42</v>
      </c>
      <c r="L182" s="24">
        <v>2022</v>
      </c>
      <c r="M182" s="24"/>
      <c r="N182" s="52">
        <v>220</v>
      </c>
      <c r="O182" s="39"/>
      <c r="P182" s="27">
        <f>N182*O182</f>
        <v>0</v>
      </c>
      <c r="Q182" s="28"/>
      <c r="R182" s="28">
        <f>IF(Q182&lt;4.99,(Q182*12%+4),IF(Q182&lt;10.99,(Q182*12%+8),IF(Q182&lt;14.99,(Q182*12%+12),IF(Q182&lt;879.99,(Q182*12%+16),IF(Q182&lt;2569.99,(Q182*7%+60),240)))))</f>
        <v>4</v>
      </c>
      <c r="S182" s="29">
        <f>R182*P182</f>
        <v>0</v>
      </c>
      <c r="T182" s="24"/>
      <c r="U182" s="24"/>
      <c r="V182" s="24"/>
      <c r="W182" s="24"/>
      <c r="X182" s="24"/>
      <c r="Y182" s="24"/>
      <c r="Z182" s="22"/>
      <c r="AA182" s="22"/>
      <c r="AB182" s="22"/>
      <c r="AC182" s="22"/>
      <c r="AD182" s="22"/>
      <c r="AE182" s="22"/>
      <c r="AF182" s="22"/>
      <c r="AG182" s="22"/>
      <c r="AH182" s="22"/>
      <c r="AI182" s="22" t="s">
        <v>42</v>
      </c>
      <c r="AJ182" s="22"/>
      <c r="AK182" s="22"/>
      <c r="AL182" s="71" t="s">
        <v>398</v>
      </c>
      <c r="AM182" s="24">
        <v>1</v>
      </c>
      <c r="AN182" s="24">
        <v>2</v>
      </c>
      <c r="AO182" s="24">
        <v>2</v>
      </c>
      <c r="AP182" s="24">
        <v>3</v>
      </c>
      <c r="AQ182" s="24">
        <v>1</v>
      </c>
      <c r="AR182" s="24">
        <v>2</v>
      </c>
      <c r="AS182" s="24">
        <v>24</v>
      </c>
      <c r="AT182" s="22" t="s">
        <v>48</v>
      </c>
      <c r="AU182" s="22"/>
    </row>
    <row r="183" spans="1:47" ht="38.25" x14ac:dyDescent="0.2">
      <c r="A183" s="22" t="s">
        <v>35</v>
      </c>
      <c r="B183" s="22" t="s">
        <v>851</v>
      </c>
      <c r="C183" s="22"/>
      <c r="D183" s="65" t="s">
        <v>37</v>
      </c>
      <c r="E183" s="88" t="s">
        <v>852</v>
      </c>
      <c r="F183" s="88"/>
      <c r="G183" s="78" t="s">
        <v>906</v>
      </c>
      <c r="H183" s="88"/>
      <c r="I183" s="65" t="s">
        <v>853</v>
      </c>
      <c r="J183" s="22"/>
      <c r="K183" s="22" t="s">
        <v>42</v>
      </c>
      <c r="L183" s="24">
        <v>2023</v>
      </c>
      <c r="M183" s="24"/>
      <c r="N183" s="38"/>
      <c r="O183" s="39"/>
      <c r="P183" s="27"/>
      <c r="Q183" s="28"/>
      <c r="R183" s="28"/>
      <c r="S183" s="29"/>
      <c r="T183" s="24"/>
      <c r="U183" s="24"/>
      <c r="V183" s="24"/>
      <c r="W183" s="24"/>
      <c r="X183" s="24"/>
      <c r="Y183" s="24"/>
      <c r="Z183" s="22"/>
      <c r="AA183" s="22"/>
      <c r="AB183" s="22"/>
      <c r="AC183" s="22"/>
      <c r="AD183" s="22"/>
      <c r="AE183" s="22"/>
      <c r="AF183" s="22"/>
      <c r="AG183" s="22"/>
      <c r="AH183" s="22"/>
      <c r="AI183" s="22" t="s">
        <v>42</v>
      </c>
      <c r="AJ183" s="22"/>
      <c r="AK183" s="41"/>
      <c r="AL183" s="67"/>
      <c r="AM183" s="24">
        <v>1</v>
      </c>
      <c r="AN183" s="24">
        <v>2</v>
      </c>
      <c r="AO183" s="24">
        <v>2</v>
      </c>
      <c r="AP183" s="24">
        <v>3</v>
      </c>
      <c r="AQ183" s="24">
        <v>1</v>
      </c>
      <c r="AR183" s="24">
        <v>1</v>
      </c>
      <c r="AS183" s="24">
        <v>12</v>
      </c>
      <c r="AT183" s="22" t="s">
        <v>45</v>
      </c>
      <c r="AU183" s="69"/>
    </row>
    <row r="184" spans="1:47" ht="51" x14ac:dyDescent="0.2">
      <c r="A184" s="22" t="s">
        <v>35</v>
      </c>
      <c r="B184" s="23" t="s">
        <v>637</v>
      </c>
      <c r="C184" s="22"/>
      <c r="D184" s="22" t="s">
        <v>60</v>
      </c>
      <c r="E184" s="22" t="s">
        <v>638</v>
      </c>
      <c r="F184" s="22"/>
      <c r="G184" s="22"/>
      <c r="H184" s="110" t="s">
        <v>982</v>
      </c>
      <c r="I184" s="22" t="s">
        <v>639</v>
      </c>
      <c r="J184" s="22" t="s">
        <v>640</v>
      </c>
      <c r="K184" s="22" t="s">
        <v>42</v>
      </c>
      <c r="L184" s="24">
        <v>2020</v>
      </c>
      <c r="M184" s="24"/>
      <c r="N184" s="38">
        <f>550000/7750000000*8500000*2</f>
        <v>1206.4516129032259</v>
      </c>
      <c r="O184" s="39"/>
      <c r="P184" s="27">
        <f>N184*O184</f>
        <v>0</v>
      </c>
      <c r="Q184" s="28"/>
      <c r="R184" s="28">
        <f>IF(Q184&lt;4.99,(Q184*12%+4),IF(Q184&lt;10.99,(Q184*12%+8),IF(Q184&lt;14.99,(Q184*12%+12),IF(Q184&lt;879.99,(Q184*12%+16),IF(Q184&lt;2569.99,(Q184*7%+60),240)))))</f>
        <v>4</v>
      </c>
      <c r="S184" s="29">
        <f>R184*P184</f>
        <v>0</v>
      </c>
      <c r="T184" s="24"/>
      <c r="U184" s="24"/>
      <c r="V184" s="24"/>
      <c r="W184" s="24"/>
      <c r="X184" s="24"/>
      <c r="Y184" s="24"/>
      <c r="Z184" s="22"/>
      <c r="AA184" s="22"/>
      <c r="AB184" s="22"/>
      <c r="AC184" s="22"/>
      <c r="AD184" s="22"/>
      <c r="AE184" s="22"/>
      <c r="AF184" s="22"/>
      <c r="AG184" s="22"/>
      <c r="AH184" s="22"/>
      <c r="AI184" s="22" t="s">
        <v>42</v>
      </c>
      <c r="AJ184" s="22"/>
      <c r="AK184" s="22"/>
      <c r="AL184" s="71" t="s">
        <v>641</v>
      </c>
      <c r="AM184" s="24">
        <v>1</v>
      </c>
      <c r="AN184" s="24">
        <v>1</v>
      </c>
      <c r="AO184" s="24">
        <v>1</v>
      </c>
      <c r="AP184" s="24">
        <v>3</v>
      </c>
      <c r="AQ184" s="24">
        <v>1</v>
      </c>
      <c r="AR184" s="24">
        <v>1</v>
      </c>
      <c r="AS184" s="24">
        <v>3</v>
      </c>
      <c r="AT184" s="22" t="s">
        <v>48</v>
      </c>
      <c r="AU184" s="22"/>
    </row>
    <row r="185" spans="1:47" ht="38.25" x14ac:dyDescent="0.2">
      <c r="A185" s="22" t="s">
        <v>35</v>
      </c>
      <c r="B185" s="22" t="s">
        <v>642</v>
      </c>
      <c r="C185" s="22"/>
      <c r="D185" s="22" t="s">
        <v>37</v>
      </c>
      <c r="E185" s="22" t="s">
        <v>643</v>
      </c>
      <c r="F185" s="22"/>
      <c r="G185" s="22"/>
      <c r="H185" s="65" t="s">
        <v>983</v>
      </c>
      <c r="I185" s="22" t="s">
        <v>644</v>
      </c>
      <c r="J185" s="22"/>
      <c r="K185" s="22" t="s">
        <v>645</v>
      </c>
      <c r="L185" s="24">
        <v>2021</v>
      </c>
      <c r="M185" s="24"/>
      <c r="N185" s="52">
        <v>1680</v>
      </c>
      <c r="O185" s="39"/>
      <c r="P185" s="27">
        <f>N185*O185</f>
        <v>0</v>
      </c>
      <c r="Q185" s="28"/>
      <c r="R185" s="28">
        <f>IF(Q185&lt;4.99,(Q185*12%+4),IF(Q185&lt;10.99,(Q185*12%+8),IF(Q185&lt;14.99,(Q185*12%+12),IF(Q185&lt;879.99,(Q185*12%+16),IF(Q185&lt;2569.99,(Q185*7%+60),240)))))</f>
        <v>4</v>
      </c>
      <c r="S185" s="29">
        <f>R185*P185</f>
        <v>0</v>
      </c>
      <c r="T185" s="24"/>
      <c r="U185" s="24"/>
      <c r="V185" s="24"/>
      <c r="W185" s="24"/>
      <c r="X185" s="24"/>
      <c r="Y185" s="24"/>
      <c r="Z185" s="22">
        <v>0</v>
      </c>
      <c r="AA185" s="22"/>
      <c r="AB185" s="22"/>
      <c r="AC185" s="22"/>
      <c r="AD185" s="22"/>
      <c r="AE185" s="22"/>
      <c r="AF185" s="22"/>
      <c r="AG185" s="22"/>
      <c r="AH185" s="22"/>
      <c r="AI185" s="22" t="s">
        <v>42</v>
      </c>
      <c r="AJ185" s="22"/>
      <c r="AK185" s="22"/>
      <c r="AL185" s="71" t="s">
        <v>646</v>
      </c>
      <c r="AM185" s="24">
        <v>2</v>
      </c>
      <c r="AN185" s="24">
        <v>2</v>
      </c>
      <c r="AO185" s="24">
        <v>1</v>
      </c>
      <c r="AP185" s="24">
        <v>3</v>
      </c>
      <c r="AQ185" s="24">
        <v>1</v>
      </c>
      <c r="AR185" s="24">
        <v>1</v>
      </c>
      <c r="AS185" s="24">
        <v>12</v>
      </c>
      <c r="AT185" s="22" t="s">
        <v>48</v>
      </c>
      <c r="AU185" s="22"/>
    </row>
    <row r="186" spans="1:47" s="133" customFormat="1" x14ac:dyDescent="0.2">
      <c r="A186" s="30" t="s">
        <v>35</v>
      </c>
      <c r="B186" s="30" t="s">
        <v>526</v>
      </c>
      <c r="C186" s="30"/>
      <c r="D186" s="30" t="s">
        <v>37</v>
      </c>
      <c r="E186" s="30" t="s">
        <v>1144</v>
      </c>
      <c r="F186" s="30"/>
      <c r="G186" s="30"/>
      <c r="H186" s="139"/>
      <c r="I186" s="30" t="s">
        <v>1145</v>
      </c>
      <c r="J186" s="30" t="s">
        <v>1219</v>
      </c>
      <c r="K186" s="30" t="s">
        <v>315</v>
      </c>
      <c r="L186" s="31">
        <v>2023</v>
      </c>
      <c r="M186" s="31"/>
      <c r="N186" s="32"/>
      <c r="O186" s="33"/>
      <c r="P186" s="34">
        <v>10</v>
      </c>
      <c r="Q186" s="35">
        <v>5000</v>
      </c>
      <c r="R186" s="35">
        <v>240</v>
      </c>
      <c r="S186" s="36"/>
      <c r="T186" s="31"/>
      <c r="U186" s="31"/>
      <c r="V186" s="31"/>
      <c r="W186" s="31"/>
      <c r="X186" s="31"/>
      <c r="Y186" s="31"/>
      <c r="Z186" s="30"/>
      <c r="AA186" s="30"/>
      <c r="AB186" s="30"/>
      <c r="AC186" s="30"/>
      <c r="AD186" s="30"/>
      <c r="AE186" s="30"/>
      <c r="AF186" s="30"/>
      <c r="AG186" s="132">
        <f>Q186*P186*0.3*12</f>
        <v>180000</v>
      </c>
      <c r="AH186" s="30"/>
      <c r="AI186" s="30" t="s">
        <v>42</v>
      </c>
      <c r="AJ186" s="30"/>
      <c r="AK186" s="30"/>
      <c r="AL186" s="72" t="s">
        <v>1220</v>
      </c>
      <c r="AM186" s="31">
        <v>1</v>
      </c>
      <c r="AN186" s="31">
        <v>2</v>
      </c>
      <c r="AO186" s="31">
        <v>1</v>
      </c>
      <c r="AP186" s="31">
        <v>3</v>
      </c>
      <c r="AQ186" s="31">
        <v>2</v>
      </c>
      <c r="AR186" s="31">
        <v>2</v>
      </c>
      <c r="AS186" s="31">
        <f>AR186*AQ186*AP186*AO186*AN186*AM186</f>
        <v>24</v>
      </c>
      <c r="AT186" s="30"/>
      <c r="AU186" s="37">
        <v>44621</v>
      </c>
    </row>
    <row r="187" spans="1:47" ht="38.25" x14ac:dyDescent="0.2">
      <c r="A187" s="22" t="s">
        <v>58</v>
      </c>
      <c r="B187" s="22" t="s">
        <v>660</v>
      </c>
      <c r="C187" s="22"/>
      <c r="D187" s="65" t="s">
        <v>98</v>
      </c>
      <c r="E187" s="88" t="s">
        <v>854</v>
      </c>
      <c r="F187" s="81" t="s">
        <v>905</v>
      </c>
      <c r="G187" s="88"/>
      <c r="H187" s="88"/>
      <c r="I187" s="65" t="s">
        <v>662</v>
      </c>
      <c r="J187" s="22" t="s">
        <v>663</v>
      </c>
      <c r="K187" s="22" t="s">
        <v>834</v>
      </c>
      <c r="L187" s="24">
        <v>2020</v>
      </c>
      <c r="M187" s="24"/>
      <c r="N187" s="38"/>
      <c r="O187" s="39"/>
      <c r="P187" s="27"/>
      <c r="Q187" s="28"/>
      <c r="R187" s="28"/>
      <c r="S187" s="29"/>
      <c r="T187" s="24"/>
      <c r="U187" s="24"/>
      <c r="V187" s="24"/>
      <c r="W187" s="24"/>
      <c r="X187" s="24"/>
      <c r="Y187" s="24"/>
      <c r="Z187" s="22"/>
      <c r="AA187" s="22"/>
      <c r="AB187" s="22"/>
      <c r="AC187" s="22"/>
      <c r="AD187" s="22"/>
      <c r="AE187" s="22"/>
      <c r="AF187" s="22"/>
      <c r="AG187" s="22"/>
      <c r="AH187" s="22"/>
      <c r="AI187" s="22" t="s">
        <v>855</v>
      </c>
      <c r="AJ187" s="22"/>
      <c r="AK187" s="41"/>
      <c r="AL187" s="67" t="s">
        <v>856</v>
      </c>
      <c r="AM187" s="24">
        <v>1</v>
      </c>
      <c r="AN187" s="24">
        <v>2</v>
      </c>
      <c r="AO187" s="24">
        <v>2</v>
      </c>
      <c r="AP187" s="24">
        <v>3</v>
      </c>
      <c r="AQ187" s="24">
        <v>1</v>
      </c>
      <c r="AR187" s="24">
        <v>2</v>
      </c>
      <c r="AS187" s="24">
        <v>24</v>
      </c>
      <c r="AT187" s="22" t="s">
        <v>48</v>
      </c>
      <c r="AU187" s="69"/>
    </row>
    <row r="188" spans="1:47" ht="38.25" x14ac:dyDescent="0.2">
      <c r="A188" s="22" t="s">
        <v>58</v>
      </c>
      <c r="B188" s="22" t="s">
        <v>756</v>
      </c>
      <c r="C188" s="22"/>
      <c r="D188" s="22" t="s">
        <v>37</v>
      </c>
      <c r="E188" s="22" t="s">
        <v>757</v>
      </c>
      <c r="F188" s="95"/>
      <c r="G188" s="97" t="s">
        <v>997</v>
      </c>
      <c r="H188" s="22"/>
      <c r="I188" s="22" t="s">
        <v>758</v>
      </c>
      <c r="J188" s="22" t="s">
        <v>759</v>
      </c>
      <c r="K188" s="22" t="s">
        <v>315</v>
      </c>
      <c r="L188" s="24">
        <v>2020</v>
      </c>
      <c r="M188" s="24"/>
      <c r="N188" s="38"/>
      <c r="O188" s="39"/>
      <c r="P188" s="27">
        <f>N188*O188</f>
        <v>0</v>
      </c>
      <c r="Q188" s="28"/>
      <c r="R188" s="28">
        <f>IF(Q188&lt;4.99,(Q188*12%+4),IF(Q188&lt;10.99,(Q188*12%+8),IF(Q188&lt;14.99,(Q188*12%+12),IF(Q188&lt;879.99,(Q188*12%+16),IF(Q188&lt;2569.99,(Q188*7%+60),240)))))</f>
        <v>4</v>
      </c>
      <c r="S188" s="29">
        <f>R188*P188</f>
        <v>0</v>
      </c>
      <c r="T188" s="24"/>
      <c r="U188" s="24"/>
      <c r="V188" s="24"/>
      <c r="W188" s="24"/>
      <c r="X188" s="24"/>
      <c r="Y188" s="24"/>
      <c r="Z188" s="22"/>
      <c r="AA188" s="22"/>
      <c r="AB188" s="22"/>
      <c r="AC188" s="22"/>
      <c r="AD188" s="22"/>
      <c r="AE188" s="22"/>
      <c r="AF188" s="22"/>
      <c r="AG188" s="22"/>
      <c r="AH188" s="22"/>
      <c r="AI188" s="22" t="s">
        <v>42</v>
      </c>
      <c r="AJ188" s="22" t="s">
        <v>132</v>
      </c>
      <c r="AK188" s="22"/>
      <c r="AL188" s="71" t="s">
        <v>760</v>
      </c>
      <c r="AM188" s="24">
        <v>2</v>
      </c>
      <c r="AN188" s="24">
        <v>1</v>
      </c>
      <c r="AO188" s="24">
        <v>1</v>
      </c>
      <c r="AP188" s="24">
        <v>3</v>
      </c>
      <c r="AQ188" s="24">
        <v>1</v>
      </c>
      <c r="AR188" s="24">
        <v>2</v>
      </c>
      <c r="AS188" s="24">
        <v>12</v>
      </c>
      <c r="AT188" s="22" t="s">
        <v>45</v>
      </c>
      <c r="AU188" s="22"/>
    </row>
    <row r="189" spans="1:47" x14ac:dyDescent="0.2">
      <c r="A189" s="22" t="s">
        <v>58</v>
      </c>
      <c r="B189" s="22" t="s">
        <v>1040</v>
      </c>
      <c r="C189" s="22"/>
      <c r="D189" s="22" t="s">
        <v>37</v>
      </c>
      <c r="E189" s="22" t="s">
        <v>1038</v>
      </c>
      <c r="F189" s="22"/>
      <c r="G189" s="97"/>
      <c r="H189" s="22"/>
      <c r="I189" s="22" t="s">
        <v>1039</v>
      </c>
      <c r="J189" s="22"/>
      <c r="K189" s="22" t="s">
        <v>645</v>
      </c>
      <c r="L189" s="24">
        <v>2022</v>
      </c>
      <c r="M189" s="24"/>
      <c r="N189" s="38">
        <v>40</v>
      </c>
      <c r="O189" s="39"/>
      <c r="P189" s="27">
        <v>5</v>
      </c>
      <c r="Q189" s="28">
        <v>5000</v>
      </c>
      <c r="R189" s="28"/>
      <c r="S189" s="29"/>
      <c r="T189" s="24"/>
      <c r="U189" s="24"/>
      <c r="V189" s="24"/>
      <c r="W189" s="24"/>
      <c r="X189" s="24"/>
      <c r="Y189" s="24"/>
      <c r="Z189" s="113">
        <f>Q189*P189*2</f>
        <v>50000</v>
      </c>
      <c r="AA189" s="22"/>
      <c r="AB189" s="22"/>
      <c r="AC189" s="22"/>
      <c r="AD189" s="22"/>
      <c r="AE189" s="22">
        <v>0</v>
      </c>
      <c r="AF189" s="22"/>
      <c r="AG189" s="113">
        <f>Z189</f>
        <v>50000</v>
      </c>
      <c r="AH189" s="22"/>
      <c r="AI189" s="22"/>
      <c r="AJ189" s="22"/>
      <c r="AK189" s="22"/>
      <c r="AL189" s="71"/>
      <c r="AM189" s="24"/>
      <c r="AN189" s="24"/>
      <c r="AO189" s="24"/>
      <c r="AP189" s="24"/>
      <c r="AQ189" s="24"/>
      <c r="AR189" s="24"/>
      <c r="AS189" s="24"/>
      <c r="AT189" s="22"/>
      <c r="AU189" s="22"/>
    </row>
    <row r="190" spans="1:47" ht="38.25" x14ac:dyDescent="0.2">
      <c r="A190" s="144" t="s">
        <v>35</v>
      </c>
      <c r="B190" s="144" t="s">
        <v>268</v>
      </c>
      <c r="C190" s="144"/>
      <c r="D190" s="144" t="s">
        <v>37</v>
      </c>
      <c r="E190" s="144" t="s">
        <v>338</v>
      </c>
      <c r="F190" s="155" t="s">
        <v>904</v>
      </c>
      <c r="G190" s="147"/>
      <c r="H190" s="144"/>
      <c r="I190" s="144" t="s">
        <v>339</v>
      </c>
      <c r="J190" s="144" t="s">
        <v>340</v>
      </c>
      <c r="K190" s="144" t="s">
        <v>266</v>
      </c>
      <c r="L190" s="148">
        <v>2020</v>
      </c>
      <c r="M190" s="148"/>
      <c r="N190" s="149">
        <f>0.75*4400</f>
        <v>3300</v>
      </c>
      <c r="O190" s="150"/>
      <c r="P190" s="151">
        <f>N190*O190</f>
        <v>0</v>
      </c>
      <c r="Q190" s="152"/>
      <c r="R190" s="152">
        <f>IF(Q190&lt;4.99,(Q190*12%+4),IF(Q190&lt;10.99,(Q190*12%+8),IF(Q190&lt;14.99,(Q190*12%+12),IF(Q190&lt;879.99,(Q190*12%+16),IF(Q190&lt;2569.99,(Q190*7%+60),240)))))</f>
        <v>4</v>
      </c>
      <c r="S190" s="153">
        <f>R190*P190</f>
        <v>0</v>
      </c>
      <c r="T190" s="148"/>
      <c r="U190" s="148"/>
      <c r="V190" s="148"/>
      <c r="W190" s="148"/>
      <c r="X190" s="148"/>
      <c r="Y190" s="148"/>
      <c r="Z190" s="144"/>
      <c r="AA190" s="144"/>
      <c r="AB190" s="144"/>
      <c r="AC190" s="144"/>
      <c r="AD190" s="144"/>
      <c r="AE190" s="144"/>
      <c r="AF190" s="144"/>
      <c r="AG190" s="144"/>
      <c r="AH190" s="144"/>
      <c r="AI190" s="144" t="s">
        <v>42</v>
      </c>
      <c r="AJ190" s="144" t="s">
        <v>43</v>
      </c>
      <c r="AK190" s="144" t="s">
        <v>76</v>
      </c>
      <c r="AL190" s="155" t="s">
        <v>341</v>
      </c>
      <c r="AM190" s="148">
        <v>2</v>
      </c>
      <c r="AN190" s="148">
        <v>2</v>
      </c>
      <c r="AO190" s="148">
        <v>3</v>
      </c>
      <c r="AP190" s="148">
        <v>3</v>
      </c>
      <c r="AQ190" s="148">
        <v>1</v>
      </c>
      <c r="AR190" s="148">
        <v>2</v>
      </c>
      <c r="AS190" s="148">
        <v>72</v>
      </c>
      <c r="AT190" s="144"/>
      <c r="AU190" s="144"/>
    </row>
    <row r="191" spans="1:47" ht="38.25" x14ac:dyDescent="0.2">
      <c r="A191" s="144" t="s">
        <v>35</v>
      </c>
      <c r="B191" s="144" t="s">
        <v>198</v>
      </c>
      <c r="C191" s="144"/>
      <c r="D191" s="144" t="s">
        <v>37</v>
      </c>
      <c r="E191" s="144" t="s">
        <v>338</v>
      </c>
      <c r="F191" s="146" t="s">
        <v>904</v>
      </c>
      <c r="G191" s="144"/>
      <c r="H191" s="144"/>
      <c r="I191" s="144" t="s">
        <v>512</v>
      </c>
      <c r="J191" s="144" t="s">
        <v>513</v>
      </c>
      <c r="K191" s="144" t="s">
        <v>266</v>
      </c>
      <c r="L191" s="148">
        <v>2019</v>
      </c>
      <c r="M191" s="148"/>
      <c r="N191" s="149">
        <v>4400</v>
      </c>
      <c r="O191" s="150"/>
      <c r="P191" s="151">
        <f>N191*O191</f>
        <v>0</v>
      </c>
      <c r="Q191" s="152"/>
      <c r="R191" s="152">
        <f>IF(Q191&lt;4.99,(Q191*12%+4),IF(Q191&lt;10.99,(Q191*12%+8),IF(Q191&lt;14.99,(Q191*12%+12),IF(Q191&lt;879.99,(Q191*12%+16),IF(Q191&lt;2569.99,(Q191*7%+60),240)))))</f>
        <v>4</v>
      </c>
      <c r="S191" s="153">
        <f>R191*P191</f>
        <v>0</v>
      </c>
      <c r="T191" s="148"/>
      <c r="U191" s="148"/>
      <c r="V191" s="148"/>
      <c r="W191" s="148"/>
      <c r="X191" s="148"/>
      <c r="Y191" s="148"/>
      <c r="Z191" s="144">
        <v>5000</v>
      </c>
      <c r="AA191" s="144"/>
      <c r="AB191" s="144"/>
      <c r="AC191" s="144"/>
      <c r="AD191" s="144"/>
      <c r="AE191" s="144">
        <f>50*4500</f>
        <v>225000</v>
      </c>
      <c r="AF191" s="144"/>
      <c r="AG191" s="144"/>
      <c r="AH191" s="144"/>
      <c r="AI191" s="144" t="s">
        <v>42</v>
      </c>
      <c r="AJ191" s="144"/>
      <c r="AK191" s="144"/>
      <c r="AL191" s="155" t="s">
        <v>514</v>
      </c>
      <c r="AM191" s="148">
        <v>2</v>
      </c>
      <c r="AN191" s="148">
        <v>3</v>
      </c>
      <c r="AO191" s="148">
        <v>3</v>
      </c>
      <c r="AP191" s="148">
        <v>3</v>
      </c>
      <c r="AQ191" s="148">
        <v>1</v>
      </c>
      <c r="AR191" s="148">
        <v>2</v>
      </c>
      <c r="AS191" s="148">
        <v>108</v>
      </c>
      <c r="AT191" s="144" t="s">
        <v>45</v>
      </c>
      <c r="AU191" s="144"/>
    </row>
    <row r="192" spans="1:47" ht="38.25" x14ac:dyDescent="0.2">
      <c r="A192" s="22" t="s">
        <v>35</v>
      </c>
      <c r="B192" s="22" t="s">
        <v>543</v>
      </c>
      <c r="C192" s="22"/>
      <c r="D192" s="22" t="s">
        <v>37</v>
      </c>
      <c r="E192" s="22" t="s">
        <v>338</v>
      </c>
      <c r="F192" s="71" t="s">
        <v>904</v>
      </c>
      <c r="G192" s="22"/>
      <c r="H192" s="22"/>
      <c r="I192" s="22" t="s">
        <v>710</v>
      </c>
      <c r="J192" s="22" t="s">
        <v>711</v>
      </c>
      <c r="K192" s="22" t="s">
        <v>201</v>
      </c>
      <c r="L192" s="24">
        <v>2020</v>
      </c>
      <c r="M192" s="24"/>
      <c r="N192" s="38">
        <v>76000</v>
      </c>
      <c r="O192" s="39"/>
      <c r="P192" s="27">
        <f>N192*O192</f>
        <v>0</v>
      </c>
      <c r="Q192" s="28"/>
      <c r="R192" s="28">
        <f>IF(Q192&lt;4.99,(Q192*12%+4),IF(Q192&lt;10.99,(Q192*12%+8),IF(Q192&lt;14.99,(Q192*12%+12),IF(Q192&lt;879.99,(Q192*12%+16),IF(Q192&lt;2569.99,(Q192*7%+60),240)))))</f>
        <v>4</v>
      </c>
      <c r="S192" s="29">
        <f>R192*P192</f>
        <v>0</v>
      </c>
      <c r="T192" s="24"/>
      <c r="U192" s="24"/>
      <c r="V192" s="24"/>
      <c r="W192" s="24"/>
      <c r="X192" s="24"/>
      <c r="Y192" s="24"/>
      <c r="Z192" s="22"/>
      <c r="AA192" s="22"/>
      <c r="AB192" s="22"/>
      <c r="AC192" s="22"/>
      <c r="AD192" s="22"/>
      <c r="AE192" s="22"/>
      <c r="AF192" s="22"/>
      <c r="AG192" s="22"/>
      <c r="AH192" s="22"/>
      <c r="AI192" s="22" t="s">
        <v>42</v>
      </c>
      <c r="AJ192" s="22" t="s">
        <v>43</v>
      </c>
      <c r="AK192" s="22" t="s">
        <v>76</v>
      </c>
      <c r="AL192" s="71" t="s">
        <v>712</v>
      </c>
      <c r="AM192" s="24">
        <v>2</v>
      </c>
      <c r="AN192" s="24">
        <v>3</v>
      </c>
      <c r="AO192" s="24">
        <v>3</v>
      </c>
      <c r="AP192" s="24">
        <v>3</v>
      </c>
      <c r="AQ192" s="24">
        <v>1</v>
      </c>
      <c r="AR192" s="24">
        <v>2</v>
      </c>
      <c r="AS192" s="24">
        <v>108</v>
      </c>
      <c r="AT192" s="22" t="s">
        <v>45</v>
      </c>
      <c r="AU192" s="22"/>
    </row>
    <row r="193" spans="1:47" ht="38.25" x14ac:dyDescent="0.2">
      <c r="A193" s="22" t="s">
        <v>58</v>
      </c>
      <c r="B193" s="22" t="s">
        <v>373</v>
      </c>
      <c r="C193" s="22"/>
      <c r="D193" s="22" t="s">
        <v>60</v>
      </c>
      <c r="E193" s="22" t="s">
        <v>338</v>
      </c>
      <c r="F193" s="71" t="s">
        <v>904</v>
      </c>
      <c r="G193" s="22"/>
      <c r="H193" s="22"/>
      <c r="I193" s="22" t="s">
        <v>713</v>
      </c>
      <c r="J193" s="22" t="s">
        <v>714</v>
      </c>
      <c r="K193" s="22" t="s">
        <v>128</v>
      </c>
      <c r="L193" s="24">
        <v>2021</v>
      </c>
      <c r="M193" s="24"/>
      <c r="N193" s="25">
        <f>8500000/57000</f>
        <v>149.12280701754386</v>
      </c>
      <c r="O193" s="26"/>
      <c r="P193" s="27">
        <f>N193*O193</f>
        <v>0</v>
      </c>
      <c r="Q193" s="28"/>
      <c r="R193" s="28">
        <f>IF(Q193&lt;4.99,(Q193*12%+4),IF(Q193&lt;10.99,(Q193*12%+8),IF(Q193&lt;14.99,(Q193*12%+12),IF(Q193&lt;879.99,(Q193*12%+16),IF(Q193&lt;2569.99,(Q193*7%+60),240)))))</f>
        <v>4</v>
      </c>
      <c r="S193" s="29">
        <f>R193*P193</f>
        <v>0</v>
      </c>
      <c r="T193" s="24"/>
      <c r="U193" s="24"/>
      <c r="V193" s="24"/>
      <c r="W193" s="24"/>
      <c r="X193" s="24"/>
      <c r="Y193" s="24"/>
      <c r="Z193" s="22">
        <v>0</v>
      </c>
      <c r="AA193" s="22"/>
      <c r="AB193" s="22"/>
      <c r="AC193" s="22"/>
      <c r="AD193" s="22"/>
      <c r="AE193" s="22"/>
      <c r="AF193" s="22"/>
      <c r="AG193" s="22"/>
      <c r="AH193" s="22"/>
      <c r="AI193" s="22" t="s">
        <v>715</v>
      </c>
      <c r="AJ193" s="22"/>
      <c r="AK193" s="22" t="s">
        <v>129</v>
      </c>
      <c r="AL193" s="71" t="s">
        <v>716</v>
      </c>
      <c r="AM193" s="24">
        <v>3</v>
      </c>
      <c r="AN193" s="24">
        <v>1</v>
      </c>
      <c r="AO193" s="24">
        <v>3</v>
      </c>
      <c r="AP193" s="24">
        <v>3</v>
      </c>
      <c r="AQ193" s="24">
        <v>1</v>
      </c>
      <c r="AR193" s="24">
        <v>1</v>
      </c>
      <c r="AS193" s="24">
        <v>27</v>
      </c>
      <c r="AT193" s="22" t="s">
        <v>45</v>
      </c>
      <c r="AU193" s="22"/>
    </row>
    <row r="194" spans="1:47" ht="38.25" x14ac:dyDescent="0.2">
      <c r="A194" s="22" t="s">
        <v>86</v>
      </c>
      <c r="B194" s="23" t="s">
        <v>717</v>
      </c>
      <c r="C194" s="22"/>
      <c r="D194" s="22" t="s">
        <v>98</v>
      </c>
      <c r="E194" s="22" t="s">
        <v>338</v>
      </c>
      <c r="F194" s="71" t="s">
        <v>904</v>
      </c>
      <c r="G194" s="95"/>
      <c r="H194" s="22"/>
      <c r="I194" s="22" t="s">
        <v>718</v>
      </c>
      <c r="J194" s="22" t="s">
        <v>1214</v>
      </c>
      <c r="K194" s="22" t="s">
        <v>42</v>
      </c>
      <c r="L194" s="24">
        <v>2022</v>
      </c>
      <c r="M194" s="24"/>
      <c r="N194" s="38">
        <f>800000*0.08</f>
        <v>64000</v>
      </c>
      <c r="O194" s="39"/>
      <c r="P194" s="27">
        <f>N194*O194</f>
        <v>0</v>
      </c>
      <c r="Q194" s="28"/>
      <c r="R194" s="28">
        <f>IF(Q194&lt;4.99,(Q194*12%+4),IF(Q194&lt;10.99,(Q194*12%+8),IF(Q194&lt;14.99,(Q194*12%+12),IF(Q194&lt;879.99,(Q194*12%+16),IF(Q194&lt;2569.99,(Q194*7%+60),240)))))</f>
        <v>4</v>
      </c>
      <c r="S194" s="29">
        <f>R194*P194</f>
        <v>0</v>
      </c>
      <c r="T194" s="24"/>
      <c r="U194" s="24"/>
      <c r="V194" s="24"/>
      <c r="W194" s="24"/>
      <c r="X194" s="24"/>
      <c r="Y194" s="24"/>
      <c r="Z194" s="22">
        <v>5000</v>
      </c>
      <c r="AA194" s="22"/>
      <c r="AB194" s="22"/>
      <c r="AC194" s="22"/>
      <c r="AD194" s="22"/>
      <c r="AE194" s="22">
        <v>0</v>
      </c>
      <c r="AF194" s="22"/>
      <c r="AG194" s="22">
        <v>10000</v>
      </c>
      <c r="AH194" s="22"/>
      <c r="AI194" s="22" t="s">
        <v>42</v>
      </c>
      <c r="AJ194" s="22"/>
      <c r="AK194" s="22"/>
      <c r="AL194" s="71" t="s">
        <v>1129</v>
      </c>
      <c r="AM194" s="24">
        <v>2</v>
      </c>
      <c r="AN194" s="24">
        <v>3</v>
      </c>
      <c r="AO194" s="24">
        <v>3</v>
      </c>
      <c r="AP194" s="24">
        <v>1</v>
      </c>
      <c r="AQ194" s="24">
        <v>3</v>
      </c>
      <c r="AR194" s="24">
        <v>2</v>
      </c>
      <c r="AS194" s="24">
        <v>108</v>
      </c>
      <c r="AT194" s="22" t="s">
        <v>48</v>
      </c>
      <c r="AU194" s="22"/>
    </row>
    <row r="195" spans="1:47" ht="51" x14ac:dyDescent="0.2">
      <c r="A195" s="22" t="s">
        <v>35</v>
      </c>
      <c r="B195" s="22" t="s">
        <v>858</v>
      </c>
      <c r="C195" s="22"/>
      <c r="D195" s="65" t="s">
        <v>37</v>
      </c>
      <c r="E195" s="88" t="s">
        <v>609</v>
      </c>
      <c r="F195" s="97" t="s">
        <v>903</v>
      </c>
      <c r="G195" s="77"/>
      <c r="H195" s="88"/>
      <c r="I195" s="65" t="s">
        <v>859</v>
      </c>
      <c r="J195" s="22" t="s">
        <v>860</v>
      </c>
      <c r="K195" s="22" t="s">
        <v>63</v>
      </c>
      <c r="L195" s="24">
        <v>2021</v>
      </c>
      <c r="M195" s="24"/>
      <c r="N195" s="38"/>
      <c r="O195" s="39"/>
      <c r="P195" s="27"/>
      <c r="Q195" s="28"/>
      <c r="R195" s="28"/>
      <c r="S195" s="29"/>
      <c r="T195" s="24"/>
      <c r="U195" s="24"/>
      <c r="V195" s="24"/>
      <c r="W195" s="24"/>
      <c r="X195" s="24"/>
      <c r="Y195" s="24"/>
      <c r="Z195" s="22"/>
      <c r="AA195" s="22"/>
      <c r="AB195" s="22"/>
      <c r="AC195" s="22"/>
      <c r="AD195" s="22"/>
      <c r="AE195" s="22"/>
      <c r="AF195" s="22"/>
      <c r="AG195" s="22"/>
      <c r="AH195" s="22"/>
      <c r="AI195" s="22" t="s">
        <v>42</v>
      </c>
      <c r="AJ195" s="22"/>
      <c r="AK195" s="41"/>
      <c r="AL195" s="67"/>
      <c r="AM195" s="24"/>
      <c r="AN195" s="24"/>
      <c r="AO195" s="24"/>
      <c r="AP195" s="24"/>
      <c r="AQ195" s="24"/>
      <c r="AR195" s="24"/>
      <c r="AS195" s="24">
        <v>0</v>
      </c>
      <c r="AT195" s="22"/>
      <c r="AU195" s="69"/>
    </row>
    <row r="196" spans="1:47" ht="51" x14ac:dyDescent="0.2">
      <c r="A196" s="22" t="s">
        <v>35</v>
      </c>
      <c r="B196" s="22" t="s">
        <v>526</v>
      </c>
      <c r="C196" s="22"/>
      <c r="D196" s="22" t="s">
        <v>60</v>
      </c>
      <c r="E196" s="22" t="s">
        <v>609</v>
      </c>
      <c r="F196" s="71" t="s">
        <v>903</v>
      </c>
      <c r="G196" s="95"/>
      <c r="H196" s="22"/>
      <c r="I196" s="22" t="s">
        <v>610</v>
      </c>
      <c r="J196" s="22" t="s">
        <v>611</v>
      </c>
      <c r="K196" s="22" t="s">
        <v>42</v>
      </c>
      <c r="L196" s="24">
        <v>2018</v>
      </c>
      <c r="M196" s="24"/>
      <c r="N196" s="51">
        <v>622</v>
      </c>
      <c r="O196" s="39"/>
      <c r="P196" s="27">
        <f>N196*O196</f>
        <v>0</v>
      </c>
      <c r="Q196" s="28"/>
      <c r="R196" s="28">
        <f>IF(Q196&lt;4.99,(Q196*12%+4),IF(Q196&lt;10.99,(Q196*12%+8),IF(Q196&lt;14.99,(Q196*12%+12),IF(Q196&lt;879.99,(Q196*12%+16),IF(Q196&lt;2569.99,(Q196*7%+60),240)))))</f>
        <v>4</v>
      </c>
      <c r="S196" s="29">
        <f>R196*P196</f>
        <v>0</v>
      </c>
      <c r="T196" s="24"/>
      <c r="U196" s="24"/>
      <c r="V196" s="24"/>
      <c r="W196" s="24"/>
      <c r="X196" s="24"/>
      <c r="Y196" s="24"/>
      <c r="Z196" s="22">
        <v>0</v>
      </c>
      <c r="AA196" s="22"/>
      <c r="AB196" s="22"/>
      <c r="AC196" s="22"/>
      <c r="AD196" s="22"/>
      <c r="AE196" s="22"/>
      <c r="AF196" s="22"/>
      <c r="AG196" s="22"/>
      <c r="AH196" s="22"/>
      <c r="AI196" s="22" t="s">
        <v>181</v>
      </c>
      <c r="AJ196" s="22"/>
      <c r="AK196" s="22"/>
      <c r="AL196" s="71"/>
      <c r="AM196" s="24">
        <v>1</v>
      </c>
      <c r="AN196" s="24">
        <v>2</v>
      </c>
      <c r="AO196" s="24">
        <v>1</v>
      </c>
      <c r="AP196" s="24">
        <v>3</v>
      </c>
      <c r="AQ196" s="24">
        <v>1</v>
      </c>
      <c r="AR196" s="24">
        <v>1</v>
      </c>
      <c r="AS196" s="24">
        <v>6</v>
      </c>
      <c r="AT196" s="22" t="s">
        <v>48</v>
      </c>
      <c r="AU196" s="22"/>
    </row>
    <row r="197" spans="1:47" ht="38.25" x14ac:dyDescent="0.2">
      <c r="A197" s="22" t="s">
        <v>35</v>
      </c>
      <c r="B197" s="22" t="s">
        <v>543</v>
      </c>
      <c r="C197" s="22"/>
      <c r="D197" s="22" t="s">
        <v>37</v>
      </c>
      <c r="E197" s="22" t="s">
        <v>544</v>
      </c>
      <c r="F197" s="71" t="s">
        <v>944</v>
      </c>
      <c r="G197" s="22"/>
      <c r="H197" s="22"/>
      <c r="I197" s="22" t="s">
        <v>545</v>
      </c>
      <c r="J197" s="22" t="s">
        <v>546</v>
      </c>
      <c r="K197" s="22" t="s">
        <v>315</v>
      </c>
      <c r="L197" s="24">
        <v>2020</v>
      </c>
      <c r="M197" s="24"/>
      <c r="N197" s="38">
        <v>76000</v>
      </c>
      <c r="O197" s="39"/>
      <c r="P197" s="27">
        <f>N197*O197</f>
        <v>0</v>
      </c>
      <c r="Q197" s="28"/>
      <c r="R197" s="28">
        <f>IF(Q197&lt;4.99,(Q197*12%+4),IF(Q197&lt;10.99,(Q197*12%+8),IF(Q197&lt;14.99,(Q197*12%+12),IF(Q197&lt;879.99,(Q197*12%+16),IF(Q197&lt;2569.99,(Q197*7%+60),240)))))</f>
        <v>4</v>
      </c>
      <c r="S197" s="29">
        <f>R197*P197</f>
        <v>0</v>
      </c>
      <c r="T197" s="24"/>
      <c r="U197" s="24"/>
      <c r="V197" s="24"/>
      <c r="W197" s="24"/>
      <c r="X197" s="24"/>
      <c r="Y197" s="24"/>
      <c r="Z197" s="22">
        <v>0</v>
      </c>
      <c r="AA197" s="22"/>
      <c r="AB197" s="22"/>
      <c r="AC197" s="22"/>
      <c r="AD197" s="22"/>
      <c r="AE197" s="22"/>
      <c r="AF197" s="22"/>
      <c r="AG197" s="22"/>
      <c r="AH197" s="22"/>
      <c r="AI197" s="22" t="s">
        <v>42</v>
      </c>
      <c r="AJ197" s="22"/>
      <c r="AK197" s="22"/>
      <c r="AL197" s="71" t="s">
        <v>547</v>
      </c>
      <c r="AM197" s="24">
        <v>1</v>
      </c>
      <c r="AN197" s="24">
        <v>3</v>
      </c>
      <c r="AO197" s="24">
        <v>1</v>
      </c>
      <c r="AP197" s="24">
        <v>3</v>
      </c>
      <c r="AQ197" s="24">
        <v>1</v>
      </c>
      <c r="AR197" s="24">
        <v>1</v>
      </c>
      <c r="AS197" s="24">
        <v>9</v>
      </c>
      <c r="AT197" s="22" t="s">
        <v>48</v>
      </c>
      <c r="AU197" s="22"/>
    </row>
    <row r="198" spans="1:47" x14ac:dyDescent="0.2">
      <c r="A198" s="22" t="s">
        <v>86</v>
      </c>
      <c r="B198" s="22" t="s">
        <v>1069</v>
      </c>
      <c r="C198" s="22"/>
      <c r="D198" s="22" t="s">
        <v>37</v>
      </c>
      <c r="E198" s="22" t="s">
        <v>338</v>
      </c>
      <c r="F198" s="71"/>
      <c r="G198" s="22"/>
      <c r="H198" s="22"/>
      <c r="I198" s="22" t="s">
        <v>1070</v>
      </c>
      <c r="J198" s="22"/>
      <c r="K198" s="22" t="s">
        <v>42</v>
      </c>
      <c r="L198" s="24">
        <v>2023</v>
      </c>
      <c r="M198" s="24"/>
      <c r="N198" s="38"/>
      <c r="O198" s="39"/>
      <c r="P198" s="27"/>
      <c r="Q198" s="28"/>
      <c r="R198" s="28"/>
      <c r="S198" s="29"/>
      <c r="T198" s="24"/>
      <c r="U198" s="24"/>
      <c r="V198" s="24"/>
      <c r="W198" s="24"/>
      <c r="X198" s="24"/>
      <c r="Y198" s="24"/>
      <c r="Z198" s="22"/>
      <c r="AA198" s="22"/>
      <c r="AB198" s="22"/>
      <c r="AC198" s="22"/>
      <c r="AD198" s="22"/>
      <c r="AE198" s="22"/>
      <c r="AF198" s="22"/>
      <c r="AG198" s="22"/>
      <c r="AH198" s="22"/>
      <c r="AI198" s="22"/>
      <c r="AJ198" s="22"/>
      <c r="AK198" s="22"/>
      <c r="AL198" s="71"/>
      <c r="AM198" s="24"/>
      <c r="AN198" s="24"/>
      <c r="AO198" s="24"/>
      <c r="AP198" s="24"/>
      <c r="AQ198" s="24"/>
      <c r="AR198" s="24"/>
      <c r="AS198" s="24"/>
      <c r="AT198" s="22"/>
      <c r="AU198" s="22"/>
    </row>
    <row r="199" spans="1:47" ht="51" x14ac:dyDescent="0.2">
      <c r="A199" s="22" t="s">
        <v>58</v>
      </c>
      <c r="B199" s="22" t="s">
        <v>97</v>
      </c>
      <c r="C199" s="22"/>
      <c r="D199" s="22" t="s">
        <v>37</v>
      </c>
      <c r="E199" s="22" t="s">
        <v>237</v>
      </c>
      <c r="F199" s="83" t="s">
        <v>940</v>
      </c>
      <c r="G199" s="22"/>
      <c r="H199" s="22"/>
      <c r="I199" s="22" t="s">
        <v>238</v>
      </c>
      <c r="J199" s="22" t="s">
        <v>239</v>
      </c>
      <c r="K199" s="22" t="s">
        <v>240</v>
      </c>
      <c r="L199" s="24">
        <v>2021</v>
      </c>
      <c r="M199" s="24"/>
      <c r="N199" s="38">
        <f>8500000/10000*1.5</f>
        <v>1275</v>
      </c>
      <c r="O199" s="39"/>
      <c r="P199" s="27">
        <f>N199*O199</f>
        <v>0</v>
      </c>
      <c r="Q199" s="28"/>
      <c r="R199" s="28">
        <f>IF(Q199&lt;4.99,(Q199*12%+4),IF(Q199&lt;10.99,(Q199*12%+8),IF(Q199&lt;14.99,(Q199*12%+12),IF(Q199&lt;879.99,(Q199*12%+16),IF(Q199&lt;2569.99,(Q199*7%+60),240)))))</f>
        <v>4</v>
      </c>
      <c r="S199" s="29">
        <f>R199*P199</f>
        <v>0</v>
      </c>
      <c r="T199" s="24"/>
      <c r="U199" s="24"/>
      <c r="V199" s="24"/>
      <c r="W199" s="24"/>
      <c r="X199" s="24"/>
      <c r="Y199" s="24"/>
      <c r="Z199" s="22"/>
      <c r="AA199" s="22"/>
      <c r="AB199" s="22"/>
      <c r="AC199" s="22"/>
      <c r="AD199" s="22"/>
      <c r="AE199" s="22"/>
      <c r="AF199" s="22"/>
      <c r="AG199" s="22"/>
      <c r="AH199" s="22"/>
      <c r="AI199" s="22" t="s">
        <v>42</v>
      </c>
      <c r="AJ199" s="22" t="s">
        <v>241</v>
      </c>
      <c r="AK199" s="22" t="s">
        <v>227</v>
      </c>
      <c r="AL199" s="71" t="s">
        <v>242</v>
      </c>
      <c r="AM199" s="24">
        <v>1</v>
      </c>
      <c r="AN199" s="24">
        <v>2</v>
      </c>
      <c r="AO199" s="24">
        <v>1</v>
      </c>
      <c r="AP199" s="24">
        <v>3</v>
      </c>
      <c r="AQ199" s="24">
        <v>1</v>
      </c>
      <c r="AR199" s="24">
        <v>2</v>
      </c>
      <c r="AS199" s="24">
        <v>12</v>
      </c>
      <c r="AT199" s="22" t="s">
        <v>48</v>
      </c>
      <c r="AU199" s="22"/>
    </row>
    <row r="200" spans="1:47" ht="38.25" x14ac:dyDescent="0.2">
      <c r="A200" s="22" t="s">
        <v>58</v>
      </c>
      <c r="B200" s="23" t="s">
        <v>97</v>
      </c>
      <c r="C200" s="22"/>
      <c r="D200" s="22" t="s">
        <v>37</v>
      </c>
      <c r="E200" s="22" t="s">
        <v>237</v>
      </c>
      <c r="F200" s="71" t="s">
        <v>940</v>
      </c>
      <c r="G200" s="22"/>
      <c r="H200" s="22"/>
      <c r="I200" s="22" t="s">
        <v>346</v>
      </c>
      <c r="J200" s="22" t="s">
        <v>347</v>
      </c>
      <c r="K200" s="22" t="s">
        <v>63</v>
      </c>
      <c r="L200" s="24">
        <v>2018</v>
      </c>
      <c r="M200" s="24"/>
      <c r="N200" s="38">
        <f>8500000/10000*1.5</f>
        <v>1275</v>
      </c>
      <c r="O200" s="39"/>
      <c r="P200" s="27">
        <f>N200*O200</f>
        <v>0</v>
      </c>
      <c r="Q200" s="28"/>
      <c r="R200" s="28">
        <f>IF(Q200&lt;4.99,(Q200*12%+4),IF(Q200&lt;10.99,(Q200*12%+8),IF(Q200&lt;14.99,(Q200*12%+12),IF(Q200&lt;879.99,(Q200*12%+16),IF(Q200&lt;2569.99,(Q200*7%+60),240)))))</f>
        <v>4</v>
      </c>
      <c r="S200" s="29">
        <f>R200*P200</f>
        <v>0</v>
      </c>
      <c r="T200" s="24"/>
      <c r="U200" s="24"/>
      <c r="V200" s="24"/>
      <c r="W200" s="24"/>
      <c r="X200" s="24"/>
      <c r="Y200" s="24"/>
      <c r="Z200" s="22"/>
      <c r="AA200" s="22"/>
      <c r="AB200" s="22"/>
      <c r="AC200" s="22"/>
      <c r="AD200" s="22"/>
      <c r="AE200" s="22"/>
      <c r="AF200" s="22"/>
      <c r="AG200" s="22"/>
      <c r="AH200" s="22"/>
      <c r="AI200" s="22" t="s">
        <v>42</v>
      </c>
      <c r="AJ200" s="22"/>
      <c r="AK200" s="22" t="s">
        <v>227</v>
      </c>
      <c r="AL200" s="71" t="s">
        <v>348</v>
      </c>
      <c r="AM200" s="24">
        <v>1</v>
      </c>
      <c r="AN200" s="24">
        <v>2</v>
      </c>
      <c r="AO200" s="24">
        <v>1</v>
      </c>
      <c r="AP200" s="24">
        <v>3</v>
      </c>
      <c r="AQ200" s="24">
        <v>2</v>
      </c>
      <c r="AR200" s="24">
        <v>2</v>
      </c>
      <c r="AS200" s="24">
        <v>24</v>
      </c>
      <c r="AT200" s="22" t="s">
        <v>48</v>
      </c>
      <c r="AU200" s="22"/>
    </row>
    <row r="201" spans="1:47" ht="38.25" x14ac:dyDescent="0.2">
      <c r="A201" s="22" t="s">
        <v>58</v>
      </c>
      <c r="B201" s="22" t="s">
        <v>620</v>
      </c>
      <c r="C201" s="22"/>
      <c r="D201" s="22" t="s">
        <v>98</v>
      </c>
      <c r="E201" s="22" t="s">
        <v>621</v>
      </c>
      <c r="F201" s="71" t="s">
        <v>895</v>
      </c>
      <c r="G201" s="22"/>
      <c r="H201" s="22"/>
      <c r="I201" s="22" t="s">
        <v>622</v>
      </c>
      <c r="J201" s="22"/>
      <c r="K201" s="22" t="s">
        <v>623</v>
      </c>
      <c r="L201" s="24">
        <v>2021</v>
      </c>
      <c r="M201" s="24"/>
      <c r="N201" s="38">
        <f>16*8</f>
        <v>128</v>
      </c>
      <c r="O201" s="39"/>
      <c r="P201" s="27">
        <f>N201*O201</f>
        <v>0</v>
      </c>
      <c r="Q201" s="28"/>
      <c r="R201" s="28">
        <f>IF(Q201&lt;4.99,(Q201*12%+4),IF(Q201&lt;10.99,(Q201*12%+8),IF(Q201&lt;14.99,(Q201*12%+12),IF(Q201&lt;879.99,(Q201*12%+16),IF(Q201&lt;2569.99,(Q201*7%+60),240)))))</f>
        <v>4</v>
      </c>
      <c r="S201" s="29">
        <f>R201*P201</f>
        <v>0</v>
      </c>
      <c r="T201" s="24"/>
      <c r="U201" s="24"/>
      <c r="V201" s="24"/>
      <c r="W201" s="24"/>
      <c r="X201" s="24"/>
      <c r="Y201" s="24"/>
      <c r="Z201" s="22">
        <v>0</v>
      </c>
      <c r="AA201" s="22"/>
      <c r="AB201" s="22"/>
      <c r="AC201" s="22"/>
      <c r="AD201" s="22"/>
      <c r="AE201" s="22"/>
      <c r="AF201" s="22"/>
      <c r="AG201" s="22"/>
      <c r="AH201" s="22"/>
      <c r="AI201" s="22" t="s">
        <v>64</v>
      </c>
      <c r="AJ201" s="22"/>
      <c r="AK201" s="22"/>
      <c r="AL201" s="71" t="s">
        <v>624</v>
      </c>
      <c r="AM201" s="24">
        <v>1</v>
      </c>
      <c r="AN201" s="24">
        <v>1</v>
      </c>
      <c r="AO201" s="24">
        <v>1</v>
      </c>
      <c r="AP201" s="24">
        <v>3</v>
      </c>
      <c r="AQ201" s="24">
        <v>1</v>
      </c>
      <c r="AR201" s="24">
        <v>2</v>
      </c>
      <c r="AS201" s="24">
        <v>6</v>
      </c>
      <c r="AT201" s="22" t="s">
        <v>48</v>
      </c>
      <c r="AU201" s="22"/>
    </row>
    <row r="202" spans="1:47" ht="38.25" x14ac:dyDescent="0.2">
      <c r="A202" s="22" t="s">
        <v>86</v>
      </c>
      <c r="B202" s="22" t="s">
        <v>861</v>
      </c>
      <c r="C202" s="22"/>
      <c r="D202" s="65"/>
      <c r="E202" s="88" t="s">
        <v>862</v>
      </c>
      <c r="F202" s="77"/>
      <c r="G202" s="88"/>
      <c r="H202" s="78" t="s">
        <v>902</v>
      </c>
      <c r="I202" s="65" t="s">
        <v>863</v>
      </c>
      <c r="J202" s="22" t="s">
        <v>864</v>
      </c>
      <c r="K202" s="22" t="s">
        <v>42</v>
      </c>
      <c r="L202" s="24">
        <v>2022</v>
      </c>
      <c r="M202" s="24"/>
      <c r="N202" s="38"/>
      <c r="O202" s="39"/>
      <c r="P202" s="27"/>
      <c r="Q202" s="28"/>
      <c r="R202" s="28"/>
      <c r="S202" s="29"/>
      <c r="T202" s="24"/>
      <c r="U202" s="24"/>
      <c r="V202" s="24"/>
      <c r="W202" s="24"/>
      <c r="X202" s="24"/>
      <c r="Y202" s="24"/>
      <c r="Z202" s="22"/>
      <c r="AA202" s="22"/>
      <c r="AB202" s="22"/>
      <c r="AC202" s="22"/>
      <c r="AD202" s="22"/>
      <c r="AE202" s="22"/>
      <c r="AF202" s="22"/>
      <c r="AG202" s="22"/>
      <c r="AH202" s="22"/>
      <c r="AI202" s="22" t="s">
        <v>42</v>
      </c>
      <c r="AJ202" s="22"/>
      <c r="AK202" s="41"/>
      <c r="AL202" s="67" t="s">
        <v>865</v>
      </c>
      <c r="AM202" s="24"/>
      <c r="AN202" s="24"/>
      <c r="AO202" s="24"/>
      <c r="AP202" s="24"/>
      <c r="AQ202" s="24"/>
      <c r="AR202" s="24"/>
      <c r="AS202" s="24">
        <v>0</v>
      </c>
      <c r="AT202" s="22"/>
      <c r="AU202" s="69"/>
    </row>
    <row r="203" spans="1:47" s="129" customFormat="1" ht="38.25" x14ac:dyDescent="0.2">
      <c r="A203" s="22" t="s">
        <v>58</v>
      </c>
      <c r="B203" s="23" t="s">
        <v>165</v>
      </c>
      <c r="C203" s="22"/>
      <c r="D203" s="22" t="s">
        <v>37</v>
      </c>
      <c r="E203" s="22" t="s">
        <v>862</v>
      </c>
      <c r="F203" s="95"/>
      <c r="G203" s="22"/>
      <c r="H203" s="71" t="s">
        <v>902</v>
      </c>
      <c r="I203" s="22" t="s">
        <v>166</v>
      </c>
      <c r="J203" s="22" t="s">
        <v>167</v>
      </c>
      <c r="K203" s="22" t="s">
        <v>168</v>
      </c>
      <c r="L203" s="24">
        <v>2020</v>
      </c>
      <c r="M203" s="24"/>
      <c r="N203" s="25">
        <f>8500000/100000</f>
        <v>85</v>
      </c>
      <c r="O203" s="26"/>
      <c r="P203" s="27">
        <f>N203*O203</f>
        <v>0</v>
      </c>
      <c r="Q203" s="28"/>
      <c r="R203" s="28">
        <f>IF(Q203&lt;4.99,(Q203*12%+4),IF(Q203&lt;10.99,(Q203*12%+8),IF(Q203&lt;14.99,(Q203*12%+12),IF(Q203&lt;879.99,(Q203*12%+16),IF(Q203&lt;2569.99,(Q203*7%+60),240)))))</f>
        <v>4</v>
      </c>
      <c r="S203" s="29">
        <f>R203*P203</f>
        <v>0</v>
      </c>
      <c r="T203" s="24"/>
      <c r="U203" s="24"/>
      <c r="V203" s="24"/>
      <c r="W203" s="24"/>
      <c r="X203" s="24"/>
      <c r="Y203" s="24"/>
      <c r="Z203" s="22"/>
      <c r="AA203" s="22"/>
      <c r="AB203" s="22"/>
      <c r="AC203" s="22"/>
      <c r="AD203" s="22"/>
      <c r="AE203" s="22"/>
      <c r="AF203" s="22"/>
      <c r="AG203" s="22"/>
      <c r="AH203" s="22"/>
      <c r="AI203" s="22" t="s">
        <v>64</v>
      </c>
      <c r="AJ203" s="22"/>
      <c r="AK203" s="22"/>
      <c r="AL203" s="71"/>
      <c r="AM203" s="24">
        <v>1</v>
      </c>
      <c r="AN203" s="24">
        <v>1</v>
      </c>
      <c r="AO203" s="24">
        <v>2</v>
      </c>
      <c r="AP203" s="24">
        <v>3</v>
      </c>
      <c r="AQ203" s="24">
        <v>1</v>
      </c>
      <c r="AR203" s="24">
        <v>1</v>
      </c>
      <c r="AS203" s="24">
        <v>6</v>
      </c>
      <c r="AT203" s="22" t="s">
        <v>48</v>
      </c>
      <c r="AU203" s="22"/>
    </row>
    <row r="204" spans="1:47" ht="38.25" x14ac:dyDescent="0.2">
      <c r="A204" s="22" t="s">
        <v>35</v>
      </c>
      <c r="B204" s="22"/>
      <c r="C204" s="22"/>
      <c r="D204" s="22" t="s">
        <v>37</v>
      </c>
      <c r="E204" s="22" t="s">
        <v>862</v>
      </c>
      <c r="F204" s="22"/>
      <c r="G204" s="22"/>
      <c r="H204" s="71" t="s">
        <v>902</v>
      </c>
      <c r="I204" s="22" t="s">
        <v>563</v>
      </c>
      <c r="J204" s="22" t="s">
        <v>167</v>
      </c>
      <c r="K204" s="22" t="s">
        <v>42</v>
      </c>
      <c r="L204" s="24">
        <v>2021</v>
      </c>
      <c r="M204" s="24"/>
      <c r="N204" s="38"/>
      <c r="O204" s="39"/>
      <c r="P204" s="24"/>
      <c r="Q204" s="28"/>
      <c r="R204" s="24"/>
      <c r="S204" s="24"/>
      <c r="T204" s="24"/>
      <c r="U204" s="24"/>
      <c r="V204" s="24"/>
      <c r="W204" s="24"/>
      <c r="X204" s="24"/>
      <c r="Y204" s="24"/>
      <c r="Z204" s="22"/>
      <c r="AA204" s="22"/>
      <c r="AB204" s="22"/>
      <c r="AC204" s="22"/>
      <c r="AD204" s="22"/>
      <c r="AE204" s="22"/>
      <c r="AF204" s="22"/>
      <c r="AG204" s="22"/>
      <c r="AH204" s="22"/>
      <c r="AI204" s="22"/>
      <c r="AJ204" s="22"/>
      <c r="AK204" s="22"/>
      <c r="AL204" s="71" t="s">
        <v>564</v>
      </c>
      <c r="AM204" s="24"/>
      <c r="AN204" s="24"/>
      <c r="AO204" s="24"/>
      <c r="AP204" s="24"/>
      <c r="AQ204" s="24"/>
      <c r="AR204" s="24"/>
      <c r="AS204" s="24"/>
      <c r="AT204" s="22"/>
      <c r="AU204" s="22"/>
    </row>
    <row r="205" spans="1:47" ht="38.25" x14ac:dyDescent="0.2">
      <c r="A205" s="22" t="s">
        <v>58</v>
      </c>
      <c r="B205" s="22" t="s">
        <v>625</v>
      </c>
      <c r="C205" s="22"/>
      <c r="D205" s="22" t="s">
        <v>37</v>
      </c>
      <c r="E205" s="22" t="s">
        <v>665</v>
      </c>
      <c r="F205" s="22"/>
      <c r="G205" s="22"/>
      <c r="H205" s="81" t="s">
        <v>987</v>
      </c>
      <c r="I205" s="22" t="s">
        <v>666</v>
      </c>
      <c r="J205" s="22"/>
      <c r="K205" s="22" t="s">
        <v>64</v>
      </c>
      <c r="L205" s="24">
        <v>2022</v>
      </c>
      <c r="M205" s="24"/>
      <c r="N205" s="51">
        <f>8500000/1000000*4</f>
        <v>34</v>
      </c>
      <c r="O205" s="39"/>
      <c r="P205" s="27">
        <f>N205*O205</f>
        <v>0</v>
      </c>
      <c r="Q205" s="28"/>
      <c r="R205" s="28">
        <f>IF(Q205&lt;4.99,(Q205*12%+4),IF(Q205&lt;10.99,(Q205*12%+8),IF(Q205&lt;14.99,(Q205*12%+12),IF(Q205&lt;879.99,(Q205*12%+16),IF(Q205&lt;2569.99,(Q205*7%+60),240)))))</f>
        <v>4</v>
      </c>
      <c r="S205" s="29">
        <f>R205*P205</f>
        <v>0</v>
      </c>
      <c r="T205" s="24"/>
      <c r="U205" s="24"/>
      <c r="V205" s="24"/>
      <c r="W205" s="24"/>
      <c r="X205" s="24"/>
      <c r="Y205" s="24"/>
      <c r="Z205" s="22"/>
      <c r="AA205" s="22"/>
      <c r="AB205" s="22"/>
      <c r="AC205" s="22"/>
      <c r="AD205" s="22"/>
      <c r="AE205" s="22"/>
      <c r="AF205" s="22"/>
      <c r="AG205" s="22"/>
      <c r="AH205" s="22"/>
      <c r="AI205" s="22" t="s">
        <v>64</v>
      </c>
      <c r="AJ205" s="22"/>
      <c r="AK205" s="22"/>
      <c r="AL205" s="71" t="s">
        <v>667</v>
      </c>
      <c r="AM205" s="24">
        <v>1</v>
      </c>
      <c r="AN205" s="24">
        <v>2</v>
      </c>
      <c r="AO205" s="24">
        <v>1</v>
      </c>
      <c r="AP205" s="24">
        <v>2</v>
      </c>
      <c r="AQ205" s="24">
        <v>1</v>
      </c>
      <c r="AR205" s="24">
        <v>2</v>
      </c>
      <c r="AS205" s="24">
        <v>8</v>
      </c>
      <c r="AT205" s="22" t="s">
        <v>48</v>
      </c>
      <c r="AU205" s="22"/>
    </row>
    <row r="206" spans="1:47" x14ac:dyDescent="0.2">
      <c r="A206" s="22"/>
      <c r="B206" s="22" t="s">
        <v>1225</v>
      </c>
      <c r="C206" s="22"/>
      <c r="D206" s="22" t="s">
        <v>98</v>
      </c>
      <c r="E206" s="22" t="s">
        <v>1222</v>
      </c>
      <c r="F206" s="22"/>
      <c r="G206" s="22"/>
      <c r="H206" s="81"/>
      <c r="I206" s="22" t="s">
        <v>1223</v>
      </c>
      <c r="J206" s="22" t="s">
        <v>1224</v>
      </c>
      <c r="K206" s="22" t="s">
        <v>42</v>
      </c>
      <c r="L206" s="24">
        <v>2023</v>
      </c>
      <c r="M206" s="24"/>
      <c r="N206" s="51">
        <v>70</v>
      </c>
      <c r="O206" s="39"/>
      <c r="P206" s="27">
        <v>10</v>
      </c>
      <c r="Q206" s="28">
        <v>15000</v>
      </c>
      <c r="R206" s="28">
        <v>240</v>
      </c>
      <c r="S206" s="29"/>
      <c r="T206" s="24"/>
      <c r="U206" s="24"/>
      <c r="V206" s="24"/>
      <c r="W206" s="24"/>
      <c r="X206" s="24"/>
      <c r="Y206" s="24"/>
      <c r="Z206" s="22"/>
      <c r="AA206" s="22"/>
      <c r="AB206" s="22"/>
      <c r="AC206" s="22"/>
      <c r="AD206" s="22"/>
      <c r="AE206" s="22"/>
      <c r="AF206" s="22"/>
      <c r="AG206" s="22">
        <v>200000</v>
      </c>
      <c r="AH206" s="22"/>
      <c r="AI206" s="22" t="s">
        <v>42</v>
      </c>
      <c r="AJ206" s="22"/>
      <c r="AK206" s="22"/>
      <c r="AL206" s="71"/>
      <c r="AM206" s="24"/>
      <c r="AN206" s="24"/>
      <c r="AO206" s="24"/>
      <c r="AP206" s="24"/>
      <c r="AQ206" s="24"/>
      <c r="AR206" s="24"/>
      <c r="AS206" s="24"/>
      <c r="AT206" s="22"/>
      <c r="AU206" s="40">
        <v>44805</v>
      </c>
    </row>
    <row r="207" spans="1:47" x14ac:dyDescent="0.2">
      <c r="A207" s="22" t="s">
        <v>49</v>
      </c>
      <c r="B207" s="22" t="s">
        <v>1018</v>
      </c>
      <c r="C207" s="22"/>
      <c r="D207" s="22" t="s">
        <v>51</v>
      </c>
      <c r="E207" s="22" t="s">
        <v>138</v>
      </c>
      <c r="F207" s="22"/>
      <c r="G207" s="22"/>
      <c r="H207" s="81"/>
      <c r="I207" s="22" t="s">
        <v>1019</v>
      </c>
      <c r="J207" s="22" t="s">
        <v>1131</v>
      </c>
      <c r="K207" s="22" t="s">
        <v>42</v>
      </c>
      <c r="L207" s="24">
        <v>2022</v>
      </c>
      <c r="M207" s="24"/>
      <c r="N207" s="51"/>
      <c r="O207" s="39"/>
      <c r="P207" s="27">
        <v>10</v>
      </c>
      <c r="Q207" s="28">
        <v>1200</v>
      </c>
      <c r="R207" s="28">
        <v>120</v>
      </c>
      <c r="S207" s="29">
        <f>P207*Q207*3</f>
        <v>36000</v>
      </c>
      <c r="T207" s="24"/>
      <c r="U207" s="24"/>
      <c r="V207" s="24"/>
      <c r="W207" s="24"/>
      <c r="X207" s="24"/>
      <c r="Y207" s="24"/>
      <c r="Z207" s="22">
        <v>30000</v>
      </c>
      <c r="AA207" s="22">
        <v>0</v>
      </c>
      <c r="AB207" s="22"/>
      <c r="AC207" s="22"/>
      <c r="AD207" s="22"/>
      <c r="AE207" s="22">
        <f>Z207</f>
        <v>30000</v>
      </c>
      <c r="AF207" s="22"/>
      <c r="AG207" s="22">
        <f>AE207*5</f>
        <v>150000</v>
      </c>
      <c r="AH207" s="22"/>
      <c r="AI207" s="22" t="s">
        <v>645</v>
      </c>
      <c r="AJ207" s="22"/>
      <c r="AK207" s="22"/>
      <c r="AL207" s="71"/>
      <c r="AM207" s="24"/>
      <c r="AN207" s="24"/>
      <c r="AO207" s="24"/>
      <c r="AP207" s="24"/>
      <c r="AQ207" s="24"/>
      <c r="AR207" s="24"/>
      <c r="AS207" s="24"/>
      <c r="AT207" s="22"/>
      <c r="AU207" s="22"/>
    </row>
    <row r="208" spans="1:47" ht="38.25" x14ac:dyDescent="0.2">
      <c r="A208" s="22" t="s">
        <v>72</v>
      </c>
      <c r="B208" s="22" t="s">
        <v>184</v>
      </c>
      <c r="C208" s="22"/>
      <c r="D208" s="65" t="s">
        <v>98</v>
      </c>
      <c r="E208" s="88" t="s">
        <v>138</v>
      </c>
      <c r="F208" s="97" t="s">
        <v>901</v>
      </c>
      <c r="G208" s="88"/>
      <c r="H208" s="88"/>
      <c r="I208" s="65" t="s">
        <v>866</v>
      </c>
      <c r="J208" s="22"/>
      <c r="K208" s="22" t="s">
        <v>42</v>
      </c>
      <c r="L208" s="24">
        <v>2023</v>
      </c>
      <c r="M208" s="24"/>
      <c r="N208" s="38"/>
      <c r="O208" s="39"/>
      <c r="P208" s="27"/>
      <c r="Q208" s="28"/>
      <c r="R208" s="28"/>
      <c r="S208" s="29"/>
      <c r="T208" s="24"/>
      <c r="U208" s="24"/>
      <c r="V208" s="24"/>
      <c r="W208" s="24"/>
      <c r="X208" s="24"/>
      <c r="Y208" s="24"/>
      <c r="Z208" s="22"/>
      <c r="AA208" s="22"/>
      <c r="AB208" s="22"/>
      <c r="AC208" s="22"/>
      <c r="AD208" s="22"/>
      <c r="AE208" s="22"/>
      <c r="AF208" s="22"/>
      <c r="AG208" s="22"/>
      <c r="AH208" s="22"/>
      <c r="AI208" s="22" t="s">
        <v>42</v>
      </c>
      <c r="AJ208" s="22"/>
      <c r="AK208" s="41"/>
      <c r="AL208" s="68" t="s">
        <v>869</v>
      </c>
      <c r="AM208" s="24">
        <v>2</v>
      </c>
      <c r="AN208" s="24">
        <v>3</v>
      </c>
      <c r="AO208" s="24">
        <v>3</v>
      </c>
      <c r="AP208" s="24">
        <v>3</v>
      </c>
      <c r="AQ208" s="24">
        <v>1</v>
      </c>
      <c r="AR208" s="24">
        <v>3</v>
      </c>
      <c r="AS208" s="24">
        <v>162</v>
      </c>
      <c r="AT208" s="22" t="s">
        <v>48</v>
      </c>
      <c r="AU208" s="69"/>
    </row>
    <row r="209" spans="1:47" ht="38.25" x14ac:dyDescent="0.2">
      <c r="A209" s="22" t="s">
        <v>72</v>
      </c>
      <c r="B209" s="22" t="s">
        <v>184</v>
      </c>
      <c r="C209" s="22"/>
      <c r="D209" s="22" t="s">
        <v>98</v>
      </c>
      <c r="E209" s="22" t="s">
        <v>138</v>
      </c>
      <c r="F209" s="71" t="s">
        <v>901</v>
      </c>
      <c r="G209" s="22"/>
      <c r="H209" s="22"/>
      <c r="I209" s="22" t="s">
        <v>326</v>
      </c>
      <c r="J209" s="22"/>
      <c r="K209" s="22" t="s">
        <v>42</v>
      </c>
      <c r="L209" s="24">
        <v>2022</v>
      </c>
      <c r="M209" s="24"/>
      <c r="N209" s="38">
        <f>150000*2/3</f>
        <v>100000</v>
      </c>
      <c r="O209" s="39"/>
      <c r="P209" s="27">
        <f>N209*O209</f>
        <v>0</v>
      </c>
      <c r="Q209" s="28"/>
      <c r="R209" s="28">
        <f>IF(Q209&lt;4.99,(Q209*12%+4),IF(Q209&lt;10.99,(Q209*12%+8),IF(Q209&lt;14.99,(Q209*12%+12),IF(Q209&lt;879.99,(Q209*12%+16),IF(Q209&lt;2569.99,(Q209*7%+60),240)))))</f>
        <v>4</v>
      </c>
      <c r="S209" s="29">
        <f>R209*P209</f>
        <v>0</v>
      </c>
      <c r="T209" s="24"/>
      <c r="U209" s="24"/>
      <c r="V209" s="24"/>
      <c r="W209" s="24"/>
      <c r="X209" s="24"/>
      <c r="Y209" s="24"/>
      <c r="Z209" s="22"/>
      <c r="AA209" s="22"/>
      <c r="AB209" s="22"/>
      <c r="AC209" s="22"/>
      <c r="AD209" s="22"/>
      <c r="AE209" s="22"/>
      <c r="AF209" s="22"/>
      <c r="AG209" s="22"/>
      <c r="AH209" s="22"/>
      <c r="AI209" s="22" t="s">
        <v>42</v>
      </c>
      <c r="AJ209" s="22"/>
      <c r="AK209" s="22" t="s">
        <v>129</v>
      </c>
      <c r="AL209" s="71" t="s">
        <v>327</v>
      </c>
      <c r="AM209" s="24">
        <v>2</v>
      </c>
      <c r="AN209" s="24">
        <v>3</v>
      </c>
      <c r="AO209" s="24">
        <v>3</v>
      </c>
      <c r="AP209" s="24">
        <v>3</v>
      </c>
      <c r="AQ209" s="24">
        <v>1</v>
      </c>
      <c r="AR209" s="24">
        <v>3</v>
      </c>
      <c r="AS209" s="24">
        <v>162</v>
      </c>
      <c r="AT209" s="22" t="s">
        <v>48</v>
      </c>
      <c r="AU209" s="22"/>
    </row>
    <row r="210" spans="1:47" ht="38.25" x14ac:dyDescent="0.2">
      <c r="A210" s="22" t="s">
        <v>86</v>
      </c>
      <c r="B210" s="22" t="s">
        <v>415</v>
      </c>
      <c r="C210" s="22"/>
      <c r="D210" s="22" t="s">
        <v>98</v>
      </c>
      <c r="E210" s="22" t="s">
        <v>138</v>
      </c>
      <c r="F210" s="98" t="s">
        <v>901</v>
      </c>
      <c r="G210" s="22"/>
      <c r="H210" s="22"/>
      <c r="I210" s="22" t="s">
        <v>416</v>
      </c>
      <c r="J210" s="22"/>
      <c r="K210" s="22" t="s">
        <v>42</v>
      </c>
      <c r="L210" s="24">
        <v>2021</v>
      </c>
      <c r="M210" s="24"/>
      <c r="N210" s="38">
        <f>8500000/1000</f>
        <v>8500</v>
      </c>
      <c r="O210" s="39"/>
      <c r="P210" s="27">
        <f>N210*O210</f>
        <v>0</v>
      </c>
      <c r="Q210" s="28"/>
      <c r="R210" s="28">
        <f>IF(Q210&lt;4.99,(Q210*12%+4),IF(Q210&lt;10.99,(Q210*12%+8),IF(Q210&lt;14.99,(Q210*12%+12),IF(Q210&lt;879.99,(Q210*12%+16),IF(Q210&lt;2569.99,(Q210*7%+60),240)))))</f>
        <v>4</v>
      </c>
      <c r="S210" s="29">
        <f>R210*P210</f>
        <v>0</v>
      </c>
      <c r="T210" s="24"/>
      <c r="U210" s="24"/>
      <c r="V210" s="24"/>
      <c r="W210" s="24"/>
      <c r="X210" s="24"/>
      <c r="Y210" s="24"/>
      <c r="Z210" s="22"/>
      <c r="AA210" s="22"/>
      <c r="AB210" s="22"/>
      <c r="AC210" s="22"/>
      <c r="AD210" s="22"/>
      <c r="AE210" s="22"/>
      <c r="AF210" s="22"/>
      <c r="AG210" s="22"/>
      <c r="AH210" s="22"/>
      <c r="AI210" s="22" t="s">
        <v>42</v>
      </c>
      <c r="AJ210" s="22"/>
      <c r="AK210" s="22"/>
      <c r="AL210" s="71" t="s">
        <v>417</v>
      </c>
      <c r="AM210" s="24">
        <v>1</v>
      </c>
      <c r="AN210" s="24">
        <v>3</v>
      </c>
      <c r="AO210" s="24">
        <v>3</v>
      </c>
      <c r="AP210" s="24">
        <v>1</v>
      </c>
      <c r="AQ210" s="24">
        <v>2</v>
      </c>
      <c r="AR210" s="24">
        <v>2</v>
      </c>
      <c r="AS210" s="24">
        <v>36</v>
      </c>
      <c r="AT210" s="22" t="s">
        <v>48</v>
      </c>
      <c r="AU210" s="22"/>
    </row>
    <row r="211" spans="1:47" ht="38.25" x14ac:dyDescent="0.2">
      <c r="A211" s="22" t="s">
        <v>35</v>
      </c>
      <c r="B211" s="23" t="s">
        <v>612</v>
      </c>
      <c r="C211" s="22"/>
      <c r="D211" s="22" t="s">
        <v>60</v>
      </c>
      <c r="E211" s="22" t="s">
        <v>138</v>
      </c>
      <c r="F211" s="71" t="s">
        <v>901</v>
      </c>
      <c r="G211" s="22"/>
      <c r="H211" s="22"/>
      <c r="I211" s="22" t="s">
        <v>613</v>
      </c>
      <c r="J211" s="22" t="s">
        <v>614</v>
      </c>
      <c r="K211" s="22" t="s">
        <v>42</v>
      </c>
      <c r="L211" s="24">
        <v>2020</v>
      </c>
      <c r="M211" s="24"/>
      <c r="N211" s="25">
        <f>8500000/10000*2.5</f>
        <v>2125</v>
      </c>
      <c r="O211" s="26"/>
      <c r="P211" s="27">
        <f>N211*O211</f>
        <v>0</v>
      </c>
      <c r="Q211" s="28"/>
      <c r="R211" s="28">
        <f>IF(Q211&lt;4.99,(Q211*12%+4),IF(Q211&lt;10.99,(Q211*12%+8),IF(Q211&lt;14.99,(Q211*12%+12),IF(Q211&lt;879.99,(Q211*12%+16),IF(Q211&lt;2569.99,(Q211*7%+60),240)))))</f>
        <v>4</v>
      </c>
      <c r="S211" s="29">
        <f>R211*P211</f>
        <v>0</v>
      </c>
      <c r="T211" s="24"/>
      <c r="U211" s="24"/>
      <c r="V211" s="24"/>
      <c r="W211" s="24"/>
      <c r="X211" s="24"/>
      <c r="Y211" s="24"/>
      <c r="Z211" s="22"/>
      <c r="AA211" s="22"/>
      <c r="AB211" s="22"/>
      <c r="AC211" s="22"/>
      <c r="AD211" s="22"/>
      <c r="AE211" s="22"/>
      <c r="AF211" s="22"/>
      <c r="AG211" s="22"/>
      <c r="AH211" s="22"/>
      <c r="AI211" s="22" t="s">
        <v>42</v>
      </c>
      <c r="AJ211" s="22"/>
      <c r="AK211" s="22"/>
      <c r="AL211" s="71" t="s">
        <v>615</v>
      </c>
      <c r="AM211" s="24">
        <v>2</v>
      </c>
      <c r="AN211" s="24">
        <v>1</v>
      </c>
      <c r="AO211" s="24">
        <v>3</v>
      </c>
      <c r="AP211" s="24">
        <v>2</v>
      </c>
      <c r="AQ211" s="24">
        <v>1</v>
      </c>
      <c r="AR211" s="24">
        <v>1</v>
      </c>
      <c r="AS211" s="24">
        <v>12</v>
      </c>
      <c r="AT211" s="22" t="s">
        <v>45</v>
      </c>
      <c r="AU211" s="40">
        <v>43617</v>
      </c>
    </row>
    <row r="212" spans="1:47" ht="25.5" x14ac:dyDescent="0.2">
      <c r="A212" s="22" t="s">
        <v>1199</v>
      </c>
      <c r="B212" s="186" t="s">
        <v>1200</v>
      </c>
      <c r="C212" s="22"/>
      <c r="D212" s="22" t="s">
        <v>60</v>
      </c>
      <c r="E212" s="22" t="s">
        <v>138</v>
      </c>
      <c r="F212" s="71"/>
      <c r="G212" s="22"/>
      <c r="H212" s="95"/>
      <c r="I212" s="22" t="s">
        <v>1202</v>
      </c>
      <c r="J212" s="22" t="s">
        <v>1201</v>
      </c>
      <c r="K212" s="22" t="s">
        <v>42</v>
      </c>
      <c r="L212" s="24">
        <v>2023</v>
      </c>
      <c r="M212" s="24"/>
      <c r="N212" s="25"/>
      <c r="O212" s="26"/>
      <c r="P212" s="27"/>
      <c r="Q212" s="28"/>
      <c r="R212" s="28"/>
      <c r="S212" s="29"/>
      <c r="T212" s="24"/>
      <c r="U212" s="24"/>
      <c r="V212" s="24"/>
      <c r="W212" s="24"/>
      <c r="X212" s="24"/>
      <c r="Y212" s="24"/>
      <c r="Z212" s="22"/>
      <c r="AA212" s="22"/>
      <c r="AB212" s="22"/>
      <c r="AC212" s="22"/>
      <c r="AD212" s="22"/>
      <c r="AE212" s="22"/>
      <c r="AF212" s="22"/>
      <c r="AG212" s="22"/>
      <c r="AH212" s="22"/>
      <c r="AI212" s="22"/>
      <c r="AJ212" s="22"/>
      <c r="AK212" s="22"/>
      <c r="AL212" s="71" t="s">
        <v>1203</v>
      </c>
      <c r="AM212" s="24">
        <v>1</v>
      </c>
      <c r="AN212" s="24">
        <v>2</v>
      </c>
      <c r="AO212" s="24">
        <v>3</v>
      </c>
      <c r="AP212" s="24">
        <v>3</v>
      </c>
      <c r="AQ212" s="24">
        <v>1</v>
      </c>
      <c r="AR212" s="24">
        <v>2</v>
      </c>
      <c r="AS212" s="24">
        <f>AM212*AN212*AO212*AP212*AQ212*AR212</f>
        <v>36</v>
      </c>
      <c r="AT212" s="22" t="s">
        <v>48</v>
      </c>
      <c r="AU212" s="40">
        <v>44743</v>
      </c>
    </row>
    <row r="213" spans="1:47" ht="38.25" x14ac:dyDescent="0.2">
      <c r="A213" s="22" t="s">
        <v>72</v>
      </c>
      <c r="B213" s="22" t="s">
        <v>271</v>
      </c>
      <c r="C213" s="22"/>
      <c r="D213" s="22" t="s">
        <v>60</v>
      </c>
      <c r="E213" s="22" t="s">
        <v>272</v>
      </c>
      <c r="F213" s="22"/>
      <c r="G213" s="22"/>
      <c r="H213" s="79" t="s">
        <v>945</v>
      </c>
      <c r="I213" s="22" t="s">
        <v>273</v>
      </c>
      <c r="J213" s="22" t="s">
        <v>274</v>
      </c>
      <c r="K213" s="22" t="s">
        <v>63</v>
      </c>
      <c r="L213" s="24">
        <v>2020</v>
      </c>
      <c r="M213" s="24"/>
      <c r="N213" s="38">
        <v>13000</v>
      </c>
      <c r="O213" s="39"/>
      <c r="P213" s="27">
        <f>N213*O213</f>
        <v>0</v>
      </c>
      <c r="Q213" s="28"/>
      <c r="R213" s="28">
        <f>IF(Q213&lt;4.99,(Q213*12%+4),IF(Q213&lt;10.99,(Q213*12%+8),IF(Q213&lt;14.99,(Q213*12%+12),IF(Q213&lt;879.99,(Q213*12%+16),IF(Q213&lt;2569.99,(Q213*7%+60),240)))))</f>
        <v>4</v>
      </c>
      <c r="S213" s="29">
        <f>R213*P213</f>
        <v>0</v>
      </c>
      <c r="T213" s="24"/>
      <c r="U213" s="24"/>
      <c r="V213" s="24"/>
      <c r="W213" s="24"/>
      <c r="X213" s="24"/>
      <c r="Y213" s="24"/>
      <c r="Z213" s="22"/>
      <c r="AA213" s="22"/>
      <c r="AB213" s="22"/>
      <c r="AC213" s="22"/>
      <c r="AD213" s="22"/>
      <c r="AE213" s="22"/>
      <c r="AF213" s="22"/>
      <c r="AG213" s="22"/>
      <c r="AH213" s="22"/>
      <c r="AI213" s="22" t="s">
        <v>42</v>
      </c>
      <c r="AJ213" s="22"/>
      <c r="AK213" s="22"/>
      <c r="AL213" s="71" t="s">
        <v>275</v>
      </c>
      <c r="AM213" s="24">
        <v>1</v>
      </c>
      <c r="AN213" s="24">
        <v>2</v>
      </c>
      <c r="AO213" s="24">
        <v>1</v>
      </c>
      <c r="AP213" s="24">
        <v>3</v>
      </c>
      <c r="AQ213" s="24">
        <v>1</v>
      </c>
      <c r="AR213" s="24">
        <v>2</v>
      </c>
      <c r="AS213" s="24">
        <v>12</v>
      </c>
      <c r="AT213" s="22" t="s">
        <v>48</v>
      </c>
      <c r="AU213" s="22"/>
    </row>
    <row r="214" spans="1:47" ht="38.25" x14ac:dyDescent="0.2">
      <c r="A214" s="22" t="s">
        <v>72</v>
      </c>
      <c r="B214" s="22" t="s">
        <v>73</v>
      </c>
      <c r="C214" s="22"/>
      <c r="D214" s="22" t="s">
        <v>37</v>
      </c>
      <c r="E214" s="22" t="s">
        <v>685</v>
      </c>
      <c r="F214" s="71" t="s">
        <v>900</v>
      </c>
      <c r="G214" s="22"/>
      <c r="H214" s="95"/>
      <c r="I214" s="22" t="s">
        <v>1195</v>
      </c>
      <c r="J214" s="22"/>
      <c r="K214" s="22" t="s">
        <v>42</v>
      </c>
      <c r="L214" s="24">
        <v>2023</v>
      </c>
      <c r="M214" s="24"/>
      <c r="N214" s="38"/>
      <c r="O214" s="39"/>
      <c r="P214" s="24"/>
      <c r="Q214" s="28"/>
      <c r="R214" s="24"/>
      <c r="S214" s="24"/>
      <c r="T214" s="24"/>
      <c r="U214" s="24"/>
      <c r="V214" s="24"/>
      <c r="W214" s="24"/>
      <c r="X214" s="24"/>
      <c r="Y214" s="24"/>
      <c r="Z214" s="22"/>
      <c r="AA214" s="22"/>
      <c r="AB214" s="22"/>
      <c r="AC214" s="22"/>
      <c r="AD214" s="22"/>
      <c r="AE214" s="22"/>
      <c r="AF214" s="22"/>
      <c r="AG214" s="22"/>
      <c r="AH214" s="22"/>
      <c r="AI214" s="22" t="s">
        <v>42</v>
      </c>
      <c r="AJ214" s="22"/>
      <c r="AK214" s="22"/>
      <c r="AL214" s="71" t="s">
        <v>1196</v>
      </c>
      <c r="AM214" s="24">
        <v>3</v>
      </c>
      <c r="AN214" s="24">
        <v>2</v>
      </c>
      <c r="AO214" s="24">
        <v>3</v>
      </c>
      <c r="AP214" s="24">
        <v>1</v>
      </c>
      <c r="AQ214" s="24">
        <v>3</v>
      </c>
      <c r="AR214" s="24">
        <v>2</v>
      </c>
      <c r="AS214" s="24"/>
      <c r="AT214" s="22" t="s">
        <v>45</v>
      </c>
      <c r="AU214" s="40">
        <v>43922</v>
      </c>
    </row>
    <row r="215" spans="1:47" s="129" customFormat="1" ht="38.25" x14ac:dyDescent="0.2">
      <c r="A215" s="13" t="s">
        <v>35</v>
      </c>
      <c r="B215" s="13" t="s">
        <v>100</v>
      </c>
      <c r="C215" s="13"/>
      <c r="D215" s="13" t="s">
        <v>60</v>
      </c>
      <c r="E215" s="13" t="s">
        <v>101</v>
      </c>
      <c r="F215" s="70" t="s">
        <v>900</v>
      </c>
      <c r="G215" s="13"/>
      <c r="H215" s="108"/>
      <c r="I215" s="13" t="s">
        <v>102</v>
      </c>
      <c r="J215" s="13" t="s">
        <v>103</v>
      </c>
      <c r="K215" s="13" t="s">
        <v>42</v>
      </c>
      <c r="L215" s="14">
        <v>2020</v>
      </c>
      <c r="M215" s="14"/>
      <c r="N215" s="15">
        <v>622</v>
      </c>
      <c r="O215" s="16"/>
      <c r="P215" s="17">
        <f t="shared" ref="P215:P222" si="16">N215*O215</f>
        <v>0</v>
      </c>
      <c r="Q215" s="18"/>
      <c r="R215" s="18">
        <f t="shared" ref="R215:R222" si="17">IF(Q215&lt;4.99,(Q215*12%+4),IF(Q215&lt;10.99,(Q215*12%+8),IF(Q215&lt;14.99,(Q215*12%+12),IF(Q215&lt;879.99,(Q215*12%+16),IF(Q215&lt;2569.99,(Q215*7%+60),240)))))</f>
        <v>4</v>
      </c>
      <c r="S215" s="19">
        <f t="shared" ref="S215:S222" si="18">R215*P215</f>
        <v>0</v>
      </c>
      <c r="T215" s="14"/>
      <c r="U215" s="14"/>
      <c r="V215" s="14"/>
      <c r="W215" s="14"/>
      <c r="X215" s="14"/>
      <c r="Y215" s="14"/>
      <c r="Z215" s="13">
        <v>0</v>
      </c>
      <c r="AA215" s="13"/>
      <c r="AB215" s="13"/>
      <c r="AC215" s="13"/>
      <c r="AD215" s="13"/>
      <c r="AE215" s="13"/>
      <c r="AF215" s="13"/>
      <c r="AG215" s="13"/>
      <c r="AH215" s="13"/>
      <c r="AI215" s="13" t="s">
        <v>42</v>
      </c>
      <c r="AJ215" s="13"/>
      <c r="AK215" s="20" t="s">
        <v>70</v>
      </c>
      <c r="AL215" s="70" t="s">
        <v>104</v>
      </c>
      <c r="AM215" s="14">
        <v>3</v>
      </c>
      <c r="AN215" s="14">
        <v>2</v>
      </c>
      <c r="AO215" s="14">
        <v>3</v>
      </c>
      <c r="AP215" s="14">
        <v>3</v>
      </c>
      <c r="AQ215" s="14">
        <v>1</v>
      </c>
      <c r="AR215" s="14">
        <v>1</v>
      </c>
      <c r="AS215" s="14">
        <v>54</v>
      </c>
      <c r="AT215" s="13" t="s">
        <v>45</v>
      </c>
      <c r="AU215" s="13"/>
    </row>
    <row r="216" spans="1:47" s="133" customFormat="1" ht="38.25" x14ac:dyDescent="0.2">
      <c r="A216" s="30" t="s">
        <v>58</v>
      </c>
      <c r="B216" s="30" t="s">
        <v>292</v>
      </c>
      <c r="C216" s="30"/>
      <c r="D216" s="30" t="s">
        <v>60</v>
      </c>
      <c r="E216" s="30" t="s">
        <v>101</v>
      </c>
      <c r="F216" s="72" t="s">
        <v>900</v>
      </c>
      <c r="G216" s="30"/>
      <c r="H216" s="106"/>
      <c r="I216" s="30" t="s">
        <v>293</v>
      </c>
      <c r="J216" s="30" t="s">
        <v>294</v>
      </c>
      <c r="K216" s="30" t="s">
        <v>201</v>
      </c>
      <c r="L216" s="31">
        <v>2018</v>
      </c>
      <c r="M216" s="31"/>
      <c r="N216" s="32">
        <f>8500000/1000000*5</f>
        <v>42.5</v>
      </c>
      <c r="O216" s="33"/>
      <c r="P216" s="34">
        <f t="shared" si="16"/>
        <v>0</v>
      </c>
      <c r="Q216" s="35"/>
      <c r="R216" s="35">
        <f t="shared" si="17"/>
        <v>4</v>
      </c>
      <c r="S216" s="36">
        <f t="shared" si="18"/>
        <v>0</v>
      </c>
      <c r="T216" s="31"/>
      <c r="U216" s="31"/>
      <c r="V216" s="31"/>
      <c r="W216" s="31"/>
      <c r="X216" s="31"/>
      <c r="Y216" s="31"/>
      <c r="Z216" s="30">
        <v>35000</v>
      </c>
      <c r="AA216" s="30"/>
      <c r="AB216" s="30"/>
      <c r="AC216" s="30"/>
      <c r="AD216" s="30"/>
      <c r="AE216" s="30">
        <f>150*4300</f>
        <v>645000</v>
      </c>
      <c r="AF216" s="30"/>
      <c r="AG216" s="30"/>
      <c r="AH216" s="30"/>
      <c r="AI216" s="30" t="s">
        <v>42</v>
      </c>
      <c r="AJ216" s="30"/>
      <c r="AK216" s="30" t="s">
        <v>95</v>
      </c>
      <c r="AL216" s="72" t="s">
        <v>295</v>
      </c>
      <c r="AM216" s="31">
        <v>3</v>
      </c>
      <c r="AN216" s="31">
        <v>1</v>
      </c>
      <c r="AO216" s="31">
        <v>2</v>
      </c>
      <c r="AP216" s="31">
        <v>3</v>
      </c>
      <c r="AQ216" s="31">
        <v>1</v>
      </c>
      <c r="AR216" s="31">
        <v>3</v>
      </c>
      <c r="AS216" s="31">
        <v>54</v>
      </c>
      <c r="AT216" s="30" t="s">
        <v>45</v>
      </c>
      <c r="AU216" s="30"/>
    </row>
    <row r="217" spans="1:47" ht="38.25" x14ac:dyDescent="0.2">
      <c r="A217" s="30" t="s">
        <v>35</v>
      </c>
      <c r="B217" s="30" t="s">
        <v>300</v>
      </c>
      <c r="C217" s="30"/>
      <c r="D217" s="30" t="s">
        <v>60</v>
      </c>
      <c r="E217" s="30" t="s">
        <v>101</v>
      </c>
      <c r="F217" s="72" t="s">
        <v>900</v>
      </c>
      <c r="G217" s="30"/>
      <c r="H217" s="30"/>
      <c r="I217" s="30" t="s">
        <v>301</v>
      </c>
      <c r="J217" s="30" t="s">
        <v>302</v>
      </c>
      <c r="K217" s="30" t="s">
        <v>201</v>
      </c>
      <c r="L217" s="31">
        <v>2018</v>
      </c>
      <c r="M217" s="31"/>
      <c r="N217" s="32">
        <v>33000</v>
      </c>
      <c r="O217" s="33"/>
      <c r="P217" s="34">
        <f t="shared" si="16"/>
        <v>0</v>
      </c>
      <c r="Q217" s="35"/>
      <c r="R217" s="35">
        <f t="shared" si="17"/>
        <v>4</v>
      </c>
      <c r="S217" s="36">
        <f t="shared" si="18"/>
        <v>0</v>
      </c>
      <c r="T217" s="31"/>
      <c r="U217" s="31"/>
      <c r="V217" s="31"/>
      <c r="W217" s="31"/>
      <c r="X217" s="31"/>
      <c r="Y217" s="31"/>
      <c r="Z217" s="30">
        <v>0</v>
      </c>
      <c r="AA217" s="30"/>
      <c r="AB217" s="30"/>
      <c r="AC217" s="30"/>
      <c r="AD217" s="30"/>
      <c r="AE217" s="30"/>
      <c r="AF217" s="30"/>
      <c r="AG217" s="30"/>
      <c r="AH217" s="30"/>
      <c r="AI217" s="30" t="s">
        <v>64</v>
      </c>
      <c r="AJ217" s="30"/>
      <c r="AK217" s="37" t="s">
        <v>95</v>
      </c>
      <c r="AL217" s="72" t="s">
        <v>303</v>
      </c>
      <c r="AM217" s="31">
        <v>3</v>
      </c>
      <c r="AN217" s="31">
        <v>2</v>
      </c>
      <c r="AO217" s="31">
        <v>3</v>
      </c>
      <c r="AP217" s="31">
        <v>3</v>
      </c>
      <c r="AQ217" s="31">
        <v>1</v>
      </c>
      <c r="AR217" s="31">
        <v>1</v>
      </c>
      <c r="AS217" s="31">
        <v>54</v>
      </c>
      <c r="AT217" s="30" t="s">
        <v>45</v>
      </c>
      <c r="AU217" s="30"/>
    </row>
    <row r="218" spans="1:47" ht="38.25" x14ac:dyDescent="0.2">
      <c r="A218" s="22" t="s">
        <v>58</v>
      </c>
      <c r="B218" s="23" t="s">
        <v>373</v>
      </c>
      <c r="C218" s="22"/>
      <c r="D218" s="22" t="s">
        <v>37</v>
      </c>
      <c r="E218" s="22" t="s">
        <v>101</v>
      </c>
      <c r="F218" s="71" t="s">
        <v>900</v>
      </c>
      <c r="G218" s="22"/>
      <c r="H218" s="22"/>
      <c r="I218" s="22" t="s">
        <v>374</v>
      </c>
      <c r="J218" s="22" t="s">
        <v>375</v>
      </c>
      <c r="K218" s="22" t="s">
        <v>376</v>
      </c>
      <c r="L218" s="24">
        <v>2018</v>
      </c>
      <c r="M218" s="24"/>
      <c r="N218" s="25">
        <f>8500000/57000</f>
        <v>149.12280701754386</v>
      </c>
      <c r="O218" s="26"/>
      <c r="P218" s="27">
        <f t="shared" si="16"/>
        <v>0</v>
      </c>
      <c r="Q218" s="28"/>
      <c r="R218" s="28">
        <f t="shared" si="17"/>
        <v>4</v>
      </c>
      <c r="S218" s="29">
        <f t="shared" si="18"/>
        <v>0</v>
      </c>
      <c r="T218" s="24"/>
      <c r="U218" s="24"/>
      <c r="V218" s="24"/>
      <c r="W218" s="24"/>
      <c r="X218" s="24"/>
      <c r="Y218" s="24"/>
      <c r="Z218" s="22">
        <v>5000</v>
      </c>
      <c r="AA218" s="22"/>
      <c r="AB218" s="22"/>
      <c r="AC218" s="22"/>
      <c r="AD218" s="22"/>
      <c r="AE218" s="22">
        <f>12*25000</f>
        <v>300000</v>
      </c>
      <c r="AF218" s="22"/>
      <c r="AG218" s="22"/>
      <c r="AH218" s="22"/>
      <c r="AI218" s="22" t="s">
        <v>377</v>
      </c>
      <c r="AJ218" s="22" t="s">
        <v>378</v>
      </c>
      <c r="AK218" s="40" t="s">
        <v>129</v>
      </c>
      <c r="AL218" s="71" t="s">
        <v>379</v>
      </c>
      <c r="AM218" s="24">
        <v>3</v>
      </c>
      <c r="AN218" s="24">
        <v>1</v>
      </c>
      <c r="AO218" s="24">
        <v>3</v>
      </c>
      <c r="AP218" s="24">
        <v>2</v>
      </c>
      <c r="AQ218" s="24">
        <v>1</v>
      </c>
      <c r="AR218" s="24">
        <v>1</v>
      </c>
      <c r="AS218" s="24">
        <v>18</v>
      </c>
      <c r="AT218" s="22" t="s">
        <v>45</v>
      </c>
      <c r="AU218" s="22"/>
    </row>
    <row r="219" spans="1:47" ht="38.25" x14ac:dyDescent="0.2">
      <c r="A219" s="22" t="s">
        <v>58</v>
      </c>
      <c r="B219" s="22" t="s">
        <v>421</v>
      </c>
      <c r="C219" s="22"/>
      <c r="D219" s="22" t="s">
        <v>422</v>
      </c>
      <c r="E219" s="22" t="s">
        <v>101</v>
      </c>
      <c r="F219" s="71" t="s">
        <v>900</v>
      </c>
      <c r="G219" s="22"/>
      <c r="H219" s="22"/>
      <c r="I219" s="22" t="s">
        <v>423</v>
      </c>
      <c r="J219" s="22"/>
      <c r="K219" s="22" t="s">
        <v>42</v>
      </c>
      <c r="L219" s="24">
        <v>2024</v>
      </c>
      <c r="M219" s="24"/>
      <c r="N219" s="38">
        <v>750</v>
      </c>
      <c r="O219" s="39"/>
      <c r="P219" s="27">
        <f t="shared" si="16"/>
        <v>0</v>
      </c>
      <c r="Q219" s="28"/>
      <c r="R219" s="28">
        <f t="shared" si="17"/>
        <v>4</v>
      </c>
      <c r="S219" s="29">
        <f t="shared" si="18"/>
        <v>0</v>
      </c>
      <c r="T219" s="24"/>
      <c r="U219" s="24"/>
      <c r="V219" s="24"/>
      <c r="W219" s="24"/>
      <c r="X219" s="24"/>
      <c r="Y219" s="24"/>
      <c r="Z219" s="22"/>
      <c r="AA219" s="22"/>
      <c r="AB219" s="22"/>
      <c r="AC219" s="22"/>
      <c r="AD219" s="22"/>
      <c r="AE219" s="22"/>
      <c r="AF219" s="22"/>
      <c r="AG219" s="22"/>
      <c r="AH219" s="22"/>
      <c r="AI219" s="22" t="s">
        <v>42</v>
      </c>
      <c r="AJ219" s="22"/>
      <c r="AK219" s="40" t="s">
        <v>56</v>
      </c>
      <c r="AL219" s="71" t="s">
        <v>424</v>
      </c>
      <c r="AM219" s="24">
        <v>3</v>
      </c>
      <c r="AN219" s="24">
        <v>2</v>
      </c>
      <c r="AO219" s="24">
        <v>3</v>
      </c>
      <c r="AP219" s="24">
        <v>1</v>
      </c>
      <c r="AQ219" s="24">
        <v>3</v>
      </c>
      <c r="AR219" s="24">
        <v>2</v>
      </c>
      <c r="AS219" s="24">
        <v>108</v>
      </c>
      <c r="AT219" s="22" t="s">
        <v>45</v>
      </c>
      <c r="AU219" s="22"/>
    </row>
    <row r="220" spans="1:47" ht="38.25" x14ac:dyDescent="0.2">
      <c r="A220" s="42" t="s">
        <v>58</v>
      </c>
      <c r="B220" s="42" t="s">
        <v>529</v>
      </c>
      <c r="C220" s="42"/>
      <c r="D220" s="42" t="s">
        <v>98</v>
      </c>
      <c r="E220" s="42" t="s">
        <v>101</v>
      </c>
      <c r="F220" s="73" t="s">
        <v>900</v>
      </c>
      <c r="G220" s="42"/>
      <c r="H220" s="42"/>
      <c r="I220" s="42" t="s">
        <v>530</v>
      </c>
      <c r="J220" s="42" t="s">
        <v>531</v>
      </c>
      <c r="K220" s="42" t="s">
        <v>128</v>
      </c>
      <c r="L220" s="43">
        <v>2018</v>
      </c>
      <c r="M220" s="43"/>
      <c r="N220" s="44">
        <f>8500000/300000</f>
        <v>28.333333333333332</v>
      </c>
      <c r="O220" s="45"/>
      <c r="P220" s="46">
        <f t="shared" si="16"/>
        <v>0</v>
      </c>
      <c r="Q220" s="47"/>
      <c r="R220" s="47">
        <f t="shared" si="17"/>
        <v>4</v>
      </c>
      <c r="S220" s="48">
        <f t="shared" si="18"/>
        <v>0</v>
      </c>
      <c r="T220" s="43"/>
      <c r="U220" s="43"/>
      <c r="V220" s="43"/>
      <c r="W220" s="43"/>
      <c r="X220" s="43"/>
      <c r="Y220" s="43"/>
      <c r="Z220" s="42"/>
      <c r="AA220" s="42"/>
      <c r="AB220" s="42"/>
      <c r="AC220" s="42"/>
      <c r="AD220" s="42"/>
      <c r="AE220" s="42"/>
      <c r="AF220" s="42"/>
      <c r="AG220" s="42"/>
      <c r="AH220" s="42"/>
      <c r="AI220" s="42" t="s">
        <v>42</v>
      </c>
      <c r="AJ220" s="42"/>
      <c r="AK220" s="42" t="s">
        <v>56</v>
      </c>
      <c r="AL220" s="73" t="s">
        <v>532</v>
      </c>
      <c r="AM220" s="43">
        <v>3</v>
      </c>
      <c r="AN220" s="43">
        <v>2</v>
      </c>
      <c r="AO220" s="43">
        <v>3</v>
      </c>
      <c r="AP220" s="43">
        <v>2</v>
      </c>
      <c r="AQ220" s="43">
        <v>1</v>
      </c>
      <c r="AR220" s="43">
        <v>1</v>
      </c>
      <c r="AS220" s="43">
        <v>36</v>
      </c>
      <c r="AT220" s="42" t="s">
        <v>45</v>
      </c>
      <c r="AU220" s="42"/>
    </row>
    <row r="221" spans="1:47" ht="38.25" x14ac:dyDescent="0.2">
      <c r="A221" s="30" t="s">
        <v>86</v>
      </c>
      <c r="B221" s="30" t="s">
        <v>259</v>
      </c>
      <c r="C221" s="30"/>
      <c r="D221" s="30" t="s">
        <v>98</v>
      </c>
      <c r="E221" s="30" t="s">
        <v>101</v>
      </c>
      <c r="F221" s="72" t="s">
        <v>900</v>
      </c>
      <c r="G221" s="30"/>
      <c r="H221" s="30"/>
      <c r="I221" s="30" t="s">
        <v>687</v>
      </c>
      <c r="J221" s="30" t="s">
        <v>688</v>
      </c>
      <c r="K221" s="30" t="s">
        <v>201</v>
      </c>
      <c r="L221" s="31">
        <v>2018</v>
      </c>
      <c r="M221" s="31">
        <v>1</v>
      </c>
      <c r="N221" s="32">
        <v>70000</v>
      </c>
      <c r="O221" s="33">
        <v>0.01</v>
      </c>
      <c r="P221" s="34">
        <f t="shared" si="16"/>
        <v>700</v>
      </c>
      <c r="Q221" s="35">
        <v>1332.25</v>
      </c>
      <c r="R221" s="35">
        <f t="shared" si="17"/>
        <v>153.25749999999999</v>
      </c>
      <c r="S221" s="36">
        <f t="shared" si="18"/>
        <v>107280.25</v>
      </c>
      <c r="T221" s="31"/>
      <c r="U221" s="31"/>
      <c r="V221" s="31"/>
      <c r="W221" s="31"/>
      <c r="X221" s="31"/>
      <c r="Y221" s="31"/>
      <c r="Z221" s="30">
        <v>20000</v>
      </c>
      <c r="AA221" s="30"/>
      <c r="AB221" s="30"/>
      <c r="AC221" s="30"/>
      <c r="AD221" s="30"/>
      <c r="AE221" s="30"/>
      <c r="AF221" s="30"/>
      <c r="AG221" s="30"/>
      <c r="AH221" s="30"/>
      <c r="AI221" s="30" t="s">
        <v>42</v>
      </c>
      <c r="AJ221" s="30" t="s">
        <v>689</v>
      </c>
      <c r="AK221" s="30" t="s">
        <v>56</v>
      </c>
      <c r="AL221" s="72" t="s">
        <v>690</v>
      </c>
      <c r="AM221" s="31">
        <v>3</v>
      </c>
      <c r="AN221" s="31">
        <v>3</v>
      </c>
      <c r="AO221" s="31">
        <v>3</v>
      </c>
      <c r="AP221" s="31">
        <v>2</v>
      </c>
      <c r="AQ221" s="31">
        <v>2</v>
      </c>
      <c r="AR221" s="31">
        <v>1</v>
      </c>
      <c r="AS221" s="31">
        <v>108</v>
      </c>
      <c r="AT221" s="30" t="s">
        <v>691</v>
      </c>
      <c r="AU221" s="30"/>
    </row>
    <row r="222" spans="1:47" ht="38.25" x14ac:dyDescent="0.2">
      <c r="A222" s="22" t="s">
        <v>86</v>
      </c>
      <c r="B222" s="22" t="s">
        <v>259</v>
      </c>
      <c r="C222" s="22"/>
      <c r="D222" s="22" t="s">
        <v>98</v>
      </c>
      <c r="E222" s="22" t="s">
        <v>786</v>
      </c>
      <c r="F222" s="71" t="s">
        <v>900</v>
      </c>
      <c r="G222" s="22"/>
      <c r="H222" s="22"/>
      <c r="I222" s="22" t="s">
        <v>787</v>
      </c>
      <c r="J222" s="22"/>
      <c r="K222" s="22" t="s">
        <v>64</v>
      </c>
      <c r="L222" s="24">
        <v>2019</v>
      </c>
      <c r="M222" s="24"/>
      <c r="N222" s="38">
        <v>70000</v>
      </c>
      <c r="O222" s="39"/>
      <c r="P222" s="27">
        <f t="shared" si="16"/>
        <v>0</v>
      </c>
      <c r="Q222" s="28"/>
      <c r="R222" s="28">
        <f t="shared" si="17"/>
        <v>4</v>
      </c>
      <c r="S222" s="29">
        <f t="shared" si="18"/>
        <v>0</v>
      </c>
      <c r="T222" s="24"/>
      <c r="U222" s="24"/>
      <c r="V222" s="24"/>
      <c r="W222" s="24"/>
      <c r="X222" s="24"/>
      <c r="Y222" s="24"/>
      <c r="Z222" s="22">
        <v>0</v>
      </c>
      <c r="AA222" s="22"/>
      <c r="AB222" s="22"/>
      <c r="AC222" s="22"/>
      <c r="AD222" s="22"/>
      <c r="AE222" s="22"/>
      <c r="AF222" s="22"/>
      <c r="AG222" s="22"/>
      <c r="AH222" s="22"/>
      <c r="AI222" s="22" t="s">
        <v>64</v>
      </c>
      <c r="AJ222" s="22"/>
      <c r="AK222" s="22" t="s">
        <v>95</v>
      </c>
      <c r="AL222" s="71" t="s">
        <v>788</v>
      </c>
      <c r="AM222" s="24">
        <v>3</v>
      </c>
      <c r="AN222" s="24">
        <v>3</v>
      </c>
      <c r="AO222" s="24">
        <v>3</v>
      </c>
      <c r="AP222" s="24">
        <v>1</v>
      </c>
      <c r="AQ222" s="24">
        <v>3</v>
      </c>
      <c r="AR222" s="24">
        <v>2</v>
      </c>
      <c r="AS222" s="24">
        <v>162</v>
      </c>
      <c r="AT222" s="22" t="s">
        <v>45</v>
      </c>
      <c r="AU222" s="22"/>
    </row>
    <row r="223" spans="1:47" x14ac:dyDescent="0.2">
      <c r="A223" s="22" t="s">
        <v>47</v>
      </c>
      <c r="B223" s="22" t="s">
        <v>1141</v>
      </c>
      <c r="C223" s="22"/>
      <c r="D223" s="22" t="s">
        <v>1142</v>
      </c>
      <c r="E223" s="22" t="s">
        <v>101</v>
      </c>
      <c r="F223" s="71"/>
      <c r="G223" s="22"/>
      <c r="H223" s="22"/>
      <c r="I223" s="22" t="s">
        <v>1143</v>
      </c>
      <c r="J223" s="22"/>
      <c r="K223" s="22"/>
      <c r="L223" s="24"/>
      <c r="M223" s="24"/>
      <c r="N223" s="38"/>
      <c r="O223" s="39"/>
      <c r="P223" s="27"/>
      <c r="Q223" s="28"/>
      <c r="R223" s="28"/>
      <c r="S223" s="29"/>
      <c r="T223" s="24"/>
      <c r="U223" s="24"/>
      <c r="V223" s="24"/>
      <c r="W223" s="24"/>
      <c r="X223" s="24"/>
      <c r="Y223" s="24"/>
      <c r="Z223" s="22"/>
      <c r="AA223" s="22"/>
      <c r="AB223" s="22"/>
      <c r="AC223" s="22"/>
      <c r="AD223" s="22"/>
      <c r="AE223" s="22"/>
      <c r="AF223" s="22"/>
      <c r="AG223" s="22"/>
      <c r="AH223" s="22"/>
      <c r="AI223" s="22"/>
      <c r="AJ223" s="22"/>
      <c r="AK223" s="22"/>
      <c r="AL223" s="71"/>
      <c r="AM223" s="24"/>
      <c r="AN223" s="24"/>
      <c r="AO223" s="24"/>
      <c r="AP223" s="24"/>
      <c r="AQ223" s="24"/>
      <c r="AR223" s="24"/>
      <c r="AS223" s="24"/>
      <c r="AT223" s="22"/>
      <c r="AU223" s="22"/>
    </row>
    <row r="224" spans="1:47" ht="38.25" x14ac:dyDescent="0.2">
      <c r="A224" s="22" t="s">
        <v>47</v>
      </c>
      <c r="B224" s="22" t="s">
        <v>816</v>
      </c>
      <c r="C224" s="22"/>
      <c r="D224" s="65" t="s">
        <v>98</v>
      </c>
      <c r="E224" s="88" t="s">
        <v>870</v>
      </c>
      <c r="F224" s="78" t="s">
        <v>900</v>
      </c>
      <c r="G224" s="88"/>
      <c r="H224" s="77"/>
      <c r="I224" s="65" t="s">
        <v>871</v>
      </c>
      <c r="J224" s="22"/>
      <c r="K224" s="22" t="s">
        <v>42</v>
      </c>
      <c r="L224" s="24">
        <v>2021</v>
      </c>
      <c r="M224" s="24"/>
      <c r="N224" s="38"/>
      <c r="O224" s="39"/>
      <c r="P224" s="27"/>
      <c r="Q224" s="28"/>
      <c r="R224" s="28"/>
      <c r="S224" s="29"/>
      <c r="T224" s="24"/>
      <c r="U224" s="24"/>
      <c r="V224" s="24"/>
      <c r="W224" s="24"/>
      <c r="X224" s="24"/>
      <c r="Y224" s="24"/>
      <c r="Z224" s="22"/>
      <c r="AA224" s="22"/>
      <c r="AB224" s="22"/>
      <c r="AC224" s="22"/>
      <c r="AD224" s="22"/>
      <c r="AE224" s="22"/>
      <c r="AF224" s="22"/>
      <c r="AG224" s="22"/>
      <c r="AH224" s="22"/>
      <c r="AI224" s="22" t="s">
        <v>42</v>
      </c>
      <c r="AJ224" s="22"/>
      <c r="AK224" s="41"/>
      <c r="AL224" s="67"/>
      <c r="AM224" s="24">
        <v>2</v>
      </c>
      <c r="AN224" s="24">
        <v>3</v>
      </c>
      <c r="AO224" s="24">
        <v>3</v>
      </c>
      <c r="AP224" s="24">
        <v>1</v>
      </c>
      <c r="AQ224" s="24">
        <v>2</v>
      </c>
      <c r="AR224" s="24">
        <v>3</v>
      </c>
      <c r="AS224" s="24">
        <v>108</v>
      </c>
      <c r="AT224" s="22" t="s">
        <v>45</v>
      </c>
      <c r="AU224" s="69">
        <v>44197</v>
      </c>
    </row>
    <row r="225" spans="1:47" x14ac:dyDescent="0.2">
      <c r="A225" s="22" t="s">
        <v>58</v>
      </c>
      <c r="B225" s="22" t="s">
        <v>97</v>
      </c>
      <c r="C225" s="22"/>
      <c r="D225" s="68" t="s">
        <v>37</v>
      </c>
      <c r="E225" s="88" t="s">
        <v>1197</v>
      </c>
      <c r="F225" s="78"/>
      <c r="G225" s="88"/>
      <c r="H225" s="77"/>
      <c r="I225" s="68" t="s">
        <v>1198</v>
      </c>
      <c r="J225" s="22"/>
      <c r="K225" s="22"/>
      <c r="L225" s="24">
        <v>2024</v>
      </c>
      <c r="M225" s="24"/>
      <c r="N225" s="38">
        <v>1275</v>
      </c>
      <c r="O225" s="39"/>
      <c r="P225" s="27"/>
      <c r="Q225" s="28"/>
      <c r="R225" s="28"/>
      <c r="S225" s="29"/>
      <c r="T225" s="24"/>
      <c r="U225" s="24"/>
      <c r="V225" s="24"/>
      <c r="W225" s="24"/>
      <c r="X225" s="24"/>
      <c r="Y225" s="24"/>
      <c r="Z225" s="22"/>
      <c r="AA225" s="22"/>
      <c r="AB225" s="22"/>
      <c r="AC225" s="22"/>
      <c r="AD225" s="22"/>
      <c r="AE225" s="22"/>
      <c r="AF225" s="22"/>
      <c r="AG225" s="22"/>
      <c r="AH225" s="22"/>
      <c r="AI225" s="22" t="s">
        <v>42</v>
      </c>
      <c r="AJ225" s="22"/>
      <c r="AK225" s="41"/>
      <c r="AL225" s="67"/>
      <c r="AM225" s="24">
        <v>3</v>
      </c>
      <c r="AN225" s="24">
        <v>2</v>
      </c>
      <c r="AO225" s="24">
        <v>2</v>
      </c>
      <c r="AP225" s="24">
        <v>3</v>
      </c>
      <c r="AQ225" s="24">
        <v>1</v>
      </c>
      <c r="AR225" s="24">
        <v>2</v>
      </c>
      <c r="AS225" s="24">
        <f>AR225*AQ225*AP225*AO225*AN225*AM225</f>
        <v>72</v>
      </c>
      <c r="AT225" s="22" t="s">
        <v>45</v>
      </c>
      <c r="AU225" s="69">
        <v>44713</v>
      </c>
    </row>
    <row r="226" spans="1:47" ht="38.25" x14ac:dyDescent="0.2">
      <c r="A226" s="42" t="s">
        <v>58</v>
      </c>
      <c r="B226" s="42" t="s">
        <v>97</v>
      </c>
      <c r="C226" s="42"/>
      <c r="D226" s="42" t="s">
        <v>37</v>
      </c>
      <c r="E226" s="42" t="s">
        <v>406</v>
      </c>
      <c r="F226" s="73" t="s">
        <v>958</v>
      </c>
      <c r="G226" s="42"/>
      <c r="H226" s="42"/>
      <c r="I226" s="42" t="s">
        <v>407</v>
      </c>
      <c r="J226" s="42" t="s">
        <v>408</v>
      </c>
      <c r="K226" s="42" t="s">
        <v>409</v>
      </c>
      <c r="L226" s="43">
        <v>2018</v>
      </c>
      <c r="M226" s="43"/>
      <c r="N226" s="44">
        <f>8500000/10000*1.5</f>
        <v>1275</v>
      </c>
      <c r="O226" s="45"/>
      <c r="P226" s="46">
        <f>N226*O226</f>
        <v>0</v>
      </c>
      <c r="Q226" s="47"/>
      <c r="R226" s="47">
        <f>IF(Q226&lt;4.99,(Q226*12%+4),IF(Q226&lt;10.99,(Q226*12%+8),IF(Q226&lt;14.99,(Q226*12%+12),IF(Q226&lt;879.99,(Q226*12%+16),IF(Q226&lt;2569.99,(Q226*7%+60),240)))))</f>
        <v>4</v>
      </c>
      <c r="S226" s="48">
        <f>R226*P226</f>
        <v>0</v>
      </c>
      <c r="T226" s="43"/>
      <c r="U226" s="43"/>
      <c r="V226" s="43"/>
      <c r="W226" s="43"/>
      <c r="X226" s="43"/>
      <c r="Y226" s="43"/>
      <c r="Z226" s="42"/>
      <c r="AA226" s="42"/>
      <c r="AB226" s="42"/>
      <c r="AC226" s="42"/>
      <c r="AD226" s="42"/>
      <c r="AE226" s="42"/>
      <c r="AF226" s="42"/>
      <c r="AG226" s="42"/>
      <c r="AH226" s="42"/>
      <c r="AI226" s="42" t="s">
        <v>64</v>
      </c>
      <c r="AJ226" s="42"/>
      <c r="AK226" s="42" t="s">
        <v>70</v>
      </c>
      <c r="AL226" s="73" t="s">
        <v>410</v>
      </c>
      <c r="AM226" s="43">
        <v>1</v>
      </c>
      <c r="AN226" s="43">
        <v>2</v>
      </c>
      <c r="AO226" s="43">
        <v>1</v>
      </c>
      <c r="AP226" s="43">
        <v>3</v>
      </c>
      <c r="AQ226" s="43">
        <v>1</v>
      </c>
      <c r="AR226" s="43">
        <v>2</v>
      </c>
      <c r="AS226" s="43">
        <v>12</v>
      </c>
      <c r="AT226" s="42" t="s">
        <v>48</v>
      </c>
      <c r="AU226" s="42"/>
    </row>
    <row r="227" spans="1:47" ht="38.25" x14ac:dyDescent="0.2">
      <c r="A227" s="42" t="s">
        <v>58</v>
      </c>
      <c r="B227" s="42" t="s">
        <v>97</v>
      </c>
      <c r="C227" s="42"/>
      <c r="D227" s="42" t="s">
        <v>37</v>
      </c>
      <c r="E227" s="42" t="s">
        <v>418</v>
      </c>
      <c r="F227" s="73" t="s">
        <v>958</v>
      </c>
      <c r="G227" s="42"/>
      <c r="H227" s="42"/>
      <c r="I227" s="42" t="s">
        <v>419</v>
      </c>
      <c r="J227" s="42"/>
      <c r="K227" s="42" t="s">
        <v>128</v>
      </c>
      <c r="L227" s="43">
        <v>2019</v>
      </c>
      <c r="M227" s="43"/>
      <c r="N227" s="44">
        <f>8500000/10000*1.5</f>
        <v>1275</v>
      </c>
      <c r="O227" s="45"/>
      <c r="P227" s="46">
        <f>N227*O227</f>
        <v>0</v>
      </c>
      <c r="Q227" s="47"/>
      <c r="R227" s="47">
        <f>IF(Q227&lt;4.99,(Q227*12%+4),IF(Q227&lt;10.99,(Q227*12%+8),IF(Q227&lt;14.99,(Q227*12%+12),IF(Q227&lt;879.99,(Q227*12%+16),IF(Q227&lt;2569.99,(Q227*7%+60),240)))))</f>
        <v>4</v>
      </c>
      <c r="S227" s="48">
        <f>R227*P227</f>
        <v>0</v>
      </c>
      <c r="T227" s="43"/>
      <c r="U227" s="43"/>
      <c r="V227" s="43"/>
      <c r="W227" s="43"/>
      <c r="X227" s="43"/>
      <c r="Y227" s="43"/>
      <c r="Z227" s="42">
        <v>0</v>
      </c>
      <c r="AA227" s="42"/>
      <c r="AB227" s="42"/>
      <c r="AC227" s="42"/>
      <c r="AD227" s="42"/>
      <c r="AE227" s="42"/>
      <c r="AF227" s="42"/>
      <c r="AG227" s="42"/>
      <c r="AH227" s="42"/>
      <c r="AI227" s="42" t="s">
        <v>64</v>
      </c>
      <c r="AJ227" s="42"/>
      <c r="AK227" s="42" t="s">
        <v>70</v>
      </c>
      <c r="AL227" s="73" t="s">
        <v>420</v>
      </c>
      <c r="AM227" s="43">
        <v>1</v>
      </c>
      <c r="AN227" s="43">
        <v>2</v>
      </c>
      <c r="AO227" s="43">
        <v>1</v>
      </c>
      <c r="AP227" s="43">
        <v>3</v>
      </c>
      <c r="AQ227" s="43">
        <v>1</v>
      </c>
      <c r="AR227" s="43">
        <v>2</v>
      </c>
      <c r="AS227" s="43">
        <v>12</v>
      </c>
      <c r="AT227" s="42" t="s">
        <v>48</v>
      </c>
      <c r="AU227" s="42"/>
    </row>
    <row r="228" spans="1:47" ht="38.25" x14ac:dyDescent="0.2">
      <c r="A228" s="22" t="s">
        <v>35</v>
      </c>
      <c r="B228" s="22" t="s">
        <v>517</v>
      </c>
      <c r="C228" s="22"/>
      <c r="D228" s="65" t="s">
        <v>37</v>
      </c>
      <c r="E228" s="88" t="s">
        <v>872</v>
      </c>
      <c r="F228" s="88" t="s">
        <v>899</v>
      </c>
      <c r="G228" s="88"/>
      <c r="H228" s="88"/>
      <c r="I228" s="65" t="s">
        <v>763</v>
      </c>
      <c r="J228" s="22" t="s">
        <v>873</v>
      </c>
      <c r="K228" s="22" t="s">
        <v>309</v>
      </c>
      <c r="L228" s="24">
        <v>2020</v>
      </c>
      <c r="M228" s="24"/>
      <c r="N228" s="38"/>
      <c r="O228" s="39"/>
      <c r="P228" s="27"/>
      <c r="Q228" s="28"/>
      <c r="R228" s="28"/>
      <c r="S228" s="29"/>
      <c r="T228" s="24"/>
      <c r="U228" s="24"/>
      <c r="V228" s="24"/>
      <c r="W228" s="24"/>
      <c r="X228" s="24"/>
      <c r="Y228" s="24"/>
      <c r="Z228" s="22"/>
      <c r="AA228" s="22"/>
      <c r="AB228" s="22"/>
      <c r="AC228" s="22"/>
      <c r="AD228" s="22"/>
      <c r="AE228" s="22"/>
      <c r="AF228" s="22"/>
      <c r="AG228" s="22"/>
      <c r="AH228" s="22"/>
      <c r="AI228" s="71" t="s">
        <v>874</v>
      </c>
      <c r="AJ228" s="22"/>
      <c r="AK228" s="41"/>
      <c r="AL228" s="67"/>
      <c r="AM228" s="24"/>
      <c r="AN228" s="24"/>
      <c r="AO228" s="24"/>
      <c r="AP228" s="24"/>
      <c r="AQ228" s="24"/>
      <c r="AR228" s="24"/>
      <c r="AS228" s="24">
        <v>0</v>
      </c>
      <c r="AT228" s="22"/>
      <c r="AU228" s="69"/>
    </row>
    <row r="229" spans="1:47" ht="38.25" x14ac:dyDescent="0.2">
      <c r="A229" s="22" t="s">
        <v>35</v>
      </c>
      <c r="B229" s="22" t="s">
        <v>762</v>
      </c>
      <c r="C229" s="22"/>
      <c r="D229" s="22" t="s">
        <v>37</v>
      </c>
      <c r="E229" s="22" t="s">
        <v>999</v>
      </c>
      <c r="F229" s="71" t="s">
        <v>899</v>
      </c>
      <c r="G229" s="22"/>
      <c r="H229" s="22"/>
      <c r="I229" s="22" t="s">
        <v>763</v>
      </c>
      <c r="J229" s="22"/>
      <c r="K229" s="22" t="s">
        <v>42</v>
      </c>
      <c r="L229" s="24">
        <v>2021</v>
      </c>
      <c r="M229" s="24"/>
      <c r="N229" s="38"/>
      <c r="O229" s="39"/>
      <c r="P229" s="24"/>
      <c r="Q229" s="28"/>
      <c r="R229" s="24"/>
      <c r="S229" s="24"/>
      <c r="T229" s="24"/>
      <c r="U229" s="24"/>
      <c r="V229" s="24"/>
      <c r="W229" s="24"/>
      <c r="X229" s="24"/>
      <c r="Y229" s="24"/>
      <c r="Z229" s="22"/>
      <c r="AA229" s="22"/>
      <c r="AB229" s="22"/>
      <c r="AC229" s="22"/>
      <c r="AD229" s="22"/>
      <c r="AE229" s="22"/>
      <c r="AF229" s="22"/>
      <c r="AG229" s="22"/>
      <c r="AH229" s="22"/>
      <c r="AI229" s="22"/>
      <c r="AJ229" s="22"/>
      <c r="AK229" s="22"/>
      <c r="AL229" s="71"/>
      <c r="AM229" s="24">
        <v>1</v>
      </c>
      <c r="AN229" s="24">
        <v>3</v>
      </c>
      <c r="AO229" s="24">
        <v>2</v>
      </c>
      <c r="AP229" s="24">
        <v>3</v>
      </c>
      <c r="AQ229" s="24">
        <v>1</v>
      </c>
      <c r="AR229" s="24">
        <v>2</v>
      </c>
      <c r="AS229" s="14">
        <f>AM229*AN229*AO229*AP229*AQ229*AR229</f>
        <v>36</v>
      </c>
      <c r="AT229" s="22"/>
      <c r="AU229" s="22"/>
    </row>
    <row r="230" spans="1:47" ht="38.25" x14ac:dyDescent="0.2">
      <c r="A230" s="22" t="s">
        <v>35</v>
      </c>
      <c r="B230" s="22" t="s">
        <v>603</v>
      </c>
      <c r="C230" s="22"/>
      <c r="D230" s="22" t="s">
        <v>60</v>
      </c>
      <c r="E230" s="22" t="s">
        <v>604</v>
      </c>
      <c r="F230" s="97" t="s">
        <v>969</v>
      </c>
      <c r="G230" s="22"/>
      <c r="H230" s="22"/>
      <c r="I230" s="22" t="s">
        <v>605</v>
      </c>
      <c r="J230" s="22" t="s">
        <v>606</v>
      </c>
      <c r="K230" s="22" t="s">
        <v>607</v>
      </c>
      <c r="L230" s="24">
        <v>2018</v>
      </c>
      <c r="M230" s="24"/>
      <c r="N230" s="51">
        <v>1600</v>
      </c>
      <c r="O230" s="39"/>
      <c r="P230" s="27">
        <f>N230*O230</f>
        <v>0</v>
      </c>
      <c r="Q230" s="28"/>
      <c r="R230" s="28">
        <f t="shared" ref="R230:R239" si="19">IF(Q230&lt;4.99,(Q230*12%+4),IF(Q230&lt;10.99,(Q230*12%+8),IF(Q230&lt;14.99,(Q230*12%+12),IF(Q230&lt;879.99,(Q230*12%+16),IF(Q230&lt;2569.99,(Q230*7%+60),240)))))</f>
        <v>4</v>
      </c>
      <c r="S230" s="29">
        <f t="shared" ref="S230:S239" si="20">R230*P230</f>
        <v>0</v>
      </c>
      <c r="T230" s="24"/>
      <c r="U230" s="24"/>
      <c r="V230" s="24"/>
      <c r="W230" s="24"/>
      <c r="X230" s="24"/>
      <c r="Y230" s="24"/>
      <c r="Z230" s="22">
        <v>0</v>
      </c>
      <c r="AA230" s="22"/>
      <c r="AB230" s="22"/>
      <c r="AC230" s="22"/>
      <c r="AD230" s="22"/>
      <c r="AE230" s="22"/>
      <c r="AF230" s="22"/>
      <c r="AG230" s="22"/>
      <c r="AH230" s="22"/>
      <c r="AI230" s="22" t="s">
        <v>186</v>
      </c>
      <c r="AJ230" s="22"/>
      <c r="AK230" s="22" t="s">
        <v>129</v>
      </c>
      <c r="AL230" s="71" t="s">
        <v>608</v>
      </c>
      <c r="AM230" s="24">
        <v>3</v>
      </c>
      <c r="AN230" s="24">
        <v>1</v>
      </c>
      <c r="AO230" s="24">
        <v>1</v>
      </c>
      <c r="AP230" s="24">
        <v>3</v>
      </c>
      <c r="AQ230" s="24">
        <v>1</v>
      </c>
      <c r="AR230" s="24">
        <v>1</v>
      </c>
      <c r="AS230" s="24">
        <v>9</v>
      </c>
      <c r="AT230" s="22" t="s">
        <v>48</v>
      </c>
      <c r="AU230" s="22"/>
    </row>
    <row r="231" spans="1:47" s="133" customFormat="1" ht="38.25" x14ac:dyDescent="0.2">
      <c r="A231" s="22" t="s">
        <v>35</v>
      </c>
      <c r="B231" s="23" t="s">
        <v>672</v>
      </c>
      <c r="C231" s="22"/>
      <c r="D231" s="22" t="s">
        <v>37</v>
      </c>
      <c r="E231" s="22" t="s">
        <v>604</v>
      </c>
      <c r="F231" s="71" t="s">
        <v>969</v>
      </c>
      <c r="G231" s="22"/>
      <c r="H231" s="22"/>
      <c r="I231" s="22" t="s">
        <v>673</v>
      </c>
      <c r="J231" s="22"/>
      <c r="K231" s="22" t="s">
        <v>128</v>
      </c>
      <c r="L231" s="24">
        <v>2022</v>
      </c>
      <c r="M231" s="24"/>
      <c r="N231" s="38">
        <f>3000*0.85+8500000/100000*3*5</f>
        <v>3825</v>
      </c>
      <c r="O231" s="39"/>
      <c r="P231" s="27">
        <f>N231*O231</f>
        <v>0</v>
      </c>
      <c r="Q231" s="28"/>
      <c r="R231" s="28">
        <f t="shared" si="19"/>
        <v>4</v>
      </c>
      <c r="S231" s="29">
        <f t="shared" si="20"/>
        <v>0</v>
      </c>
      <c r="T231" s="24"/>
      <c r="U231" s="24"/>
      <c r="V231" s="24"/>
      <c r="W231" s="24"/>
      <c r="X231" s="24"/>
      <c r="Y231" s="24"/>
      <c r="Z231" s="22"/>
      <c r="AA231" s="22"/>
      <c r="AB231" s="22"/>
      <c r="AC231" s="22"/>
      <c r="AD231" s="22"/>
      <c r="AE231" s="22"/>
      <c r="AF231" s="22"/>
      <c r="AG231" s="22"/>
      <c r="AH231" s="22"/>
      <c r="AI231" s="22" t="s">
        <v>64</v>
      </c>
      <c r="AJ231" s="22"/>
      <c r="AK231" s="22" t="s">
        <v>76</v>
      </c>
      <c r="AL231" s="71" t="s">
        <v>520</v>
      </c>
      <c r="AM231" s="24">
        <v>3</v>
      </c>
      <c r="AN231" s="24">
        <v>2</v>
      </c>
      <c r="AO231" s="24">
        <v>2</v>
      </c>
      <c r="AP231" s="24">
        <v>3</v>
      </c>
      <c r="AQ231" s="24">
        <v>1</v>
      </c>
      <c r="AR231" s="24">
        <v>2</v>
      </c>
      <c r="AS231" s="24">
        <v>72</v>
      </c>
      <c r="AT231" s="22" t="s">
        <v>45</v>
      </c>
      <c r="AU231" s="22"/>
    </row>
    <row r="232" spans="1:47" ht="38.25" x14ac:dyDescent="0.2">
      <c r="A232" s="22" t="s">
        <v>35</v>
      </c>
      <c r="B232" s="22" t="s">
        <v>517</v>
      </c>
      <c r="C232" s="22"/>
      <c r="D232" s="22" t="s">
        <v>37</v>
      </c>
      <c r="E232" s="22" t="s">
        <v>518</v>
      </c>
      <c r="F232" s="97" t="s">
        <v>969</v>
      </c>
      <c r="G232" s="22"/>
      <c r="H232" s="22"/>
      <c r="I232" s="22" t="s">
        <v>519</v>
      </c>
      <c r="J232" s="22"/>
      <c r="K232" s="22" t="s">
        <v>128</v>
      </c>
      <c r="L232" s="24">
        <v>2022</v>
      </c>
      <c r="M232" s="24"/>
      <c r="N232" s="51">
        <v>6250</v>
      </c>
      <c r="O232" s="39"/>
      <c r="P232" s="27">
        <f>N232*O232</f>
        <v>0</v>
      </c>
      <c r="Q232" s="28"/>
      <c r="R232" s="28">
        <f t="shared" si="19"/>
        <v>4</v>
      </c>
      <c r="S232" s="29">
        <f t="shared" si="20"/>
        <v>0</v>
      </c>
      <c r="T232" s="24"/>
      <c r="U232" s="24"/>
      <c r="V232" s="24"/>
      <c r="W232" s="24"/>
      <c r="X232" s="24"/>
      <c r="Y232" s="24"/>
      <c r="Z232" s="22">
        <v>5000</v>
      </c>
      <c r="AA232" s="22"/>
      <c r="AB232" s="22"/>
      <c r="AC232" s="22"/>
      <c r="AD232" s="22"/>
      <c r="AE232" s="22"/>
      <c r="AF232" s="22"/>
      <c r="AG232" s="22"/>
      <c r="AH232" s="22"/>
      <c r="AI232" s="22" t="s">
        <v>64</v>
      </c>
      <c r="AJ232" s="22"/>
      <c r="AK232" s="22" t="s">
        <v>76</v>
      </c>
      <c r="AL232" s="71" t="s">
        <v>520</v>
      </c>
      <c r="AM232" s="24">
        <v>3</v>
      </c>
      <c r="AN232" s="24">
        <v>2</v>
      </c>
      <c r="AO232" s="24">
        <v>2</v>
      </c>
      <c r="AP232" s="24">
        <v>3</v>
      </c>
      <c r="AQ232" s="24">
        <v>1</v>
      </c>
      <c r="AR232" s="24">
        <v>2</v>
      </c>
      <c r="AS232" s="24">
        <v>72</v>
      </c>
      <c r="AT232" s="22" t="s">
        <v>45</v>
      </c>
      <c r="AU232" s="22"/>
    </row>
    <row r="233" spans="1:47" ht="38.25" x14ac:dyDescent="0.2">
      <c r="A233" s="22" t="s">
        <v>35</v>
      </c>
      <c r="B233" s="22" t="s">
        <v>674</v>
      </c>
      <c r="C233" s="22"/>
      <c r="D233" s="22" t="s">
        <v>37</v>
      </c>
      <c r="E233" s="22" t="s">
        <v>675</v>
      </c>
      <c r="F233" s="71" t="s">
        <v>969</v>
      </c>
      <c r="G233" s="22"/>
      <c r="H233" s="22"/>
      <c r="I233" s="22" t="s">
        <v>676</v>
      </c>
      <c r="J233" s="22"/>
      <c r="K233" s="22" t="s">
        <v>128</v>
      </c>
      <c r="L233" s="24">
        <v>2021</v>
      </c>
      <c r="M233" s="24"/>
      <c r="N233" s="51" t="e">
        <f>8500000/100000*4+#REF!</f>
        <v>#REF!</v>
      </c>
      <c r="O233" s="39"/>
      <c r="P233" s="27" t="e">
        <f>N233*O233</f>
        <v>#REF!</v>
      </c>
      <c r="Q233" s="28"/>
      <c r="R233" s="28">
        <f t="shared" si="19"/>
        <v>4</v>
      </c>
      <c r="S233" s="29" t="e">
        <f t="shared" si="20"/>
        <v>#REF!</v>
      </c>
      <c r="T233" s="24"/>
      <c r="U233" s="24"/>
      <c r="V233" s="24"/>
      <c r="W233" s="24"/>
      <c r="X233" s="24"/>
      <c r="Y233" s="24"/>
      <c r="Z233" s="22"/>
      <c r="AA233" s="22"/>
      <c r="AB233" s="22"/>
      <c r="AC233" s="22"/>
      <c r="AD233" s="22"/>
      <c r="AE233" s="22"/>
      <c r="AF233" s="22"/>
      <c r="AG233" s="22"/>
      <c r="AH233" s="22"/>
      <c r="AI233" s="22" t="s">
        <v>677</v>
      </c>
      <c r="AJ233" s="22"/>
      <c r="AK233" s="22" t="s">
        <v>129</v>
      </c>
      <c r="AL233" s="71" t="s">
        <v>678</v>
      </c>
      <c r="AM233" s="24">
        <v>3</v>
      </c>
      <c r="AN233" s="24">
        <v>2</v>
      </c>
      <c r="AO233" s="24">
        <v>2</v>
      </c>
      <c r="AP233" s="24">
        <v>3</v>
      </c>
      <c r="AQ233" s="24">
        <v>1</v>
      </c>
      <c r="AR233" s="24">
        <v>2</v>
      </c>
      <c r="AS233" s="24">
        <v>72</v>
      </c>
      <c r="AT233" s="22" t="s">
        <v>45</v>
      </c>
      <c r="AU233" s="22"/>
    </row>
    <row r="234" spans="1:47" ht="38.25" x14ac:dyDescent="0.2">
      <c r="A234" s="22" t="s">
        <v>58</v>
      </c>
      <c r="B234" s="22" t="s">
        <v>521</v>
      </c>
      <c r="C234" s="22"/>
      <c r="D234" s="22" t="s">
        <v>37</v>
      </c>
      <c r="E234" s="22" t="s">
        <v>522</v>
      </c>
      <c r="F234" s="71"/>
      <c r="G234" s="71" t="s">
        <v>970</v>
      </c>
      <c r="H234" s="22"/>
      <c r="I234" s="22" t="s">
        <v>523</v>
      </c>
      <c r="J234" s="22" t="s">
        <v>524</v>
      </c>
      <c r="K234" s="22" t="s">
        <v>315</v>
      </c>
      <c r="L234" s="24">
        <v>2021</v>
      </c>
      <c r="M234" s="24"/>
      <c r="N234" s="51">
        <f>8500000/100000*3*0.8</f>
        <v>204</v>
      </c>
      <c r="O234" s="39"/>
      <c r="P234" s="27">
        <f>N234*O234</f>
        <v>0</v>
      </c>
      <c r="Q234" s="28"/>
      <c r="R234" s="28">
        <f t="shared" si="19"/>
        <v>4</v>
      </c>
      <c r="S234" s="29">
        <f t="shared" si="20"/>
        <v>0</v>
      </c>
      <c r="T234" s="24"/>
      <c r="U234" s="24"/>
      <c r="V234" s="24"/>
      <c r="W234" s="24"/>
      <c r="X234" s="24"/>
      <c r="Y234" s="24"/>
      <c r="Z234" s="22"/>
      <c r="AA234" s="22"/>
      <c r="AB234" s="22"/>
      <c r="AC234" s="22"/>
      <c r="AD234" s="22"/>
      <c r="AE234" s="22"/>
      <c r="AF234" s="22"/>
      <c r="AG234" s="22"/>
      <c r="AH234" s="22"/>
      <c r="AI234" s="22" t="s">
        <v>42</v>
      </c>
      <c r="AJ234" s="22"/>
      <c r="AK234" s="22"/>
      <c r="AL234" s="71" t="s">
        <v>525</v>
      </c>
      <c r="AM234" s="24">
        <v>1</v>
      </c>
      <c r="AN234" s="24">
        <v>2</v>
      </c>
      <c r="AO234" s="24">
        <v>2</v>
      </c>
      <c r="AP234" s="24">
        <v>3</v>
      </c>
      <c r="AQ234" s="24">
        <v>1</v>
      </c>
      <c r="AR234" s="24">
        <v>1</v>
      </c>
      <c r="AS234" s="24">
        <v>12</v>
      </c>
      <c r="AT234" s="22" t="s">
        <v>48</v>
      </c>
      <c r="AU234" s="22"/>
    </row>
    <row r="235" spans="1:47" ht="38.25" x14ac:dyDescent="0.2">
      <c r="A235" s="30" t="s">
        <v>58</v>
      </c>
      <c r="B235" s="30" t="s">
        <v>473</v>
      </c>
      <c r="C235" s="30"/>
      <c r="D235" s="30" t="s">
        <v>98</v>
      </c>
      <c r="E235" s="30" t="s">
        <v>443</v>
      </c>
      <c r="F235" s="72" t="s">
        <v>960</v>
      </c>
      <c r="G235" s="30"/>
      <c r="H235" s="30"/>
      <c r="I235" s="30" t="s">
        <v>474</v>
      </c>
      <c r="J235" s="30" t="s">
        <v>475</v>
      </c>
      <c r="K235" s="30" t="s">
        <v>201</v>
      </c>
      <c r="L235" s="31">
        <v>2018</v>
      </c>
      <c r="M235" s="31"/>
      <c r="N235" s="32">
        <f>8500000/100000*5</f>
        <v>425</v>
      </c>
      <c r="O235" s="33">
        <v>0.03</v>
      </c>
      <c r="P235" s="34">
        <v>3</v>
      </c>
      <c r="Q235" s="35">
        <v>14000</v>
      </c>
      <c r="R235" s="35">
        <f t="shared" si="19"/>
        <v>240</v>
      </c>
      <c r="S235" s="36">
        <f t="shared" si="20"/>
        <v>720</v>
      </c>
      <c r="T235" s="31"/>
      <c r="U235" s="31"/>
      <c r="V235" s="31"/>
      <c r="W235" s="31"/>
      <c r="X235" s="31"/>
      <c r="Y235" s="31"/>
      <c r="Z235" s="30">
        <v>0</v>
      </c>
      <c r="AA235" s="30"/>
      <c r="AB235" s="30"/>
      <c r="AC235" s="132">
        <f>Q235*P235*6</f>
        <v>252000</v>
      </c>
      <c r="AD235" s="132"/>
      <c r="AE235" s="132"/>
      <c r="AF235" s="132"/>
      <c r="AG235" s="132"/>
      <c r="AH235" s="132"/>
      <c r="AI235" s="30" t="s">
        <v>42</v>
      </c>
      <c r="AJ235" s="30"/>
      <c r="AK235" s="30" t="s">
        <v>227</v>
      </c>
      <c r="AL235" s="72" t="s">
        <v>1132</v>
      </c>
      <c r="AM235" s="31">
        <v>1</v>
      </c>
      <c r="AN235" s="31">
        <v>1</v>
      </c>
      <c r="AO235" s="31">
        <v>2</v>
      </c>
      <c r="AP235" s="31">
        <v>3</v>
      </c>
      <c r="AQ235" s="31">
        <v>1</v>
      </c>
      <c r="AR235" s="31">
        <v>2</v>
      </c>
      <c r="AS235" s="31">
        <v>12</v>
      </c>
      <c r="AT235" s="30" t="s">
        <v>48</v>
      </c>
      <c r="AU235" s="30"/>
    </row>
    <row r="236" spans="1:47" ht="38.25" x14ac:dyDescent="0.2">
      <c r="A236" s="22" t="s">
        <v>86</v>
      </c>
      <c r="B236" s="22" t="s">
        <v>560</v>
      </c>
      <c r="C236" s="22"/>
      <c r="D236" s="22" t="s">
        <v>98</v>
      </c>
      <c r="E236" s="22" t="s">
        <v>443</v>
      </c>
      <c r="F236" s="71" t="s">
        <v>960</v>
      </c>
      <c r="G236" s="22"/>
      <c r="H236" s="22"/>
      <c r="I236" s="22" t="s">
        <v>561</v>
      </c>
      <c r="J236" s="22"/>
      <c r="K236" s="22" t="s">
        <v>42</v>
      </c>
      <c r="L236" s="24">
        <v>2022</v>
      </c>
      <c r="M236" s="24"/>
      <c r="N236" s="52">
        <f>8500000/1000</f>
        <v>8500</v>
      </c>
      <c r="O236" s="39"/>
      <c r="P236" s="27">
        <f>N236*O236</f>
        <v>0</v>
      </c>
      <c r="Q236" s="28"/>
      <c r="R236" s="28">
        <f t="shared" si="19"/>
        <v>4</v>
      </c>
      <c r="S236" s="29">
        <f t="shared" si="20"/>
        <v>0</v>
      </c>
      <c r="T236" s="24"/>
      <c r="U236" s="24"/>
      <c r="V236" s="24"/>
      <c r="W236" s="24"/>
      <c r="X236" s="24"/>
      <c r="Y236" s="24"/>
      <c r="Z236" s="22">
        <v>0</v>
      </c>
      <c r="AA236" s="22"/>
      <c r="AB236" s="22"/>
      <c r="AC236" s="22"/>
      <c r="AD236" s="22"/>
      <c r="AE236" s="22"/>
      <c r="AF236" s="22"/>
      <c r="AG236" s="22"/>
      <c r="AH236" s="22"/>
      <c r="AI236" s="22" t="s">
        <v>42</v>
      </c>
      <c r="AJ236" s="22"/>
      <c r="AK236" s="22"/>
      <c r="AL236" s="71" t="s">
        <v>562</v>
      </c>
      <c r="AM236" s="24">
        <v>1</v>
      </c>
      <c r="AN236" s="24">
        <v>3</v>
      </c>
      <c r="AO236" s="24">
        <v>3</v>
      </c>
      <c r="AP236" s="24">
        <v>3</v>
      </c>
      <c r="AQ236" s="24">
        <v>1</v>
      </c>
      <c r="AR236" s="24">
        <v>2</v>
      </c>
      <c r="AS236" s="24">
        <v>54</v>
      </c>
      <c r="AT236" s="22" t="s">
        <v>48</v>
      </c>
      <c r="AU236" s="22"/>
    </row>
    <row r="237" spans="1:47" ht="38.25" x14ac:dyDescent="0.2">
      <c r="A237" s="30" t="s">
        <v>58</v>
      </c>
      <c r="B237" s="30" t="s">
        <v>794</v>
      </c>
      <c r="C237" s="30"/>
      <c r="D237" s="30" t="s">
        <v>60</v>
      </c>
      <c r="E237" s="30" t="s">
        <v>443</v>
      </c>
      <c r="F237" s="72" t="s">
        <v>960</v>
      </c>
      <c r="G237" s="30"/>
      <c r="H237" s="106"/>
      <c r="I237" s="30" t="s">
        <v>795</v>
      </c>
      <c r="J237" s="30" t="s">
        <v>796</v>
      </c>
      <c r="K237" s="30" t="s">
        <v>315</v>
      </c>
      <c r="L237" s="31">
        <v>2019</v>
      </c>
      <c r="M237" s="31"/>
      <c r="N237" s="32">
        <f>0.01*8500000</f>
        <v>85000</v>
      </c>
      <c r="O237" s="33"/>
      <c r="P237" s="34">
        <f>N237*O237</f>
        <v>0</v>
      </c>
      <c r="Q237" s="35"/>
      <c r="R237" s="35">
        <f t="shared" si="19"/>
        <v>4</v>
      </c>
      <c r="S237" s="36">
        <f t="shared" si="20"/>
        <v>0</v>
      </c>
      <c r="T237" s="31"/>
      <c r="U237" s="31"/>
      <c r="V237" s="31"/>
      <c r="W237" s="31"/>
      <c r="X237" s="31"/>
      <c r="Y237" s="31"/>
      <c r="Z237" s="30">
        <v>0</v>
      </c>
      <c r="AA237" s="30"/>
      <c r="AB237" s="30"/>
      <c r="AC237" s="30"/>
      <c r="AD237" s="30"/>
      <c r="AE237" s="30"/>
      <c r="AF237" s="30"/>
      <c r="AG237" s="30"/>
      <c r="AH237" s="30"/>
      <c r="AI237" s="30" t="s">
        <v>42</v>
      </c>
      <c r="AJ237" s="30"/>
      <c r="AK237" s="30"/>
      <c r="AL237" s="72" t="s">
        <v>562</v>
      </c>
      <c r="AM237" s="31">
        <v>1</v>
      </c>
      <c r="AN237" s="31">
        <v>1</v>
      </c>
      <c r="AO237" s="31">
        <v>3</v>
      </c>
      <c r="AP237" s="31">
        <v>3</v>
      </c>
      <c r="AQ237" s="31">
        <v>3</v>
      </c>
      <c r="AR237" s="31">
        <v>2</v>
      </c>
      <c r="AS237" s="31">
        <v>54</v>
      </c>
      <c r="AT237" s="30" t="s">
        <v>48</v>
      </c>
      <c r="AU237" s="30"/>
    </row>
    <row r="238" spans="1:47" x14ac:dyDescent="0.2">
      <c r="A238" s="30" t="s">
        <v>58</v>
      </c>
      <c r="B238" s="30" t="s">
        <v>1242</v>
      </c>
      <c r="C238" s="30"/>
      <c r="D238" s="30" t="s">
        <v>1243</v>
      </c>
      <c r="E238" s="30" t="s">
        <v>1241</v>
      </c>
      <c r="F238" s="72"/>
      <c r="G238" s="30"/>
      <c r="H238" s="106"/>
      <c r="I238" s="30" t="s">
        <v>1244</v>
      </c>
      <c r="J238" s="30"/>
      <c r="K238" s="30" t="s">
        <v>42</v>
      </c>
      <c r="L238" s="31">
        <v>2024</v>
      </c>
      <c r="M238" s="31"/>
      <c r="N238" s="32">
        <v>3</v>
      </c>
      <c r="O238" s="33"/>
      <c r="P238" s="34">
        <v>3</v>
      </c>
      <c r="Q238" s="35"/>
      <c r="R238" s="35"/>
      <c r="S238" s="36"/>
      <c r="T238" s="31"/>
      <c r="U238" s="31"/>
      <c r="V238" s="31"/>
      <c r="W238" s="31"/>
      <c r="X238" s="31"/>
      <c r="Y238" s="31"/>
      <c r="Z238" s="30"/>
      <c r="AA238" s="30"/>
      <c r="AB238" s="30"/>
      <c r="AC238" s="30"/>
      <c r="AD238" s="30"/>
      <c r="AE238" s="30"/>
      <c r="AF238" s="30"/>
      <c r="AG238" s="30"/>
      <c r="AH238" s="30"/>
      <c r="AI238" s="30"/>
      <c r="AJ238" s="30"/>
      <c r="AK238" s="30"/>
      <c r="AL238" s="72"/>
      <c r="AM238" s="31"/>
      <c r="AN238" s="31"/>
      <c r="AO238" s="31"/>
      <c r="AP238" s="31"/>
      <c r="AQ238" s="31"/>
      <c r="AR238" s="31"/>
      <c r="AS238" s="31"/>
      <c r="AT238" s="30"/>
      <c r="AU238" s="37">
        <v>44805</v>
      </c>
    </row>
    <row r="239" spans="1:47" s="133" customFormat="1" ht="38.25" x14ac:dyDescent="0.2">
      <c r="A239" s="22" t="s">
        <v>58</v>
      </c>
      <c r="B239" s="23" t="s">
        <v>380</v>
      </c>
      <c r="C239" s="22"/>
      <c r="D239" s="22" t="s">
        <v>60</v>
      </c>
      <c r="E239" s="22" t="s">
        <v>381</v>
      </c>
      <c r="F239" s="65" t="s">
        <v>955</v>
      </c>
      <c r="G239" s="22"/>
      <c r="H239" s="22"/>
      <c r="I239" s="22" t="s">
        <v>382</v>
      </c>
      <c r="J239" s="22"/>
      <c r="K239" s="22" t="s">
        <v>201</v>
      </c>
      <c r="L239" s="24">
        <v>2019</v>
      </c>
      <c r="M239" s="24"/>
      <c r="N239" s="38">
        <f>8500000/50000*2</f>
        <v>340</v>
      </c>
      <c r="O239" s="39"/>
      <c r="P239" s="27">
        <f>N239*O239</f>
        <v>0</v>
      </c>
      <c r="Q239" s="28"/>
      <c r="R239" s="28">
        <f t="shared" si="19"/>
        <v>4</v>
      </c>
      <c r="S239" s="29">
        <f t="shared" si="20"/>
        <v>0</v>
      </c>
      <c r="T239" s="24"/>
      <c r="U239" s="24"/>
      <c r="V239" s="24"/>
      <c r="W239" s="24"/>
      <c r="X239" s="24"/>
      <c r="Y239" s="24"/>
      <c r="Z239" s="22">
        <v>5000</v>
      </c>
      <c r="AA239" s="22"/>
      <c r="AB239" s="22"/>
      <c r="AC239" s="22"/>
      <c r="AD239" s="22"/>
      <c r="AE239" s="22"/>
      <c r="AF239" s="22"/>
      <c r="AG239" s="22"/>
      <c r="AH239" s="22"/>
      <c r="AI239" s="22" t="s">
        <v>64</v>
      </c>
      <c r="AJ239" s="22"/>
      <c r="AK239" s="22" t="s">
        <v>76</v>
      </c>
      <c r="AL239" s="71" t="s">
        <v>383</v>
      </c>
      <c r="AM239" s="24">
        <v>2</v>
      </c>
      <c r="AN239" s="24">
        <v>1</v>
      </c>
      <c r="AO239" s="24">
        <v>2</v>
      </c>
      <c r="AP239" s="24">
        <v>3</v>
      </c>
      <c r="AQ239" s="24">
        <v>2</v>
      </c>
      <c r="AR239" s="24">
        <v>2</v>
      </c>
      <c r="AS239" s="24">
        <v>48</v>
      </c>
      <c r="AT239" s="22" t="s">
        <v>45</v>
      </c>
      <c r="AU239" s="22"/>
    </row>
    <row r="240" spans="1:47" ht="38.25" x14ac:dyDescent="0.2">
      <c r="A240" s="22" t="s">
        <v>35</v>
      </c>
      <c r="B240" s="22" t="s">
        <v>268</v>
      </c>
      <c r="C240" s="22"/>
      <c r="D240" s="65" t="s">
        <v>37</v>
      </c>
      <c r="E240" s="88" t="s">
        <v>875</v>
      </c>
      <c r="F240" s="88"/>
      <c r="G240" s="88"/>
      <c r="H240" s="80" t="s">
        <v>898</v>
      </c>
      <c r="I240" s="65" t="s">
        <v>876</v>
      </c>
      <c r="J240" s="22"/>
      <c r="K240" s="22" t="s">
        <v>42</v>
      </c>
      <c r="L240" s="24">
        <v>2022</v>
      </c>
      <c r="M240" s="24"/>
      <c r="N240" s="38"/>
      <c r="O240" s="39"/>
      <c r="P240" s="27"/>
      <c r="Q240" s="28"/>
      <c r="R240" s="28"/>
      <c r="S240" s="29"/>
      <c r="T240" s="24"/>
      <c r="U240" s="24"/>
      <c r="V240" s="24"/>
      <c r="W240" s="24"/>
      <c r="X240" s="24"/>
      <c r="Y240" s="24"/>
      <c r="Z240" s="22"/>
      <c r="AA240" s="22"/>
      <c r="AB240" s="22"/>
      <c r="AC240" s="22"/>
      <c r="AD240" s="22"/>
      <c r="AE240" s="22"/>
      <c r="AF240" s="22"/>
      <c r="AG240" s="22"/>
      <c r="AH240" s="22"/>
      <c r="AI240" s="22" t="s">
        <v>42</v>
      </c>
      <c r="AJ240" s="22"/>
      <c r="AK240" s="41"/>
      <c r="AL240" s="67"/>
      <c r="AM240" s="24"/>
      <c r="AN240" s="24"/>
      <c r="AO240" s="24"/>
      <c r="AP240" s="24"/>
      <c r="AQ240" s="24"/>
      <c r="AR240" s="24"/>
      <c r="AS240" s="24">
        <v>0</v>
      </c>
      <c r="AT240" s="22"/>
      <c r="AU240" s="69"/>
    </row>
    <row r="241" spans="1:47" ht="38.25" x14ac:dyDescent="0.2">
      <c r="A241" s="22" t="s">
        <v>58</v>
      </c>
      <c r="B241" s="22" t="s">
        <v>368</v>
      </c>
      <c r="C241" s="22"/>
      <c r="D241" s="22" t="s">
        <v>98</v>
      </c>
      <c r="E241" s="22" t="s">
        <v>369</v>
      </c>
      <c r="F241" s="22"/>
      <c r="G241" s="95"/>
      <c r="H241" s="110" t="s">
        <v>954</v>
      </c>
      <c r="I241" s="22" t="s">
        <v>370</v>
      </c>
      <c r="J241" s="22"/>
      <c r="K241" s="22" t="s">
        <v>42</v>
      </c>
      <c r="L241" s="24">
        <v>2021</v>
      </c>
      <c r="M241" s="24"/>
      <c r="N241" s="38">
        <f>8000000/454000</f>
        <v>17.621145374449338</v>
      </c>
      <c r="O241" s="39"/>
      <c r="P241" s="27">
        <f>N241*O241</f>
        <v>0</v>
      </c>
      <c r="Q241" s="28"/>
      <c r="R241" s="28">
        <f>IF(Q241&lt;4.99,(Q241*12%+4),IF(Q241&lt;10.99,(Q241*12%+8),IF(Q241&lt;14.99,(Q241*12%+12),IF(Q241&lt;879.99,(Q241*12%+16),IF(Q241&lt;2569.99,(Q241*7%+60),240)))))</f>
        <v>4</v>
      </c>
      <c r="S241" s="29">
        <f>R241*P241</f>
        <v>0</v>
      </c>
      <c r="T241" s="24"/>
      <c r="U241" s="24"/>
      <c r="V241" s="24"/>
      <c r="W241" s="24"/>
      <c r="X241" s="24"/>
      <c r="Y241" s="24"/>
      <c r="Z241" s="22">
        <v>0</v>
      </c>
      <c r="AA241" s="22"/>
      <c r="AB241" s="22"/>
      <c r="AC241" s="22"/>
      <c r="AD241" s="22"/>
      <c r="AE241" s="22"/>
      <c r="AF241" s="22"/>
      <c r="AG241" s="22"/>
      <c r="AH241" s="22"/>
      <c r="AI241" s="22" t="s">
        <v>42</v>
      </c>
      <c r="AJ241" s="22"/>
      <c r="AK241" s="22"/>
      <c r="AL241" s="71"/>
      <c r="AM241" s="24">
        <v>1</v>
      </c>
      <c r="AN241" s="24">
        <v>1</v>
      </c>
      <c r="AO241" s="24">
        <v>2</v>
      </c>
      <c r="AP241" s="24">
        <v>3</v>
      </c>
      <c r="AQ241" s="24">
        <v>3</v>
      </c>
      <c r="AR241" s="24">
        <v>1</v>
      </c>
      <c r="AS241" s="24">
        <v>18</v>
      </c>
      <c r="AT241" s="22" t="s">
        <v>48</v>
      </c>
      <c r="AU241" s="22"/>
    </row>
    <row r="242" spans="1:47" ht="38.25" x14ac:dyDescent="0.2">
      <c r="A242" s="22" t="s">
        <v>35</v>
      </c>
      <c r="B242" s="22" t="s">
        <v>223</v>
      </c>
      <c r="C242" s="22"/>
      <c r="D242" s="22" t="s">
        <v>60</v>
      </c>
      <c r="E242" s="22" t="s">
        <v>578</v>
      </c>
      <c r="F242" s="65" t="s">
        <v>978</v>
      </c>
      <c r="G242" s="95"/>
      <c r="H242" s="22"/>
      <c r="I242" s="23" t="s">
        <v>579</v>
      </c>
      <c r="J242" s="22" t="s">
        <v>580</v>
      </c>
      <c r="K242" s="23" t="s">
        <v>315</v>
      </c>
      <c r="L242" s="24"/>
      <c r="M242" s="24"/>
      <c r="N242" s="51">
        <v>6100</v>
      </c>
      <c r="O242" s="39"/>
      <c r="P242" s="27">
        <f>N242*O242</f>
        <v>0</v>
      </c>
      <c r="Q242" s="28"/>
      <c r="R242" s="28">
        <f>IF(Q242&lt;4.99,(Q242*12%+4),IF(Q242&lt;10.99,(Q242*12%+8),IF(Q242&lt;14.99,(Q242*12%+12),IF(Q242&lt;879.99,(Q242*12%+16),IF(Q242&lt;2569.99,(Q242*7%+60),240)))))</f>
        <v>4</v>
      </c>
      <c r="S242" s="29">
        <f>R242*P242</f>
        <v>0</v>
      </c>
      <c r="T242" s="24"/>
      <c r="U242" s="24"/>
      <c r="V242" s="24"/>
      <c r="W242" s="24"/>
      <c r="X242" s="24"/>
      <c r="Y242" s="24"/>
      <c r="Z242" s="22"/>
      <c r="AA242" s="22"/>
      <c r="AB242" s="22"/>
      <c r="AC242" s="22"/>
      <c r="AD242" s="22"/>
      <c r="AE242" s="22"/>
      <c r="AF242" s="22"/>
      <c r="AG242" s="22"/>
      <c r="AH242" s="22"/>
      <c r="AI242" s="22" t="s">
        <v>42</v>
      </c>
      <c r="AJ242" s="22"/>
      <c r="AK242" s="22"/>
      <c r="AL242" s="71"/>
      <c r="AM242" s="24">
        <v>1</v>
      </c>
      <c r="AN242" s="24">
        <v>2</v>
      </c>
      <c r="AO242" s="24">
        <v>1</v>
      </c>
      <c r="AP242" s="24">
        <v>3</v>
      </c>
      <c r="AQ242" s="24">
        <v>1</v>
      </c>
      <c r="AR242" s="24">
        <v>1</v>
      </c>
      <c r="AS242" s="24">
        <v>6</v>
      </c>
      <c r="AT242" s="22" t="s">
        <v>48</v>
      </c>
      <c r="AU242" s="22"/>
    </row>
    <row r="243" spans="1:47" ht="38.25" x14ac:dyDescent="0.2">
      <c r="A243" s="30" t="s">
        <v>58</v>
      </c>
      <c r="B243" s="30" t="s">
        <v>880</v>
      </c>
      <c r="C243" s="30"/>
      <c r="D243" s="139" t="s">
        <v>37</v>
      </c>
      <c r="E243" s="139" t="s">
        <v>276</v>
      </c>
      <c r="F243" s="139" t="s">
        <v>897</v>
      </c>
      <c r="G243" s="139"/>
      <c r="H243" s="139"/>
      <c r="I243" s="139" t="s">
        <v>881</v>
      </c>
      <c r="J243" s="30" t="s">
        <v>1134</v>
      </c>
      <c r="K243" s="30" t="s">
        <v>42</v>
      </c>
      <c r="L243" s="31">
        <v>2022</v>
      </c>
      <c r="M243" s="31"/>
      <c r="N243" s="32"/>
      <c r="O243" s="33"/>
      <c r="P243" s="34"/>
      <c r="Q243" s="35"/>
      <c r="R243" s="35"/>
      <c r="S243" s="36"/>
      <c r="T243" s="31"/>
      <c r="U243" s="31"/>
      <c r="V243" s="31"/>
      <c r="W243" s="31"/>
      <c r="X243" s="31"/>
      <c r="Y243" s="31"/>
      <c r="Z243" s="30">
        <v>0</v>
      </c>
      <c r="AA243" s="30">
        <v>0</v>
      </c>
      <c r="AB243" s="30"/>
      <c r="AC243" s="30"/>
      <c r="AD243" s="30"/>
      <c r="AE243" s="30"/>
      <c r="AF243" s="30"/>
      <c r="AG243" s="30"/>
      <c r="AH243" s="30"/>
      <c r="AI243" s="30" t="s">
        <v>42</v>
      </c>
      <c r="AJ243" s="30"/>
      <c r="AK243" s="50"/>
      <c r="AL243" s="141"/>
      <c r="AM243" s="31"/>
      <c r="AN243" s="31"/>
      <c r="AO243" s="31"/>
      <c r="AP243" s="31"/>
      <c r="AQ243" s="31"/>
      <c r="AR243" s="31"/>
      <c r="AS243" s="31">
        <v>0</v>
      </c>
      <c r="AT243" s="30"/>
      <c r="AU243" s="142"/>
    </row>
    <row r="244" spans="1:47" ht="38.25" x14ac:dyDescent="0.2">
      <c r="A244" s="22" t="s">
        <v>35</v>
      </c>
      <c r="B244" s="22" t="s">
        <v>268</v>
      </c>
      <c r="C244" s="22"/>
      <c r="D244" s="65" t="s">
        <v>37</v>
      </c>
      <c r="E244" s="88" t="s">
        <v>276</v>
      </c>
      <c r="F244" s="88" t="s">
        <v>897</v>
      </c>
      <c r="G244" s="77"/>
      <c r="H244" s="88"/>
      <c r="I244" s="65" t="s">
        <v>879</v>
      </c>
      <c r="J244" s="22" t="s">
        <v>1133</v>
      </c>
      <c r="K244" s="22" t="s">
        <v>42</v>
      </c>
      <c r="L244" s="24">
        <v>2021</v>
      </c>
      <c r="M244" s="24"/>
      <c r="N244" s="38">
        <v>3300</v>
      </c>
      <c r="O244" s="39"/>
      <c r="P244" s="27">
        <v>20</v>
      </c>
      <c r="Q244" s="28">
        <v>5000</v>
      </c>
      <c r="R244" s="28">
        <v>240</v>
      </c>
      <c r="S244" s="29">
        <f>P244*R244</f>
        <v>4800</v>
      </c>
      <c r="T244" s="24"/>
      <c r="U244" s="24"/>
      <c r="V244" s="24"/>
      <c r="W244" s="24"/>
      <c r="X244" s="24"/>
      <c r="Y244" s="24"/>
      <c r="Z244" s="113">
        <f>Q244*P244</f>
        <v>100000</v>
      </c>
      <c r="AA244" s="22"/>
      <c r="AB244" s="22"/>
      <c r="AC244" s="22"/>
      <c r="AD244" s="22"/>
      <c r="AE244" s="113">
        <f>Z244*0.02</f>
        <v>2000</v>
      </c>
      <c r="AF244" s="22"/>
      <c r="AG244" s="113">
        <f>Z244</f>
        <v>100000</v>
      </c>
      <c r="AH244" s="22"/>
      <c r="AI244" s="22" t="s">
        <v>42</v>
      </c>
      <c r="AJ244" s="22"/>
      <c r="AK244" s="41"/>
      <c r="AL244" s="67"/>
      <c r="AM244" s="24"/>
      <c r="AN244" s="24"/>
      <c r="AO244" s="24"/>
      <c r="AP244" s="24"/>
      <c r="AQ244" s="24"/>
      <c r="AR244" s="24"/>
      <c r="AS244" s="24">
        <v>0</v>
      </c>
      <c r="AT244" s="22"/>
      <c r="AU244" s="69"/>
    </row>
    <row r="245" spans="1:47" ht="51" x14ac:dyDescent="0.2">
      <c r="A245" s="22" t="s">
        <v>35</v>
      </c>
      <c r="B245" s="22" t="s">
        <v>268</v>
      </c>
      <c r="C245" s="22"/>
      <c r="D245" s="22" t="s">
        <v>37</v>
      </c>
      <c r="E245" s="22" t="s">
        <v>276</v>
      </c>
      <c r="F245" s="71" t="s">
        <v>897</v>
      </c>
      <c r="G245" s="22"/>
      <c r="H245" s="22"/>
      <c r="I245" s="22" t="s">
        <v>277</v>
      </c>
      <c r="J245" s="22" t="s">
        <v>278</v>
      </c>
      <c r="K245" s="22" t="s">
        <v>279</v>
      </c>
      <c r="L245" s="24">
        <v>2021</v>
      </c>
      <c r="M245" s="24"/>
      <c r="N245" s="51">
        <f>0.75*4400</f>
        <v>3300</v>
      </c>
      <c r="O245" s="39"/>
      <c r="P245" s="27">
        <f>N245*O245</f>
        <v>0</v>
      </c>
      <c r="Q245" s="28"/>
      <c r="R245" s="28">
        <f>IF(Q245&lt;4.99,(Q245*12%+4),IF(Q245&lt;10.99,(Q245*12%+8),IF(Q245&lt;14.99,(Q245*12%+12),IF(Q245&lt;879.99,(Q245*12%+16),IF(Q245&lt;2569.99,(Q245*7%+60),240)))))</f>
        <v>4</v>
      </c>
      <c r="S245" s="29">
        <f>R245*P245</f>
        <v>0</v>
      </c>
      <c r="T245" s="24"/>
      <c r="U245" s="24"/>
      <c r="V245" s="24"/>
      <c r="W245" s="24"/>
      <c r="X245" s="24"/>
      <c r="Y245" s="24"/>
      <c r="Z245" s="22">
        <v>3000</v>
      </c>
      <c r="AA245" s="22"/>
      <c r="AB245" s="22"/>
      <c r="AC245" s="22"/>
      <c r="AD245" s="22"/>
      <c r="AE245" s="22">
        <v>0</v>
      </c>
      <c r="AF245" s="22"/>
      <c r="AG245" s="22">
        <v>0</v>
      </c>
      <c r="AH245" s="22">
        <v>0</v>
      </c>
      <c r="AI245" s="22" t="s">
        <v>42</v>
      </c>
      <c r="AJ245" s="22"/>
      <c r="AK245" s="22" t="s">
        <v>95</v>
      </c>
      <c r="AL245" s="71" t="s">
        <v>280</v>
      </c>
      <c r="AM245" s="24">
        <v>3</v>
      </c>
      <c r="AN245" s="24">
        <v>2</v>
      </c>
      <c r="AO245" s="24">
        <v>1</v>
      </c>
      <c r="AP245" s="24">
        <v>3</v>
      </c>
      <c r="AQ245" s="24">
        <v>2</v>
      </c>
      <c r="AR245" s="24">
        <v>2</v>
      </c>
      <c r="AS245" s="24">
        <v>72</v>
      </c>
      <c r="AT245" s="22" t="s">
        <v>45</v>
      </c>
      <c r="AU245" s="22"/>
    </row>
    <row r="246" spans="1:47" ht="38.25" x14ac:dyDescent="0.2">
      <c r="A246" s="22" t="s">
        <v>58</v>
      </c>
      <c r="B246" s="23" t="s">
        <v>328</v>
      </c>
      <c r="C246" s="22"/>
      <c r="D246" s="22" t="s">
        <v>329</v>
      </c>
      <c r="E246" s="22" t="s">
        <v>276</v>
      </c>
      <c r="F246" s="71" t="s">
        <v>897</v>
      </c>
      <c r="G246" s="22"/>
      <c r="H246" s="22"/>
      <c r="I246" s="22" t="s">
        <v>330</v>
      </c>
      <c r="J246" s="22"/>
      <c r="K246" s="22" t="s">
        <v>331</v>
      </c>
      <c r="L246" s="24">
        <v>2018</v>
      </c>
      <c r="M246" s="24"/>
      <c r="N246" s="38">
        <f>0.12*8500</f>
        <v>1020</v>
      </c>
      <c r="O246" s="39"/>
      <c r="P246" s="27">
        <f>N246*O246</f>
        <v>0</v>
      </c>
      <c r="Q246" s="28"/>
      <c r="R246" s="28">
        <f>IF(Q246&lt;4.99,(Q246*12%+4),IF(Q246&lt;10.99,(Q246*12%+8),IF(Q246&lt;14.99,(Q246*12%+12),IF(Q246&lt;879.99,(Q246*12%+16),IF(Q246&lt;2569.99,(Q246*7%+60),240)))))</f>
        <v>4</v>
      </c>
      <c r="S246" s="29">
        <f>R246*P246</f>
        <v>0</v>
      </c>
      <c r="T246" s="24"/>
      <c r="U246" s="24"/>
      <c r="V246" s="24"/>
      <c r="W246" s="24"/>
      <c r="X246" s="24"/>
      <c r="Y246" s="24"/>
      <c r="Z246" s="22"/>
      <c r="AA246" s="22"/>
      <c r="AB246" s="22"/>
      <c r="AC246" s="22"/>
      <c r="AD246" s="22"/>
      <c r="AE246" s="22"/>
      <c r="AF246" s="22"/>
      <c r="AG246" s="22"/>
      <c r="AH246" s="22"/>
      <c r="AI246" s="22" t="s">
        <v>42</v>
      </c>
      <c r="AJ246" s="22"/>
      <c r="AK246" s="41" t="s">
        <v>56</v>
      </c>
      <c r="AL246" s="71" t="s">
        <v>332</v>
      </c>
      <c r="AM246" s="24">
        <v>2</v>
      </c>
      <c r="AN246" s="24">
        <v>2</v>
      </c>
      <c r="AO246" s="24">
        <v>3</v>
      </c>
      <c r="AP246" s="24">
        <v>3</v>
      </c>
      <c r="AQ246" s="24">
        <v>1</v>
      </c>
      <c r="AR246" s="24">
        <v>1</v>
      </c>
      <c r="AS246" s="24">
        <v>36</v>
      </c>
      <c r="AT246" s="22" t="s">
        <v>45</v>
      </c>
      <c r="AU246" s="22"/>
    </row>
    <row r="247" spans="1:47" ht="38.25" x14ac:dyDescent="0.2">
      <c r="A247" s="22" t="s">
        <v>35</v>
      </c>
      <c r="B247" s="22" t="s">
        <v>682</v>
      </c>
      <c r="C247" s="22"/>
      <c r="D247" s="22" t="s">
        <v>37</v>
      </c>
      <c r="E247" s="22" t="s">
        <v>276</v>
      </c>
      <c r="F247" s="71" t="s">
        <v>897</v>
      </c>
      <c r="G247" s="22"/>
      <c r="H247" s="22"/>
      <c r="I247" s="22" t="s">
        <v>683</v>
      </c>
      <c r="J247" s="22"/>
      <c r="K247" s="22" t="s">
        <v>64</v>
      </c>
      <c r="L247" s="24">
        <v>2021</v>
      </c>
      <c r="M247" s="24"/>
      <c r="N247" s="38">
        <v>76000</v>
      </c>
      <c r="O247" s="39"/>
      <c r="P247" s="27">
        <f>N247*O247</f>
        <v>0</v>
      </c>
      <c r="Q247" s="28"/>
      <c r="R247" s="28">
        <f>IF(Q247&lt;4.99,(Q247*12%+4),IF(Q247&lt;10.99,(Q247*12%+8),IF(Q247&lt;14.99,(Q247*12%+12),IF(Q247&lt;879.99,(Q247*12%+16),IF(Q247&lt;2569.99,(Q247*7%+60),240)))))</f>
        <v>4</v>
      </c>
      <c r="S247" s="29">
        <f>R247*P247</f>
        <v>0</v>
      </c>
      <c r="T247" s="24"/>
      <c r="U247" s="24"/>
      <c r="V247" s="24"/>
      <c r="W247" s="24"/>
      <c r="X247" s="24"/>
      <c r="Y247" s="24"/>
      <c r="Z247" s="22"/>
      <c r="AA247" s="22"/>
      <c r="AB247" s="22"/>
      <c r="AC247" s="22"/>
      <c r="AD247" s="22"/>
      <c r="AE247" s="22"/>
      <c r="AF247" s="22"/>
      <c r="AG247" s="22"/>
      <c r="AH247" s="22"/>
      <c r="AI247" s="22" t="s">
        <v>64</v>
      </c>
      <c r="AJ247" s="22"/>
      <c r="AK247" s="41" t="s">
        <v>56</v>
      </c>
      <c r="AL247" s="71" t="s">
        <v>684</v>
      </c>
      <c r="AM247" s="24">
        <v>2</v>
      </c>
      <c r="AN247" s="24">
        <v>3</v>
      </c>
      <c r="AO247" s="24">
        <v>3</v>
      </c>
      <c r="AP247" s="24">
        <v>3</v>
      </c>
      <c r="AQ247" s="24">
        <v>1</v>
      </c>
      <c r="AR247" s="24">
        <v>2</v>
      </c>
      <c r="AS247" s="24">
        <v>108</v>
      </c>
      <c r="AT247" s="22" t="s">
        <v>45</v>
      </c>
      <c r="AU247" s="22"/>
    </row>
    <row r="248" spans="1:47" ht="38.25" x14ac:dyDescent="0.2">
      <c r="A248" s="22" t="s">
        <v>86</v>
      </c>
      <c r="B248" s="22" t="s">
        <v>442</v>
      </c>
      <c r="C248" s="22"/>
      <c r="D248" s="65" t="s">
        <v>98</v>
      </c>
      <c r="E248" s="88" t="s">
        <v>877</v>
      </c>
      <c r="F248" s="88" t="s">
        <v>897</v>
      </c>
      <c r="G248" s="88"/>
      <c r="H248" s="77"/>
      <c r="I248" s="65" t="s">
        <v>444</v>
      </c>
      <c r="J248" s="22" t="s">
        <v>445</v>
      </c>
      <c r="K248" s="22" t="s">
        <v>309</v>
      </c>
      <c r="L248" s="24">
        <v>2018</v>
      </c>
      <c r="M248" s="24"/>
      <c r="N248" s="38"/>
      <c r="O248" s="39"/>
      <c r="P248" s="27">
        <v>2</v>
      </c>
      <c r="Q248" s="28"/>
      <c r="R248" s="28"/>
      <c r="S248" s="29"/>
      <c r="T248" s="24"/>
      <c r="U248" s="24"/>
      <c r="V248" s="24"/>
      <c r="W248" s="24"/>
      <c r="X248" s="24"/>
      <c r="Y248" s="24"/>
      <c r="Z248" s="22"/>
      <c r="AA248" s="22"/>
      <c r="AB248" s="22"/>
      <c r="AC248" s="22"/>
      <c r="AD248" s="22"/>
      <c r="AE248" s="22"/>
      <c r="AF248" s="22"/>
      <c r="AG248" s="22"/>
      <c r="AH248" s="22"/>
      <c r="AI248" s="22"/>
      <c r="AJ248" s="22"/>
      <c r="AK248" s="41"/>
      <c r="AL248" s="67" t="s">
        <v>878</v>
      </c>
      <c r="AM248" s="24">
        <v>1</v>
      </c>
      <c r="AN248" s="24">
        <v>1</v>
      </c>
      <c r="AO248" s="24">
        <v>3</v>
      </c>
      <c r="AP248" s="24">
        <v>1</v>
      </c>
      <c r="AQ248" s="24">
        <v>2</v>
      </c>
      <c r="AR248" s="24">
        <v>2</v>
      </c>
      <c r="AS248" s="24">
        <v>12</v>
      </c>
      <c r="AT248" s="22" t="s">
        <v>48</v>
      </c>
      <c r="AU248" s="69"/>
    </row>
    <row r="249" spans="1:47" ht="38.25" x14ac:dyDescent="0.2">
      <c r="A249" s="22" t="s">
        <v>58</v>
      </c>
      <c r="B249" s="23" t="s">
        <v>349</v>
      </c>
      <c r="C249" s="22"/>
      <c r="D249" s="22" t="s">
        <v>37</v>
      </c>
      <c r="E249" s="22" t="s">
        <v>350</v>
      </c>
      <c r="F249" s="71" t="s">
        <v>951</v>
      </c>
      <c r="G249" s="22"/>
      <c r="H249" s="22"/>
      <c r="I249" s="22" t="s">
        <v>351</v>
      </c>
      <c r="J249" s="22" t="s">
        <v>352</v>
      </c>
      <c r="K249" s="22" t="s">
        <v>63</v>
      </c>
      <c r="L249" s="24">
        <v>2018</v>
      </c>
      <c r="M249" s="24"/>
      <c r="N249" s="38">
        <v>400</v>
      </c>
      <c r="O249" s="39"/>
      <c r="P249" s="27">
        <f>N249*O249</f>
        <v>0</v>
      </c>
      <c r="Q249" s="28"/>
      <c r="R249" s="28">
        <f>IF(Q249&lt;4.99,(Q249*12%+4),IF(Q249&lt;10.99,(Q249*12%+8),IF(Q249&lt;14.99,(Q249*12%+12),IF(Q249&lt;879.99,(Q249*12%+16),IF(Q249&lt;2569.99,(Q249*7%+60),240)))))</f>
        <v>4</v>
      </c>
      <c r="S249" s="29">
        <f>R249*P249</f>
        <v>0</v>
      </c>
      <c r="T249" s="24"/>
      <c r="U249" s="24"/>
      <c r="V249" s="24"/>
      <c r="W249" s="24"/>
      <c r="X249" s="24"/>
      <c r="Y249" s="24"/>
      <c r="Z249" s="22">
        <v>0</v>
      </c>
      <c r="AA249" s="22"/>
      <c r="AB249" s="22"/>
      <c r="AC249" s="22"/>
      <c r="AD249" s="22"/>
      <c r="AE249" s="22"/>
      <c r="AF249" s="22"/>
      <c r="AG249" s="22"/>
      <c r="AH249" s="22"/>
      <c r="AI249" s="22" t="s">
        <v>42</v>
      </c>
      <c r="AJ249" s="22"/>
      <c r="AK249" s="22" t="s">
        <v>213</v>
      </c>
      <c r="AL249" s="71" t="s">
        <v>353</v>
      </c>
      <c r="AM249" s="24">
        <v>3</v>
      </c>
      <c r="AN249" s="24">
        <v>1</v>
      </c>
      <c r="AO249" s="24">
        <v>3</v>
      </c>
      <c r="AP249" s="24">
        <v>3</v>
      </c>
      <c r="AQ249" s="24">
        <v>1</v>
      </c>
      <c r="AR249" s="24">
        <v>1</v>
      </c>
      <c r="AS249" s="24">
        <v>27</v>
      </c>
      <c r="AT249" s="22" t="s">
        <v>48</v>
      </c>
      <c r="AU249" s="22"/>
    </row>
    <row r="250" spans="1:47" ht="38.25" x14ac:dyDescent="0.2">
      <c r="A250" s="30" t="s">
        <v>249</v>
      </c>
      <c r="B250" s="30" t="s">
        <v>631</v>
      </c>
      <c r="C250" s="30"/>
      <c r="D250" s="30" t="s">
        <v>422</v>
      </c>
      <c r="E250" s="30" t="s">
        <v>350</v>
      </c>
      <c r="F250" s="72" t="s">
        <v>951</v>
      </c>
      <c r="G250" s="30"/>
      <c r="H250" s="30"/>
      <c r="I250" s="30" t="s">
        <v>632</v>
      </c>
      <c r="J250" s="30" t="s">
        <v>633</v>
      </c>
      <c r="K250" s="30" t="s">
        <v>634</v>
      </c>
      <c r="L250" s="31">
        <v>2018</v>
      </c>
      <c r="M250" s="31"/>
      <c r="N250" s="32">
        <f>0.08*8500000*0.05</f>
        <v>34000</v>
      </c>
      <c r="O250" s="33"/>
      <c r="P250" s="34">
        <f>N250*O250</f>
        <v>0</v>
      </c>
      <c r="Q250" s="35"/>
      <c r="R250" s="35">
        <f>IF(Q250&lt;4.99,(Q250*12%+4),IF(Q250&lt;10.99,(Q250*12%+8),IF(Q250&lt;14.99,(Q250*12%+12),IF(Q250&lt;879.99,(Q250*12%+16),IF(Q250&lt;2569.99,(Q250*7%+60),240)))))</f>
        <v>4</v>
      </c>
      <c r="S250" s="36">
        <f>R250*P250</f>
        <v>0</v>
      </c>
      <c r="T250" s="31"/>
      <c r="U250" s="31"/>
      <c r="V250" s="31"/>
      <c r="W250" s="31"/>
      <c r="X250" s="31"/>
      <c r="Y250" s="31"/>
      <c r="Z250" s="30">
        <v>5000</v>
      </c>
      <c r="AA250" s="30"/>
      <c r="AB250" s="30"/>
      <c r="AC250" s="30"/>
      <c r="AD250" s="30"/>
      <c r="AE250" s="30">
        <v>0</v>
      </c>
      <c r="AF250" s="30"/>
      <c r="AG250" s="30">
        <v>0</v>
      </c>
      <c r="AH250" s="30"/>
      <c r="AI250" s="30" t="s">
        <v>128</v>
      </c>
      <c r="AJ250" s="30" t="s">
        <v>635</v>
      </c>
      <c r="AK250" s="30" t="s">
        <v>76</v>
      </c>
      <c r="AL250" s="72" t="s">
        <v>636</v>
      </c>
      <c r="AM250" s="31">
        <v>2</v>
      </c>
      <c r="AN250" s="31">
        <v>2</v>
      </c>
      <c r="AO250" s="31">
        <v>1</v>
      </c>
      <c r="AP250" s="31">
        <v>1</v>
      </c>
      <c r="AQ250" s="31">
        <v>2</v>
      </c>
      <c r="AR250" s="31">
        <v>2</v>
      </c>
      <c r="AS250" s="31">
        <v>16</v>
      </c>
      <c r="AT250" s="30" t="s">
        <v>48</v>
      </c>
      <c r="AU250" s="30"/>
    </row>
    <row r="251" spans="1:47" ht="38.25" x14ac:dyDescent="0.2">
      <c r="A251" s="22" t="s">
        <v>35</v>
      </c>
      <c r="B251" s="22" t="s">
        <v>883</v>
      </c>
      <c r="C251" s="22"/>
      <c r="D251" s="65" t="s">
        <v>37</v>
      </c>
      <c r="E251" s="88" t="s">
        <v>768</v>
      </c>
      <c r="F251" s="88"/>
      <c r="G251" s="88"/>
      <c r="H251" s="65" t="s">
        <v>896</v>
      </c>
      <c r="I251" s="65" t="s">
        <v>882</v>
      </c>
      <c r="J251" s="22"/>
      <c r="K251" s="22" t="s">
        <v>42</v>
      </c>
      <c r="L251" s="24">
        <v>2022</v>
      </c>
      <c r="M251" s="24"/>
      <c r="N251" s="38"/>
      <c r="O251" s="39"/>
      <c r="P251" s="27"/>
      <c r="Q251" s="28"/>
      <c r="R251" s="28"/>
      <c r="S251" s="29"/>
      <c r="T251" s="24"/>
      <c r="U251" s="24"/>
      <c r="V251" s="24"/>
      <c r="W251" s="24"/>
      <c r="X251" s="24"/>
      <c r="Y251" s="24"/>
      <c r="Z251" s="22"/>
      <c r="AA251" s="22"/>
      <c r="AB251" s="22"/>
      <c r="AC251" s="22"/>
      <c r="AD251" s="22"/>
      <c r="AE251" s="22"/>
      <c r="AF251" s="22"/>
      <c r="AG251" s="22"/>
      <c r="AH251" s="22"/>
      <c r="AI251" s="22" t="s">
        <v>42</v>
      </c>
      <c r="AJ251" s="22"/>
      <c r="AK251" s="41"/>
      <c r="AL251" s="67"/>
      <c r="AM251" s="24"/>
      <c r="AN251" s="24"/>
      <c r="AO251" s="24"/>
      <c r="AP251" s="24"/>
      <c r="AQ251" s="24"/>
      <c r="AR251" s="24"/>
      <c r="AS251" s="24">
        <v>0</v>
      </c>
      <c r="AT251" s="22"/>
      <c r="AU251" s="69"/>
    </row>
    <row r="252" spans="1:47" s="133" customFormat="1" ht="38.25" x14ac:dyDescent="0.2">
      <c r="A252" s="22" t="s">
        <v>35</v>
      </c>
      <c r="B252" s="22" t="s">
        <v>73</v>
      </c>
      <c r="C252" s="22"/>
      <c r="D252" s="22" t="s">
        <v>60</v>
      </c>
      <c r="E252" s="22" t="s">
        <v>768</v>
      </c>
      <c r="F252" s="22"/>
      <c r="G252" s="22"/>
      <c r="H252" s="97" t="s">
        <v>896</v>
      </c>
      <c r="I252" s="22" t="s">
        <v>769</v>
      </c>
      <c r="J252" s="22"/>
      <c r="K252" s="22" t="s">
        <v>42</v>
      </c>
      <c r="L252" s="24">
        <v>2023</v>
      </c>
      <c r="M252" s="24"/>
      <c r="N252" s="38">
        <f>4*85*20</f>
        <v>6800</v>
      </c>
      <c r="O252" s="39"/>
      <c r="P252" s="27">
        <f>N252*O252</f>
        <v>0</v>
      </c>
      <c r="Q252" s="28"/>
      <c r="R252" s="28">
        <f>IF(Q252&lt;4.99,(Q252*12%+4),IF(Q252&lt;10.99,(Q252*12%+8),IF(Q252&lt;14.99,(Q252*12%+12),IF(Q252&lt;879.99,(Q252*12%+16),IF(Q252&lt;2569.99,(Q252*7%+60),240)))))</f>
        <v>4</v>
      </c>
      <c r="S252" s="29">
        <f>R252*P252</f>
        <v>0</v>
      </c>
      <c r="T252" s="24"/>
      <c r="U252" s="24"/>
      <c r="V252" s="24"/>
      <c r="W252" s="24"/>
      <c r="X252" s="24"/>
      <c r="Y252" s="24"/>
      <c r="Z252" s="22">
        <v>0</v>
      </c>
      <c r="AA252" s="22"/>
      <c r="AB252" s="22"/>
      <c r="AC252" s="22"/>
      <c r="AD252" s="22"/>
      <c r="AE252" s="22"/>
      <c r="AF252" s="22"/>
      <c r="AG252" s="22"/>
      <c r="AH252" s="22"/>
      <c r="AI252" s="22" t="s">
        <v>42</v>
      </c>
      <c r="AJ252" s="22"/>
      <c r="AK252" s="22"/>
      <c r="AL252" s="71" t="s">
        <v>1183</v>
      </c>
      <c r="AM252" s="24">
        <v>1</v>
      </c>
      <c r="AN252" s="24">
        <v>2</v>
      </c>
      <c r="AO252" s="24">
        <v>1</v>
      </c>
      <c r="AP252" s="24">
        <v>3</v>
      </c>
      <c r="AQ252" s="24">
        <v>0</v>
      </c>
      <c r="AR252" s="24">
        <v>1</v>
      </c>
      <c r="AS252" s="24">
        <v>0</v>
      </c>
      <c r="AT252" s="22" t="s">
        <v>48</v>
      </c>
      <c r="AU252" s="22"/>
    </row>
    <row r="253" spans="1:47" ht="38.25" x14ac:dyDescent="0.2">
      <c r="A253" s="22" t="s">
        <v>58</v>
      </c>
      <c r="B253" s="22" t="s">
        <v>752</v>
      </c>
      <c r="C253" s="22"/>
      <c r="D253" s="22" t="s">
        <v>60</v>
      </c>
      <c r="E253" s="22" t="s">
        <v>753</v>
      </c>
      <c r="F253" s="71" t="s">
        <v>900</v>
      </c>
      <c r="G253" s="22"/>
      <c r="H253" s="22"/>
      <c r="I253" s="22" t="s">
        <v>754</v>
      </c>
      <c r="J253" s="22"/>
      <c r="K253" s="22" t="s">
        <v>128</v>
      </c>
      <c r="L253" s="24">
        <v>2020</v>
      </c>
      <c r="M253" s="24"/>
      <c r="N253" s="38">
        <f>4.5*80</f>
        <v>360</v>
      </c>
      <c r="O253" s="39"/>
      <c r="P253" s="27">
        <f>N253*O253</f>
        <v>0</v>
      </c>
      <c r="Q253" s="28"/>
      <c r="R253" s="28">
        <f>IF(Q253&lt;4.99,(Q253*12%+4),IF(Q253&lt;10.99,(Q253*12%+8),IF(Q253&lt;14.99,(Q253*12%+12),IF(Q253&lt;879.99,(Q253*12%+16),IF(Q253&lt;2569.99,(Q253*7%+60),240)))))</f>
        <v>4</v>
      </c>
      <c r="S253" s="29">
        <f>R253*P253</f>
        <v>0</v>
      </c>
      <c r="T253" s="24"/>
      <c r="U253" s="24"/>
      <c r="V253" s="24"/>
      <c r="W253" s="24"/>
      <c r="X253" s="24"/>
      <c r="Y253" s="24"/>
      <c r="Z253" s="22"/>
      <c r="AA253" s="22"/>
      <c r="AB253" s="22"/>
      <c r="AC253" s="22"/>
      <c r="AD253" s="22"/>
      <c r="AE253" s="22"/>
      <c r="AF253" s="22"/>
      <c r="AG253" s="22"/>
      <c r="AH253" s="22"/>
      <c r="AI253" s="22" t="s">
        <v>677</v>
      </c>
      <c r="AJ253" s="22"/>
      <c r="AK253" s="22" t="s">
        <v>56</v>
      </c>
      <c r="AL253" s="71" t="s">
        <v>755</v>
      </c>
      <c r="AM253" s="24">
        <v>1</v>
      </c>
      <c r="AN253" s="24">
        <v>1</v>
      </c>
      <c r="AO253" s="24">
        <v>1</v>
      </c>
      <c r="AP253" s="24">
        <v>3</v>
      </c>
      <c r="AQ253" s="24">
        <v>1</v>
      </c>
      <c r="AR253" s="24">
        <v>1</v>
      </c>
      <c r="AS253" s="24">
        <v>3</v>
      </c>
      <c r="AT253" s="22" t="s">
        <v>48</v>
      </c>
      <c r="AU253" s="22"/>
    </row>
    <row r="254" spans="1:47" ht="38.25" x14ac:dyDescent="0.2">
      <c r="A254" s="22" t="s">
        <v>58</v>
      </c>
      <c r="B254" s="22" t="s">
        <v>620</v>
      </c>
      <c r="C254" s="22"/>
      <c r="D254" s="65" t="s">
        <v>98</v>
      </c>
      <c r="E254" s="88" t="s">
        <v>142</v>
      </c>
      <c r="F254" s="65" t="s">
        <v>895</v>
      </c>
      <c r="G254" s="88"/>
      <c r="H254" s="88"/>
      <c r="I254" s="65" t="s">
        <v>884</v>
      </c>
      <c r="J254" s="22"/>
      <c r="K254" s="71" t="s">
        <v>623</v>
      </c>
      <c r="L254" s="24">
        <v>2019</v>
      </c>
      <c r="M254" s="24"/>
      <c r="N254" s="38"/>
      <c r="O254" s="39"/>
      <c r="P254" s="27"/>
      <c r="Q254" s="28"/>
      <c r="R254" s="28"/>
      <c r="S254" s="29"/>
      <c r="T254" s="24"/>
      <c r="U254" s="24"/>
      <c r="V254" s="24"/>
      <c r="W254" s="24"/>
      <c r="X254" s="24"/>
      <c r="Y254" s="24"/>
      <c r="Z254" s="22"/>
      <c r="AA254" s="22"/>
      <c r="AB254" s="22"/>
      <c r="AC254" s="22"/>
      <c r="AD254" s="22"/>
      <c r="AE254" s="22"/>
      <c r="AF254" s="22"/>
      <c r="AG254" s="22"/>
      <c r="AH254" s="22"/>
      <c r="AI254" s="22" t="s">
        <v>64</v>
      </c>
      <c r="AJ254" s="22"/>
      <c r="AK254" s="41"/>
      <c r="AL254" s="67" t="s">
        <v>624</v>
      </c>
      <c r="AM254" s="24">
        <v>1</v>
      </c>
      <c r="AN254" s="24">
        <v>1</v>
      </c>
      <c r="AO254" s="24">
        <v>1</v>
      </c>
      <c r="AP254" s="24">
        <v>3</v>
      </c>
      <c r="AQ254" s="24">
        <v>1</v>
      </c>
      <c r="AR254" s="24">
        <v>2</v>
      </c>
      <c r="AS254" s="24">
        <v>6</v>
      </c>
      <c r="AT254" s="22" t="s">
        <v>48</v>
      </c>
      <c r="AU254" s="69"/>
    </row>
    <row r="255" spans="1:47" ht="38.25" x14ac:dyDescent="0.2">
      <c r="A255" s="22" t="s">
        <v>86</v>
      </c>
      <c r="B255" s="22" t="s">
        <v>259</v>
      </c>
      <c r="C255" s="22"/>
      <c r="D255" s="22" t="s">
        <v>98</v>
      </c>
      <c r="E255" s="22" t="s">
        <v>142</v>
      </c>
      <c r="F255" s="71" t="s">
        <v>895</v>
      </c>
      <c r="G255" s="22"/>
      <c r="H255" s="22"/>
      <c r="I255" s="22" t="s">
        <v>260</v>
      </c>
      <c r="J255" s="22" t="s">
        <v>1061</v>
      </c>
      <c r="K255" s="22" t="s">
        <v>42</v>
      </c>
      <c r="L255" s="24">
        <v>2022</v>
      </c>
      <c r="M255" s="24"/>
      <c r="N255" s="38">
        <v>70000</v>
      </c>
      <c r="O255" s="39"/>
      <c r="P255" s="27">
        <v>10</v>
      </c>
      <c r="Q255" s="28">
        <v>1500</v>
      </c>
      <c r="R255" s="28">
        <f>IF(Q255&lt;4.99,(Q255*12%+4),IF(Q255&lt;10.99,(Q255*12%+8),IF(Q255&lt;14.99,(Q255*12%+12),IF(Q255&lt;879.99,(Q255*12%+16),IF(Q255&lt;2569.99,(Q255*7%+60),240)))))</f>
        <v>165</v>
      </c>
      <c r="S255" s="29">
        <f>R255*P255</f>
        <v>1650</v>
      </c>
      <c r="T255" s="24"/>
      <c r="U255" s="24"/>
      <c r="V255" s="24"/>
      <c r="W255" s="24"/>
      <c r="X255" s="24"/>
      <c r="Y255" s="24"/>
      <c r="Z255" s="113">
        <f>Q255*P255*5</f>
        <v>75000</v>
      </c>
      <c r="AA255" s="22">
        <v>0</v>
      </c>
      <c r="AB255" s="22"/>
      <c r="AC255" s="22"/>
      <c r="AD255" s="22"/>
      <c r="AE255" s="22">
        <v>0</v>
      </c>
      <c r="AF255" s="22"/>
      <c r="AG255" s="113">
        <f>Z255</f>
        <v>75000</v>
      </c>
      <c r="AH255" s="22"/>
      <c r="AI255" s="22" t="s">
        <v>64</v>
      </c>
      <c r="AJ255" s="22" t="s">
        <v>261</v>
      </c>
      <c r="AK255" s="22" t="s">
        <v>132</v>
      </c>
      <c r="AL255" s="71" t="s">
        <v>262</v>
      </c>
      <c r="AM255" s="24">
        <v>1</v>
      </c>
      <c r="AN255" s="24">
        <v>3</v>
      </c>
      <c r="AO255" s="24">
        <v>1</v>
      </c>
      <c r="AP255" s="24">
        <v>1</v>
      </c>
      <c r="AQ255" s="24">
        <v>3</v>
      </c>
      <c r="AR255" s="24">
        <v>1</v>
      </c>
      <c r="AS255" s="24">
        <v>9</v>
      </c>
      <c r="AT255" s="22" t="s">
        <v>48</v>
      </c>
      <c r="AU255" s="22"/>
    </row>
    <row r="256" spans="1:47" ht="38.25" x14ac:dyDescent="0.2">
      <c r="A256" s="22" t="s">
        <v>35</v>
      </c>
      <c r="B256" s="22" t="s">
        <v>358</v>
      </c>
      <c r="C256" s="22"/>
      <c r="D256" s="22" t="s">
        <v>37</v>
      </c>
      <c r="E256" s="22" t="s">
        <v>359</v>
      </c>
      <c r="F256" s="22"/>
      <c r="G256" s="97" t="s">
        <v>952</v>
      </c>
      <c r="H256" s="22"/>
      <c r="I256" s="22" t="s">
        <v>360</v>
      </c>
      <c r="J256" s="22" t="s">
        <v>361</v>
      </c>
      <c r="K256" s="22" t="s">
        <v>63</v>
      </c>
      <c r="L256" s="24">
        <v>2019</v>
      </c>
      <c r="M256" s="24"/>
      <c r="N256" s="38">
        <f>4*85*20</f>
        <v>6800</v>
      </c>
      <c r="O256" s="39"/>
      <c r="P256" s="27">
        <f>N256*O256</f>
        <v>0</v>
      </c>
      <c r="Q256" s="28"/>
      <c r="R256" s="28">
        <f>IF(Q256&lt;4.99,(Q256*12%+4),IF(Q256&lt;10.99,(Q256*12%+8),IF(Q256&lt;14.99,(Q256*12%+12),IF(Q256&lt;879.99,(Q256*12%+16),IF(Q256&lt;2569.99,(Q256*7%+60),240)))))</f>
        <v>4</v>
      </c>
      <c r="S256" s="29">
        <f>R256*P256</f>
        <v>0</v>
      </c>
      <c r="T256" s="24"/>
      <c r="U256" s="24"/>
      <c r="V256" s="24"/>
      <c r="W256" s="24"/>
      <c r="X256" s="24"/>
      <c r="Y256" s="24"/>
      <c r="Z256" s="22">
        <v>0</v>
      </c>
      <c r="AA256" s="22"/>
      <c r="AB256" s="22"/>
      <c r="AC256" s="22"/>
      <c r="AD256" s="22"/>
      <c r="AE256" s="22"/>
      <c r="AF256" s="22"/>
      <c r="AG256" s="22"/>
      <c r="AH256" s="22"/>
      <c r="AI256" s="22" t="s">
        <v>42</v>
      </c>
      <c r="AJ256" s="22"/>
      <c r="AK256" s="22"/>
      <c r="AL256" s="71" t="s">
        <v>362</v>
      </c>
      <c r="AM256" s="24">
        <v>1</v>
      </c>
      <c r="AN256" s="24">
        <v>2</v>
      </c>
      <c r="AO256" s="24">
        <v>1</v>
      </c>
      <c r="AP256" s="24">
        <v>3</v>
      </c>
      <c r="AQ256" s="24">
        <v>1</v>
      </c>
      <c r="AR256" s="24">
        <v>1</v>
      </c>
      <c r="AS256" s="24">
        <v>6</v>
      </c>
      <c r="AT256" s="22" t="s">
        <v>48</v>
      </c>
      <c r="AU256" s="22"/>
    </row>
    <row r="257" spans="1:47" ht="38.25" x14ac:dyDescent="0.2">
      <c r="A257" s="13" t="s">
        <v>58</v>
      </c>
      <c r="B257" s="13" t="s">
        <v>158</v>
      </c>
      <c r="C257" s="13"/>
      <c r="D257" s="13" t="s">
        <v>37</v>
      </c>
      <c r="E257" s="13" t="s">
        <v>159</v>
      </c>
      <c r="F257" s="70" t="s">
        <v>932</v>
      </c>
      <c r="G257" s="13"/>
      <c r="H257" s="13"/>
      <c r="I257" s="13" t="s">
        <v>160</v>
      </c>
      <c r="J257" s="13" t="s">
        <v>161</v>
      </c>
      <c r="K257" s="13" t="s">
        <v>42</v>
      </c>
      <c r="L257" s="14">
        <v>2020</v>
      </c>
      <c r="M257" s="14"/>
      <c r="N257" s="15">
        <v>1000</v>
      </c>
      <c r="O257" s="16"/>
      <c r="P257" s="17">
        <f>N257*O257</f>
        <v>0</v>
      </c>
      <c r="Q257" s="18"/>
      <c r="R257" s="18">
        <f>IF(Q257&lt;4.99,(Q257*12%+4),IF(Q257&lt;10.99,(Q257*12%+8),IF(Q257&lt;14.99,(Q257*12%+12),IF(Q257&lt;879.99,(Q257*12%+16),IF(Q257&lt;2569.99,(Q257*7%+60),240)))))</f>
        <v>4</v>
      </c>
      <c r="S257" s="19">
        <f>R257*P257</f>
        <v>0</v>
      </c>
      <c r="T257" s="14"/>
      <c r="U257" s="14"/>
      <c r="V257" s="14"/>
      <c r="W257" s="14"/>
      <c r="X257" s="14"/>
      <c r="Y257" s="14"/>
      <c r="Z257" s="13"/>
      <c r="AA257" s="13"/>
      <c r="AB257" s="13"/>
      <c r="AC257" s="13"/>
      <c r="AD257" s="13"/>
      <c r="AE257" s="13"/>
      <c r="AF257" s="13"/>
      <c r="AG257" s="13"/>
      <c r="AH257" s="13"/>
      <c r="AI257" s="13" t="s">
        <v>42</v>
      </c>
      <c r="AJ257" s="13"/>
      <c r="AK257" s="20"/>
      <c r="AL257" s="70"/>
      <c r="AM257" s="14">
        <v>3</v>
      </c>
      <c r="AN257" s="14">
        <v>2</v>
      </c>
      <c r="AO257" s="14">
        <v>2</v>
      </c>
      <c r="AP257" s="14">
        <v>3</v>
      </c>
      <c r="AQ257" s="14">
        <v>3</v>
      </c>
      <c r="AR257" s="14">
        <v>2</v>
      </c>
      <c r="AS257" s="14">
        <v>216</v>
      </c>
      <c r="AT257" s="13" t="s">
        <v>45</v>
      </c>
      <c r="AU257" s="20">
        <v>43525</v>
      </c>
    </row>
    <row r="258" spans="1:47" ht="38.25" x14ac:dyDescent="0.2">
      <c r="A258" s="22" t="s">
        <v>47</v>
      </c>
      <c r="B258" s="22" t="s">
        <v>885</v>
      </c>
      <c r="C258" s="22"/>
      <c r="D258" s="65" t="s">
        <v>37</v>
      </c>
      <c r="E258" s="88" t="s">
        <v>886</v>
      </c>
      <c r="F258" s="78" t="s">
        <v>894</v>
      </c>
      <c r="G258" s="88"/>
      <c r="H258" s="88"/>
      <c r="I258" s="65" t="s">
        <v>887</v>
      </c>
      <c r="J258" s="22" t="s">
        <v>888</v>
      </c>
      <c r="K258" s="22" t="s">
        <v>42</v>
      </c>
      <c r="L258" s="24">
        <v>2021</v>
      </c>
      <c r="M258" s="24"/>
      <c r="N258" s="38"/>
      <c r="O258" s="39"/>
      <c r="P258" s="27"/>
      <c r="Q258" s="28"/>
      <c r="R258" s="28"/>
      <c r="S258" s="29"/>
      <c r="T258" s="24"/>
      <c r="U258" s="24"/>
      <c r="V258" s="24"/>
      <c r="W258" s="24"/>
      <c r="X258" s="24"/>
      <c r="Y258" s="24"/>
      <c r="Z258" s="22"/>
      <c r="AA258" s="22"/>
      <c r="AB258" s="22"/>
      <c r="AC258" s="22"/>
      <c r="AD258" s="22"/>
      <c r="AE258" s="22"/>
      <c r="AF258" s="22"/>
      <c r="AG258" s="22"/>
      <c r="AH258" s="22"/>
      <c r="AI258" s="22" t="s">
        <v>42</v>
      </c>
      <c r="AJ258" s="22"/>
      <c r="AK258" s="41"/>
      <c r="AL258" s="67"/>
      <c r="AM258" s="24"/>
      <c r="AN258" s="24"/>
      <c r="AO258" s="24"/>
      <c r="AP258" s="24"/>
      <c r="AQ258" s="24"/>
      <c r="AR258" s="24"/>
      <c r="AS258" s="24">
        <v>0</v>
      </c>
      <c r="AT258" s="22"/>
      <c r="AU258" s="69"/>
    </row>
    <row r="259" spans="1:47" ht="38.25" x14ac:dyDescent="0.2">
      <c r="A259" s="22" t="s">
        <v>47</v>
      </c>
      <c r="B259" s="22" t="s">
        <v>885</v>
      </c>
      <c r="C259" s="22"/>
      <c r="D259" s="65" t="s">
        <v>98</v>
      </c>
      <c r="E259" s="88" t="s">
        <v>886</v>
      </c>
      <c r="F259" s="78" t="s">
        <v>894</v>
      </c>
      <c r="G259" s="88"/>
      <c r="H259" s="88"/>
      <c r="I259" s="65" t="s">
        <v>887</v>
      </c>
      <c r="J259" s="22" t="s">
        <v>889</v>
      </c>
      <c r="K259" s="22" t="s">
        <v>42</v>
      </c>
      <c r="L259" s="24">
        <v>2021</v>
      </c>
      <c r="M259" s="24"/>
      <c r="N259" s="38"/>
      <c r="O259" s="39"/>
      <c r="P259" s="27"/>
      <c r="Q259" s="28"/>
      <c r="R259" s="28"/>
      <c r="S259" s="29"/>
      <c r="T259" s="24"/>
      <c r="U259" s="24"/>
      <c r="V259" s="24"/>
      <c r="W259" s="24"/>
      <c r="X259" s="24"/>
      <c r="Y259" s="24"/>
      <c r="Z259" s="22"/>
      <c r="AA259" s="22"/>
      <c r="AB259" s="22"/>
      <c r="AC259" s="22"/>
      <c r="AD259" s="22"/>
      <c r="AE259" s="22"/>
      <c r="AF259" s="22"/>
      <c r="AG259" s="22"/>
      <c r="AH259" s="22"/>
      <c r="AI259" s="22" t="s">
        <v>42</v>
      </c>
      <c r="AJ259" s="22"/>
      <c r="AK259" s="41"/>
      <c r="AL259" s="67" t="s">
        <v>890</v>
      </c>
      <c r="AM259" s="24"/>
      <c r="AN259" s="24"/>
      <c r="AO259" s="24"/>
      <c r="AP259" s="24"/>
      <c r="AQ259" s="24"/>
      <c r="AR259" s="24"/>
      <c r="AS259" s="24">
        <v>0</v>
      </c>
      <c r="AT259" s="22"/>
      <c r="AU259" s="69"/>
    </row>
    <row r="260" spans="1:47" s="133" customFormat="1" x14ac:dyDescent="0.2">
      <c r="A260" s="30" t="s">
        <v>35</v>
      </c>
      <c r="B260" s="30" t="s">
        <v>1180</v>
      </c>
      <c r="C260" s="30"/>
      <c r="D260" s="139" t="s">
        <v>37</v>
      </c>
      <c r="E260" s="139" t="s">
        <v>1181</v>
      </c>
      <c r="F260" s="199"/>
      <c r="G260" s="139"/>
      <c r="H260" s="139"/>
      <c r="I260" s="139" t="s">
        <v>1182</v>
      </c>
      <c r="J260" s="30"/>
      <c r="K260" s="30" t="s">
        <v>42</v>
      </c>
      <c r="L260" s="31">
        <v>2023</v>
      </c>
      <c r="M260" s="31"/>
      <c r="N260" s="32"/>
      <c r="O260" s="33"/>
      <c r="P260" s="34">
        <v>15</v>
      </c>
      <c r="Q260" s="35">
        <v>8500</v>
      </c>
      <c r="R260" s="35">
        <v>240</v>
      </c>
      <c r="S260" s="36"/>
      <c r="T260" s="31"/>
      <c r="U260" s="31"/>
      <c r="V260" s="31"/>
      <c r="W260" s="31"/>
      <c r="X260" s="31"/>
      <c r="Y260" s="31"/>
      <c r="Z260" s="30"/>
      <c r="AA260" s="30"/>
      <c r="AB260" s="30"/>
      <c r="AC260" s="30"/>
      <c r="AD260" s="30"/>
      <c r="AE260" s="30"/>
      <c r="AF260" s="30"/>
      <c r="AG260" s="132">
        <f>P260*Q260*12*0.15</f>
        <v>229500</v>
      </c>
      <c r="AH260" s="30"/>
      <c r="AI260" s="30" t="s">
        <v>42</v>
      </c>
      <c r="AJ260" s="30"/>
      <c r="AK260" s="50"/>
      <c r="AL260" s="141"/>
      <c r="AM260" s="31">
        <v>1</v>
      </c>
      <c r="AN260" s="31">
        <v>2</v>
      </c>
      <c r="AO260" s="31">
        <v>2</v>
      </c>
      <c r="AP260" s="31">
        <v>3</v>
      </c>
      <c r="AQ260" s="31">
        <v>1</v>
      </c>
      <c r="AR260" s="31">
        <v>2</v>
      </c>
      <c r="AS260" s="31">
        <f>AR260*AQ260*AP260*AO260*AN260*AM260</f>
        <v>24</v>
      </c>
      <c r="AT260" s="30" t="s">
        <v>45</v>
      </c>
      <c r="AU260" s="142">
        <v>44682</v>
      </c>
    </row>
    <row r="261" spans="1:47" ht="38.25" x14ac:dyDescent="0.2">
      <c r="A261" s="22" t="s">
        <v>86</v>
      </c>
      <c r="B261" s="22" t="s">
        <v>259</v>
      </c>
      <c r="C261" s="22"/>
      <c r="D261" s="22" t="s">
        <v>98</v>
      </c>
      <c r="E261" s="22" t="s">
        <v>321</v>
      </c>
      <c r="F261" s="71" t="s">
        <v>949</v>
      </c>
      <c r="G261" s="22"/>
      <c r="H261" s="22"/>
      <c r="I261" s="22" t="s">
        <v>322</v>
      </c>
      <c r="J261" s="22"/>
      <c r="K261" s="22" t="s">
        <v>64</v>
      </c>
      <c r="L261" s="24">
        <v>2020</v>
      </c>
      <c r="M261" s="24"/>
      <c r="N261" s="38">
        <v>70000</v>
      </c>
      <c r="O261" s="39"/>
      <c r="P261" s="27">
        <f>N261*O261</f>
        <v>0</v>
      </c>
      <c r="Q261" s="28"/>
      <c r="R261" s="28">
        <f>IF(Q261&lt;4.99,(Q261*12%+4),IF(Q261&lt;10.99,(Q261*12%+8),IF(Q261&lt;14.99,(Q261*12%+12),IF(Q261&lt;879.99,(Q261*12%+16),IF(Q261&lt;2569.99,(Q261*7%+60),240)))))</f>
        <v>4</v>
      </c>
      <c r="S261" s="29">
        <f>R261*P261</f>
        <v>0</v>
      </c>
      <c r="T261" s="24"/>
      <c r="U261" s="24"/>
      <c r="V261" s="24"/>
      <c r="W261" s="24"/>
      <c r="X261" s="24"/>
      <c r="Y261" s="24"/>
      <c r="Z261" s="22"/>
      <c r="AA261" s="22"/>
      <c r="AB261" s="22"/>
      <c r="AC261" s="22"/>
      <c r="AD261" s="22"/>
      <c r="AE261" s="22"/>
      <c r="AF261" s="22"/>
      <c r="AG261" s="22"/>
      <c r="AH261" s="22"/>
      <c r="AI261" s="22" t="s">
        <v>64</v>
      </c>
      <c r="AJ261" s="22"/>
      <c r="AK261" s="40"/>
      <c r="AL261" s="71"/>
      <c r="AM261" s="24">
        <v>1</v>
      </c>
      <c r="AN261" s="24">
        <v>3</v>
      </c>
      <c r="AO261" s="24">
        <v>1</v>
      </c>
      <c r="AP261" s="24">
        <v>1</v>
      </c>
      <c r="AQ261" s="24">
        <v>3</v>
      </c>
      <c r="AR261" s="24">
        <v>1</v>
      </c>
      <c r="AS261" s="24">
        <v>9</v>
      </c>
      <c r="AT261" s="22" t="s">
        <v>48</v>
      </c>
      <c r="AU261" s="22"/>
    </row>
    <row r="262" spans="1:47" ht="38.25" x14ac:dyDescent="0.2">
      <c r="A262" s="86" t="s">
        <v>35</v>
      </c>
      <c r="B262" s="86" t="s">
        <v>255</v>
      </c>
      <c r="C262" s="86"/>
      <c r="D262" s="86" t="s">
        <v>98</v>
      </c>
      <c r="E262" s="86" t="s">
        <v>256</v>
      </c>
      <c r="F262" s="168" t="s">
        <v>943</v>
      </c>
      <c r="G262" s="86"/>
      <c r="H262" s="86"/>
      <c r="I262" s="86" t="s">
        <v>257</v>
      </c>
      <c r="J262" s="86"/>
      <c r="K262" s="86" t="s">
        <v>42</v>
      </c>
      <c r="L262" s="163">
        <v>2022</v>
      </c>
      <c r="M262" s="163"/>
      <c r="N262" s="174">
        <v>4400</v>
      </c>
      <c r="O262" s="165"/>
      <c r="P262" s="175">
        <f>N262*O262</f>
        <v>0</v>
      </c>
      <c r="Q262" s="166"/>
      <c r="R262" s="166">
        <f>IF(Q262&lt;4.99,(Q262*12%+4),IF(Q262&lt;10.99,(Q262*12%+8),IF(Q262&lt;14.99,(Q262*12%+12),IF(Q262&lt;879.99,(Q262*12%+16),IF(Q262&lt;2569.99,(Q262*7%+60),240)))))</f>
        <v>4</v>
      </c>
      <c r="S262" s="176">
        <f>R262*P262</f>
        <v>0</v>
      </c>
      <c r="T262" s="163"/>
      <c r="U262" s="163"/>
      <c r="V262" s="163"/>
      <c r="W262" s="163"/>
      <c r="X262" s="163"/>
      <c r="Y262" s="163"/>
      <c r="Z262" s="86"/>
      <c r="AA262" s="86"/>
      <c r="AB262" s="86"/>
      <c r="AC262" s="86"/>
      <c r="AD262" s="86"/>
      <c r="AE262" s="86"/>
      <c r="AF262" s="86"/>
      <c r="AG262" s="86"/>
      <c r="AH262" s="86"/>
      <c r="AI262" s="86" t="s">
        <v>42</v>
      </c>
      <c r="AJ262" s="86"/>
      <c r="AK262" s="86"/>
      <c r="AL262" s="168" t="s">
        <v>258</v>
      </c>
      <c r="AM262" s="163">
        <v>1</v>
      </c>
      <c r="AN262" s="163">
        <v>2</v>
      </c>
      <c r="AO262" s="163">
        <v>1</v>
      </c>
      <c r="AP262" s="163">
        <v>3</v>
      </c>
      <c r="AQ262" s="163">
        <v>2</v>
      </c>
      <c r="AR262" s="163">
        <v>2</v>
      </c>
      <c r="AS262" s="163">
        <v>24</v>
      </c>
      <c r="AT262" s="86" t="s">
        <v>48</v>
      </c>
      <c r="AU262" s="86"/>
    </row>
    <row r="263" spans="1:47" s="133" customFormat="1" x14ac:dyDescent="0.2">
      <c r="A263" s="179" t="s">
        <v>72</v>
      </c>
      <c r="B263" s="179" t="s">
        <v>1228</v>
      </c>
      <c r="C263" s="179"/>
      <c r="D263" s="179" t="s">
        <v>37</v>
      </c>
      <c r="E263" s="179" t="s">
        <v>655</v>
      </c>
      <c r="F263" s="190"/>
      <c r="G263" s="179"/>
      <c r="H263" s="179"/>
      <c r="I263" s="179" t="s">
        <v>1229</v>
      </c>
      <c r="J263" s="179" t="s">
        <v>1230</v>
      </c>
      <c r="K263" s="179" t="s">
        <v>63</v>
      </c>
      <c r="L263" s="191">
        <v>2023</v>
      </c>
      <c r="M263" s="191"/>
      <c r="N263" s="192">
        <v>1000000</v>
      </c>
      <c r="O263" s="193">
        <v>5.0000000000000001E-4</v>
      </c>
      <c r="P263" s="194">
        <v>30</v>
      </c>
      <c r="Q263" s="195">
        <v>600</v>
      </c>
      <c r="R263" s="195">
        <v>75</v>
      </c>
      <c r="S263" s="196"/>
      <c r="T263" s="191"/>
      <c r="U263" s="191"/>
      <c r="V263" s="191"/>
      <c r="W263" s="191"/>
      <c r="X263" s="191"/>
      <c r="Y263" s="191"/>
      <c r="Z263" s="179"/>
      <c r="AA263" s="179"/>
      <c r="AB263" s="179"/>
      <c r="AC263" s="179"/>
      <c r="AD263" s="179"/>
      <c r="AE263" s="179"/>
      <c r="AF263" s="179"/>
      <c r="AG263" s="197">
        <f>Q263*P263*6</f>
        <v>108000</v>
      </c>
      <c r="AH263" s="179"/>
      <c r="AI263" s="179"/>
      <c r="AJ263" s="179"/>
      <c r="AK263" s="179"/>
      <c r="AL263" s="190"/>
      <c r="AM263" s="191"/>
      <c r="AN263" s="191"/>
      <c r="AO263" s="191"/>
      <c r="AP263" s="191"/>
      <c r="AQ263" s="191"/>
      <c r="AR263" s="191"/>
      <c r="AS263" s="191"/>
      <c r="AT263" s="179"/>
      <c r="AU263" s="179"/>
    </row>
    <row r="264" spans="1:47" x14ac:dyDescent="0.2">
      <c r="A264" s="86" t="s">
        <v>35</v>
      </c>
      <c r="B264" s="86" t="s">
        <v>169</v>
      </c>
      <c r="C264" s="86"/>
      <c r="D264" s="86" t="s">
        <v>60</v>
      </c>
      <c r="E264" s="86" t="s">
        <v>1231</v>
      </c>
      <c r="F264" s="86"/>
      <c r="G264" s="86"/>
      <c r="H264" s="86"/>
      <c r="I264" s="86" t="s">
        <v>1232</v>
      </c>
      <c r="J264" s="86"/>
      <c r="K264" s="86" t="s">
        <v>42</v>
      </c>
      <c r="L264" s="163">
        <v>2024</v>
      </c>
      <c r="M264" s="163"/>
      <c r="N264" s="164"/>
      <c r="O264" s="165"/>
      <c r="P264" s="163"/>
      <c r="Q264" s="166"/>
      <c r="R264" s="163"/>
      <c r="S264" s="163"/>
      <c r="T264" s="163"/>
      <c r="U264" s="163"/>
      <c r="V264" s="163"/>
      <c r="W264" s="163"/>
      <c r="X264" s="163"/>
      <c r="Y264" s="163"/>
      <c r="Z264" s="167"/>
      <c r="AA264" s="86"/>
      <c r="AB264" s="167"/>
      <c r="AC264" s="86"/>
      <c r="AD264" s="86"/>
      <c r="AE264" s="86"/>
      <c r="AF264" s="86"/>
      <c r="AG264" s="86"/>
      <c r="AH264" s="86"/>
      <c r="AI264" s="86"/>
      <c r="AJ264" s="86"/>
      <c r="AK264" s="86"/>
      <c r="AL264" s="168"/>
      <c r="AM264" s="163"/>
      <c r="AN264" s="163"/>
      <c r="AO264" s="163"/>
      <c r="AP264" s="163"/>
      <c r="AQ264" s="163"/>
      <c r="AR264" s="163"/>
      <c r="AS264" s="163"/>
      <c r="AT264" s="86"/>
      <c r="AU264" s="198">
        <v>44805</v>
      </c>
    </row>
    <row r="265" spans="1:47" x14ac:dyDescent="0.2">
      <c r="A265" s="1" t="s">
        <v>35</v>
      </c>
      <c r="B265" s="1" t="s">
        <v>165</v>
      </c>
      <c r="D265" s="1" t="s">
        <v>37</v>
      </c>
      <c r="E265" s="1" t="s">
        <v>1234</v>
      </c>
      <c r="I265" s="1" t="s">
        <v>1235</v>
      </c>
      <c r="K265" s="1" t="s">
        <v>42</v>
      </c>
      <c r="L265" s="2">
        <v>2024</v>
      </c>
      <c r="N265" s="4">
        <v>85</v>
      </c>
      <c r="O265" s="5">
        <v>5.0000000000000001E-4</v>
      </c>
      <c r="P265" s="2">
        <v>5</v>
      </c>
      <c r="Q265" s="3">
        <v>10000</v>
      </c>
      <c r="R265" s="2">
        <v>240</v>
      </c>
      <c r="AG265" s="200">
        <f>Q265*P265*12*0.1</f>
        <v>60000</v>
      </c>
    </row>
  </sheetData>
  <autoFilter ref="A1:AU1">
    <sortState ref="A2:AQ255">
      <sortCondition descending="1" ref="AB1"/>
    </sortState>
  </autoFilter>
  <conditionalFormatting sqref="M259:M1048576 M1 M48:M58 M62:M76 M78:M149 M151:M257">
    <cfRule type="cellIs" dxfId="437" priority="132" operator="equal">
      <formula>1</formula>
    </cfRule>
  </conditionalFormatting>
  <conditionalFormatting sqref="D259:D1048576 D1 D48:D58 D62:D76 D78:D149 D151:D257">
    <cfRule type="cellIs" dxfId="436" priority="130" operator="equal">
      <formula>"s.c."</formula>
    </cfRule>
    <cfRule type="cellIs" dxfId="435" priority="131" operator="equal">
      <formula>"i.v."</formula>
    </cfRule>
  </conditionalFormatting>
  <conditionalFormatting sqref="M258">
    <cfRule type="cellIs" dxfId="434" priority="129" operator="equal">
      <formula>1</formula>
    </cfRule>
  </conditionalFormatting>
  <conditionalFormatting sqref="D258">
    <cfRule type="cellIs" dxfId="433" priority="127" operator="equal">
      <formula>"s.c."</formula>
    </cfRule>
    <cfRule type="cellIs" dxfId="432" priority="128" operator="equal">
      <formula>"i.v."</formula>
    </cfRule>
  </conditionalFormatting>
  <conditionalFormatting sqref="M46:M47">
    <cfRule type="cellIs" dxfId="431" priority="126" operator="equal">
      <formula>1</formula>
    </cfRule>
  </conditionalFormatting>
  <conditionalFormatting sqref="D46:D47">
    <cfRule type="cellIs" dxfId="430" priority="124" operator="equal">
      <formula>"s.c."</formula>
    </cfRule>
    <cfRule type="cellIs" dxfId="429" priority="125" operator="equal">
      <formula>"i.v."</formula>
    </cfRule>
  </conditionalFormatting>
  <conditionalFormatting sqref="M44:M45">
    <cfRule type="cellIs" dxfId="428" priority="123" operator="equal">
      <formula>1</formula>
    </cfRule>
  </conditionalFormatting>
  <conditionalFormatting sqref="D44:D45">
    <cfRule type="cellIs" dxfId="427" priority="121" operator="equal">
      <formula>"s.c."</formula>
    </cfRule>
    <cfRule type="cellIs" dxfId="426" priority="122" operator="equal">
      <formula>"i.v."</formula>
    </cfRule>
  </conditionalFormatting>
  <conditionalFormatting sqref="M43">
    <cfRule type="cellIs" dxfId="425" priority="120" operator="equal">
      <formula>1</formula>
    </cfRule>
  </conditionalFormatting>
  <conditionalFormatting sqref="D43">
    <cfRule type="cellIs" dxfId="424" priority="118" operator="equal">
      <formula>"s.c."</formula>
    </cfRule>
    <cfRule type="cellIs" dxfId="423" priority="119" operator="equal">
      <formula>"i.v."</formula>
    </cfRule>
  </conditionalFormatting>
  <conditionalFormatting sqref="M42">
    <cfRule type="cellIs" dxfId="422" priority="117" operator="equal">
      <formula>1</formula>
    </cfRule>
  </conditionalFormatting>
  <conditionalFormatting sqref="D42">
    <cfRule type="cellIs" dxfId="421" priority="115" operator="equal">
      <formula>"s.c."</formula>
    </cfRule>
    <cfRule type="cellIs" dxfId="420" priority="116" operator="equal">
      <formula>"i.v."</formula>
    </cfRule>
  </conditionalFormatting>
  <conditionalFormatting sqref="M39:M40">
    <cfRule type="cellIs" dxfId="419" priority="114" operator="equal">
      <formula>1</formula>
    </cfRule>
  </conditionalFormatting>
  <conditionalFormatting sqref="D39:D40">
    <cfRule type="cellIs" dxfId="418" priority="112" operator="equal">
      <formula>"s.c."</formula>
    </cfRule>
    <cfRule type="cellIs" dxfId="417" priority="113" operator="equal">
      <formula>"i.v."</formula>
    </cfRule>
  </conditionalFormatting>
  <conditionalFormatting sqref="M38">
    <cfRule type="cellIs" dxfId="416" priority="111" operator="equal">
      <formula>1</formula>
    </cfRule>
  </conditionalFormatting>
  <conditionalFormatting sqref="D38">
    <cfRule type="cellIs" dxfId="415" priority="109" operator="equal">
      <formula>"s.c."</formula>
    </cfRule>
    <cfRule type="cellIs" dxfId="414" priority="110" operator="equal">
      <formula>"i.v."</formula>
    </cfRule>
  </conditionalFormatting>
  <conditionalFormatting sqref="M37">
    <cfRule type="cellIs" dxfId="413" priority="108" operator="equal">
      <formula>1</formula>
    </cfRule>
  </conditionalFormatting>
  <conditionalFormatting sqref="D37">
    <cfRule type="cellIs" dxfId="412" priority="106" operator="equal">
      <formula>"s.c."</formula>
    </cfRule>
    <cfRule type="cellIs" dxfId="411" priority="107" operator="equal">
      <formula>"i.v."</formula>
    </cfRule>
  </conditionalFormatting>
  <conditionalFormatting sqref="M36">
    <cfRule type="cellIs" dxfId="410" priority="105" operator="equal">
      <formula>1</formula>
    </cfRule>
  </conditionalFormatting>
  <conditionalFormatting sqref="D36">
    <cfRule type="cellIs" dxfId="409" priority="103" operator="equal">
      <formula>"s.c."</formula>
    </cfRule>
    <cfRule type="cellIs" dxfId="408" priority="104" operator="equal">
      <formula>"i.v."</formula>
    </cfRule>
  </conditionalFormatting>
  <conditionalFormatting sqref="M35">
    <cfRule type="cellIs" dxfId="407" priority="102" operator="equal">
      <formula>1</formula>
    </cfRule>
  </conditionalFormatting>
  <conditionalFormatting sqref="D35">
    <cfRule type="cellIs" dxfId="406" priority="100" operator="equal">
      <formula>"s.c."</formula>
    </cfRule>
    <cfRule type="cellIs" dxfId="405" priority="101" operator="equal">
      <formula>"i.v."</formula>
    </cfRule>
  </conditionalFormatting>
  <conditionalFormatting sqref="M41">
    <cfRule type="cellIs" dxfId="404" priority="99" operator="equal">
      <formula>1</formula>
    </cfRule>
  </conditionalFormatting>
  <conditionalFormatting sqref="D41">
    <cfRule type="cellIs" dxfId="403" priority="97" operator="equal">
      <formula>"s.c."</formula>
    </cfRule>
    <cfRule type="cellIs" dxfId="402" priority="98" operator="equal">
      <formula>"i.v."</formula>
    </cfRule>
  </conditionalFormatting>
  <conditionalFormatting sqref="M34">
    <cfRule type="cellIs" dxfId="401" priority="96" operator="equal">
      <formula>1</formula>
    </cfRule>
  </conditionalFormatting>
  <conditionalFormatting sqref="D34">
    <cfRule type="cellIs" dxfId="400" priority="94" operator="equal">
      <formula>"s.c."</formula>
    </cfRule>
    <cfRule type="cellIs" dxfId="399" priority="95" operator="equal">
      <formula>"i.v."</formula>
    </cfRule>
  </conditionalFormatting>
  <conditionalFormatting sqref="M33">
    <cfRule type="cellIs" dxfId="398" priority="87" operator="equal">
      <formula>1</formula>
    </cfRule>
  </conditionalFormatting>
  <conditionalFormatting sqref="D33">
    <cfRule type="cellIs" dxfId="397" priority="85" operator="equal">
      <formula>"s.c."</formula>
    </cfRule>
    <cfRule type="cellIs" dxfId="396" priority="86" operator="equal">
      <formula>"i.v."</formula>
    </cfRule>
  </conditionalFormatting>
  <conditionalFormatting sqref="M32">
    <cfRule type="cellIs" dxfId="395" priority="84" operator="equal">
      <formula>1</formula>
    </cfRule>
  </conditionalFormatting>
  <conditionalFormatting sqref="D32">
    <cfRule type="cellIs" dxfId="394" priority="82" operator="equal">
      <formula>"s.c."</formula>
    </cfRule>
    <cfRule type="cellIs" dxfId="393" priority="83" operator="equal">
      <formula>"i.v."</formula>
    </cfRule>
  </conditionalFormatting>
  <conditionalFormatting sqref="M31">
    <cfRule type="cellIs" dxfId="392" priority="81" operator="equal">
      <formula>1</formula>
    </cfRule>
  </conditionalFormatting>
  <conditionalFormatting sqref="D31">
    <cfRule type="cellIs" dxfId="391" priority="79" operator="equal">
      <formula>"s.c."</formula>
    </cfRule>
    <cfRule type="cellIs" dxfId="390" priority="80" operator="equal">
      <formula>"i.v."</formula>
    </cfRule>
  </conditionalFormatting>
  <conditionalFormatting sqref="M30">
    <cfRule type="cellIs" dxfId="389" priority="78" operator="equal">
      <formula>1</formula>
    </cfRule>
  </conditionalFormatting>
  <conditionalFormatting sqref="D30">
    <cfRule type="cellIs" dxfId="388" priority="76" operator="equal">
      <formula>"s.c."</formula>
    </cfRule>
    <cfRule type="cellIs" dxfId="387" priority="77" operator="equal">
      <formula>"i.v."</formula>
    </cfRule>
  </conditionalFormatting>
  <conditionalFormatting sqref="M28:M29">
    <cfRule type="cellIs" dxfId="386" priority="75" operator="equal">
      <formula>1</formula>
    </cfRule>
  </conditionalFormatting>
  <conditionalFormatting sqref="D28:D29">
    <cfRule type="cellIs" dxfId="385" priority="73" operator="equal">
      <formula>"s.c."</formula>
    </cfRule>
    <cfRule type="cellIs" dxfId="384" priority="74" operator="equal">
      <formula>"i.v."</formula>
    </cfRule>
  </conditionalFormatting>
  <conditionalFormatting sqref="M27">
    <cfRule type="cellIs" dxfId="383" priority="72" operator="equal">
      <formula>1</formula>
    </cfRule>
  </conditionalFormatting>
  <conditionalFormatting sqref="D27">
    <cfRule type="cellIs" dxfId="382" priority="70" operator="equal">
      <formula>"s.c."</formula>
    </cfRule>
    <cfRule type="cellIs" dxfId="381" priority="71" operator="equal">
      <formula>"i.v."</formula>
    </cfRule>
  </conditionalFormatting>
  <conditionalFormatting sqref="M26">
    <cfRule type="cellIs" dxfId="380" priority="69" operator="equal">
      <formula>1</formula>
    </cfRule>
  </conditionalFormatting>
  <conditionalFormatting sqref="D26">
    <cfRule type="cellIs" dxfId="379" priority="67" operator="equal">
      <formula>"s.c."</formula>
    </cfRule>
    <cfRule type="cellIs" dxfId="378" priority="68" operator="equal">
      <formula>"i.v."</formula>
    </cfRule>
  </conditionalFormatting>
  <conditionalFormatting sqref="M25">
    <cfRule type="cellIs" dxfId="377" priority="66" operator="equal">
      <formula>1</formula>
    </cfRule>
  </conditionalFormatting>
  <conditionalFormatting sqref="D25">
    <cfRule type="cellIs" dxfId="376" priority="64" operator="equal">
      <formula>"s.c."</formula>
    </cfRule>
    <cfRule type="cellIs" dxfId="375" priority="65" operator="equal">
      <formula>"i.v."</formula>
    </cfRule>
  </conditionalFormatting>
  <conditionalFormatting sqref="M21:M24">
    <cfRule type="cellIs" dxfId="374" priority="63" operator="equal">
      <formula>1</formula>
    </cfRule>
  </conditionalFormatting>
  <conditionalFormatting sqref="D21:D24">
    <cfRule type="cellIs" dxfId="373" priority="61" operator="equal">
      <formula>"s.c."</formula>
    </cfRule>
    <cfRule type="cellIs" dxfId="372" priority="62" operator="equal">
      <formula>"i.v."</formula>
    </cfRule>
  </conditionalFormatting>
  <conditionalFormatting sqref="M19:M20">
    <cfRule type="cellIs" dxfId="371" priority="60" operator="equal">
      <formula>1</formula>
    </cfRule>
  </conditionalFormatting>
  <conditionalFormatting sqref="D19:D20">
    <cfRule type="cellIs" dxfId="370" priority="58" operator="equal">
      <formula>"s.c."</formula>
    </cfRule>
    <cfRule type="cellIs" dxfId="369" priority="59" operator="equal">
      <formula>"i.v."</formula>
    </cfRule>
  </conditionalFormatting>
  <conditionalFormatting sqref="M18">
    <cfRule type="cellIs" dxfId="368" priority="57" operator="equal">
      <formula>1</formula>
    </cfRule>
  </conditionalFormatting>
  <conditionalFormatting sqref="D18">
    <cfRule type="cellIs" dxfId="367" priority="55" operator="equal">
      <formula>"s.c."</formula>
    </cfRule>
    <cfRule type="cellIs" dxfId="366" priority="56" operator="equal">
      <formula>"i.v."</formula>
    </cfRule>
  </conditionalFormatting>
  <conditionalFormatting sqref="M17">
    <cfRule type="cellIs" dxfId="365" priority="54" operator="equal">
      <formula>1</formula>
    </cfRule>
  </conditionalFormatting>
  <conditionalFormatting sqref="D17">
    <cfRule type="cellIs" dxfId="364" priority="52" operator="equal">
      <formula>"s.c."</formula>
    </cfRule>
    <cfRule type="cellIs" dxfId="363" priority="53" operator="equal">
      <formula>"i.v."</formula>
    </cfRule>
  </conditionalFormatting>
  <conditionalFormatting sqref="M16">
    <cfRule type="cellIs" dxfId="362" priority="51" operator="equal">
      <formula>1</formula>
    </cfRule>
  </conditionalFormatting>
  <conditionalFormatting sqref="D16">
    <cfRule type="cellIs" dxfId="361" priority="49" operator="equal">
      <formula>"s.c."</formula>
    </cfRule>
    <cfRule type="cellIs" dxfId="360" priority="50" operator="equal">
      <formula>"i.v."</formula>
    </cfRule>
  </conditionalFormatting>
  <conditionalFormatting sqref="M14">
    <cfRule type="cellIs" dxfId="359" priority="48" operator="equal">
      <formula>1</formula>
    </cfRule>
  </conditionalFormatting>
  <conditionalFormatting sqref="D14">
    <cfRule type="cellIs" dxfId="358" priority="46" operator="equal">
      <formula>"s.c."</formula>
    </cfRule>
    <cfRule type="cellIs" dxfId="357" priority="47" operator="equal">
      <formula>"i.v."</formula>
    </cfRule>
  </conditionalFormatting>
  <conditionalFormatting sqref="M15">
    <cfRule type="cellIs" dxfId="356" priority="45" operator="equal">
      <formula>1</formula>
    </cfRule>
  </conditionalFormatting>
  <conditionalFormatting sqref="D15">
    <cfRule type="cellIs" dxfId="355" priority="43" operator="equal">
      <formula>"s.c."</formula>
    </cfRule>
    <cfRule type="cellIs" dxfId="354" priority="44" operator="equal">
      <formula>"i.v."</formula>
    </cfRule>
  </conditionalFormatting>
  <conditionalFormatting sqref="M13">
    <cfRule type="cellIs" dxfId="353" priority="42" operator="equal">
      <formula>1</formula>
    </cfRule>
  </conditionalFormatting>
  <conditionalFormatting sqref="D13">
    <cfRule type="cellIs" dxfId="352" priority="40" operator="equal">
      <formula>"s.c."</formula>
    </cfRule>
    <cfRule type="cellIs" dxfId="351" priority="41" operator="equal">
      <formula>"i.v."</formula>
    </cfRule>
  </conditionalFormatting>
  <conditionalFormatting sqref="M11:M12">
    <cfRule type="cellIs" dxfId="350" priority="39" operator="equal">
      <formula>1</formula>
    </cfRule>
  </conditionalFormatting>
  <conditionalFormatting sqref="D11:D12">
    <cfRule type="cellIs" dxfId="349" priority="37" operator="equal">
      <formula>"s.c."</formula>
    </cfRule>
    <cfRule type="cellIs" dxfId="348" priority="38" operator="equal">
      <formula>"i.v."</formula>
    </cfRule>
  </conditionalFormatting>
  <conditionalFormatting sqref="M10">
    <cfRule type="cellIs" dxfId="347" priority="36" operator="equal">
      <formula>1</formula>
    </cfRule>
  </conditionalFormatting>
  <conditionalFormatting sqref="D10">
    <cfRule type="cellIs" dxfId="346" priority="34" operator="equal">
      <formula>"s.c."</formula>
    </cfRule>
    <cfRule type="cellIs" dxfId="345" priority="35" operator="equal">
      <formula>"i.v."</formula>
    </cfRule>
  </conditionalFormatting>
  <conditionalFormatting sqref="M8:M9">
    <cfRule type="cellIs" dxfId="344" priority="33" operator="equal">
      <formula>1</formula>
    </cfRule>
  </conditionalFormatting>
  <conditionalFormatting sqref="D8:D9">
    <cfRule type="cellIs" dxfId="343" priority="31" operator="equal">
      <formula>"s.c."</formula>
    </cfRule>
    <cfRule type="cellIs" dxfId="342" priority="32" operator="equal">
      <formula>"i.v."</formula>
    </cfRule>
  </conditionalFormatting>
  <conditionalFormatting sqref="M7">
    <cfRule type="cellIs" dxfId="341" priority="30" operator="equal">
      <formula>1</formula>
    </cfRule>
  </conditionalFormatting>
  <conditionalFormatting sqref="D7">
    <cfRule type="cellIs" dxfId="340" priority="28" operator="equal">
      <formula>"s.c."</formula>
    </cfRule>
    <cfRule type="cellIs" dxfId="339" priority="29" operator="equal">
      <formula>"i.v."</formula>
    </cfRule>
  </conditionalFormatting>
  <conditionalFormatting sqref="M6">
    <cfRule type="cellIs" dxfId="338" priority="27" operator="equal">
      <formula>1</formula>
    </cfRule>
  </conditionalFormatting>
  <conditionalFormatting sqref="D6">
    <cfRule type="cellIs" dxfId="337" priority="25" operator="equal">
      <formula>"s.c."</formula>
    </cfRule>
    <cfRule type="cellIs" dxfId="336" priority="26" operator="equal">
      <formula>"i.v."</formula>
    </cfRule>
  </conditionalFormatting>
  <conditionalFormatting sqref="M3">
    <cfRule type="cellIs" dxfId="335" priority="21" operator="equal">
      <formula>1</formula>
    </cfRule>
  </conditionalFormatting>
  <conditionalFormatting sqref="D3">
    <cfRule type="cellIs" dxfId="334" priority="19" operator="equal">
      <formula>"s.c."</formula>
    </cfRule>
    <cfRule type="cellIs" dxfId="333" priority="20" operator="equal">
      <formula>"i.v."</formula>
    </cfRule>
  </conditionalFormatting>
  <conditionalFormatting sqref="M4:M5">
    <cfRule type="cellIs" dxfId="332" priority="24" operator="equal">
      <formula>1</formula>
    </cfRule>
  </conditionalFormatting>
  <conditionalFormatting sqref="D4:D5">
    <cfRule type="cellIs" dxfId="331" priority="22" operator="equal">
      <formula>"s.c."</formula>
    </cfRule>
    <cfRule type="cellIs" dxfId="330" priority="23" operator="equal">
      <formula>"i.v."</formula>
    </cfRule>
  </conditionalFormatting>
  <conditionalFormatting sqref="M150">
    <cfRule type="cellIs" dxfId="329" priority="12" operator="equal">
      <formula>1</formula>
    </cfRule>
  </conditionalFormatting>
  <conditionalFormatting sqref="D150">
    <cfRule type="cellIs" dxfId="328" priority="10" operator="equal">
      <formula>"s.c."</formula>
    </cfRule>
    <cfRule type="cellIs" dxfId="327" priority="11" operator="equal">
      <formula>"i.v."</formula>
    </cfRule>
  </conditionalFormatting>
  <conditionalFormatting sqref="M77">
    <cfRule type="cellIs" dxfId="326" priority="9" operator="equal">
      <formula>1</formula>
    </cfRule>
  </conditionalFormatting>
  <conditionalFormatting sqref="D77">
    <cfRule type="cellIs" dxfId="325" priority="7" operator="equal">
      <formula>"s.c."</formula>
    </cfRule>
    <cfRule type="cellIs" dxfId="324" priority="8" operator="equal">
      <formula>"i.v."</formula>
    </cfRule>
  </conditionalFormatting>
  <conditionalFormatting sqref="M2">
    <cfRule type="cellIs" dxfId="323" priority="6" operator="equal">
      <formula>1</formula>
    </cfRule>
  </conditionalFormatting>
  <conditionalFormatting sqref="D2">
    <cfRule type="cellIs" dxfId="322" priority="4" operator="equal">
      <formula>"s.c."</formula>
    </cfRule>
    <cfRule type="cellIs" dxfId="321" priority="5" operator="equal">
      <formula>"i.v."</formula>
    </cfRule>
  </conditionalFormatting>
  <conditionalFormatting sqref="M59:M61">
    <cfRule type="cellIs" dxfId="320" priority="3" operator="equal">
      <formula>1</formula>
    </cfRule>
  </conditionalFormatting>
  <conditionalFormatting sqref="D59:D61">
    <cfRule type="cellIs" dxfId="319" priority="1" operator="equal">
      <formula>"s.c."</formula>
    </cfRule>
    <cfRule type="cellIs" dxfId="318" priority="2" operator="equal">
      <formula>"i.v."</formula>
    </cfRule>
  </conditionalFormatting>
  <hyperlinks>
    <hyperlink ref="Y45" r:id="rId1"/>
    <hyperlink ref="Y46" r:id="rId2"/>
  </hyperlinks>
  <pageMargins left="0.7" right="0.7" top="0.78740157499999996" bottom="0.78740157499999996" header="0.3" footer="0.3"/>
  <pageSetup paperSize="8" scale="32" fitToHeight="0" orientation="landscape" r:id="rId3"/>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P268"/>
  <sheetViews>
    <sheetView topLeftCell="Z1" workbookViewId="0">
      <pane ySplit="1" topLeftCell="A2" activePane="bottomLeft" state="frozen"/>
      <selection activeCell="H1" sqref="H1"/>
      <selection pane="bottomLeft" activeCell="Z7" sqref="Z7"/>
    </sheetView>
  </sheetViews>
  <sheetFormatPr baseColWidth="10" defaultColWidth="11.42578125" defaultRowHeight="12.75" x14ac:dyDescent="0.2"/>
  <cols>
    <col min="1" max="1" width="17.140625" style="1" bestFit="1" customWidth="1"/>
    <col min="2" max="2" width="52.28515625" style="1" customWidth="1"/>
    <col min="3" max="3" width="16.28515625" style="1" hidden="1" customWidth="1"/>
    <col min="4" max="4" width="16.7109375" style="1" bestFit="1" customWidth="1"/>
    <col min="5" max="5" width="34.28515625" style="1" bestFit="1" customWidth="1"/>
    <col min="6" max="6" width="35.140625" style="1" hidden="1" customWidth="1"/>
    <col min="7" max="7" width="36.140625" style="1" hidden="1" customWidth="1"/>
    <col min="8" max="8" width="32.7109375" style="1" hidden="1" customWidth="1"/>
    <col min="9" max="9" width="28.7109375" style="1" bestFit="1" customWidth="1"/>
    <col min="10" max="10" width="22.5703125" style="1" bestFit="1" customWidth="1"/>
    <col min="11" max="11" width="23.85546875" style="1" customWidth="1"/>
    <col min="12" max="12" width="15" style="2" customWidth="1"/>
    <col min="13" max="13" width="4.5703125" style="2" customWidth="1"/>
    <col min="14" max="14" width="17.28515625" style="4" customWidth="1"/>
    <col min="15" max="15" width="17.28515625" style="5" customWidth="1"/>
    <col min="16" max="16" width="14.28515625" style="2" customWidth="1"/>
    <col min="17" max="17" width="14.28515625" style="3" bestFit="1" customWidth="1"/>
    <col min="18" max="24" width="14.28515625" style="2" customWidth="1"/>
    <col min="25" max="25" width="27.7109375" style="2" customWidth="1"/>
    <col min="26" max="26" width="24.85546875" style="1" bestFit="1" customWidth="1"/>
    <col min="27" max="29" width="25.140625" style="1" customWidth="1"/>
    <col min="30" max="30" width="29.7109375" style="1" bestFit="1" customWidth="1"/>
    <col min="31" max="31" width="13.42578125" style="1" bestFit="1" customWidth="1"/>
    <col min="32" max="32" width="20.7109375" style="1" bestFit="1" customWidth="1"/>
    <col min="33" max="33" width="63.5703125" style="76" customWidth="1"/>
    <col min="34" max="39" width="10.7109375" style="2" customWidth="1"/>
    <col min="40" max="40" width="15.28515625" style="2" customWidth="1"/>
    <col min="41" max="41" width="28.5703125" style="1" customWidth="1"/>
    <col min="42" max="42" width="30" style="1" customWidth="1"/>
  </cols>
  <sheetData>
    <row r="1" spans="1:42" ht="102" x14ac:dyDescent="0.2">
      <c r="A1" s="6" t="s">
        <v>0</v>
      </c>
      <c r="B1" s="6" t="s">
        <v>1</v>
      </c>
      <c r="C1" s="6" t="s">
        <v>2</v>
      </c>
      <c r="D1" s="6" t="s">
        <v>3</v>
      </c>
      <c r="E1" s="6" t="s">
        <v>4</v>
      </c>
      <c r="F1" s="6" t="s">
        <v>892</v>
      </c>
      <c r="G1" s="6" t="s">
        <v>891</v>
      </c>
      <c r="H1" s="6" t="s">
        <v>893</v>
      </c>
      <c r="I1" s="6" t="s">
        <v>5</v>
      </c>
      <c r="J1" s="6" t="s">
        <v>6</v>
      </c>
      <c r="K1" s="6" t="s">
        <v>7</v>
      </c>
      <c r="L1" s="7" t="s">
        <v>8</v>
      </c>
      <c r="M1" s="7" t="s">
        <v>9</v>
      </c>
      <c r="N1" s="8" t="s">
        <v>10</v>
      </c>
      <c r="O1" s="9" t="s">
        <v>11</v>
      </c>
      <c r="P1" s="7" t="s">
        <v>12</v>
      </c>
      <c r="Q1" s="10" t="s">
        <v>13</v>
      </c>
      <c r="R1" s="7" t="s">
        <v>14</v>
      </c>
      <c r="S1" s="7" t="s">
        <v>15</v>
      </c>
      <c r="T1" s="7" t="s">
        <v>16</v>
      </c>
      <c r="U1" s="7" t="s">
        <v>17</v>
      </c>
      <c r="V1" s="7" t="s">
        <v>18</v>
      </c>
      <c r="W1" s="7" t="s">
        <v>19</v>
      </c>
      <c r="X1" s="7" t="s">
        <v>20</v>
      </c>
      <c r="Y1" s="7" t="s">
        <v>21</v>
      </c>
      <c r="Z1" s="11" t="s">
        <v>1007</v>
      </c>
      <c r="AA1" s="11" t="s">
        <v>1008</v>
      </c>
      <c r="AB1" s="11" t="s">
        <v>1075</v>
      </c>
      <c r="AC1" s="11" t="s">
        <v>1076</v>
      </c>
      <c r="AD1" s="11" t="s">
        <v>22</v>
      </c>
      <c r="AE1" s="11" t="s">
        <v>23</v>
      </c>
      <c r="AF1" s="11" t="s">
        <v>24</v>
      </c>
      <c r="AG1" s="11" t="s">
        <v>25</v>
      </c>
      <c r="AH1" s="12" t="s">
        <v>26</v>
      </c>
      <c r="AI1" s="12" t="s">
        <v>27</v>
      </c>
      <c r="AJ1" s="12" t="s">
        <v>28</v>
      </c>
      <c r="AK1" s="12" t="s">
        <v>29</v>
      </c>
      <c r="AL1" s="12" t="s">
        <v>30</v>
      </c>
      <c r="AM1" s="12" t="s">
        <v>31</v>
      </c>
      <c r="AN1" s="12" t="s">
        <v>32</v>
      </c>
      <c r="AO1" s="11" t="s">
        <v>33</v>
      </c>
      <c r="AP1" s="11" t="s">
        <v>34</v>
      </c>
    </row>
    <row r="2" spans="1:42" s="133" customFormat="1" x14ac:dyDescent="0.2">
      <c r="A2" s="30" t="s">
        <v>35</v>
      </c>
      <c r="B2" s="30" t="s">
        <v>1099</v>
      </c>
      <c r="C2" s="30"/>
      <c r="D2" s="30" t="s">
        <v>60</v>
      </c>
      <c r="E2" s="89" t="s">
        <v>1100</v>
      </c>
      <c r="F2" s="139"/>
      <c r="G2" s="106"/>
      <c r="H2" s="106"/>
      <c r="I2" s="30" t="s">
        <v>1101</v>
      </c>
      <c r="J2" s="30" t="s">
        <v>1102</v>
      </c>
      <c r="K2" s="30"/>
      <c r="L2" s="31"/>
      <c r="M2" s="31"/>
      <c r="N2" s="32">
        <v>8</v>
      </c>
      <c r="O2" s="33" t="s">
        <v>1012</v>
      </c>
      <c r="P2" s="34">
        <v>5</v>
      </c>
      <c r="Q2" s="35">
        <v>5000</v>
      </c>
      <c r="R2" s="35"/>
      <c r="S2" s="36"/>
      <c r="T2" s="31"/>
      <c r="U2" s="31"/>
      <c r="V2" s="31"/>
      <c r="W2" s="31"/>
      <c r="X2" s="31"/>
      <c r="Y2" s="31"/>
      <c r="Z2" s="30"/>
      <c r="AA2" s="30"/>
      <c r="AB2" s="30"/>
      <c r="AC2" s="30"/>
      <c r="AD2" s="30" t="s">
        <v>42</v>
      </c>
      <c r="AE2" s="30"/>
      <c r="AF2" s="30"/>
      <c r="AG2" s="72"/>
      <c r="AH2" s="31">
        <v>1</v>
      </c>
      <c r="AI2" s="31">
        <v>1</v>
      </c>
      <c r="AJ2" s="31">
        <v>1</v>
      </c>
      <c r="AK2" s="31">
        <v>3</v>
      </c>
      <c r="AL2" s="31">
        <v>1</v>
      </c>
      <c r="AM2" s="31">
        <v>1</v>
      </c>
      <c r="AN2" s="31">
        <f>AM2*AL2*AK2*AJ2*AI2*AH2</f>
        <v>3</v>
      </c>
      <c r="AO2" s="30"/>
      <c r="AP2" s="37">
        <v>44621</v>
      </c>
    </row>
    <row r="3" spans="1:42" ht="38.25" x14ac:dyDescent="0.2">
      <c r="A3" s="22" t="s">
        <v>86</v>
      </c>
      <c r="B3" s="22" t="s">
        <v>438</v>
      </c>
      <c r="C3" s="22"/>
      <c r="D3" s="22" t="s">
        <v>98</v>
      </c>
      <c r="E3" s="87" t="s">
        <v>655</v>
      </c>
      <c r="F3" s="65" t="s">
        <v>985</v>
      </c>
      <c r="G3" s="95"/>
      <c r="H3" s="95"/>
      <c r="I3" s="22" t="s">
        <v>656</v>
      </c>
      <c r="J3" s="22" t="s">
        <v>657</v>
      </c>
      <c r="K3" s="22" t="s">
        <v>201</v>
      </c>
      <c r="L3" s="24">
        <v>2019</v>
      </c>
      <c r="M3" s="24"/>
      <c r="N3" s="38">
        <f>0.02*8000000</f>
        <v>160000</v>
      </c>
      <c r="O3" s="39"/>
      <c r="P3" s="27">
        <f t="shared" ref="P3:P36" si="0">N3*O3</f>
        <v>0</v>
      </c>
      <c r="Q3" s="28"/>
      <c r="R3" s="28">
        <f t="shared" ref="R3:R36" si="1">IF(Q3&lt;4.99,(Q3*12%+4),IF(Q3&lt;10.99,(Q3*12%+8),IF(Q3&lt;14.99,(Q3*12%+12),IF(Q3&lt;879.99,(Q3*12%+16),IF(Q3&lt;2569.99,(Q3*7%+60),240)))))</f>
        <v>4</v>
      </c>
      <c r="S3" s="29">
        <f t="shared" ref="S3:S36" si="2">R3*P3</f>
        <v>0</v>
      </c>
      <c r="T3" s="24"/>
      <c r="U3" s="24"/>
      <c r="V3" s="24"/>
      <c r="W3" s="24"/>
      <c r="X3" s="24"/>
      <c r="Y3" s="24"/>
      <c r="Z3" s="22">
        <v>0</v>
      </c>
      <c r="AA3" s="22"/>
      <c r="AB3" s="22"/>
      <c r="AC3" s="22"/>
      <c r="AD3" s="22" t="s">
        <v>658</v>
      </c>
      <c r="AE3" s="22"/>
      <c r="AF3" s="22" t="s">
        <v>56</v>
      </c>
      <c r="AG3" s="71" t="s">
        <v>659</v>
      </c>
      <c r="AH3" s="24">
        <v>1</v>
      </c>
      <c r="AI3" s="24">
        <v>3</v>
      </c>
      <c r="AJ3" s="24">
        <v>3</v>
      </c>
      <c r="AK3" s="24">
        <v>1</v>
      </c>
      <c r="AL3" s="24">
        <v>2</v>
      </c>
      <c r="AM3" s="24">
        <v>2</v>
      </c>
      <c r="AN3" s="24">
        <v>36</v>
      </c>
      <c r="AO3" s="22" t="s">
        <v>48</v>
      </c>
      <c r="AP3" s="22"/>
    </row>
    <row r="4" spans="1:42" ht="38.25" x14ac:dyDescent="0.2">
      <c r="A4" s="30" t="s">
        <v>86</v>
      </c>
      <c r="B4" s="30" t="s">
        <v>259</v>
      </c>
      <c r="C4" s="30"/>
      <c r="D4" s="30" t="s">
        <v>37</v>
      </c>
      <c r="E4" s="89" t="s">
        <v>655</v>
      </c>
      <c r="F4" s="72" t="s">
        <v>985</v>
      </c>
      <c r="G4" s="106"/>
      <c r="H4" s="106"/>
      <c r="I4" s="30" t="s">
        <v>771</v>
      </c>
      <c r="J4" s="30" t="s">
        <v>772</v>
      </c>
      <c r="K4" s="30" t="s">
        <v>266</v>
      </c>
      <c r="L4" s="31">
        <v>2019</v>
      </c>
      <c r="M4" s="31"/>
      <c r="N4" s="32">
        <v>70000</v>
      </c>
      <c r="O4" s="33"/>
      <c r="P4" s="34">
        <f t="shared" si="0"/>
        <v>0</v>
      </c>
      <c r="Q4" s="35"/>
      <c r="R4" s="35">
        <f t="shared" si="1"/>
        <v>4</v>
      </c>
      <c r="S4" s="36">
        <f t="shared" si="2"/>
        <v>0</v>
      </c>
      <c r="T4" s="31"/>
      <c r="U4" s="31"/>
      <c r="V4" s="31"/>
      <c r="W4" s="31"/>
      <c r="X4" s="31"/>
      <c r="Y4" s="31"/>
      <c r="Z4" s="30">
        <v>0</v>
      </c>
      <c r="AA4" s="30"/>
      <c r="AB4" s="30"/>
      <c r="AC4" s="30"/>
      <c r="AD4" s="30" t="s">
        <v>42</v>
      </c>
      <c r="AE4" s="30"/>
      <c r="AF4" s="30" t="s">
        <v>56</v>
      </c>
      <c r="AG4" s="72" t="s">
        <v>659</v>
      </c>
      <c r="AH4" s="31">
        <v>1</v>
      </c>
      <c r="AI4" s="31">
        <v>3</v>
      </c>
      <c r="AJ4" s="31">
        <v>3</v>
      </c>
      <c r="AK4" s="31">
        <v>1</v>
      </c>
      <c r="AL4" s="31">
        <v>2</v>
      </c>
      <c r="AM4" s="31">
        <v>2</v>
      </c>
      <c r="AN4" s="31">
        <v>36</v>
      </c>
      <c r="AO4" s="30" t="s">
        <v>48</v>
      </c>
      <c r="AP4" s="30"/>
    </row>
    <row r="5" spans="1:42" ht="38.25" x14ac:dyDescent="0.2">
      <c r="A5" s="22" t="s">
        <v>35</v>
      </c>
      <c r="B5" s="22" t="s">
        <v>78</v>
      </c>
      <c r="C5" s="22"/>
      <c r="D5" s="22" t="s">
        <v>37</v>
      </c>
      <c r="E5" s="87" t="s">
        <v>655</v>
      </c>
      <c r="F5" s="98" t="s">
        <v>985</v>
      </c>
      <c r="G5" s="95"/>
      <c r="H5" s="95"/>
      <c r="I5" s="22" t="s">
        <v>777</v>
      </c>
      <c r="J5" s="22"/>
      <c r="K5" s="22" t="s">
        <v>778</v>
      </c>
      <c r="L5" s="24">
        <v>2019</v>
      </c>
      <c r="M5" s="24"/>
      <c r="N5" s="38">
        <v>600</v>
      </c>
      <c r="O5" s="39"/>
      <c r="P5" s="27">
        <f t="shared" si="0"/>
        <v>0</v>
      </c>
      <c r="Q5" s="28"/>
      <c r="R5" s="28">
        <f t="shared" si="1"/>
        <v>4</v>
      </c>
      <c r="S5" s="29">
        <f t="shared" si="2"/>
        <v>0</v>
      </c>
      <c r="T5" s="24"/>
      <c r="U5" s="24"/>
      <c r="V5" s="24"/>
      <c r="W5" s="24"/>
      <c r="X5" s="24"/>
      <c r="Y5" s="24"/>
      <c r="Z5" s="22">
        <v>0</v>
      </c>
      <c r="AA5" s="22"/>
      <c r="AB5" s="22"/>
      <c r="AC5" s="22"/>
      <c r="AD5" s="22" t="s">
        <v>42</v>
      </c>
      <c r="AE5" s="22" t="s">
        <v>779</v>
      </c>
      <c r="AF5" s="22" t="s">
        <v>780</v>
      </c>
      <c r="AG5" s="71"/>
      <c r="AH5" s="24">
        <v>1</v>
      </c>
      <c r="AI5" s="24">
        <v>2</v>
      </c>
      <c r="AJ5" s="24">
        <v>3</v>
      </c>
      <c r="AK5" s="24">
        <v>3</v>
      </c>
      <c r="AL5" s="24">
        <v>1</v>
      </c>
      <c r="AM5" s="24">
        <v>2</v>
      </c>
      <c r="AN5" s="24">
        <v>36</v>
      </c>
      <c r="AO5" s="22" t="s">
        <v>48</v>
      </c>
      <c r="AP5" s="22"/>
    </row>
    <row r="6" spans="1:42" ht="38.25" x14ac:dyDescent="0.2">
      <c r="A6" s="22" t="s">
        <v>35</v>
      </c>
      <c r="B6" s="22" t="s">
        <v>782</v>
      </c>
      <c r="C6" s="22"/>
      <c r="D6" s="23" t="s">
        <v>37</v>
      </c>
      <c r="E6" s="87" t="s">
        <v>655</v>
      </c>
      <c r="F6" s="98" t="s">
        <v>985</v>
      </c>
      <c r="G6" s="95"/>
      <c r="H6" s="95"/>
      <c r="I6" s="23" t="s">
        <v>783</v>
      </c>
      <c r="J6" s="23" t="s">
        <v>784</v>
      </c>
      <c r="K6" s="23" t="s">
        <v>63</v>
      </c>
      <c r="L6" s="24">
        <v>2018</v>
      </c>
      <c r="M6" s="63">
        <v>1</v>
      </c>
      <c r="N6" s="64">
        <f>8500000/100000*4+8500000/100000*2.5</f>
        <v>552.5</v>
      </c>
      <c r="O6" s="26">
        <v>0.2</v>
      </c>
      <c r="P6" s="27">
        <f t="shared" si="0"/>
        <v>110.5</v>
      </c>
      <c r="Q6" s="28">
        <v>5763.66</v>
      </c>
      <c r="R6" s="28">
        <f t="shared" si="1"/>
        <v>240</v>
      </c>
      <c r="S6" s="29">
        <f t="shared" si="2"/>
        <v>26520</v>
      </c>
      <c r="T6" s="24"/>
      <c r="U6" s="24"/>
      <c r="V6" s="24"/>
      <c r="W6" s="24"/>
      <c r="X6" s="24"/>
      <c r="Y6" s="24"/>
      <c r="Z6" s="22">
        <v>25000</v>
      </c>
      <c r="AA6" s="22"/>
      <c r="AB6" s="22"/>
      <c r="AC6" s="22"/>
      <c r="AD6" s="22" t="s">
        <v>42</v>
      </c>
      <c r="AE6" s="22" t="s">
        <v>779</v>
      </c>
      <c r="AF6" s="22" t="s">
        <v>70</v>
      </c>
      <c r="AG6" s="71" t="s">
        <v>785</v>
      </c>
      <c r="AH6" s="24">
        <v>1</v>
      </c>
      <c r="AI6" s="24">
        <v>2</v>
      </c>
      <c r="AJ6" s="24">
        <v>3</v>
      </c>
      <c r="AK6" s="24">
        <v>3</v>
      </c>
      <c r="AL6" s="24">
        <v>1</v>
      </c>
      <c r="AM6" s="24">
        <v>2</v>
      </c>
      <c r="AN6" s="24">
        <v>36</v>
      </c>
      <c r="AO6" s="22" t="s">
        <v>48</v>
      </c>
      <c r="AP6" s="22"/>
    </row>
    <row r="7" spans="1:42" x14ac:dyDescent="0.2">
      <c r="A7" s="22" t="s">
        <v>72</v>
      </c>
      <c r="B7" s="22" t="s">
        <v>1228</v>
      </c>
      <c r="C7" s="22"/>
      <c r="D7" s="23" t="s">
        <v>37</v>
      </c>
      <c r="E7" s="87" t="s">
        <v>655</v>
      </c>
      <c r="F7" s="98"/>
      <c r="G7" s="95"/>
      <c r="H7" s="95"/>
      <c r="I7" s="23" t="s">
        <v>1229</v>
      </c>
      <c r="J7" s="23" t="s">
        <v>1230</v>
      </c>
      <c r="K7" s="23" t="s">
        <v>63</v>
      </c>
      <c r="L7" s="24">
        <v>2023</v>
      </c>
      <c r="M7" s="63"/>
      <c r="N7" s="64">
        <v>1000000</v>
      </c>
      <c r="O7" s="26">
        <v>5.0000000000000001E-4</v>
      </c>
      <c r="P7" s="27">
        <v>100</v>
      </c>
      <c r="Q7" s="28">
        <v>600</v>
      </c>
      <c r="R7" s="28"/>
      <c r="S7" s="29"/>
      <c r="T7" s="24"/>
      <c r="U7" s="24"/>
      <c r="V7" s="24"/>
      <c r="W7" s="24"/>
      <c r="X7" s="24"/>
      <c r="Y7" s="24"/>
      <c r="Z7" s="22"/>
      <c r="AA7" s="22"/>
      <c r="AB7" s="22"/>
      <c r="AC7" s="22"/>
      <c r="AD7" s="22"/>
      <c r="AE7" s="22"/>
      <c r="AF7" s="22"/>
      <c r="AG7" s="71"/>
      <c r="AH7" s="24"/>
      <c r="AI7" s="24"/>
      <c r="AJ7" s="24"/>
      <c r="AK7" s="24"/>
      <c r="AL7" s="24"/>
      <c r="AM7" s="24"/>
      <c r="AN7" s="24"/>
      <c r="AO7" s="22"/>
      <c r="AP7" s="22"/>
    </row>
    <row r="8" spans="1:42" ht="38.25" x14ac:dyDescent="0.2">
      <c r="A8" s="22" t="s">
        <v>72</v>
      </c>
      <c r="B8" s="23" t="s">
        <v>481</v>
      </c>
      <c r="C8" s="22"/>
      <c r="D8" s="22" t="s">
        <v>37</v>
      </c>
      <c r="E8" s="87" t="s">
        <v>482</v>
      </c>
      <c r="F8" s="95"/>
      <c r="G8" s="111" t="s">
        <v>965</v>
      </c>
      <c r="H8" s="95"/>
      <c r="I8" s="22" t="s">
        <v>483</v>
      </c>
      <c r="J8" s="22" t="s">
        <v>484</v>
      </c>
      <c r="K8" s="22" t="s">
        <v>485</v>
      </c>
      <c r="L8" s="24">
        <v>2020</v>
      </c>
      <c r="M8" s="24"/>
      <c r="N8" s="38">
        <v>500</v>
      </c>
      <c r="O8" s="39"/>
      <c r="P8" s="27">
        <f t="shared" si="0"/>
        <v>0</v>
      </c>
      <c r="Q8" s="28"/>
      <c r="R8" s="28">
        <f t="shared" si="1"/>
        <v>4</v>
      </c>
      <c r="S8" s="29">
        <f t="shared" si="2"/>
        <v>0</v>
      </c>
      <c r="T8" s="24"/>
      <c r="U8" s="24"/>
      <c r="V8" s="24"/>
      <c r="W8" s="24"/>
      <c r="X8" s="24"/>
      <c r="Y8" s="24"/>
      <c r="Z8" s="22"/>
      <c r="AA8" s="22"/>
      <c r="AB8" s="22"/>
      <c r="AC8" s="22"/>
      <c r="AD8" s="22" t="s">
        <v>486</v>
      </c>
      <c r="AE8" s="22"/>
      <c r="AF8" s="22" t="s">
        <v>129</v>
      </c>
      <c r="AG8" s="71" t="s">
        <v>487</v>
      </c>
      <c r="AH8" s="24">
        <v>1</v>
      </c>
      <c r="AI8" s="24">
        <v>1</v>
      </c>
      <c r="AJ8" s="24">
        <v>1</v>
      </c>
      <c r="AK8" s="24">
        <v>3</v>
      </c>
      <c r="AL8" s="24">
        <v>1</v>
      </c>
      <c r="AM8" s="24">
        <v>2</v>
      </c>
      <c r="AN8" s="24">
        <v>6</v>
      </c>
      <c r="AO8" s="22" t="s">
        <v>48</v>
      </c>
      <c r="AP8" s="22"/>
    </row>
    <row r="9" spans="1:42" ht="38.25" x14ac:dyDescent="0.2">
      <c r="A9" s="22" t="s">
        <v>35</v>
      </c>
      <c r="B9" s="22"/>
      <c r="C9" s="22"/>
      <c r="D9" s="22" t="s">
        <v>60</v>
      </c>
      <c r="E9" s="90" t="s">
        <v>191</v>
      </c>
      <c r="F9" s="100" t="s">
        <v>913</v>
      </c>
      <c r="G9" s="107"/>
      <c r="H9" s="107"/>
      <c r="I9" s="22" t="s">
        <v>192</v>
      </c>
      <c r="J9" s="22"/>
      <c r="K9" s="22" t="s">
        <v>42</v>
      </c>
      <c r="L9" s="24">
        <v>2022</v>
      </c>
      <c r="M9" s="24"/>
      <c r="N9" s="38"/>
      <c r="O9" s="39"/>
      <c r="P9" s="27">
        <f t="shared" si="0"/>
        <v>0</v>
      </c>
      <c r="Q9" s="28"/>
      <c r="R9" s="28">
        <f t="shared" si="1"/>
        <v>4</v>
      </c>
      <c r="S9" s="29">
        <f t="shared" si="2"/>
        <v>0</v>
      </c>
      <c r="T9" s="24"/>
      <c r="U9" s="24"/>
      <c r="V9" s="24"/>
      <c r="W9" s="24"/>
      <c r="X9" s="24"/>
      <c r="Y9" s="49" t="s">
        <v>193</v>
      </c>
      <c r="Z9" s="22"/>
      <c r="AA9" s="22"/>
      <c r="AB9" s="22"/>
      <c r="AC9" s="22"/>
      <c r="AD9" s="22" t="s">
        <v>42</v>
      </c>
      <c r="AE9" s="22"/>
      <c r="AF9" s="40"/>
      <c r="AG9" s="71" t="s">
        <v>194</v>
      </c>
      <c r="AH9" s="24">
        <v>1</v>
      </c>
      <c r="AI9" s="24">
        <v>1</v>
      </c>
      <c r="AJ9" s="24">
        <v>2</v>
      </c>
      <c r="AK9" s="24">
        <v>3</v>
      </c>
      <c r="AL9" s="24">
        <v>1</v>
      </c>
      <c r="AM9" s="24">
        <v>2</v>
      </c>
      <c r="AN9" s="24">
        <v>12</v>
      </c>
      <c r="AO9" s="22" t="s">
        <v>48</v>
      </c>
      <c r="AP9" s="22"/>
    </row>
    <row r="10" spans="1:42" ht="38.25" x14ac:dyDescent="0.2">
      <c r="A10" s="22" t="s">
        <v>35</v>
      </c>
      <c r="B10" s="22"/>
      <c r="C10" s="22"/>
      <c r="D10" s="22" t="s">
        <v>60</v>
      </c>
      <c r="E10" s="90" t="s">
        <v>191</v>
      </c>
      <c r="F10" s="100" t="s">
        <v>913</v>
      </c>
      <c r="G10" s="107"/>
      <c r="H10" s="107"/>
      <c r="I10" s="23" t="s">
        <v>437</v>
      </c>
      <c r="J10" s="22"/>
      <c r="K10" s="22" t="s">
        <v>42</v>
      </c>
      <c r="L10" s="24">
        <v>2021</v>
      </c>
      <c r="M10" s="24"/>
      <c r="N10" s="38"/>
      <c r="O10" s="39"/>
      <c r="P10" s="27">
        <f t="shared" si="0"/>
        <v>0</v>
      </c>
      <c r="Q10" s="28"/>
      <c r="R10" s="28">
        <f t="shared" si="1"/>
        <v>4</v>
      </c>
      <c r="S10" s="29">
        <f t="shared" si="2"/>
        <v>0</v>
      </c>
      <c r="T10" s="24"/>
      <c r="U10" s="24"/>
      <c r="V10" s="24"/>
      <c r="W10" s="24"/>
      <c r="X10" s="24"/>
      <c r="Y10" s="49" t="s">
        <v>193</v>
      </c>
      <c r="Z10" s="22"/>
      <c r="AA10" s="22"/>
      <c r="AB10" s="22"/>
      <c r="AC10" s="22"/>
      <c r="AD10" s="22" t="s">
        <v>42</v>
      </c>
      <c r="AE10" s="22"/>
      <c r="AF10" s="40"/>
      <c r="AG10" s="71" t="s">
        <v>194</v>
      </c>
      <c r="AH10" s="24">
        <v>1</v>
      </c>
      <c r="AI10" s="24">
        <v>1</v>
      </c>
      <c r="AJ10" s="24">
        <v>2</v>
      </c>
      <c r="AK10" s="24">
        <v>3</v>
      </c>
      <c r="AL10" s="24">
        <v>1</v>
      </c>
      <c r="AM10" s="24">
        <v>2</v>
      </c>
      <c r="AN10" s="24">
        <v>12</v>
      </c>
      <c r="AO10" s="22" t="s">
        <v>48</v>
      </c>
      <c r="AP10" s="22"/>
    </row>
    <row r="11" spans="1:42" s="133" customFormat="1" x14ac:dyDescent="0.2">
      <c r="A11" s="30" t="s">
        <v>58</v>
      </c>
      <c r="B11" s="30" t="s">
        <v>1005</v>
      </c>
      <c r="C11" s="30"/>
      <c r="D11" s="30" t="s">
        <v>37</v>
      </c>
      <c r="E11" s="89" t="s">
        <v>466</v>
      </c>
      <c r="F11" s="96"/>
      <c r="G11" s="106"/>
      <c r="H11" s="106"/>
      <c r="I11" s="30" t="s">
        <v>1006</v>
      </c>
      <c r="J11" s="30" t="s">
        <v>1079</v>
      </c>
      <c r="K11" s="30" t="s">
        <v>42</v>
      </c>
      <c r="L11" s="31">
        <v>2022</v>
      </c>
      <c r="M11" s="31"/>
      <c r="N11" s="32">
        <v>40</v>
      </c>
      <c r="O11" s="33">
        <v>1</v>
      </c>
      <c r="P11" s="34">
        <v>40</v>
      </c>
      <c r="Q11" s="35">
        <v>5000</v>
      </c>
      <c r="R11" s="35">
        <v>240</v>
      </c>
      <c r="S11" s="36">
        <f>P11*R11*12</f>
        <v>115200</v>
      </c>
      <c r="T11" s="31" t="s">
        <v>48</v>
      </c>
      <c r="U11" s="31" t="s">
        <v>48</v>
      </c>
      <c r="V11" s="31" t="s">
        <v>45</v>
      </c>
      <c r="W11" s="31" t="s">
        <v>45</v>
      </c>
      <c r="X11" s="31"/>
      <c r="Y11" s="134"/>
      <c r="Z11" s="30">
        <v>100000</v>
      </c>
      <c r="AA11" s="30">
        <v>10000</v>
      </c>
      <c r="AB11" s="30"/>
      <c r="AC11" s="30"/>
      <c r="AD11" s="30"/>
      <c r="AE11" s="30"/>
      <c r="AF11" s="37"/>
      <c r="AG11" s="72"/>
      <c r="AH11" s="31"/>
      <c r="AI11" s="31"/>
      <c r="AJ11" s="31"/>
      <c r="AK11" s="31"/>
      <c r="AL11" s="31"/>
      <c r="AM11" s="31"/>
      <c r="AN11" s="31"/>
      <c r="AO11" s="30"/>
      <c r="AP11" s="30"/>
    </row>
    <row r="12" spans="1:42" ht="38.25" x14ac:dyDescent="0.2">
      <c r="A12" s="22" t="s">
        <v>35</v>
      </c>
      <c r="B12" s="22" t="s">
        <v>465</v>
      </c>
      <c r="C12" s="22"/>
      <c r="D12" s="22" t="s">
        <v>37</v>
      </c>
      <c r="E12" s="87" t="s">
        <v>466</v>
      </c>
      <c r="F12" s="79" t="s">
        <v>963</v>
      </c>
      <c r="G12" s="95"/>
      <c r="H12" s="22"/>
      <c r="I12" s="22" t="s">
        <v>467</v>
      </c>
      <c r="J12" s="22" t="s">
        <v>468</v>
      </c>
      <c r="K12" s="22" t="s">
        <v>63</v>
      </c>
      <c r="L12" s="24">
        <v>2021</v>
      </c>
      <c r="M12" s="24"/>
      <c r="N12" s="38">
        <f>80/1.5</f>
        <v>53.333333333333336</v>
      </c>
      <c r="O12" s="39"/>
      <c r="P12" s="27">
        <f t="shared" si="0"/>
        <v>0</v>
      </c>
      <c r="Q12" s="28"/>
      <c r="R12" s="28">
        <f t="shared" si="1"/>
        <v>4</v>
      </c>
      <c r="S12" s="29">
        <f t="shared" si="2"/>
        <v>0</v>
      </c>
      <c r="T12" s="24"/>
      <c r="U12" s="24"/>
      <c r="V12" s="24"/>
      <c r="W12" s="24"/>
      <c r="X12" s="24"/>
      <c r="Y12" s="24"/>
      <c r="Z12" s="22"/>
      <c r="AA12" s="22"/>
      <c r="AB12" s="22"/>
      <c r="AC12" s="22"/>
      <c r="AD12" s="22" t="s">
        <v>42</v>
      </c>
      <c r="AE12" s="22"/>
      <c r="AF12" s="40" t="s">
        <v>70</v>
      </c>
      <c r="AG12" s="71" t="s">
        <v>469</v>
      </c>
      <c r="AH12" s="24">
        <v>1</v>
      </c>
      <c r="AI12" s="24">
        <v>1</v>
      </c>
      <c r="AJ12" s="24">
        <v>1</v>
      </c>
      <c r="AK12" s="24">
        <v>3</v>
      </c>
      <c r="AL12" s="24">
        <v>1</v>
      </c>
      <c r="AM12" s="24">
        <v>2</v>
      </c>
      <c r="AN12" s="24">
        <v>6</v>
      </c>
      <c r="AO12" s="22" t="s">
        <v>48</v>
      </c>
      <c r="AP12" s="22"/>
    </row>
    <row r="13" spans="1:42" ht="51" x14ac:dyDescent="0.2">
      <c r="A13" s="22" t="s">
        <v>47</v>
      </c>
      <c r="B13" s="22" t="s">
        <v>122</v>
      </c>
      <c r="C13" s="22"/>
      <c r="D13" s="22" t="s">
        <v>98</v>
      </c>
      <c r="E13" s="87" t="s">
        <v>195</v>
      </c>
      <c r="F13" s="95"/>
      <c r="G13" s="95"/>
      <c r="H13" s="81" t="s">
        <v>934</v>
      </c>
      <c r="I13" s="22" t="s">
        <v>196</v>
      </c>
      <c r="J13" s="22"/>
      <c r="K13" s="22" t="s">
        <v>64</v>
      </c>
      <c r="L13" s="24">
        <v>2022</v>
      </c>
      <c r="M13" s="24"/>
      <c r="N13" s="38">
        <f>0.025*8000000</f>
        <v>200000</v>
      </c>
      <c r="O13" s="39"/>
      <c r="P13" s="27">
        <f t="shared" si="0"/>
        <v>0</v>
      </c>
      <c r="Q13" s="28"/>
      <c r="R13" s="28">
        <f t="shared" si="1"/>
        <v>4</v>
      </c>
      <c r="S13" s="29">
        <f t="shared" si="2"/>
        <v>0</v>
      </c>
      <c r="T13" s="24"/>
      <c r="U13" s="24"/>
      <c r="V13" s="24"/>
      <c r="W13" s="24"/>
      <c r="X13" s="24"/>
      <c r="Y13" s="24"/>
      <c r="Z13" s="22"/>
      <c r="AA13" s="22"/>
      <c r="AB13" s="22"/>
      <c r="AC13" s="22"/>
      <c r="AD13" s="22" t="s">
        <v>64</v>
      </c>
      <c r="AE13" s="22"/>
      <c r="AF13" s="22"/>
      <c r="AG13" s="71" t="s">
        <v>197</v>
      </c>
      <c r="AH13" s="24">
        <v>1</v>
      </c>
      <c r="AI13" s="24">
        <v>3</v>
      </c>
      <c r="AJ13" s="24">
        <v>1</v>
      </c>
      <c r="AK13" s="24">
        <v>3</v>
      </c>
      <c r="AL13" s="24">
        <v>1</v>
      </c>
      <c r="AM13" s="24">
        <v>2</v>
      </c>
      <c r="AN13" s="24">
        <v>18</v>
      </c>
      <c r="AO13" s="22" t="s">
        <v>48</v>
      </c>
      <c r="AP13" s="22"/>
    </row>
    <row r="14" spans="1:42" x14ac:dyDescent="0.2">
      <c r="A14" s="22" t="s">
        <v>58</v>
      </c>
      <c r="B14" s="22" t="s">
        <v>1063</v>
      </c>
      <c r="C14" s="22" t="s">
        <v>48</v>
      </c>
      <c r="D14" s="22" t="s">
        <v>37</v>
      </c>
      <c r="E14" s="87" t="s">
        <v>1062</v>
      </c>
      <c r="F14" s="95"/>
      <c r="G14" s="95"/>
      <c r="H14" s="81"/>
      <c r="I14" s="22" t="s">
        <v>1064</v>
      </c>
      <c r="J14" s="22" t="s">
        <v>1065</v>
      </c>
      <c r="K14" s="22" t="s">
        <v>315</v>
      </c>
      <c r="L14" s="24">
        <v>2022</v>
      </c>
      <c r="M14" s="24"/>
      <c r="N14" s="38">
        <v>80</v>
      </c>
      <c r="O14" s="39"/>
      <c r="P14" s="27">
        <v>20</v>
      </c>
      <c r="Q14" s="28">
        <v>7000</v>
      </c>
      <c r="R14" s="28">
        <v>240</v>
      </c>
      <c r="S14" s="29"/>
      <c r="T14" s="24"/>
      <c r="U14" s="24"/>
      <c r="V14" s="24"/>
      <c r="W14" s="24"/>
      <c r="X14" s="24"/>
      <c r="Y14" s="24"/>
      <c r="Z14" s="113">
        <f>Q14*P14*3</f>
        <v>420000</v>
      </c>
      <c r="AA14" s="22"/>
      <c r="AB14" s="22"/>
      <c r="AC14" s="22"/>
      <c r="AD14" s="22" t="s">
        <v>42</v>
      </c>
      <c r="AE14" s="22"/>
      <c r="AF14" s="22"/>
      <c r="AG14" s="71"/>
      <c r="AH14" s="24"/>
      <c r="AI14" s="24"/>
      <c r="AJ14" s="24"/>
      <c r="AK14" s="24"/>
      <c r="AL14" s="24"/>
      <c r="AM14" s="24"/>
      <c r="AN14" s="24"/>
      <c r="AO14" s="22"/>
      <c r="AP14" s="22"/>
    </row>
    <row r="15" spans="1:42" ht="38.25" x14ac:dyDescent="0.2">
      <c r="A15" s="22" t="s">
        <v>58</v>
      </c>
      <c r="B15" s="23" t="s">
        <v>620</v>
      </c>
      <c r="C15" s="22"/>
      <c r="D15" s="22" t="s">
        <v>60</v>
      </c>
      <c r="E15" s="87" t="s">
        <v>627</v>
      </c>
      <c r="F15" s="97" t="s">
        <v>981</v>
      </c>
      <c r="G15" s="95"/>
      <c r="H15" s="95"/>
      <c r="I15" s="22" t="s">
        <v>628</v>
      </c>
      <c r="J15" s="22" t="s">
        <v>629</v>
      </c>
      <c r="K15" s="22" t="s">
        <v>63</v>
      </c>
      <c r="L15" s="24">
        <v>2020</v>
      </c>
      <c r="M15" s="24"/>
      <c r="N15" s="38">
        <f>16*8</f>
        <v>128</v>
      </c>
      <c r="O15" s="39"/>
      <c r="P15" s="27">
        <f t="shared" si="0"/>
        <v>0</v>
      </c>
      <c r="Q15" s="28"/>
      <c r="R15" s="28">
        <f t="shared" si="1"/>
        <v>4</v>
      </c>
      <c r="S15" s="29">
        <f t="shared" si="2"/>
        <v>0</v>
      </c>
      <c r="T15" s="24"/>
      <c r="U15" s="24"/>
      <c r="V15" s="24"/>
      <c r="W15" s="24"/>
      <c r="X15" s="24"/>
      <c r="Y15" s="24"/>
      <c r="Z15" s="22"/>
      <c r="AA15" s="22"/>
      <c r="AB15" s="22"/>
      <c r="AC15" s="22"/>
      <c r="AD15" s="22" t="s">
        <v>42</v>
      </c>
      <c r="AE15" s="22"/>
      <c r="AF15" s="22"/>
      <c r="AG15" s="71" t="s">
        <v>630</v>
      </c>
      <c r="AH15" s="24">
        <v>1</v>
      </c>
      <c r="AI15" s="24">
        <v>1</v>
      </c>
      <c r="AJ15" s="24">
        <v>2</v>
      </c>
      <c r="AK15" s="24">
        <v>3</v>
      </c>
      <c r="AL15" s="24">
        <v>1</v>
      </c>
      <c r="AM15" s="24">
        <v>2</v>
      </c>
      <c r="AN15" s="24">
        <v>12</v>
      </c>
      <c r="AO15" s="22" t="s">
        <v>45</v>
      </c>
      <c r="AP15" s="40">
        <v>43556</v>
      </c>
    </row>
    <row r="16" spans="1:42" ht="38.25" x14ac:dyDescent="0.2">
      <c r="A16" s="13" t="s">
        <v>72</v>
      </c>
      <c r="B16" s="13" t="s">
        <v>153</v>
      </c>
      <c r="C16" s="13"/>
      <c r="D16" s="13" t="s">
        <v>98</v>
      </c>
      <c r="E16" s="91" t="s">
        <v>154</v>
      </c>
      <c r="F16" s="70" t="s">
        <v>931</v>
      </c>
      <c r="G16" s="108"/>
      <c r="H16" s="108"/>
      <c r="I16" s="13" t="s">
        <v>155</v>
      </c>
      <c r="J16" s="13" t="s">
        <v>156</v>
      </c>
      <c r="K16" s="13" t="s">
        <v>42</v>
      </c>
      <c r="L16" s="14">
        <v>2021</v>
      </c>
      <c r="M16" s="14"/>
      <c r="N16" s="15">
        <v>1000000</v>
      </c>
      <c r="O16" s="16"/>
      <c r="P16" s="17">
        <f t="shared" si="0"/>
        <v>0</v>
      </c>
      <c r="Q16" s="18"/>
      <c r="R16" s="18">
        <f t="shared" si="1"/>
        <v>4</v>
      </c>
      <c r="S16" s="19">
        <f t="shared" si="2"/>
        <v>0</v>
      </c>
      <c r="T16" s="14"/>
      <c r="U16" s="14"/>
      <c r="V16" s="14"/>
      <c r="W16" s="14"/>
      <c r="X16" s="14"/>
      <c r="Y16" s="14"/>
      <c r="Z16" s="13"/>
      <c r="AA16" s="13"/>
      <c r="AB16" s="13"/>
      <c r="AC16" s="13"/>
      <c r="AD16" s="13" t="s">
        <v>42</v>
      </c>
      <c r="AE16" s="13"/>
      <c r="AF16" s="20" t="s">
        <v>132</v>
      </c>
      <c r="AG16" s="70" t="s">
        <v>157</v>
      </c>
      <c r="AH16" s="14">
        <v>2</v>
      </c>
      <c r="AI16" s="14">
        <v>2</v>
      </c>
      <c r="AJ16" s="14">
        <v>3</v>
      </c>
      <c r="AK16" s="14">
        <v>1</v>
      </c>
      <c r="AL16" s="14">
        <v>3</v>
      </c>
      <c r="AM16" s="14">
        <v>2</v>
      </c>
      <c r="AN16" s="14">
        <v>72</v>
      </c>
      <c r="AO16" s="13" t="s">
        <v>45</v>
      </c>
      <c r="AP16" s="13"/>
    </row>
    <row r="17" spans="1:42" ht="38.25" x14ac:dyDescent="0.2">
      <c r="A17" s="22" t="s">
        <v>49</v>
      </c>
      <c r="B17" s="23" t="s">
        <v>50</v>
      </c>
      <c r="C17" s="22"/>
      <c r="D17" s="22" t="s">
        <v>51</v>
      </c>
      <c r="E17" s="87" t="s">
        <v>154</v>
      </c>
      <c r="F17" s="98" t="s">
        <v>932</v>
      </c>
      <c r="G17" s="95"/>
      <c r="H17" s="95"/>
      <c r="I17" s="22" t="s">
        <v>175</v>
      </c>
      <c r="J17" s="22"/>
      <c r="K17" s="22" t="s">
        <v>42</v>
      </c>
      <c r="L17" s="24">
        <v>2021</v>
      </c>
      <c r="M17" s="24"/>
      <c r="N17" s="38">
        <f>2000000/83*8.5/2</f>
        <v>102409.63855421687</v>
      </c>
      <c r="O17" s="39"/>
      <c r="P17" s="27">
        <f t="shared" si="0"/>
        <v>0</v>
      </c>
      <c r="Q17" s="28"/>
      <c r="R17" s="28">
        <f t="shared" si="1"/>
        <v>4</v>
      </c>
      <c r="S17" s="29">
        <f t="shared" si="2"/>
        <v>0</v>
      </c>
      <c r="T17" s="24"/>
      <c r="U17" s="24"/>
      <c r="V17" s="24"/>
      <c r="W17" s="24"/>
      <c r="X17" s="24"/>
      <c r="Y17" s="24"/>
      <c r="Z17" s="22"/>
      <c r="AA17" s="22"/>
      <c r="AB17" s="22"/>
      <c r="AC17" s="22"/>
      <c r="AD17" s="22" t="s">
        <v>55</v>
      </c>
      <c r="AE17" s="22" t="s">
        <v>43</v>
      </c>
      <c r="AF17" s="40" t="s">
        <v>132</v>
      </c>
      <c r="AG17" s="71" t="s">
        <v>176</v>
      </c>
      <c r="AH17" s="24">
        <v>2</v>
      </c>
      <c r="AI17" s="24">
        <v>2</v>
      </c>
      <c r="AJ17" s="24">
        <v>3</v>
      </c>
      <c r="AK17" s="24">
        <v>1</v>
      </c>
      <c r="AL17" s="24">
        <v>1</v>
      </c>
      <c r="AM17" s="24">
        <v>2</v>
      </c>
      <c r="AN17" s="24">
        <v>24</v>
      </c>
      <c r="AO17" s="22" t="s">
        <v>45</v>
      </c>
      <c r="AP17" s="22"/>
    </row>
    <row r="18" spans="1:42" ht="38.25" x14ac:dyDescent="0.2">
      <c r="A18" s="30" t="s">
        <v>86</v>
      </c>
      <c r="B18" s="30" t="s">
        <v>740</v>
      </c>
      <c r="C18" s="30"/>
      <c r="D18" s="30" t="s">
        <v>98</v>
      </c>
      <c r="E18" s="89" t="s">
        <v>994</v>
      </c>
      <c r="F18" s="96" t="s">
        <v>995</v>
      </c>
      <c r="G18" s="106"/>
      <c r="H18" s="30"/>
      <c r="I18" s="30" t="s">
        <v>741</v>
      </c>
      <c r="J18" s="30" t="s">
        <v>742</v>
      </c>
      <c r="K18" s="30" t="s">
        <v>201</v>
      </c>
      <c r="L18" s="31">
        <v>2019</v>
      </c>
      <c r="M18" s="31"/>
      <c r="N18" s="32">
        <f>0.3*120000</f>
        <v>36000</v>
      </c>
      <c r="O18" s="33"/>
      <c r="P18" s="34">
        <f t="shared" si="0"/>
        <v>0</v>
      </c>
      <c r="Q18" s="35"/>
      <c r="R18" s="35">
        <f t="shared" si="1"/>
        <v>4</v>
      </c>
      <c r="S18" s="36">
        <f t="shared" si="2"/>
        <v>0</v>
      </c>
      <c r="T18" s="31"/>
      <c r="U18" s="31"/>
      <c r="V18" s="31"/>
      <c r="W18" s="31"/>
      <c r="X18" s="31"/>
      <c r="Y18" s="31"/>
      <c r="Z18" s="30">
        <v>10000</v>
      </c>
      <c r="AA18" s="30"/>
      <c r="AB18" s="30"/>
      <c r="AC18" s="30"/>
      <c r="AD18" s="30" t="s">
        <v>42</v>
      </c>
      <c r="AE18" s="30" t="s">
        <v>43</v>
      </c>
      <c r="AF18" s="30" t="s">
        <v>70</v>
      </c>
      <c r="AG18" s="72" t="s">
        <v>743</v>
      </c>
      <c r="AH18" s="31">
        <v>1</v>
      </c>
      <c r="AI18" s="31">
        <v>3</v>
      </c>
      <c r="AJ18" s="31">
        <v>2</v>
      </c>
      <c r="AK18" s="31">
        <v>1</v>
      </c>
      <c r="AL18" s="31">
        <v>2</v>
      </c>
      <c r="AM18" s="31">
        <v>2</v>
      </c>
      <c r="AN18" s="31">
        <v>24</v>
      </c>
      <c r="AO18" s="30" t="s">
        <v>48</v>
      </c>
      <c r="AP18" s="30"/>
    </row>
    <row r="19" spans="1:42" ht="38.25" x14ac:dyDescent="0.2">
      <c r="A19" s="13" t="s">
        <v>58</v>
      </c>
      <c r="B19" s="13" t="s">
        <v>109</v>
      </c>
      <c r="C19" s="13"/>
      <c r="D19" s="13" t="s">
        <v>60</v>
      </c>
      <c r="E19" s="91" t="s">
        <v>99</v>
      </c>
      <c r="F19" s="101" t="s">
        <v>927</v>
      </c>
      <c r="G19" s="108"/>
      <c r="H19" s="108"/>
      <c r="I19" s="13" t="s">
        <v>110</v>
      </c>
      <c r="J19" s="13"/>
      <c r="K19" s="13" t="s">
        <v>42</v>
      </c>
      <c r="L19" s="14">
        <v>2020</v>
      </c>
      <c r="M19" s="14"/>
      <c r="N19" s="15">
        <f>8500000/175000</f>
        <v>48.571428571428569</v>
      </c>
      <c r="O19" s="16"/>
      <c r="P19" s="17">
        <f t="shared" si="0"/>
        <v>0</v>
      </c>
      <c r="Q19" s="18"/>
      <c r="R19" s="18">
        <f t="shared" si="1"/>
        <v>4</v>
      </c>
      <c r="S19" s="19">
        <f t="shared" si="2"/>
        <v>0</v>
      </c>
      <c r="T19" s="14"/>
      <c r="U19" s="14"/>
      <c r="V19" s="14"/>
      <c r="W19" s="14"/>
      <c r="X19" s="14"/>
      <c r="Y19" s="14"/>
      <c r="Z19" s="13"/>
      <c r="AA19" s="13"/>
      <c r="AB19" s="13"/>
      <c r="AC19" s="13"/>
      <c r="AD19" s="13" t="s">
        <v>42</v>
      </c>
      <c r="AE19" s="13" t="s">
        <v>43</v>
      </c>
      <c r="AF19" s="20" t="s">
        <v>76</v>
      </c>
      <c r="AG19" s="70" t="s">
        <v>111</v>
      </c>
      <c r="AH19" s="14">
        <v>3</v>
      </c>
      <c r="AI19" s="14">
        <v>1</v>
      </c>
      <c r="AJ19" s="14">
        <v>3</v>
      </c>
      <c r="AK19" s="14">
        <v>3</v>
      </c>
      <c r="AL19" s="14">
        <v>1</v>
      </c>
      <c r="AM19" s="14">
        <v>2</v>
      </c>
      <c r="AN19" s="14">
        <v>54</v>
      </c>
      <c r="AO19" s="13"/>
      <c r="AP19" s="13"/>
    </row>
    <row r="20" spans="1:42" ht="38.25" x14ac:dyDescent="0.2">
      <c r="A20" s="30" t="s">
        <v>58</v>
      </c>
      <c r="B20" s="30" t="s">
        <v>434</v>
      </c>
      <c r="C20" s="30"/>
      <c r="D20" s="30" t="s">
        <v>60</v>
      </c>
      <c r="E20" s="89" t="s">
        <v>99</v>
      </c>
      <c r="F20" s="96" t="s">
        <v>927</v>
      </c>
      <c r="G20" s="106"/>
      <c r="H20" s="106"/>
      <c r="I20" s="30" t="s">
        <v>435</v>
      </c>
      <c r="J20" s="30"/>
      <c r="K20" s="30" t="s">
        <v>266</v>
      </c>
      <c r="L20" s="31">
        <v>2020</v>
      </c>
      <c r="M20" s="31"/>
      <c r="N20" s="32">
        <f>8000000/10000*2.5</f>
        <v>2000</v>
      </c>
      <c r="O20" s="33"/>
      <c r="P20" s="34">
        <f t="shared" si="0"/>
        <v>0</v>
      </c>
      <c r="Q20" s="35"/>
      <c r="R20" s="35">
        <f t="shared" si="1"/>
        <v>4</v>
      </c>
      <c r="S20" s="36">
        <f t="shared" si="2"/>
        <v>0</v>
      </c>
      <c r="T20" s="31"/>
      <c r="U20" s="31"/>
      <c r="V20" s="31"/>
      <c r="W20" s="31"/>
      <c r="X20" s="31"/>
      <c r="Y20" s="31"/>
      <c r="Z20" s="30"/>
      <c r="AA20" s="30"/>
      <c r="AB20" s="30"/>
      <c r="AC20" s="30"/>
      <c r="AD20" s="30" t="s">
        <v>42</v>
      </c>
      <c r="AE20" s="30" t="s">
        <v>43</v>
      </c>
      <c r="AF20" s="37" t="s">
        <v>76</v>
      </c>
      <c r="AG20" s="72" t="s">
        <v>436</v>
      </c>
      <c r="AH20" s="31">
        <v>3</v>
      </c>
      <c r="AI20" s="31">
        <v>1</v>
      </c>
      <c r="AJ20" s="31">
        <v>3</v>
      </c>
      <c r="AK20" s="31">
        <v>3</v>
      </c>
      <c r="AL20" s="31">
        <v>1</v>
      </c>
      <c r="AM20" s="31">
        <v>2</v>
      </c>
      <c r="AN20" s="31">
        <v>54</v>
      </c>
      <c r="AO20" s="30" t="s">
        <v>45</v>
      </c>
      <c r="AP20" s="30"/>
    </row>
    <row r="21" spans="1:42" s="129" customFormat="1" ht="38.25" x14ac:dyDescent="0.2">
      <c r="A21" s="13" t="s">
        <v>58</v>
      </c>
      <c r="B21" s="13" t="s">
        <v>451</v>
      </c>
      <c r="C21" s="13"/>
      <c r="D21" s="13" t="s">
        <v>60</v>
      </c>
      <c r="E21" s="91" t="s">
        <v>99</v>
      </c>
      <c r="F21" s="101" t="s">
        <v>927</v>
      </c>
      <c r="G21" s="108"/>
      <c r="H21" s="108"/>
      <c r="I21" s="13" t="s">
        <v>797</v>
      </c>
      <c r="J21" s="13"/>
      <c r="K21" s="13" t="s">
        <v>42</v>
      </c>
      <c r="L21" s="14">
        <v>2022</v>
      </c>
      <c r="M21" s="14"/>
      <c r="N21" s="15">
        <f>50000/7750000000*8500000</f>
        <v>54.838709677419352</v>
      </c>
      <c r="O21" s="16"/>
      <c r="P21" s="17">
        <f t="shared" si="0"/>
        <v>0</v>
      </c>
      <c r="Q21" s="18">
        <v>10000</v>
      </c>
      <c r="R21" s="18">
        <f t="shared" si="1"/>
        <v>240</v>
      </c>
      <c r="S21" s="19">
        <f t="shared" si="2"/>
        <v>0</v>
      </c>
      <c r="T21" s="14"/>
      <c r="U21" s="14"/>
      <c r="V21" s="14"/>
      <c r="W21" s="14"/>
      <c r="X21" s="14"/>
      <c r="Y21" s="14"/>
      <c r="Z21" s="13"/>
      <c r="AA21" s="13"/>
      <c r="AB21" s="135">
        <f>Q21*N21*0.1*2</f>
        <v>109677.41935483873</v>
      </c>
      <c r="AC21" s="13">
        <v>4000</v>
      </c>
      <c r="AD21" s="13" t="s">
        <v>42</v>
      </c>
      <c r="AE21" s="13" t="s">
        <v>43</v>
      </c>
      <c r="AF21" s="20" t="s">
        <v>1080</v>
      </c>
      <c r="AG21" s="70" t="s">
        <v>1081</v>
      </c>
      <c r="AH21" s="14">
        <v>3</v>
      </c>
      <c r="AI21" s="14">
        <v>2</v>
      </c>
      <c r="AJ21" s="14">
        <v>3</v>
      </c>
      <c r="AK21" s="14">
        <v>2</v>
      </c>
      <c r="AL21" s="14">
        <v>1</v>
      </c>
      <c r="AM21" s="14">
        <v>2</v>
      </c>
      <c r="AN21" s="14">
        <v>72</v>
      </c>
      <c r="AO21" s="13" t="s">
        <v>45</v>
      </c>
      <c r="AP21" s="13"/>
    </row>
    <row r="22" spans="1:42" ht="38.25" x14ac:dyDescent="0.2">
      <c r="A22" s="22" t="s">
        <v>35</v>
      </c>
      <c r="B22" s="22" t="s">
        <v>526</v>
      </c>
      <c r="C22" s="22"/>
      <c r="D22" s="22" t="s">
        <v>37</v>
      </c>
      <c r="E22" s="87" t="s">
        <v>565</v>
      </c>
      <c r="F22" s="79" t="s">
        <v>975</v>
      </c>
      <c r="G22" s="22"/>
      <c r="H22" s="95"/>
      <c r="I22" s="22" t="s">
        <v>566</v>
      </c>
      <c r="J22" s="22"/>
      <c r="K22" s="22" t="s">
        <v>64</v>
      </c>
      <c r="L22" s="24">
        <v>2020</v>
      </c>
      <c r="M22" s="24"/>
      <c r="N22" s="51">
        <v>622</v>
      </c>
      <c r="O22" s="39"/>
      <c r="P22" s="27">
        <f t="shared" si="0"/>
        <v>0</v>
      </c>
      <c r="Q22" s="28"/>
      <c r="R22" s="28">
        <f t="shared" si="1"/>
        <v>4</v>
      </c>
      <c r="S22" s="29">
        <f t="shared" si="2"/>
        <v>0</v>
      </c>
      <c r="T22" s="24"/>
      <c r="U22" s="24"/>
      <c r="V22" s="24"/>
      <c r="W22" s="24"/>
      <c r="X22" s="24"/>
      <c r="Y22" s="24"/>
      <c r="Z22" s="22"/>
      <c r="AA22" s="22"/>
      <c r="AB22" s="22"/>
      <c r="AC22" s="22"/>
      <c r="AD22" s="22" t="s">
        <v>64</v>
      </c>
      <c r="AE22" s="22"/>
      <c r="AF22" s="22" t="s">
        <v>129</v>
      </c>
      <c r="AG22" s="71" t="s">
        <v>567</v>
      </c>
      <c r="AH22" s="24">
        <v>1</v>
      </c>
      <c r="AI22" s="24">
        <v>2</v>
      </c>
      <c r="AJ22" s="24">
        <v>2</v>
      </c>
      <c r="AK22" s="24">
        <v>3</v>
      </c>
      <c r="AL22" s="24">
        <v>1</v>
      </c>
      <c r="AM22" s="24">
        <v>1</v>
      </c>
      <c r="AN22" s="24">
        <v>12</v>
      </c>
      <c r="AO22" s="22" t="s">
        <v>45</v>
      </c>
      <c r="AP22" s="22"/>
    </row>
    <row r="23" spans="1:42" x14ac:dyDescent="0.2">
      <c r="A23" s="22" t="s">
        <v>35</v>
      </c>
      <c r="B23" s="22"/>
      <c r="C23" s="22"/>
      <c r="D23" s="22" t="s">
        <v>37</v>
      </c>
      <c r="E23" s="87" t="s">
        <v>565</v>
      </c>
      <c r="F23" s="79"/>
      <c r="G23" s="95"/>
      <c r="H23" s="95"/>
      <c r="I23" s="22" t="s">
        <v>1034</v>
      </c>
      <c r="J23" s="22" t="s">
        <v>1085</v>
      </c>
      <c r="K23" s="22" t="s">
        <v>42</v>
      </c>
      <c r="L23" s="24">
        <v>2022</v>
      </c>
      <c r="M23" s="24"/>
      <c r="N23" s="51"/>
      <c r="O23" s="39"/>
      <c r="P23" s="27">
        <v>10</v>
      </c>
      <c r="Q23" s="28">
        <v>8000</v>
      </c>
      <c r="R23" s="28">
        <v>240</v>
      </c>
      <c r="S23" s="29"/>
      <c r="T23" s="24"/>
      <c r="U23" s="24"/>
      <c r="V23" s="24"/>
      <c r="W23" s="24"/>
      <c r="X23" s="24"/>
      <c r="Y23" s="24"/>
      <c r="Z23" s="113">
        <f>Q23*P23*3</f>
        <v>240000</v>
      </c>
      <c r="AA23" s="22"/>
      <c r="AB23" s="22"/>
      <c r="AC23" s="22"/>
      <c r="AD23" s="22" t="s">
        <v>201</v>
      </c>
      <c r="AE23" s="22"/>
      <c r="AF23" s="22"/>
      <c r="AG23" s="71"/>
      <c r="AH23" s="24">
        <v>1</v>
      </c>
      <c r="AI23" s="24">
        <v>3</v>
      </c>
      <c r="AJ23" s="24">
        <v>2</v>
      </c>
      <c r="AK23" s="24">
        <v>3</v>
      </c>
      <c r="AL23" s="24">
        <v>1</v>
      </c>
      <c r="AM23" s="24">
        <v>2</v>
      </c>
      <c r="AN23" s="24">
        <f>AH23*AI23*AJ23*AK23*AL23*AM23</f>
        <v>36</v>
      </c>
      <c r="AO23" s="22" t="s">
        <v>48</v>
      </c>
      <c r="AP23" s="22"/>
    </row>
    <row r="24" spans="1:42" x14ac:dyDescent="0.2">
      <c r="A24" s="22" t="s">
        <v>47</v>
      </c>
      <c r="B24" s="22" t="s">
        <v>1072</v>
      </c>
      <c r="C24" s="22"/>
      <c r="D24" s="22" t="s">
        <v>98</v>
      </c>
      <c r="E24" s="87" t="s">
        <v>565</v>
      </c>
      <c r="F24" s="79"/>
      <c r="G24" s="95"/>
      <c r="H24" s="95"/>
      <c r="I24" s="22" t="s">
        <v>1073</v>
      </c>
      <c r="J24" s="22"/>
      <c r="K24" s="22" t="s">
        <v>42</v>
      </c>
      <c r="L24" s="24">
        <v>2023</v>
      </c>
      <c r="M24" s="24"/>
      <c r="N24" s="51"/>
      <c r="O24" s="39"/>
      <c r="P24" s="27"/>
      <c r="Q24" s="28"/>
      <c r="R24" s="28"/>
      <c r="S24" s="29"/>
      <c r="T24" s="24"/>
      <c r="U24" s="24"/>
      <c r="V24" s="24"/>
      <c r="W24" s="24"/>
      <c r="X24" s="24"/>
      <c r="Y24" s="24"/>
      <c r="Z24" s="113"/>
      <c r="AA24" s="22"/>
      <c r="AB24" s="22"/>
      <c r="AC24" s="22"/>
      <c r="AD24" s="22"/>
      <c r="AE24" s="22"/>
      <c r="AF24" s="22"/>
      <c r="AG24" s="71"/>
      <c r="AH24" s="24"/>
      <c r="AI24" s="24"/>
      <c r="AJ24" s="24"/>
      <c r="AK24" s="24"/>
      <c r="AL24" s="24"/>
      <c r="AM24" s="24"/>
      <c r="AN24" s="24"/>
      <c r="AO24" s="22"/>
      <c r="AP24" s="22"/>
    </row>
    <row r="25" spans="1:42" s="133" customFormat="1" x14ac:dyDescent="0.2">
      <c r="A25" s="30" t="s">
        <v>72</v>
      </c>
      <c r="B25" s="30" t="s">
        <v>363</v>
      </c>
      <c r="C25" s="30"/>
      <c r="D25" s="30" t="s">
        <v>37</v>
      </c>
      <c r="E25" s="89" t="s">
        <v>1077</v>
      </c>
      <c r="F25" s="131"/>
      <c r="G25" s="106"/>
      <c r="H25" s="106"/>
      <c r="I25" s="30" t="s">
        <v>1078</v>
      </c>
      <c r="J25" s="30"/>
      <c r="K25" s="30"/>
      <c r="L25" s="31"/>
      <c r="M25" s="31"/>
      <c r="N25" s="32">
        <v>360</v>
      </c>
      <c r="O25" s="33"/>
      <c r="P25" s="34">
        <v>20</v>
      </c>
      <c r="Q25" s="35">
        <v>20000</v>
      </c>
      <c r="R25" s="35"/>
      <c r="S25" s="36"/>
      <c r="T25" s="31"/>
      <c r="U25" s="31"/>
      <c r="V25" s="31"/>
      <c r="W25" s="31"/>
      <c r="X25" s="31"/>
      <c r="Y25" s="31"/>
      <c r="Z25" s="132"/>
      <c r="AA25" s="30"/>
      <c r="AB25" s="132">
        <f>Q25*P25*5</f>
        <v>2000000</v>
      </c>
      <c r="AC25" s="30"/>
      <c r="AD25" s="30" t="s">
        <v>42</v>
      </c>
      <c r="AE25" s="30"/>
      <c r="AF25" s="30"/>
      <c r="AG25" s="72"/>
      <c r="AH25" s="31">
        <v>1</v>
      </c>
      <c r="AI25" s="31">
        <v>1</v>
      </c>
      <c r="AJ25" s="31">
        <v>2</v>
      </c>
      <c r="AK25" s="31">
        <v>3</v>
      </c>
      <c r="AL25" s="31">
        <v>1</v>
      </c>
      <c r="AM25" s="31">
        <v>2</v>
      </c>
      <c r="AN25" s="31">
        <f>AH25*AI25*AJ25*AK25*AL25*AM25</f>
        <v>12</v>
      </c>
      <c r="AO25" s="30"/>
      <c r="AP25" s="37">
        <v>44621</v>
      </c>
    </row>
    <row r="26" spans="1:42" ht="38.25" x14ac:dyDescent="0.2">
      <c r="A26" s="22" t="s">
        <v>86</v>
      </c>
      <c r="B26" s="22" t="s">
        <v>737</v>
      </c>
      <c r="C26" s="22"/>
      <c r="D26" s="22" t="s">
        <v>98</v>
      </c>
      <c r="E26" s="87" t="s">
        <v>251</v>
      </c>
      <c r="F26" s="114" t="s">
        <v>975</v>
      </c>
      <c r="G26" s="95"/>
      <c r="H26" s="95"/>
      <c r="I26" s="22" t="s">
        <v>738</v>
      </c>
      <c r="J26" s="22"/>
      <c r="K26" s="22" t="s">
        <v>42</v>
      </c>
      <c r="L26" s="24">
        <v>2022</v>
      </c>
      <c r="M26" s="24"/>
      <c r="N26" s="38">
        <f>8000000/15</f>
        <v>533333.33333333337</v>
      </c>
      <c r="O26" s="39"/>
      <c r="P26" s="27">
        <v>20</v>
      </c>
      <c r="Q26" s="28">
        <v>2500</v>
      </c>
      <c r="R26" s="28">
        <f t="shared" si="1"/>
        <v>235.00000000000003</v>
      </c>
      <c r="S26" s="29">
        <f t="shared" si="2"/>
        <v>4700.0000000000009</v>
      </c>
      <c r="T26" s="24"/>
      <c r="U26" s="24"/>
      <c r="V26" s="24"/>
      <c r="W26" s="24"/>
      <c r="X26" s="24"/>
      <c r="Y26" s="24"/>
      <c r="Z26" s="113">
        <f>Q26*P26*0.5*6</f>
        <v>150000</v>
      </c>
      <c r="AA26" s="22"/>
      <c r="AB26" s="22"/>
      <c r="AC26" s="22"/>
      <c r="AD26" s="22" t="s">
        <v>42</v>
      </c>
      <c r="AE26" s="22"/>
      <c r="AF26" s="22"/>
      <c r="AG26" s="71" t="s">
        <v>739</v>
      </c>
      <c r="AH26" s="24">
        <v>2</v>
      </c>
      <c r="AI26" s="24">
        <v>3</v>
      </c>
      <c r="AJ26" s="24">
        <v>3</v>
      </c>
      <c r="AK26" s="24">
        <v>1</v>
      </c>
      <c r="AL26" s="24">
        <v>2</v>
      </c>
      <c r="AM26" s="24">
        <v>2</v>
      </c>
      <c r="AN26" s="24">
        <v>72</v>
      </c>
      <c r="AO26" s="22" t="s">
        <v>48</v>
      </c>
      <c r="AP26" s="22"/>
    </row>
    <row r="27" spans="1:42" x14ac:dyDescent="0.2">
      <c r="A27" s="61" t="s">
        <v>72</v>
      </c>
      <c r="B27" s="61" t="s">
        <v>184</v>
      </c>
      <c r="C27" s="61"/>
      <c r="D27" s="61" t="s">
        <v>37</v>
      </c>
      <c r="E27" s="93" t="s">
        <v>565</v>
      </c>
      <c r="F27" s="104"/>
      <c r="G27" s="104"/>
      <c r="H27" s="104"/>
      <c r="I27" s="61" t="s">
        <v>770</v>
      </c>
      <c r="J27" s="61"/>
      <c r="K27" s="61" t="s">
        <v>42</v>
      </c>
      <c r="L27" s="62"/>
      <c r="M27" s="62"/>
      <c r="N27" s="38">
        <f>150000*2/3</f>
        <v>100000</v>
      </c>
      <c r="O27" s="39"/>
      <c r="P27" s="27">
        <f t="shared" si="0"/>
        <v>0</v>
      </c>
      <c r="Q27" s="28"/>
      <c r="R27" s="28">
        <f t="shared" si="1"/>
        <v>4</v>
      </c>
      <c r="S27" s="29">
        <f t="shared" si="2"/>
        <v>0</v>
      </c>
      <c r="T27" s="62"/>
      <c r="U27" s="62"/>
      <c r="V27" s="62"/>
      <c r="W27" s="62"/>
      <c r="X27" s="62"/>
      <c r="Y27" s="62"/>
      <c r="Z27" s="61">
        <v>0</v>
      </c>
      <c r="AA27" s="61"/>
      <c r="AB27" s="61"/>
      <c r="AC27" s="61"/>
      <c r="AD27" s="61" t="s">
        <v>42</v>
      </c>
      <c r="AE27" s="61"/>
      <c r="AF27" s="61" t="s">
        <v>735</v>
      </c>
      <c r="AG27" s="75"/>
      <c r="AH27" s="62">
        <v>2</v>
      </c>
      <c r="AI27" s="62">
        <v>3</v>
      </c>
      <c r="AJ27" s="62">
        <v>3</v>
      </c>
      <c r="AK27" s="62">
        <v>3</v>
      </c>
      <c r="AL27" s="62">
        <v>1</v>
      </c>
      <c r="AM27" s="62">
        <v>3</v>
      </c>
      <c r="AN27" s="62">
        <v>162</v>
      </c>
      <c r="AO27" s="61" t="s">
        <v>48</v>
      </c>
      <c r="AP27" s="61"/>
    </row>
    <row r="28" spans="1:42" ht="38.25" x14ac:dyDescent="0.2">
      <c r="A28" s="22" t="s">
        <v>58</v>
      </c>
      <c r="B28" s="23" t="s">
        <v>243</v>
      </c>
      <c r="C28" s="22"/>
      <c r="D28" s="22" t="s">
        <v>60</v>
      </c>
      <c r="E28" s="87" t="s">
        <v>244</v>
      </c>
      <c r="F28" s="99" t="s">
        <v>941</v>
      </c>
      <c r="G28" s="95"/>
      <c r="H28" s="95"/>
      <c r="I28" s="23" t="s">
        <v>1086</v>
      </c>
      <c r="J28" s="22"/>
      <c r="K28" s="22" t="s">
        <v>64</v>
      </c>
      <c r="L28" s="24">
        <v>2022</v>
      </c>
      <c r="M28" s="24"/>
      <c r="N28" s="52">
        <f>7500/7500000000*8500000</f>
        <v>8.5</v>
      </c>
      <c r="O28" s="39"/>
      <c r="P28" s="27">
        <f t="shared" si="0"/>
        <v>0</v>
      </c>
      <c r="Q28" s="28">
        <v>3000</v>
      </c>
      <c r="R28" s="28">
        <f t="shared" si="1"/>
        <v>240</v>
      </c>
      <c r="S28" s="29">
        <f t="shared" si="2"/>
        <v>0</v>
      </c>
      <c r="T28" s="24"/>
      <c r="U28" s="24"/>
      <c r="V28" s="24"/>
      <c r="W28" s="24"/>
      <c r="X28" s="24"/>
      <c r="Y28" s="24"/>
      <c r="Z28" s="22"/>
      <c r="AA28" s="22"/>
      <c r="AB28" s="22"/>
      <c r="AC28" s="22"/>
      <c r="AD28" s="22" t="s">
        <v>64</v>
      </c>
      <c r="AE28" s="22"/>
      <c r="AF28" s="22"/>
      <c r="AG28" s="71" t="s">
        <v>245</v>
      </c>
      <c r="AH28" s="24">
        <v>1</v>
      </c>
      <c r="AI28" s="24">
        <v>1</v>
      </c>
      <c r="AJ28" s="24">
        <v>2</v>
      </c>
      <c r="AK28" s="24">
        <v>3</v>
      </c>
      <c r="AL28" s="24">
        <v>1</v>
      </c>
      <c r="AM28" s="24">
        <v>1</v>
      </c>
      <c r="AN28" s="24">
        <v>6</v>
      </c>
      <c r="AO28" s="22" t="s">
        <v>48</v>
      </c>
      <c r="AP28" s="22"/>
    </row>
    <row r="29" spans="1:42" ht="38.25" x14ac:dyDescent="0.2">
      <c r="A29" s="22" t="s">
        <v>58</v>
      </c>
      <c r="B29" s="22" t="s">
        <v>660</v>
      </c>
      <c r="C29" s="22"/>
      <c r="D29" s="22" t="s">
        <v>98</v>
      </c>
      <c r="E29" s="87" t="s">
        <v>661</v>
      </c>
      <c r="F29" s="95"/>
      <c r="G29" s="98" t="s">
        <v>986</v>
      </c>
      <c r="H29" s="95"/>
      <c r="I29" s="22" t="s">
        <v>662</v>
      </c>
      <c r="J29" s="22" t="s">
        <v>663</v>
      </c>
      <c r="K29" s="22" t="s">
        <v>315</v>
      </c>
      <c r="L29" s="24">
        <v>2019</v>
      </c>
      <c r="M29" s="24"/>
      <c r="N29" s="52">
        <f>0.0003*8500000</f>
        <v>2550</v>
      </c>
      <c r="O29" s="39"/>
      <c r="P29" s="27">
        <f t="shared" si="0"/>
        <v>0</v>
      </c>
      <c r="Q29" s="28"/>
      <c r="R29" s="28">
        <f t="shared" si="1"/>
        <v>4</v>
      </c>
      <c r="S29" s="29">
        <f t="shared" si="2"/>
        <v>0</v>
      </c>
      <c r="T29" s="24"/>
      <c r="U29" s="24"/>
      <c r="V29" s="24"/>
      <c r="W29" s="24"/>
      <c r="X29" s="24"/>
      <c r="Y29" s="24"/>
      <c r="Z29" s="22">
        <v>5000</v>
      </c>
      <c r="AA29" s="22"/>
      <c r="AB29" s="22"/>
      <c r="AC29" s="22"/>
      <c r="AD29" s="22" t="s">
        <v>42</v>
      </c>
      <c r="AE29" s="22"/>
      <c r="AF29" s="22"/>
      <c r="AG29" s="71" t="s">
        <v>664</v>
      </c>
      <c r="AH29" s="24">
        <v>1</v>
      </c>
      <c r="AI29" s="24">
        <v>2</v>
      </c>
      <c r="AJ29" s="24">
        <v>2</v>
      </c>
      <c r="AK29" s="24">
        <v>3</v>
      </c>
      <c r="AL29" s="24">
        <v>1</v>
      </c>
      <c r="AM29" s="24">
        <v>2</v>
      </c>
      <c r="AN29" s="24">
        <v>24</v>
      </c>
      <c r="AO29" s="22" t="s">
        <v>48</v>
      </c>
      <c r="AP29" s="22"/>
    </row>
    <row r="30" spans="1:42" x14ac:dyDescent="0.2">
      <c r="A30" s="22" t="s">
        <v>58</v>
      </c>
      <c r="B30" s="22" t="s">
        <v>1047</v>
      </c>
      <c r="C30" s="22"/>
      <c r="D30" s="22" t="s">
        <v>98</v>
      </c>
      <c r="E30" s="87" t="s">
        <v>1046</v>
      </c>
      <c r="F30" s="95"/>
      <c r="G30" s="98"/>
      <c r="H30" s="95"/>
      <c r="I30" s="22" t="s">
        <v>1048</v>
      </c>
      <c r="J30" s="22" t="s">
        <v>1049</v>
      </c>
      <c r="K30" s="22" t="s">
        <v>1017</v>
      </c>
      <c r="L30" s="24">
        <v>2022</v>
      </c>
      <c r="M30" s="24"/>
      <c r="N30" s="128">
        <v>10</v>
      </c>
      <c r="O30" s="39"/>
      <c r="P30" s="27">
        <v>2</v>
      </c>
      <c r="Q30" s="28">
        <v>20000</v>
      </c>
      <c r="R30" s="28">
        <v>240</v>
      </c>
      <c r="S30" s="29"/>
      <c r="T30" s="24"/>
      <c r="U30" s="24"/>
      <c r="V30" s="24"/>
      <c r="W30" s="24"/>
      <c r="X30" s="24"/>
      <c r="Y30" s="24"/>
      <c r="Z30" s="113">
        <f>N30*Q30*5</f>
        <v>1000000</v>
      </c>
      <c r="AA30" s="22"/>
      <c r="AB30" s="22"/>
      <c r="AC30" s="22"/>
      <c r="AD30" s="22"/>
      <c r="AE30" s="22"/>
      <c r="AF30" s="22"/>
      <c r="AG30" s="71"/>
      <c r="AH30" s="24"/>
      <c r="AI30" s="24"/>
      <c r="AJ30" s="24"/>
      <c r="AK30" s="24"/>
      <c r="AL30" s="24"/>
      <c r="AM30" s="24"/>
      <c r="AN30" s="24"/>
      <c r="AO30" s="22"/>
      <c r="AP30" s="22"/>
    </row>
    <row r="31" spans="1:42" ht="51" x14ac:dyDescent="0.2">
      <c r="A31" s="22" t="s">
        <v>86</v>
      </c>
      <c r="B31" s="23" t="s">
        <v>730</v>
      </c>
      <c r="C31" s="22"/>
      <c r="D31" s="22" t="s">
        <v>37</v>
      </c>
      <c r="E31" s="87" t="s">
        <v>731</v>
      </c>
      <c r="F31" s="95"/>
      <c r="G31" s="95"/>
      <c r="H31" s="79" t="s">
        <v>993</v>
      </c>
      <c r="I31" s="22" t="s">
        <v>732</v>
      </c>
      <c r="J31" s="22" t="s">
        <v>733</v>
      </c>
      <c r="K31" s="22" t="s">
        <v>734</v>
      </c>
      <c r="L31" s="24">
        <v>2021</v>
      </c>
      <c r="M31" s="24"/>
      <c r="N31" s="38">
        <f>8500000*0.05</f>
        <v>425000</v>
      </c>
      <c r="O31" s="39"/>
      <c r="P31" s="27">
        <f t="shared" si="0"/>
        <v>0</v>
      </c>
      <c r="Q31" s="28"/>
      <c r="R31" s="28">
        <f t="shared" si="1"/>
        <v>4</v>
      </c>
      <c r="S31" s="29">
        <f t="shared" si="2"/>
        <v>0</v>
      </c>
      <c r="T31" s="24"/>
      <c r="U31" s="24"/>
      <c r="V31" s="24"/>
      <c r="W31" s="24"/>
      <c r="X31" s="24"/>
      <c r="Y31" s="24"/>
      <c r="Z31" s="22">
        <v>5000</v>
      </c>
      <c r="AA31" s="22"/>
      <c r="AB31" s="22"/>
      <c r="AC31" s="22"/>
      <c r="AD31" s="22" t="s">
        <v>42</v>
      </c>
      <c r="AE31" s="22"/>
      <c r="AF31" s="22" t="s">
        <v>735</v>
      </c>
      <c r="AG31" s="71" t="s">
        <v>736</v>
      </c>
      <c r="AH31" s="24">
        <v>1</v>
      </c>
      <c r="AI31" s="24">
        <v>3</v>
      </c>
      <c r="AJ31" s="24">
        <v>1</v>
      </c>
      <c r="AK31" s="24">
        <v>3</v>
      </c>
      <c r="AL31" s="24">
        <v>2</v>
      </c>
      <c r="AM31" s="24">
        <v>2</v>
      </c>
      <c r="AN31" s="24">
        <v>36</v>
      </c>
      <c r="AO31" s="22" t="s">
        <v>48</v>
      </c>
      <c r="AP31" s="22"/>
    </row>
    <row r="32" spans="1:42" ht="38.25" x14ac:dyDescent="0.2">
      <c r="A32" s="22" t="s">
        <v>86</v>
      </c>
      <c r="B32" s="22" t="s">
        <v>411</v>
      </c>
      <c r="C32" s="22"/>
      <c r="D32" s="22" t="s">
        <v>37</v>
      </c>
      <c r="E32" s="87" t="s">
        <v>412</v>
      </c>
      <c r="F32" s="84" t="s">
        <v>959</v>
      </c>
      <c r="G32" s="95"/>
      <c r="H32" s="95"/>
      <c r="I32" s="22" t="s">
        <v>413</v>
      </c>
      <c r="J32" s="22"/>
      <c r="K32" s="22" t="s">
        <v>42</v>
      </c>
      <c r="L32" s="24">
        <v>2022</v>
      </c>
      <c r="M32" s="24"/>
      <c r="N32" s="38">
        <f>8500000/1000</f>
        <v>8500</v>
      </c>
      <c r="O32" s="39"/>
      <c r="P32" s="27">
        <f t="shared" si="0"/>
        <v>0</v>
      </c>
      <c r="Q32" s="28"/>
      <c r="R32" s="28">
        <f t="shared" si="1"/>
        <v>4</v>
      </c>
      <c r="S32" s="29">
        <f t="shared" si="2"/>
        <v>0</v>
      </c>
      <c r="T32" s="24"/>
      <c r="U32" s="24"/>
      <c r="V32" s="24"/>
      <c r="W32" s="24"/>
      <c r="X32" s="24"/>
      <c r="Y32" s="24"/>
      <c r="Z32" s="22"/>
      <c r="AA32" s="22"/>
      <c r="AB32" s="22"/>
      <c r="AC32" s="22"/>
      <c r="AD32" s="22" t="s">
        <v>42</v>
      </c>
      <c r="AE32" s="22"/>
      <c r="AF32" s="22"/>
      <c r="AG32" s="71" t="s">
        <v>414</v>
      </c>
      <c r="AH32" s="24">
        <v>1</v>
      </c>
      <c r="AI32" s="24">
        <v>2</v>
      </c>
      <c r="AJ32" s="24">
        <v>2</v>
      </c>
      <c r="AK32" s="24">
        <v>1</v>
      </c>
      <c r="AL32" s="24">
        <v>2</v>
      </c>
      <c r="AM32" s="24">
        <v>1</v>
      </c>
      <c r="AN32" s="24">
        <v>8</v>
      </c>
      <c r="AO32" s="22" t="s">
        <v>45</v>
      </c>
      <c r="AP32" s="22"/>
    </row>
    <row r="33" spans="1:42" ht="38.25" x14ac:dyDescent="0.2">
      <c r="A33" s="22" t="s">
        <v>58</v>
      </c>
      <c r="B33" s="22" t="s">
        <v>625</v>
      </c>
      <c r="C33" s="22"/>
      <c r="D33" s="22" t="s">
        <v>37</v>
      </c>
      <c r="E33" s="87" t="s">
        <v>412</v>
      </c>
      <c r="F33" s="84" t="s">
        <v>959</v>
      </c>
      <c r="G33" s="95"/>
      <c r="H33" s="95"/>
      <c r="I33" s="22" t="s">
        <v>626</v>
      </c>
      <c r="J33" s="22"/>
      <c r="K33" s="22" t="s">
        <v>128</v>
      </c>
      <c r="L33" s="24">
        <v>2021</v>
      </c>
      <c r="M33" s="24"/>
      <c r="N33" s="51">
        <f>8500000/1000000*4</f>
        <v>34</v>
      </c>
      <c r="O33" s="39"/>
      <c r="P33" s="27">
        <f t="shared" si="0"/>
        <v>0</v>
      </c>
      <c r="Q33" s="28"/>
      <c r="R33" s="28">
        <f t="shared" si="1"/>
        <v>4</v>
      </c>
      <c r="S33" s="29">
        <f t="shared" si="2"/>
        <v>0</v>
      </c>
      <c r="T33" s="24"/>
      <c r="U33" s="24"/>
      <c r="V33" s="24"/>
      <c r="W33" s="24"/>
      <c r="X33" s="24"/>
      <c r="Y33" s="24"/>
      <c r="Z33" s="22">
        <v>0</v>
      </c>
      <c r="AA33" s="22"/>
      <c r="AB33" s="22"/>
      <c r="AC33" s="22"/>
      <c r="AD33" s="22" t="s">
        <v>64</v>
      </c>
      <c r="AE33" s="22"/>
      <c r="AF33" s="22" t="s">
        <v>56</v>
      </c>
      <c r="AG33" s="71" t="s">
        <v>557</v>
      </c>
      <c r="AH33" s="24">
        <v>1</v>
      </c>
      <c r="AI33" s="24">
        <v>2</v>
      </c>
      <c r="AJ33" s="24">
        <v>1</v>
      </c>
      <c r="AK33" s="24">
        <v>2</v>
      </c>
      <c r="AL33" s="24">
        <v>2</v>
      </c>
      <c r="AM33" s="24">
        <v>2</v>
      </c>
      <c r="AN33" s="24">
        <v>16</v>
      </c>
      <c r="AO33" s="22" t="s">
        <v>45</v>
      </c>
      <c r="AP33" s="22"/>
    </row>
    <row r="34" spans="1:42" ht="38.25" x14ac:dyDescent="0.2">
      <c r="A34" s="13" t="s">
        <v>35</v>
      </c>
      <c r="B34" s="13" t="s">
        <v>91</v>
      </c>
      <c r="C34" s="13"/>
      <c r="D34" s="13" t="s">
        <v>37</v>
      </c>
      <c r="E34" s="91" t="s">
        <v>92</v>
      </c>
      <c r="F34" s="101" t="s">
        <v>925</v>
      </c>
      <c r="G34" s="108"/>
      <c r="H34" s="108"/>
      <c r="I34" s="13" t="s">
        <v>93</v>
      </c>
      <c r="J34" s="13"/>
      <c r="K34" s="13" t="s">
        <v>42</v>
      </c>
      <c r="L34" s="14">
        <v>2021</v>
      </c>
      <c r="M34" s="14"/>
      <c r="N34" s="15">
        <f>80*2.5</f>
        <v>200</v>
      </c>
      <c r="O34" s="16"/>
      <c r="P34" s="17">
        <f t="shared" si="0"/>
        <v>0</v>
      </c>
      <c r="Q34" s="18"/>
      <c r="R34" s="18">
        <f t="shared" si="1"/>
        <v>4</v>
      </c>
      <c r="S34" s="19">
        <f t="shared" si="2"/>
        <v>0</v>
      </c>
      <c r="T34" s="14"/>
      <c r="U34" s="14"/>
      <c r="V34" s="14"/>
      <c r="W34" s="14"/>
      <c r="X34" s="14"/>
      <c r="Y34" s="14"/>
      <c r="Z34" s="13">
        <v>20000</v>
      </c>
      <c r="AA34" s="13"/>
      <c r="AB34" s="13"/>
      <c r="AC34" s="13"/>
      <c r="AD34" s="13" t="s">
        <v>42</v>
      </c>
      <c r="AE34" s="13" t="s">
        <v>94</v>
      </c>
      <c r="AF34" s="13" t="s">
        <v>95</v>
      </c>
      <c r="AG34" s="70" t="s">
        <v>96</v>
      </c>
      <c r="AH34" s="14">
        <v>3</v>
      </c>
      <c r="AI34" s="14">
        <v>2</v>
      </c>
      <c r="AJ34" s="14">
        <v>2</v>
      </c>
      <c r="AK34" s="14">
        <v>3</v>
      </c>
      <c r="AL34" s="14">
        <v>1</v>
      </c>
      <c r="AM34" s="14">
        <v>2</v>
      </c>
      <c r="AN34" s="14">
        <v>72</v>
      </c>
      <c r="AO34" s="13" t="s">
        <v>48</v>
      </c>
      <c r="AP34" s="13"/>
    </row>
    <row r="35" spans="1:42" ht="38.25" x14ac:dyDescent="0.2">
      <c r="A35" s="30" t="s">
        <v>249</v>
      </c>
      <c r="B35" s="30" t="s">
        <v>250</v>
      </c>
      <c r="C35" s="30"/>
      <c r="D35" s="30" t="s">
        <v>98</v>
      </c>
      <c r="E35" s="89" t="s">
        <v>251</v>
      </c>
      <c r="F35" s="96" t="s">
        <v>920</v>
      </c>
      <c r="G35" s="106"/>
      <c r="H35" s="106"/>
      <c r="I35" s="30" t="s">
        <v>252</v>
      </c>
      <c r="J35" s="30" t="s">
        <v>253</v>
      </c>
      <c r="K35" s="30" t="s">
        <v>201</v>
      </c>
      <c r="L35" s="31">
        <v>2018</v>
      </c>
      <c r="M35" s="31"/>
      <c r="N35" s="32">
        <f>0.08*8500000*0.05</f>
        <v>34000</v>
      </c>
      <c r="O35" s="33"/>
      <c r="P35" s="34">
        <f t="shared" si="0"/>
        <v>0</v>
      </c>
      <c r="Q35" s="35"/>
      <c r="R35" s="35">
        <f t="shared" si="1"/>
        <v>4</v>
      </c>
      <c r="S35" s="36">
        <f t="shared" si="2"/>
        <v>0</v>
      </c>
      <c r="T35" s="31"/>
      <c r="U35" s="31"/>
      <c r="V35" s="31"/>
      <c r="W35" s="31"/>
      <c r="X35" s="31"/>
      <c r="Y35" s="31"/>
      <c r="Z35" s="30">
        <v>5000</v>
      </c>
      <c r="AA35" s="30"/>
      <c r="AB35" s="30"/>
      <c r="AC35" s="30"/>
      <c r="AD35" s="30" t="s">
        <v>201</v>
      </c>
      <c r="AE35" s="30"/>
      <c r="AF35" s="30" t="s">
        <v>95</v>
      </c>
      <c r="AG35" s="72" t="s">
        <v>254</v>
      </c>
      <c r="AH35" s="31">
        <v>1</v>
      </c>
      <c r="AI35" s="31">
        <v>3</v>
      </c>
      <c r="AJ35" s="31">
        <v>2</v>
      </c>
      <c r="AK35" s="31">
        <v>1</v>
      </c>
      <c r="AL35" s="31">
        <v>1</v>
      </c>
      <c r="AM35" s="31">
        <v>2</v>
      </c>
      <c r="AN35" s="31">
        <v>12</v>
      </c>
      <c r="AO35" s="30" t="s">
        <v>48</v>
      </c>
      <c r="AP35" s="30"/>
    </row>
    <row r="36" spans="1:42" ht="38.25" x14ac:dyDescent="0.2">
      <c r="A36" s="30" t="s">
        <v>35</v>
      </c>
      <c r="B36" s="30" t="s">
        <v>354</v>
      </c>
      <c r="C36" s="30"/>
      <c r="D36" s="30" t="s">
        <v>60</v>
      </c>
      <c r="E36" s="89" t="s">
        <v>251</v>
      </c>
      <c r="F36" s="72" t="s">
        <v>920</v>
      </c>
      <c r="G36" s="106"/>
      <c r="H36" s="106"/>
      <c r="I36" s="30" t="s">
        <v>355</v>
      </c>
      <c r="J36" s="30" t="s">
        <v>356</v>
      </c>
      <c r="K36" s="30" t="s">
        <v>266</v>
      </c>
      <c r="L36" s="31">
        <v>2018</v>
      </c>
      <c r="M36" s="31"/>
      <c r="N36" s="32">
        <v>1250</v>
      </c>
      <c r="O36" s="33"/>
      <c r="P36" s="34">
        <f t="shared" si="0"/>
        <v>0</v>
      </c>
      <c r="Q36" s="35"/>
      <c r="R36" s="35">
        <f t="shared" si="1"/>
        <v>4</v>
      </c>
      <c r="S36" s="36">
        <f t="shared" si="2"/>
        <v>0</v>
      </c>
      <c r="T36" s="31"/>
      <c r="U36" s="31"/>
      <c r="V36" s="31"/>
      <c r="W36" s="31"/>
      <c r="X36" s="31"/>
      <c r="Y36" s="31"/>
      <c r="Z36" s="30">
        <v>0</v>
      </c>
      <c r="AA36" s="30"/>
      <c r="AB36" s="30"/>
      <c r="AC36" s="30"/>
      <c r="AD36" s="30" t="s">
        <v>42</v>
      </c>
      <c r="AE36" s="30" t="s">
        <v>182</v>
      </c>
      <c r="AF36" s="50" t="s">
        <v>132</v>
      </c>
      <c r="AG36" s="72" t="s">
        <v>357</v>
      </c>
      <c r="AH36" s="31">
        <v>1</v>
      </c>
      <c r="AI36" s="31">
        <v>1</v>
      </c>
      <c r="AJ36" s="31">
        <v>3</v>
      </c>
      <c r="AK36" s="31">
        <v>2</v>
      </c>
      <c r="AL36" s="31">
        <v>1</v>
      </c>
      <c r="AM36" s="31">
        <v>2</v>
      </c>
      <c r="AN36" s="31">
        <v>12</v>
      </c>
      <c r="AO36" s="30" t="s">
        <v>48</v>
      </c>
      <c r="AP36" s="30"/>
    </row>
    <row r="37" spans="1:42" ht="38.25" x14ac:dyDescent="0.2">
      <c r="A37" s="86" t="s">
        <v>86</v>
      </c>
      <c r="B37" s="22" t="s">
        <v>737</v>
      </c>
      <c r="C37" s="22"/>
      <c r="D37" s="22" t="s">
        <v>98</v>
      </c>
      <c r="E37" s="87" t="s">
        <v>251</v>
      </c>
      <c r="F37" s="71" t="s">
        <v>920</v>
      </c>
      <c r="G37" s="95"/>
      <c r="H37" s="95"/>
      <c r="I37" s="22" t="s">
        <v>761</v>
      </c>
      <c r="J37" s="22"/>
      <c r="K37" s="22" t="s">
        <v>42</v>
      </c>
      <c r="L37" s="24">
        <v>2021</v>
      </c>
      <c r="M37" s="24"/>
      <c r="N37" s="38"/>
      <c r="O37" s="39"/>
      <c r="P37" s="24"/>
      <c r="Q37" s="28"/>
      <c r="R37" s="24"/>
      <c r="S37" s="24"/>
      <c r="T37" s="24"/>
      <c r="U37" s="24"/>
      <c r="V37" s="24"/>
      <c r="W37" s="24"/>
      <c r="X37" s="24"/>
      <c r="Y37" s="24"/>
      <c r="Z37" s="22"/>
      <c r="AA37" s="22"/>
      <c r="AB37" s="22"/>
      <c r="AC37" s="22"/>
      <c r="AD37" s="22"/>
      <c r="AE37" s="22"/>
      <c r="AF37" s="22"/>
      <c r="AG37" s="71"/>
      <c r="AH37" s="24">
        <v>2</v>
      </c>
      <c r="AI37" s="24">
        <v>2</v>
      </c>
      <c r="AJ37" s="24">
        <v>2</v>
      </c>
      <c r="AK37" s="24">
        <v>1</v>
      </c>
      <c r="AL37" s="24">
        <v>3</v>
      </c>
      <c r="AM37" s="24">
        <v>2</v>
      </c>
      <c r="AN37" s="24">
        <v>48</v>
      </c>
      <c r="AO37" s="22" t="s">
        <v>45</v>
      </c>
      <c r="AP37" s="22" t="s">
        <v>125</v>
      </c>
    </row>
    <row r="38" spans="1:42" ht="38.25" x14ac:dyDescent="0.2">
      <c r="A38" s="22" t="s">
        <v>86</v>
      </c>
      <c r="B38" s="22" t="s">
        <v>215</v>
      </c>
      <c r="C38" s="22"/>
      <c r="D38" s="22" t="s">
        <v>60</v>
      </c>
      <c r="E38" s="87" t="s">
        <v>216</v>
      </c>
      <c r="F38" s="97" t="s">
        <v>920</v>
      </c>
      <c r="G38" s="95"/>
      <c r="H38" s="95"/>
      <c r="I38" s="22" t="s">
        <v>217</v>
      </c>
      <c r="J38" s="22" t="s">
        <v>1092</v>
      </c>
      <c r="K38" s="22" t="s">
        <v>42</v>
      </c>
      <c r="L38" s="24">
        <v>2022</v>
      </c>
      <c r="M38" s="24"/>
      <c r="N38" s="52">
        <v>2400</v>
      </c>
      <c r="O38" s="39"/>
      <c r="P38" s="27">
        <v>3</v>
      </c>
      <c r="Q38" s="28">
        <v>1300</v>
      </c>
      <c r="R38" s="28">
        <f>IF(Q38&lt;4.99,(Q38*12%+4),IF(Q38&lt;10.99,(Q38*12%+8),IF(Q38&lt;14.99,(Q38*12%+12),IF(Q38&lt;879.99,(Q38*12%+16),IF(Q38&lt;2569.99,(Q38*7%+60),240)))))</f>
        <v>151</v>
      </c>
      <c r="S38" s="29">
        <f>R38*P38</f>
        <v>453</v>
      </c>
      <c r="T38" s="24"/>
      <c r="U38" s="24"/>
      <c r="V38" s="24"/>
      <c r="W38" s="24"/>
      <c r="X38" s="24"/>
      <c r="Y38" s="24"/>
      <c r="Z38" s="22"/>
      <c r="AA38" s="22"/>
      <c r="AB38" s="113">
        <f>P38*Q38*6</f>
        <v>23400</v>
      </c>
      <c r="AC38" s="22"/>
      <c r="AD38" s="22" t="s">
        <v>42</v>
      </c>
      <c r="AE38" s="22"/>
      <c r="AF38" s="41"/>
      <c r="AG38" s="71" t="s">
        <v>218</v>
      </c>
      <c r="AH38" s="24">
        <v>1</v>
      </c>
      <c r="AI38" s="24">
        <v>3</v>
      </c>
      <c r="AJ38" s="24">
        <v>3</v>
      </c>
      <c r="AK38" s="24">
        <v>2</v>
      </c>
      <c r="AL38" s="24">
        <v>1</v>
      </c>
      <c r="AM38" s="24">
        <v>2</v>
      </c>
      <c r="AN38" s="24">
        <v>36</v>
      </c>
      <c r="AO38" s="22" t="s">
        <v>45</v>
      </c>
      <c r="AP38" s="22"/>
    </row>
    <row r="39" spans="1:42" ht="38.25" x14ac:dyDescent="0.2">
      <c r="A39" s="22" t="s">
        <v>35</v>
      </c>
      <c r="B39" s="22" t="s">
        <v>517</v>
      </c>
      <c r="C39" s="22"/>
      <c r="D39" s="65" t="s">
        <v>37</v>
      </c>
      <c r="E39" s="66" t="s">
        <v>535</v>
      </c>
      <c r="F39" s="97" t="s">
        <v>920</v>
      </c>
      <c r="G39" s="77"/>
      <c r="H39" s="77"/>
      <c r="I39" s="65" t="s">
        <v>804</v>
      </c>
      <c r="J39" s="22"/>
      <c r="K39" s="22" t="s">
        <v>42</v>
      </c>
      <c r="L39" s="24">
        <v>2023</v>
      </c>
      <c r="M39" s="24"/>
      <c r="N39" s="38"/>
      <c r="O39" s="39"/>
      <c r="P39" s="27"/>
      <c r="Q39" s="28"/>
      <c r="R39" s="28"/>
      <c r="S39" s="29"/>
      <c r="T39" s="24"/>
      <c r="U39" s="24"/>
      <c r="V39" s="24"/>
      <c r="W39" s="24"/>
      <c r="X39" s="24"/>
      <c r="Y39" s="24"/>
      <c r="Z39" s="22"/>
      <c r="AA39" s="22"/>
      <c r="AB39" s="22"/>
      <c r="AC39" s="22"/>
      <c r="AD39" s="22" t="s">
        <v>42</v>
      </c>
      <c r="AE39" s="22"/>
      <c r="AF39" s="41"/>
      <c r="AG39" s="67" t="s">
        <v>805</v>
      </c>
      <c r="AH39" s="24">
        <v>1</v>
      </c>
      <c r="AI39" s="24">
        <v>3</v>
      </c>
      <c r="AJ39" s="24">
        <v>3</v>
      </c>
      <c r="AK39" s="24">
        <v>3</v>
      </c>
      <c r="AL39" s="24">
        <v>1</v>
      </c>
      <c r="AM39" s="24">
        <v>2</v>
      </c>
      <c r="AN39" s="24">
        <v>54</v>
      </c>
      <c r="AO39" s="22" t="s">
        <v>45</v>
      </c>
      <c r="AP39" s="22"/>
    </row>
    <row r="40" spans="1:42" ht="38.25" x14ac:dyDescent="0.2">
      <c r="A40" s="22" t="s">
        <v>35</v>
      </c>
      <c r="B40" s="22" t="s">
        <v>534</v>
      </c>
      <c r="C40" s="22"/>
      <c r="D40" s="22" t="s">
        <v>60</v>
      </c>
      <c r="E40" s="87" t="s">
        <v>535</v>
      </c>
      <c r="F40" s="98" t="s">
        <v>920</v>
      </c>
      <c r="G40" s="95"/>
      <c r="H40" s="95"/>
      <c r="I40" s="22" t="s">
        <v>536</v>
      </c>
      <c r="J40" s="22" t="s">
        <v>537</v>
      </c>
      <c r="K40" s="22" t="s">
        <v>63</v>
      </c>
      <c r="L40" s="24">
        <v>2019</v>
      </c>
      <c r="M40" s="24"/>
      <c r="N40" s="38">
        <f>8500000/100000*3*5</f>
        <v>1275</v>
      </c>
      <c r="O40" s="39"/>
      <c r="P40" s="27">
        <f t="shared" ref="P40:P49" si="3">N40*O40</f>
        <v>0</v>
      </c>
      <c r="Q40" s="28"/>
      <c r="R40" s="28">
        <f t="shared" ref="R40:R49" si="4">IF(Q40&lt;4.99,(Q40*12%+4),IF(Q40&lt;10.99,(Q40*12%+8),IF(Q40&lt;14.99,(Q40*12%+12),IF(Q40&lt;879.99,(Q40*12%+16),IF(Q40&lt;2569.99,(Q40*7%+60),240)))))</f>
        <v>4</v>
      </c>
      <c r="S40" s="29">
        <f t="shared" ref="S40:S49" si="5">R40*P40</f>
        <v>0</v>
      </c>
      <c r="T40" s="24"/>
      <c r="U40" s="24"/>
      <c r="V40" s="24"/>
      <c r="W40" s="24"/>
      <c r="X40" s="24"/>
      <c r="Y40" s="24"/>
      <c r="Z40" s="22">
        <v>0</v>
      </c>
      <c r="AA40" s="22"/>
      <c r="AB40" s="22"/>
      <c r="AC40" s="22"/>
      <c r="AD40" s="22" t="s">
        <v>42</v>
      </c>
      <c r="AE40" s="22" t="s">
        <v>182</v>
      </c>
      <c r="AF40" s="41" t="s">
        <v>538</v>
      </c>
      <c r="AG40" s="71" t="s">
        <v>539</v>
      </c>
      <c r="AH40" s="24">
        <v>1</v>
      </c>
      <c r="AI40" s="24">
        <v>2</v>
      </c>
      <c r="AJ40" s="24">
        <v>3</v>
      </c>
      <c r="AK40" s="24">
        <v>3</v>
      </c>
      <c r="AL40" s="24">
        <v>1</v>
      </c>
      <c r="AM40" s="24">
        <v>1</v>
      </c>
      <c r="AN40" s="24">
        <v>18</v>
      </c>
      <c r="AO40" s="22" t="s">
        <v>48</v>
      </c>
      <c r="AP40" s="22"/>
    </row>
    <row r="41" spans="1:42" ht="38.25" x14ac:dyDescent="0.2">
      <c r="A41" s="22" t="s">
        <v>35</v>
      </c>
      <c r="B41" s="23" t="s">
        <v>704</v>
      </c>
      <c r="C41" s="22"/>
      <c r="D41" s="23" t="s">
        <v>37</v>
      </c>
      <c r="E41" s="92" t="s">
        <v>535</v>
      </c>
      <c r="F41" s="98" t="s">
        <v>920</v>
      </c>
      <c r="G41" s="95"/>
      <c r="H41" s="112"/>
      <c r="I41" s="23" t="s">
        <v>705</v>
      </c>
      <c r="J41" s="22" t="s">
        <v>1093</v>
      </c>
      <c r="K41" s="22"/>
      <c r="L41" s="24">
        <v>2020</v>
      </c>
      <c r="M41" s="24"/>
      <c r="N41" s="52">
        <f>8500000/100000*35</f>
        <v>2975</v>
      </c>
      <c r="O41" s="39"/>
      <c r="P41" s="27">
        <v>3</v>
      </c>
      <c r="Q41" s="28">
        <v>15000</v>
      </c>
      <c r="R41" s="28">
        <f t="shared" si="4"/>
        <v>240</v>
      </c>
      <c r="S41" s="29">
        <f t="shared" si="5"/>
        <v>720</v>
      </c>
      <c r="T41" s="24"/>
      <c r="U41" s="24"/>
      <c r="V41" s="24"/>
      <c r="W41" s="24"/>
      <c r="X41" s="24"/>
      <c r="Y41" s="24"/>
      <c r="Z41" s="22"/>
      <c r="AA41" s="22"/>
      <c r="AB41" s="113">
        <f>Q41*P41*4</f>
        <v>180000</v>
      </c>
      <c r="AC41" s="22"/>
      <c r="AD41" s="22"/>
      <c r="AE41" s="22" t="s">
        <v>182</v>
      </c>
      <c r="AF41" s="41" t="s">
        <v>538</v>
      </c>
      <c r="AG41" s="71" t="s">
        <v>1094</v>
      </c>
      <c r="AH41" s="24">
        <v>1</v>
      </c>
      <c r="AI41" s="24">
        <v>2</v>
      </c>
      <c r="AJ41" s="24">
        <v>3</v>
      </c>
      <c r="AK41" s="24">
        <v>3</v>
      </c>
      <c r="AL41" s="24">
        <v>1</v>
      </c>
      <c r="AM41" s="24">
        <v>1</v>
      </c>
      <c r="AN41" s="24">
        <v>18</v>
      </c>
      <c r="AO41" s="22" t="s">
        <v>48</v>
      </c>
      <c r="AP41" s="22"/>
    </row>
    <row r="42" spans="1:42" ht="38.25" x14ac:dyDescent="0.2">
      <c r="A42" s="22" t="s">
        <v>35</v>
      </c>
      <c r="B42" s="23" t="s">
        <v>177</v>
      </c>
      <c r="C42" s="22"/>
      <c r="D42" s="22" t="s">
        <v>37</v>
      </c>
      <c r="E42" s="87" t="s">
        <v>178</v>
      </c>
      <c r="F42" s="98" t="s">
        <v>920</v>
      </c>
      <c r="G42" s="95"/>
      <c r="H42" s="95"/>
      <c r="I42" s="22" t="s">
        <v>179</v>
      </c>
      <c r="J42" s="22"/>
      <c r="K42" s="22" t="s">
        <v>180</v>
      </c>
      <c r="L42" s="24">
        <v>2021</v>
      </c>
      <c r="M42" s="24"/>
      <c r="N42" s="38">
        <f>40*80</f>
        <v>3200</v>
      </c>
      <c r="O42" s="39"/>
      <c r="P42" s="27">
        <f t="shared" si="3"/>
        <v>0</v>
      </c>
      <c r="Q42" s="28"/>
      <c r="R42" s="28">
        <f t="shared" si="4"/>
        <v>4</v>
      </c>
      <c r="S42" s="29">
        <f t="shared" si="5"/>
        <v>0</v>
      </c>
      <c r="T42" s="24"/>
      <c r="U42" s="24"/>
      <c r="V42" s="24"/>
      <c r="W42" s="24"/>
      <c r="X42" s="24"/>
      <c r="Y42" s="24"/>
      <c r="Z42" s="22">
        <v>0</v>
      </c>
      <c r="AA42" s="22"/>
      <c r="AB42" s="22"/>
      <c r="AC42" s="22"/>
      <c r="AD42" s="22" t="s">
        <v>181</v>
      </c>
      <c r="AE42" s="22" t="s">
        <v>182</v>
      </c>
      <c r="AF42" s="41" t="s">
        <v>132</v>
      </c>
      <c r="AG42" s="71" t="s">
        <v>183</v>
      </c>
      <c r="AH42" s="24">
        <v>1</v>
      </c>
      <c r="AI42" s="24">
        <v>2</v>
      </c>
      <c r="AJ42" s="24">
        <v>3</v>
      </c>
      <c r="AK42" s="24">
        <v>3</v>
      </c>
      <c r="AL42" s="24">
        <v>1</v>
      </c>
      <c r="AM42" s="24">
        <v>2</v>
      </c>
      <c r="AN42" s="24">
        <v>36</v>
      </c>
      <c r="AO42" s="22" t="s">
        <v>48</v>
      </c>
      <c r="AP42" s="22"/>
    </row>
    <row r="43" spans="1:42" x14ac:dyDescent="0.2">
      <c r="A43" s="22" t="s">
        <v>86</v>
      </c>
      <c r="B43" s="23" t="s">
        <v>1014</v>
      </c>
      <c r="C43" s="22" t="s">
        <v>48</v>
      </c>
      <c r="D43" s="22" t="s">
        <v>37</v>
      </c>
      <c r="E43" s="87" t="s">
        <v>1013</v>
      </c>
      <c r="F43" s="98"/>
      <c r="G43" s="95"/>
      <c r="H43" s="95"/>
      <c r="I43" s="22" t="s">
        <v>1015</v>
      </c>
      <c r="J43" s="22" t="s">
        <v>1016</v>
      </c>
      <c r="K43" s="22" t="s">
        <v>1017</v>
      </c>
      <c r="L43" s="24">
        <v>2022</v>
      </c>
      <c r="M43" s="24"/>
      <c r="N43" s="38">
        <v>400</v>
      </c>
      <c r="O43" s="39">
        <v>0.1</v>
      </c>
      <c r="P43" s="27">
        <v>40</v>
      </c>
      <c r="Q43" s="28">
        <v>1400</v>
      </c>
      <c r="R43" s="28">
        <v>170</v>
      </c>
      <c r="S43" s="29">
        <f>P43*Q43*12</f>
        <v>672000</v>
      </c>
      <c r="T43" s="24"/>
      <c r="U43" s="24"/>
      <c r="V43" s="24"/>
      <c r="W43" s="24"/>
      <c r="X43" s="24"/>
      <c r="Y43" s="24"/>
      <c r="Z43" s="113">
        <f>Q43*P43*12*0.5</f>
        <v>336000</v>
      </c>
      <c r="AA43" s="22">
        <v>0</v>
      </c>
      <c r="AB43" s="22"/>
      <c r="AC43" s="22"/>
      <c r="AD43" s="22"/>
      <c r="AE43" s="22"/>
      <c r="AF43" s="41"/>
      <c r="AG43" s="71"/>
      <c r="AH43" s="24"/>
      <c r="AI43" s="24"/>
      <c r="AJ43" s="24"/>
      <c r="AK43" s="24"/>
      <c r="AL43" s="24"/>
      <c r="AM43" s="24"/>
      <c r="AN43" s="24"/>
      <c r="AO43" s="22"/>
      <c r="AP43" s="22"/>
    </row>
    <row r="44" spans="1:42" ht="38.25" x14ac:dyDescent="0.2">
      <c r="A44" s="13" t="s">
        <v>35</v>
      </c>
      <c r="B44" s="13" t="s">
        <v>65</v>
      </c>
      <c r="C44" s="13"/>
      <c r="D44" s="13" t="s">
        <v>37</v>
      </c>
      <c r="E44" s="91" t="s">
        <v>66</v>
      </c>
      <c r="F44" s="101" t="s">
        <v>923</v>
      </c>
      <c r="G44" s="108"/>
      <c r="H44" s="108"/>
      <c r="I44" s="13" t="s">
        <v>67</v>
      </c>
      <c r="J44" s="13" t="s">
        <v>68</v>
      </c>
      <c r="K44" s="13" t="s">
        <v>69</v>
      </c>
      <c r="L44" s="14">
        <v>2020</v>
      </c>
      <c r="M44" s="14"/>
      <c r="N44" s="15">
        <v>6100</v>
      </c>
      <c r="O44" s="16"/>
      <c r="P44" s="17">
        <f t="shared" si="3"/>
        <v>0</v>
      </c>
      <c r="Q44" s="18"/>
      <c r="R44" s="18">
        <f t="shared" si="4"/>
        <v>4</v>
      </c>
      <c r="S44" s="19">
        <f t="shared" si="5"/>
        <v>0</v>
      </c>
      <c r="T44" s="14"/>
      <c r="U44" s="14"/>
      <c r="V44" s="14"/>
      <c r="W44" s="14"/>
      <c r="X44" s="14"/>
      <c r="Y44" s="14"/>
      <c r="Z44" s="13"/>
      <c r="AA44" s="13"/>
      <c r="AB44" s="13"/>
      <c r="AC44" s="13"/>
      <c r="AD44" s="13" t="s">
        <v>42</v>
      </c>
      <c r="AE44" s="13"/>
      <c r="AF44" s="21" t="s">
        <v>70</v>
      </c>
      <c r="AG44" s="70" t="s">
        <v>71</v>
      </c>
      <c r="AH44" s="14">
        <v>3</v>
      </c>
      <c r="AI44" s="14">
        <v>3</v>
      </c>
      <c r="AJ44" s="14">
        <v>2</v>
      </c>
      <c r="AK44" s="14">
        <v>3</v>
      </c>
      <c r="AL44" s="14">
        <v>1</v>
      </c>
      <c r="AM44" s="14">
        <v>2</v>
      </c>
      <c r="AN44" s="14">
        <v>108</v>
      </c>
      <c r="AO44" s="13" t="s">
        <v>48</v>
      </c>
      <c r="AP44" s="13"/>
    </row>
    <row r="45" spans="1:42" ht="38.25" x14ac:dyDescent="0.2">
      <c r="A45" s="22" t="s">
        <v>35</v>
      </c>
      <c r="B45" s="22" t="s">
        <v>323</v>
      </c>
      <c r="C45" s="22"/>
      <c r="D45" s="22" t="s">
        <v>60</v>
      </c>
      <c r="E45" s="87" t="s">
        <v>66</v>
      </c>
      <c r="F45" s="98" t="s">
        <v>923</v>
      </c>
      <c r="G45" s="95"/>
      <c r="H45" s="95"/>
      <c r="I45" s="22" t="s">
        <v>324</v>
      </c>
      <c r="J45" s="22" t="s">
        <v>325</v>
      </c>
      <c r="K45" s="22" t="s">
        <v>63</v>
      </c>
      <c r="L45" s="24">
        <v>2022</v>
      </c>
      <c r="M45" s="24"/>
      <c r="N45" s="38"/>
      <c r="O45" s="39"/>
      <c r="P45" s="27">
        <f t="shared" si="3"/>
        <v>0</v>
      </c>
      <c r="Q45" s="28"/>
      <c r="R45" s="28">
        <f t="shared" si="4"/>
        <v>4</v>
      </c>
      <c r="S45" s="29">
        <f t="shared" si="5"/>
        <v>0</v>
      </c>
      <c r="T45" s="24"/>
      <c r="U45" s="24"/>
      <c r="V45" s="24"/>
      <c r="W45" s="24"/>
      <c r="X45" s="24"/>
      <c r="Y45" s="24"/>
      <c r="Z45" s="22">
        <v>0</v>
      </c>
      <c r="AA45" s="22">
        <v>0</v>
      </c>
      <c r="AB45" s="22"/>
      <c r="AC45" s="22"/>
      <c r="AD45" s="22" t="s">
        <v>42</v>
      </c>
      <c r="AE45" s="22"/>
      <c r="AF45" s="41" t="s">
        <v>70</v>
      </c>
      <c r="AG45" s="71" t="s">
        <v>1095</v>
      </c>
      <c r="AH45" s="24">
        <v>3</v>
      </c>
      <c r="AI45" s="24">
        <v>1</v>
      </c>
      <c r="AJ45" s="24">
        <v>2</v>
      </c>
      <c r="AK45" s="24">
        <v>3</v>
      </c>
      <c r="AL45" s="24">
        <v>2</v>
      </c>
      <c r="AM45" s="24">
        <v>1</v>
      </c>
      <c r="AN45" s="24">
        <v>36</v>
      </c>
      <c r="AO45" s="22" t="s">
        <v>45</v>
      </c>
      <c r="AP45" s="22"/>
    </row>
    <row r="46" spans="1:42" ht="38.25" x14ac:dyDescent="0.2">
      <c r="A46" s="30" t="s">
        <v>58</v>
      </c>
      <c r="B46" s="30" t="s">
        <v>342</v>
      </c>
      <c r="C46" s="30"/>
      <c r="D46" s="30" t="s">
        <v>60</v>
      </c>
      <c r="E46" s="89" t="s">
        <v>66</v>
      </c>
      <c r="F46" s="96" t="s">
        <v>923</v>
      </c>
      <c r="G46" s="106"/>
      <c r="H46" s="106"/>
      <c r="I46" s="30" t="s">
        <v>343</v>
      </c>
      <c r="J46" s="30" t="s">
        <v>344</v>
      </c>
      <c r="K46" s="30" t="s">
        <v>266</v>
      </c>
      <c r="L46" s="31">
        <v>2019</v>
      </c>
      <c r="M46" s="31"/>
      <c r="N46" s="32">
        <f>750/6*5</f>
        <v>625</v>
      </c>
      <c r="O46" s="33"/>
      <c r="P46" s="34">
        <f t="shared" si="3"/>
        <v>0</v>
      </c>
      <c r="Q46" s="35"/>
      <c r="R46" s="35">
        <f t="shared" si="4"/>
        <v>4</v>
      </c>
      <c r="S46" s="36">
        <f t="shared" si="5"/>
        <v>0</v>
      </c>
      <c r="T46" s="31"/>
      <c r="U46" s="31"/>
      <c r="V46" s="31"/>
      <c r="W46" s="31"/>
      <c r="X46" s="31"/>
      <c r="Y46" s="31"/>
      <c r="Z46" s="30">
        <v>10000</v>
      </c>
      <c r="AA46" s="30"/>
      <c r="AB46" s="30"/>
      <c r="AC46" s="30"/>
      <c r="AD46" s="30" t="s">
        <v>42</v>
      </c>
      <c r="AE46" s="30"/>
      <c r="AF46" s="50" t="s">
        <v>95</v>
      </c>
      <c r="AG46" s="72" t="s">
        <v>345</v>
      </c>
      <c r="AH46" s="31">
        <v>3</v>
      </c>
      <c r="AI46" s="31">
        <v>2</v>
      </c>
      <c r="AJ46" s="31">
        <v>2</v>
      </c>
      <c r="AK46" s="31">
        <v>1</v>
      </c>
      <c r="AL46" s="31">
        <v>3</v>
      </c>
      <c r="AM46" s="31">
        <v>2</v>
      </c>
      <c r="AN46" s="31">
        <v>72</v>
      </c>
      <c r="AO46" s="30" t="s">
        <v>45</v>
      </c>
      <c r="AP46" s="30"/>
    </row>
    <row r="47" spans="1:42" ht="38.25" x14ac:dyDescent="0.2">
      <c r="A47" s="22" t="s">
        <v>35</v>
      </c>
      <c r="B47" s="23" t="s">
        <v>488</v>
      </c>
      <c r="C47" s="22"/>
      <c r="D47" s="22" t="s">
        <v>37</v>
      </c>
      <c r="E47" s="87" t="s">
        <v>66</v>
      </c>
      <c r="F47" s="98" t="s">
        <v>923</v>
      </c>
      <c r="G47" s="95"/>
      <c r="H47" s="95"/>
      <c r="I47" s="22" t="s">
        <v>489</v>
      </c>
      <c r="J47" s="23" t="s">
        <v>490</v>
      </c>
      <c r="K47" s="22" t="s">
        <v>491</v>
      </c>
      <c r="L47" s="24">
        <v>2020</v>
      </c>
      <c r="M47" s="24"/>
      <c r="N47" s="25" t="s">
        <v>446</v>
      </c>
      <c r="O47" s="26"/>
      <c r="P47" s="27" t="e">
        <f t="shared" si="3"/>
        <v>#VALUE!</v>
      </c>
      <c r="Q47" s="28"/>
      <c r="R47" s="28">
        <f t="shared" si="4"/>
        <v>4</v>
      </c>
      <c r="S47" s="29" t="e">
        <f t="shared" si="5"/>
        <v>#VALUE!</v>
      </c>
      <c r="T47" s="24"/>
      <c r="U47" s="24"/>
      <c r="V47" s="24"/>
      <c r="W47" s="24"/>
      <c r="X47" s="24"/>
      <c r="Y47" s="24"/>
      <c r="Z47" s="22"/>
      <c r="AA47" s="22"/>
      <c r="AB47" s="22"/>
      <c r="AC47" s="22"/>
      <c r="AD47" s="22" t="s">
        <v>42</v>
      </c>
      <c r="AE47" s="22" t="s">
        <v>43</v>
      </c>
      <c r="AF47" s="22" t="s">
        <v>95</v>
      </c>
      <c r="AG47" s="71" t="s">
        <v>492</v>
      </c>
      <c r="AH47" s="24">
        <v>2</v>
      </c>
      <c r="AI47" s="24">
        <v>2</v>
      </c>
      <c r="AJ47" s="24">
        <v>2</v>
      </c>
      <c r="AK47" s="24">
        <v>3</v>
      </c>
      <c r="AL47" s="24">
        <v>1</v>
      </c>
      <c r="AM47" s="24">
        <v>2</v>
      </c>
      <c r="AN47" s="24">
        <v>48</v>
      </c>
      <c r="AO47" s="22" t="s">
        <v>48</v>
      </c>
      <c r="AP47" s="22"/>
    </row>
    <row r="48" spans="1:42" s="129" customFormat="1" x14ac:dyDescent="0.2">
      <c r="A48" s="13" t="s">
        <v>58</v>
      </c>
      <c r="B48" s="13" t="s">
        <v>1031</v>
      </c>
      <c r="C48" s="13" t="s">
        <v>48</v>
      </c>
      <c r="D48" s="13" t="s">
        <v>37</v>
      </c>
      <c r="E48" s="91" t="s">
        <v>1028</v>
      </c>
      <c r="F48" s="101"/>
      <c r="G48" s="108"/>
      <c r="H48" s="108"/>
      <c r="I48" s="13" t="s">
        <v>1029</v>
      </c>
      <c r="J48" s="13" t="s">
        <v>1030</v>
      </c>
      <c r="K48" s="13" t="s">
        <v>63</v>
      </c>
      <c r="L48" s="14">
        <v>2021</v>
      </c>
      <c r="M48" s="14"/>
      <c r="N48" s="15">
        <v>90</v>
      </c>
      <c r="O48" s="16"/>
      <c r="P48" s="17">
        <v>20</v>
      </c>
      <c r="Q48" s="18">
        <v>5000</v>
      </c>
      <c r="R48" s="18">
        <v>240</v>
      </c>
      <c r="S48" s="19"/>
      <c r="T48" s="14"/>
      <c r="U48" s="14"/>
      <c r="V48" s="14"/>
      <c r="W48" s="14"/>
      <c r="X48" s="14"/>
      <c r="Y48" s="14"/>
      <c r="Z48" s="135">
        <f>Q48*P48*6</f>
        <v>600000</v>
      </c>
      <c r="AA48" s="13"/>
      <c r="AB48" s="13"/>
      <c r="AC48" s="13"/>
      <c r="AD48" s="13" t="s">
        <v>201</v>
      </c>
      <c r="AE48" s="13"/>
      <c r="AF48" s="13"/>
      <c r="AG48" s="70" t="s">
        <v>1111</v>
      </c>
      <c r="AH48" s="14"/>
      <c r="AI48" s="14"/>
      <c r="AJ48" s="14"/>
      <c r="AK48" s="14"/>
      <c r="AL48" s="14"/>
      <c r="AM48" s="14"/>
      <c r="AN48" s="14"/>
      <c r="AO48" s="13"/>
      <c r="AP48" s="13"/>
    </row>
    <row r="49" spans="1:42" ht="38.25" x14ac:dyDescent="0.2">
      <c r="A49" s="22" t="s">
        <v>58</v>
      </c>
      <c r="B49" s="23" t="s">
        <v>592</v>
      </c>
      <c r="C49" s="22"/>
      <c r="D49" s="22" t="s">
        <v>37</v>
      </c>
      <c r="E49" s="87" t="s">
        <v>593</v>
      </c>
      <c r="F49" s="95"/>
      <c r="G49" s="81" t="s">
        <v>980</v>
      </c>
      <c r="H49" s="95"/>
      <c r="I49" s="22" t="s">
        <v>594</v>
      </c>
      <c r="J49" s="22" t="s">
        <v>595</v>
      </c>
      <c r="K49" s="22" t="s">
        <v>309</v>
      </c>
      <c r="L49" s="24">
        <v>2018</v>
      </c>
      <c r="M49" s="24"/>
      <c r="N49" s="25">
        <f>8500000/100000*250/2</f>
        <v>10625</v>
      </c>
      <c r="O49" s="26"/>
      <c r="P49" s="27">
        <f t="shared" si="3"/>
        <v>0</v>
      </c>
      <c r="Q49" s="28"/>
      <c r="R49" s="28">
        <f t="shared" si="4"/>
        <v>4</v>
      </c>
      <c r="S49" s="29">
        <f t="shared" si="5"/>
        <v>0</v>
      </c>
      <c r="T49" s="24"/>
      <c r="U49" s="24"/>
      <c r="V49" s="24"/>
      <c r="W49" s="24"/>
      <c r="X49" s="24"/>
      <c r="Y49" s="24"/>
      <c r="Z49" s="22">
        <v>0</v>
      </c>
      <c r="AA49" s="22"/>
      <c r="AB49" s="22"/>
      <c r="AC49" s="22"/>
      <c r="AD49" s="22" t="s">
        <v>42</v>
      </c>
      <c r="AE49" s="22"/>
      <c r="AF49" s="40" t="s">
        <v>596</v>
      </c>
      <c r="AG49" s="71" t="s">
        <v>597</v>
      </c>
      <c r="AH49" s="24">
        <v>1</v>
      </c>
      <c r="AI49" s="24">
        <v>1</v>
      </c>
      <c r="AJ49" s="24">
        <v>1</v>
      </c>
      <c r="AK49" s="24">
        <v>2</v>
      </c>
      <c r="AL49" s="24">
        <v>1</v>
      </c>
      <c r="AM49" s="24">
        <v>1</v>
      </c>
      <c r="AN49" s="24">
        <v>2</v>
      </c>
      <c r="AO49" s="22" t="s">
        <v>48</v>
      </c>
      <c r="AP49" s="22"/>
    </row>
    <row r="50" spans="1:42" ht="38.25" x14ac:dyDescent="0.2">
      <c r="A50" s="22" t="s">
        <v>58</v>
      </c>
      <c r="B50" s="22" t="s">
        <v>806</v>
      </c>
      <c r="C50" s="22"/>
      <c r="D50" s="68" t="s">
        <v>37</v>
      </c>
      <c r="E50" s="66" t="s">
        <v>807</v>
      </c>
      <c r="F50" s="77"/>
      <c r="G50" s="77"/>
      <c r="H50" s="82" t="s">
        <v>921</v>
      </c>
      <c r="I50" s="65" t="s">
        <v>808</v>
      </c>
      <c r="J50" s="22" t="s">
        <v>809</v>
      </c>
      <c r="K50" s="65" t="s">
        <v>63</v>
      </c>
      <c r="L50" s="24">
        <v>2021</v>
      </c>
      <c r="M50" s="24"/>
      <c r="N50" s="38"/>
      <c r="O50" s="39"/>
      <c r="P50" s="27"/>
      <c r="Q50" s="28"/>
      <c r="R50" s="28"/>
      <c r="S50" s="29"/>
      <c r="T50" s="24"/>
      <c r="U50" s="24"/>
      <c r="V50" s="24"/>
      <c r="W50" s="24"/>
      <c r="X50" s="24"/>
      <c r="Y50" s="24"/>
      <c r="Z50" s="22"/>
      <c r="AA50" s="22"/>
      <c r="AB50" s="22"/>
      <c r="AC50" s="22"/>
      <c r="AD50" s="22" t="s">
        <v>42</v>
      </c>
      <c r="AE50" s="22"/>
      <c r="AF50" s="41"/>
      <c r="AG50" s="67"/>
      <c r="AH50" s="24">
        <v>2</v>
      </c>
      <c r="AI50" s="24">
        <v>2</v>
      </c>
      <c r="AJ50" s="24">
        <v>1</v>
      </c>
      <c r="AK50" s="24">
        <v>3</v>
      </c>
      <c r="AL50" s="24">
        <v>3</v>
      </c>
      <c r="AM50" s="24">
        <v>2</v>
      </c>
      <c r="AN50" s="24">
        <v>72</v>
      </c>
      <c r="AO50" s="22" t="s">
        <v>45</v>
      </c>
      <c r="AP50" s="40">
        <v>44166</v>
      </c>
    </row>
    <row r="51" spans="1:42" ht="38.25" x14ac:dyDescent="0.2">
      <c r="A51" s="13" t="s">
        <v>72</v>
      </c>
      <c r="B51" s="13" t="s">
        <v>73</v>
      </c>
      <c r="C51" s="13"/>
      <c r="D51" s="13" t="s">
        <v>37</v>
      </c>
      <c r="E51" s="13" t="s">
        <v>74</v>
      </c>
      <c r="F51" s="70" t="s">
        <v>924</v>
      </c>
      <c r="G51" s="13"/>
      <c r="H51" s="13"/>
      <c r="I51" s="13" t="s">
        <v>75</v>
      </c>
      <c r="J51" s="13"/>
      <c r="K51" s="13" t="s">
        <v>42</v>
      </c>
      <c r="L51" s="14">
        <v>2021</v>
      </c>
      <c r="M51" s="14"/>
      <c r="N51" s="15">
        <v>17000</v>
      </c>
      <c r="O51" s="16"/>
      <c r="P51" s="17">
        <f>N51*O51</f>
        <v>0</v>
      </c>
      <c r="Q51" s="18"/>
      <c r="R51" s="18">
        <f>IF(Q51&lt;4.99,(Q51*12%+4),IF(Q51&lt;10.99,(Q51*12%+8),IF(Q51&lt;14.99,(Q51*12%+12),IF(Q51&lt;879.99,(Q51*12%+16),IF(Q51&lt;2569.99,(Q51*7%+60),240)))))</f>
        <v>4</v>
      </c>
      <c r="S51" s="19">
        <f>R51*P51</f>
        <v>0</v>
      </c>
      <c r="T51" s="14"/>
      <c r="U51" s="14"/>
      <c r="V51" s="14"/>
      <c r="W51" s="14"/>
      <c r="X51" s="14"/>
      <c r="Y51" s="14"/>
      <c r="Z51" s="13"/>
      <c r="AA51" s="13"/>
      <c r="AB51" s="13"/>
      <c r="AC51" s="13"/>
      <c r="AD51" s="13" t="s">
        <v>42</v>
      </c>
      <c r="AE51" s="13"/>
      <c r="AF51" s="13" t="s">
        <v>76</v>
      </c>
      <c r="AG51" s="70" t="s">
        <v>77</v>
      </c>
      <c r="AH51" s="14">
        <v>3</v>
      </c>
      <c r="AI51" s="14">
        <v>3</v>
      </c>
      <c r="AJ51" s="14">
        <v>2</v>
      </c>
      <c r="AK51" s="14">
        <v>1</v>
      </c>
      <c r="AL51" s="14">
        <v>2</v>
      </c>
      <c r="AM51" s="14">
        <v>3</v>
      </c>
      <c r="AN51" s="14">
        <v>108</v>
      </c>
      <c r="AO51" s="13" t="s">
        <v>45</v>
      </c>
      <c r="AP51" s="13"/>
    </row>
    <row r="52" spans="1:42" s="129" customFormat="1" ht="38.25" x14ac:dyDescent="0.2">
      <c r="A52" s="13" t="s">
        <v>72</v>
      </c>
      <c r="B52" s="13" t="s">
        <v>184</v>
      </c>
      <c r="C52" s="13"/>
      <c r="D52" s="13" t="s">
        <v>60</v>
      </c>
      <c r="E52" s="13" t="s">
        <v>74</v>
      </c>
      <c r="F52" s="70" t="s">
        <v>924</v>
      </c>
      <c r="G52" s="13"/>
      <c r="H52" s="13"/>
      <c r="I52" s="13" t="s">
        <v>185</v>
      </c>
      <c r="J52" s="13"/>
      <c r="K52" s="13" t="s">
        <v>186</v>
      </c>
      <c r="L52" s="14">
        <v>2022</v>
      </c>
      <c r="M52" s="14"/>
      <c r="N52" s="15">
        <f>150000*2/3</f>
        <v>100000</v>
      </c>
      <c r="O52" s="16"/>
      <c r="P52" s="17">
        <v>100</v>
      </c>
      <c r="Q52" s="18">
        <v>4500</v>
      </c>
      <c r="R52" s="18">
        <f>IF(Q52&lt;4.99,(Q52*12%+4),IF(Q52&lt;10.99,(Q52*12%+8),IF(Q52&lt;14.99,(Q52*12%+12),IF(Q52&lt;879.99,(Q52*12%+16),IF(Q52&lt;2569.99,(Q52*7%+60),240)))))</f>
        <v>240</v>
      </c>
      <c r="S52" s="19">
        <f>R52*P52</f>
        <v>24000</v>
      </c>
      <c r="T52" s="14"/>
      <c r="U52" s="14"/>
      <c r="V52" s="14"/>
      <c r="W52" s="14"/>
      <c r="X52" s="14"/>
      <c r="Y52" s="14"/>
      <c r="Z52" s="130">
        <f>S52*P52*6</f>
        <v>14400000</v>
      </c>
      <c r="AA52" s="13">
        <v>10000</v>
      </c>
      <c r="AB52" s="13"/>
      <c r="AC52" s="13"/>
      <c r="AD52" s="13" t="s">
        <v>42</v>
      </c>
      <c r="AE52" s="13"/>
      <c r="AF52" s="13" t="s">
        <v>76</v>
      </c>
      <c r="AG52" s="70"/>
      <c r="AH52" s="14">
        <v>3</v>
      </c>
      <c r="AI52" s="14">
        <v>3</v>
      </c>
      <c r="AJ52" s="14">
        <v>2</v>
      </c>
      <c r="AK52" s="14">
        <v>3</v>
      </c>
      <c r="AL52" s="14">
        <v>2</v>
      </c>
      <c r="AM52" s="14">
        <v>3</v>
      </c>
      <c r="AN52" s="14">
        <v>324</v>
      </c>
      <c r="AO52" s="13" t="s">
        <v>45</v>
      </c>
      <c r="AP52" s="13"/>
    </row>
    <row r="53" spans="1:42" ht="38.25" x14ac:dyDescent="0.2">
      <c r="A53" s="42" t="s">
        <v>72</v>
      </c>
      <c r="B53" s="42" t="s">
        <v>184</v>
      </c>
      <c r="C53" s="42"/>
      <c r="D53" s="42" t="s">
        <v>37</v>
      </c>
      <c r="E53" s="42" t="s">
        <v>74</v>
      </c>
      <c r="F53" s="73" t="s">
        <v>924</v>
      </c>
      <c r="G53" s="42"/>
      <c r="H53" s="42"/>
      <c r="I53" s="42" t="s">
        <v>371</v>
      </c>
      <c r="J53" s="42"/>
      <c r="K53" s="42" t="s">
        <v>42</v>
      </c>
      <c r="L53" s="43">
        <v>2020</v>
      </c>
      <c r="M53" s="43"/>
      <c r="N53" s="44">
        <f>150000*2/3</f>
        <v>100000</v>
      </c>
      <c r="O53" s="45"/>
      <c r="P53" s="46">
        <f>N53*O53</f>
        <v>0</v>
      </c>
      <c r="Q53" s="47"/>
      <c r="R53" s="47">
        <f>IF(Q53&lt;4.99,(Q53*12%+4),IF(Q53&lt;10.99,(Q53*12%+8),IF(Q53&lt;14.99,(Q53*12%+12),IF(Q53&lt;879.99,(Q53*12%+16),IF(Q53&lt;2569.99,(Q53*7%+60),240)))))</f>
        <v>4</v>
      </c>
      <c r="S53" s="48">
        <f>R53*P53</f>
        <v>0</v>
      </c>
      <c r="T53" s="43"/>
      <c r="U53" s="43"/>
      <c r="V53" s="43"/>
      <c r="W53" s="43"/>
      <c r="X53" s="43"/>
      <c r="Y53" s="43"/>
      <c r="Z53" s="42"/>
      <c r="AA53" s="42"/>
      <c r="AB53" s="42"/>
      <c r="AC53" s="42"/>
      <c r="AD53" s="42" t="s">
        <v>42</v>
      </c>
      <c r="AE53" s="42"/>
      <c r="AF53" s="42" t="s">
        <v>76</v>
      </c>
      <c r="AG53" s="73" t="s">
        <v>372</v>
      </c>
      <c r="AH53" s="43">
        <v>3</v>
      </c>
      <c r="AI53" s="43">
        <v>3</v>
      </c>
      <c r="AJ53" s="43">
        <v>2</v>
      </c>
      <c r="AK53" s="43">
        <v>3</v>
      </c>
      <c r="AL53" s="43">
        <v>2</v>
      </c>
      <c r="AM53" s="43">
        <v>3</v>
      </c>
      <c r="AN53" s="43">
        <v>324</v>
      </c>
      <c r="AO53" s="42" t="s">
        <v>45</v>
      </c>
      <c r="AP53" s="42"/>
    </row>
    <row r="54" spans="1:42" ht="76.5" x14ac:dyDescent="0.2">
      <c r="A54" s="22" t="s">
        <v>58</v>
      </c>
      <c r="B54" s="22" t="s">
        <v>810</v>
      </c>
      <c r="C54" s="22"/>
      <c r="D54" s="65"/>
      <c r="E54" s="88" t="s">
        <v>652</v>
      </c>
      <c r="F54" s="88"/>
      <c r="G54" s="88"/>
      <c r="H54" s="65" t="s">
        <v>919</v>
      </c>
      <c r="I54" s="65" t="s">
        <v>811</v>
      </c>
      <c r="J54" s="22"/>
      <c r="K54" s="22" t="s">
        <v>42</v>
      </c>
      <c r="L54" s="24">
        <v>2023</v>
      </c>
      <c r="M54" s="24"/>
      <c r="N54" s="38"/>
      <c r="O54" s="39"/>
      <c r="P54" s="27"/>
      <c r="Q54" s="28"/>
      <c r="R54" s="28"/>
      <c r="S54" s="29"/>
      <c r="T54" s="24"/>
      <c r="U54" s="24"/>
      <c r="V54" s="24"/>
      <c r="W54" s="24"/>
      <c r="X54" s="24"/>
      <c r="Y54" s="24"/>
      <c r="Z54" s="22"/>
      <c r="AA54" s="22"/>
      <c r="AB54" s="22"/>
      <c r="AC54" s="22"/>
      <c r="AD54" s="22" t="s">
        <v>42</v>
      </c>
      <c r="AE54" s="22"/>
      <c r="AF54" s="41"/>
      <c r="AG54" s="67"/>
      <c r="AH54" s="24"/>
      <c r="AI54" s="24"/>
      <c r="AJ54" s="24"/>
      <c r="AK54" s="24"/>
      <c r="AL54" s="24"/>
      <c r="AM54" s="24"/>
      <c r="AN54" s="24">
        <v>0</v>
      </c>
      <c r="AO54" s="22"/>
      <c r="AP54" s="22"/>
    </row>
    <row r="55" spans="1:42" s="129" customFormat="1" ht="76.5" x14ac:dyDescent="0.2">
      <c r="A55" s="13" t="s">
        <v>72</v>
      </c>
      <c r="B55" s="13" t="s">
        <v>153</v>
      </c>
      <c r="C55" s="13"/>
      <c r="D55" s="13" t="s">
        <v>37</v>
      </c>
      <c r="E55" s="13" t="s">
        <v>338</v>
      </c>
      <c r="F55" s="13"/>
      <c r="G55" s="13"/>
      <c r="H55" s="70" t="s">
        <v>919</v>
      </c>
      <c r="I55" s="13" t="s">
        <v>653</v>
      </c>
      <c r="J55" s="13" t="s">
        <v>1103</v>
      </c>
      <c r="K55" s="13" t="s">
        <v>654</v>
      </c>
      <c r="L55" s="14">
        <v>2021</v>
      </c>
      <c r="M55" s="14"/>
      <c r="N55" s="15">
        <v>1000000</v>
      </c>
      <c r="O55" s="16"/>
      <c r="P55" s="17">
        <v>20</v>
      </c>
      <c r="Q55" s="18">
        <v>500</v>
      </c>
      <c r="R55" s="18">
        <f>IF(Q55&lt;4.99,(Q55*12%+4),IF(Q55&lt;10.99,(Q55*12%+8),IF(Q55&lt;14.99,(Q55*12%+12),IF(Q55&lt;879.99,(Q55*12%+16),IF(Q55&lt;2569.99,(Q55*7%+60),240)))))</f>
        <v>76</v>
      </c>
      <c r="S55" s="19">
        <f>R55*P55</f>
        <v>1520</v>
      </c>
      <c r="T55" s="14"/>
      <c r="U55" s="14"/>
      <c r="V55" s="14"/>
      <c r="W55" s="14"/>
      <c r="X55" s="14"/>
      <c r="Y55" s="14"/>
      <c r="Z55" s="13"/>
      <c r="AA55" s="13"/>
      <c r="AB55" s="135">
        <f>P55*Q55*4</f>
        <v>40000</v>
      </c>
      <c r="AC55" s="13">
        <v>0</v>
      </c>
      <c r="AD55" s="13" t="s">
        <v>42</v>
      </c>
      <c r="AE55" s="13"/>
      <c r="AF55" s="13"/>
      <c r="AG55" s="70" t="s">
        <v>1104</v>
      </c>
      <c r="AH55" s="14">
        <v>1</v>
      </c>
      <c r="AI55" s="14">
        <v>3</v>
      </c>
      <c r="AJ55" s="14">
        <v>1</v>
      </c>
      <c r="AK55" s="14">
        <v>1</v>
      </c>
      <c r="AL55" s="14">
        <v>3</v>
      </c>
      <c r="AM55" s="14">
        <v>2</v>
      </c>
      <c r="AN55" s="14">
        <v>18</v>
      </c>
      <c r="AO55" s="13" t="s">
        <v>48</v>
      </c>
      <c r="AP55" s="13"/>
    </row>
    <row r="56" spans="1:42" x14ac:dyDescent="0.2">
      <c r="A56" s="22" t="s">
        <v>58</v>
      </c>
      <c r="B56" s="22" t="s">
        <v>1066</v>
      </c>
      <c r="C56" s="22"/>
      <c r="D56" s="22" t="s">
        <v>98</v>
      </c>
      <c r="E56" s="22" t="s">
        <v>306</v>
      </c>
      <c r="F56" s="22"/>
      <c r="G56" s="22"/>
      <c r="H56" s="71"/>
      <c r="I56" s="22" t="s">
        <v>1067</v>
      </c>
      <c r="J56" s="22" t="s">
        <v>1068</v>
      </c>
      <c r="K56" s="22" t="s">
        <v>315</v>
      </c>
      <c r="L56" s="24">
        <v>2022</v>
      </c>
      <c r="M56" s="24"/>
      <c r="N56" s="38">
        <v>5</v>
      </c>
      <c r="O56" s="39"/>
      <c r="P56" s="27">
        <v>5</v>
      </c>
      <c r="Q56" s="28">
        <v>2000</v>
      </c>
      <c r="R56" s="28">
        <v>200</v>
      </c>
      <c r="S56" s="29"/>
      <c r="T56" s="24"/>
      <c r="U56" s="24"/>
      <c r="V56" s="24"/>
      <c r="W56" s="24"/>
      <c r="X56" s="24"/>
      <c r="Y56" s="24"/>
      <c r="Z56" s="113">
        <f>Q56*P56*10</f>
        <v>100000</v>
      </c>
      <c r="AA56" s="22">
        <v>0</v>
      </c>
      <c r="AB56" s="22"/>
      <c r="AC56" s="22"/>
      <c r="AD56" s="22"/>
      <c r="AE56" s="22"/>
      <c r="AF56" s="22"/>
      <c r="AG56" s="71"/>
      <c r="AH56" s="24"/>
      <c r="AI56" s="24"/>
      <c r="AJ56" s="24"/>
      <c r="AK56" s="24"/>
      <c r="AL56" s="24"/>
      <c r="AM56" s="24"/>
      <c r="AN56" s="24"/>
      <c r="AO56" s="22"/>
      <c r="AP56" s="22"/>
    </row>
    <row r="57" spans="1:42" ht="38.25" x14ac:dyDescent="0.2">
      <c r="A57" s="22" t="s">
        <v>58</v>
      </c>
      <c r="B57" s="22" t="s">
        <v>304</v>
      </c>
      <c r="C57" s="22"/>
      <c r="D57" s="22" t="s">
        <v>305</v>
      </c>
      <c r="E57" s="22" t="s">
        <v>306</v>
      </c>
      <c r="F57" s="22"/>
      <c r="G57" s="65" t="s">
        <v>947</v>
      </c>
      <c r="H57" s="22"/>
      <c r="I57" s="22" t="s">
        <v>307</v>
      </c>
      <c r="J57" s="22" t="s">
        <v>308</v>
      </c>
      <c r="K57" s="22" t="s">
        <v>309</v>
      </c>
      <c r="L57" s="24">
        <v>2020</v>
      </c>
      <c r="M57" s="24"/>
      <c r="N57" s="51">
        <f>85000/30000</f>
        <v>2.8333333333333335</v>
      </c>
      <c r="O57" s="39"/>
      <c r="P57" s="27">
        <f>N57*O57</f>
        <v>0</v>
      </c>
      <c r="Q57" s="28"/>
      <c r="R57" s="28">
        <f>IF(Q57&lt;4.99,(Q57*12%+4),IF(Q57&lt;10.99,(Q57*12%+8),IF(Q57&lt;14.99,(Q57*12%+12),IF(Q57&lt;879.99,(Q57*12%+16),IF(Q57&lt;2569.99,(Q57*7%+60),240)))))</f>
        <v>4</v>
      </c>
      <c r="S57" s="29">
        <f>R57*P57</f>
        <v>0</v>
      </c>
      <c r="T57" s="24"/>
      <c r="U57" s="24"/>
      <c r="V57" s="24"/>
      <c r="W57" s="24"/>
      <c r="X57" s="24"/>
      <c r="Y57" s="24"/>
      <c r="Z57" s="22">
        <v>0</v>
      </c>
      <c r="AA57" s="22"/>
      <c r="AB57" s="22"/>
      <c r="AC57" s="22"/>
      <c r="AD57" s="22" t="s">
        <v>128</v>
      </c>
      <c r="AE57" s="22"/>
      <c r="AF57" s="22" t="s">
        <v>227</v>
      </c>
      <c r="AG57" s="71" t="s">
        <v>310</v>
      </c>
      <c r="AH57" s="24">
        <v>2</v>
      </c>
      <c r="AI57" s="24">
        <v>1</v>
      </c>
      <c r="AJ57" s="24">
        <v>3</v>
      </c>
      <c r="AK57" s="24">
        <v>3</v>
      </c>
      <c r="AL57" s="24">
        <v>1</v>
      </c>
      <c r="AM57" s="24">
        <v>1</v>
      </c>
      <c r="AN57" s="24">
        <v>18</v>
      </c>
      <c r="AO57" s="22" t="s">
        <v>48</v>
      </c>
      <c r="AP57" s="22"/>
    </row>
    <row r="58" spans="1:42" ht="51" x14ac:dyDescent="0.2">
      <c r="A58" s="22" t="s">
        <v>58</v>
      </c>
      <c r="B58" s="22" t="s">
        <v>588</v>
      </c>
      <c r="C58" s="22"/>
      <c r="D58" s="22" t="s">
        <v>98</v>
      </c>
      <c r="E58" s="22" t="s">
        <v>306</v>
      </c>
      <c r="F58" s="22"/>
      <c r="G58" s="97" t="s">
        <v>979</v>
      </c>
      <c r="H58" s="22"/>
      <c r="I58" s="22" t="s">
        <v>589</v>
      </c>
      <c r="J58" s="22" t="s">
        <v>590</v>
      </c>
      <c r="K58" s="22" t="s">
        <v>63</v>
      </c>
      <c r="L58" s="24">
        <v>2021</v>
      </c>
      <c r="M58" s="24"/>
      <c r="N58" s="51">
        <f>85000/10000</f>
        <v>8.5</v>
      </c>
      <c r="O58" s="39"/>
      <c r="P58" s="27">
        <f>N58*O58</f>
        <v>0</v>
      </c>
      <c r="Q58" s="28"/>
      <c r="R58" s="28">
        <f>IF(Q58&lt;4.99,(Q58*12%+4),IF(Q58&lt;10.99,(Q58*12%+8),IF(Q58&lt;14.99,(Q58*12%+12),IF(Q58&lt;879.99,(Q58*12%+16),IF(Q58&lt;2569.99,(Q58*7%+60),240)))))</f>
        <v>4</v>
      </c>
      <c r="S58" s="29">
        <f>R58*P58</f>
        <v>0</v>
      </c>
      <c r="T58" s="24"/>
      <c r="U58" s="24"/>
      <c r="V58" s="24"/>
      <c r="W58" s="24"/>
      <c r="X58" s="24"/>
      <c r="Y58" s="24"/>
      <c r="Z58" s="22">
        <v>0</v>
      </c>
      <c r="AA58" s="22"/>
      <c r="AB58" s="22"/>
      <c r="AC58" s="22"/>
      <c r="AD58" s="22" t="s">
        <v>42</v>
      </c>
      <c r="AE58" s="22"/>
      <c r="AF58" s="22" t="s">
        <v>227</v>
      </c>
      <c r="AG58" s="71" t="s">
        <v>591</v>
      </c>
      <c r="AH58" s="24">
        <v>2</v>
      </c>
      <c r="AI58" s="24">
        <v>1</v>
      </c>
      <c r="AJ58" s="24">
        <v>3</v>
      </c>
      <c r="AK58" s="24">
        <v>3</v>
      </c>
      <c r="AL58" s="24">
        <v>1</v>
      </c>
      <c r="AM58" s="24">
        <v>2</v>
      </c>
      <c r="AN58" s="24">
        <v>36</v>
      </c>
      <c r="AO58" s="22" t="s">
        <v>48</v>
      </c>
      <c r="AP58" s="22"/>
    </row>
    <row r="59" spans="1:42" ht="38.25" x14ac:dyDescent="0.2">
      <c r="A59" s="13" t="s">
        <v>35</v>
      </c>
      <c r="B59" s="13" t="s">
        <v>36</v>
      </c>
      <c r="C59" s="13"/>
      <c r="D59" s="13" t="s">
        <v>37</v>
      </c>
      <c r="E59" s="13" t="s">
        <v>38</v>
      </c>
      <c r="F59" s="70" t="s">
        <v>922</v>
      </c>
      <c r="G59" s="13"/>
      <c r="H59" s="13"/>
      <c r="I59" s="13" t="s">
        <v>39</v>
      </c>
      <c r="J59" s="13" t="s">
        <v>40</v>
      </c>
      <c r="K59" s="13" t="s">
        <v>41</v>
      </c>
      <c r="L59" s="14">
        <v>2021</v>
      </c>
      <c r="M59" s="14"/>
      <c r="N59" s="15">
        <v>720</v>
      </c>
      <c r="O59" s="16"/>
      <c r="P59" s="17">
        <f>N59*O59</f>
        <v>0</v>
      </c>
      <c r="Q59" s="18"/>
      <c r="R59" s="18">
        <f>IF(Q59&lt;4.99,(Q59*12%+4),IF(Q59&lt;10.99,(Q59*12%+8),IF(Q59&lt;14.99,(Q59*12%+12),IF(Q59&lt;879.99,(Q59*12%+16),IF(Q59&lt;2569.99,(Q59*7%+60),240)))))</f>
        <v>4</v>
      </c>
      <c r="S59" s="19">
        <f>R59*P59</f>
        <v>0</v>
      </c>
      <c r="T59" s="14"/>
      <c r="U59" s="14"/>
      <c r="V59" s="14"/>
      <c r="W59" s="14"/>
      <c r="X59" s="14"/>
      <c r="Y59" s="14"/>
      <c r="Z59" s="13"/>
      <c r="AA59" s="13"/>
      <c r="AB59" s="13"/>
      <c r="AC59" s="13"/>
      <c r="AD59" s="13" t="s">
        <v>42</v>
      </c>
      <c r="AE59" s="13" t="s">
        <v>43</v>
      </c>
      <c r="AF59" s="13" t="s">
        <v>44</v>
      </c>
      <c r="AG59" s="70" t="s">
        <v>46</v>
      </c>
      <c r="AH59" s="14">
        <v>2</v>
      </c>
      <c r="AI59" s="14">
        <v>2</v>
      </c>
      <c r="AJ59" s="14">
        <v>3</v>
      </c>
      <c r="AK59" s="14">
        <v>3</v>
      </c>
      <c r="AL59" s="14">
        <v>1</v>
      </c>
      <c r="AM59" s="14">
        <v>2</v>
      </c>
      <c r="AN59" s="14">
        <v>72</v>
      </c>
      <c r="AO59" s="13" t="s">
        <v>45</v>
      </c>
      <c r="AP59" s="20">
        <v>43647</v>
      </c>
    </row>
    <row r="60" spans="1:42" ht="38.25" x14ac:dyDescent="0.2">
      <c r="A60" s="22" t="s">
        <v>35</v>
      </c>
      <c r="B60" s="22" t="s">
        <v>268</v>
      </c>
      <c r="C60" s="22"/>
      <c r="D60" s="22" t="s">
        <v>37</v>
      </c>
      <c r="E60" s="22" t="s">
        <v>38</v>
      </c>
      <c r="F60" s="71" t="s">
        <v>922</v>
      </c>
      <c r="G60" s="22"/>
      <c r="H60" s="22"/>
      <c r="I60" s="22" t="s">
        <v>269</v>
      </c>
      <c r="J60" s="22"/>
      <c r="K60" s="22" t="s">
        <v>42</v>
      </c>
      <c r="L60" s="24">
        <v>2021</v>
      </c>
      <c r="M60" s="24"/>
      <c r="N60" s="51">
        <f>0.75*4400</f>
        <v>3300</v>
      </c>
      <c r="O60" s="39"/>
      <c r="P60" s="27">
        <f>N60*O60</f>
        <v>0</v>
      </c>
      <c r="Q60" s="28"/>
      <c r="R60" s="28">
        <f>IF(Q60&lt;4.99,(Q60*12%+4),IF(Q60&lt;10.99,(Q60*12%+8),IF(Q60&lt;14.99,(Q60*12%+12),IF(Q60&lt;879.99,(Q60*12%+16),IF(Q60&lt;2569.99,(Q60*7%+60),240)))))</f>
        <v>4</v>
      </c>
      <c r="S60" s="29">
        <f>R60*P60</f>
        <v>0</v>
      </c>
      <c r="T60" s="24"/>
      <c r="U60" s="24"/>
      <c r="V60" s="24"/>
      <c r="W60" s="24"/>
      <c r="X60" s="24"/>
      <c r="Y60" s="24"/>
      <c r="Z60" s="22"/>
      <c r="AA60" s="22"/>
      <c r="AB60" s="22"/>
      <c r="AC60" s="22"/>
      <c r="AD60" s="22" t="s">
        <v>42</v>
      </c>
      <c r="AE60" s="22" t="s">
        <v>43</v>
      </c>
      <c r="AF60" s="22" t="s">
        <v>44</v>
      </c>
      <c r="AG60" s="71" t="s">
        <v>270</v>
      </c>
      <c r="AH60" s="24">
        <v>2</v>
      </c>
      <c r="AI60" s="24">
        <v>3</v>
      </c>
      <c r="AJ60" s="24">
        <v>3</v>
      </c>
      <c r="AK60" s="24">
        <v>3</v>
      </c>
      <c r="AL60" s="24">
        <v>1</v>
      </c>
      <c r="AM60" s="24">
        <v>2</v>
      </c>
      <c r="AN60" s="24">
        <v>108</v>
      </c>
      <c r="AO60" s="22" t="s">
        <v>45</v>
      </c>
      <c r="AP60" s="40">
        <v>43647</v>
      </c>
    </row>
    <row r="61" spans="1:42" ht="38.25" x14ac:dyDescent="0.2">
      <c r="A61" s="13" t="s">
        <v>35</v>
      </c>
      <c r="B61" s="13" t="s">
        <v>616</v>
      </c>
      <c r="C61" s="13"/>
      <c r="D61" s="13" t="s">
        <v>37</v>
      </c>
      <c r="E61" s="13" t="s">
        <v>138</v>
      </c>
      <c r="F61" s="70" t="s">
        <v>922</v>
      </c>
      <c r="G61" s="13"/>
      <c r="H61" s="13"/>
      <c r="I61" s="13" t="s">
        <v>617</v>
      </c>
      <c r="J61" s="13" t="s">
        <v>1105</v>
      </c>
      <c r="K61" s="13" t="s">
        <v>42</v>
      </c>
      <c r="L61" s="14">
        <v>2021</v>
      </c>
      <c r="M61" s="14"/>
      <c r="N61" s="15">
        <v>32</v>
      </c>
      <c r="O61" s="16"/>
      <c r="P61" s="17">
        <v>5</v>
      </c>
      <c r="Q61" s="18">
        <v>8950</v>
      </c>
      <c r="R61" s="18"/>
      <c r="S61" s="19"/>
      <c r="T61" s="14"/>
      <c r="U61" s="14"/>
      <c r="V61" s="14"/>
      <c r="W61" s="14"/>
      <c r="X61" s="14"/>
      <c r="Y61" s="14"/>
      <c r="Z61" s="13"/>
      <c r="AA61" s="13"/>
      <c r="AB61" s="135">
        <f>Q61*P61*4</f>
        <v>179000</v>
      </c>
      <c r="AC61" s="13">
        <v>0</v>
      </c>
      <c r="AD61" s="13" t="s">
        <v>266</v>
      </c>
      <c r="AE61" s="13"/>
      <c r="AF61" s="13"/>
      <c r="AG61" s="70" t="s">
        <v>1106</v>
      </c>
      <c r="AH61" s="14">
        <v>1</v>
      </c>
      <c r="AI61" s="14">
        <v>1</v>
      </c>
      <c r="AJ61" s="14">
        <v>3</v>
      </c>
      <c r="AK61" s="14">
        <v>3</v>
      </c>
      <c r="AL61" s="14">
        <v>1</v>
      </c>
      <c r="AM61" s="14">
        <v>2</v>
      </c>
      <c r="AN61" s="14">
        <f>AH61*AI61*AJ61*AK61*AL61*AM61</f>
        <v>18</v>
      </c>
      <c r="AO61" s="13" t="s">
        <v>48</v>
      </c>
      <c r="AP61" s="20" t="s">
        <v>125</v>
      </c>
    </row>
    <row r="62" spans="1:42" s="133" customFormat="1" x14ac:dyDescent="0.2">
      <c r="A62" s="30" t="s">
        <v>58</v>
      </c>
      <c r="B62" s="30" t="s">
        <v>1108</v>
      </c>
      <c r="C62" s="30"/>
      <c r="D62" s="30" t="s">
        <v>60</v>
      </c>
      <c r="E62" s="30" t="s">
        <v>1107</v>
      </c>
      <c r="F62" s="72"/>
      <c r="G62" s="30"/>
      <c r="H62" s="30"/>
      <c r="I62" s="30" t="s">
        <v>1109</v>
      </c>
      <c r="J62" s="30" t="s">
        <v>1110</v>
      </c>
      <c r="K62" s="30"/>
      <c r="L62" s="31"/>
      <c r="M62" s="31"/>
      <c r="N62" s="32">
        <v>3</v>
      </c>
      <c r="O62" s="33"/>
      <c r="P62" s="34">
        <v>2</v>
      </c>
      <c r="Q62" s="35">
        <v>1000</v>
      </c>
      <c r="R62" s="35"/>
      <c r="S62" s="36"/>
      <c r="T62" s="31"/>
      <c r="U62" s="31"/>
      <c r="V62" s="31"/>
      <c r="W62" s="31"/>
      <c r="X62" s="31"/>
      <c r="Y62" s="31"/>
      <c r="Z62" s="30"/>
      <c r="AA62" s="30"/>
      <c r="AB62" s="132"/>
      <c r="AC62" s="30"/>
      <c r="AD62" s="30" t="s">
        <v>42</v>
      </c>
      <c r="AE62" s="30"/>
      <c r="AF62" s="30"/>
      <c r="AH62" s="31">
        <v>2</v>
      </c>
      <c r="AI62" s="31">
        <v>1</v>
      </c>
      <c r="AJ62" s="31">
        <v>2</v>
      </c>
      <c r="AK62" s="31">
        <v>3</v>
      </c>
      <c r="AL62" s="31">
        <v>3</v>
      </c>
      <c r="AM62" s="31">
        <v>2</v>
      </c>
      <c r="AN62" s="31">
        <f>AM62*AL62*AK62*AJ62*AI62*AH62</f>
        <v>72</v>
      </c>
      <c r="AO62" s="30"/>
      <c r="AP62" s="37">
        <v>44621</v>
      </c>
    </row>
    <row r="63" spans="1:42" s="133" customFormat="1" x14ac:dyDescent="0.2">
      <c r="A63" s="30" t="s">
        <v>35</v>
      </c>
      <c r="B63" s="30" t="s">
        <v>165</v>
      </c>
      <c r="C63" s="30"/>
      <c r="D63" s="30" t="s">
        <v>37</v>
      </c>
      <c r="E63" s="30" t="s">
        <v>1107</v>
      </c>
      <c r="F63" s="72"/>
      <c r="G63" s="30"/>
      <c r="H63" s="30"/>
      <c r="I63" s="30" t="s">
        <v>1112</v>
      </c>
      <c r="J63" s="30" t="s">
        <v>1113</v>
      </c>
      <c r="K63" s="30"/>
      <c r="L63" s="31"/>
      <c r="M63" s="31"/>
      <c r="N63" s="32">
        <v>150</v>
      </c>
      <c r="O63" s="33"/>
      <c r="P63" s="34">
        <v>20</v>
      </c>
      <c r="Q63" s="35">
        <v>20000</v>
      </c>
      <c r="R63" s="35"/>
      <c r="S63" s="36"/>
      <c r="T63" s="31"/>
      <c r="U63" s="31"/>
      <c r="V63" s="31"/>
      <c r="W63" s="31"/>
      <c r="X63" s="31"/>
      <c r="Y63" s="31"/>
      <c r="Z63" s="30"/>
      <c r="AA63" s="30"/>
      <c r="AB63" s="132"/>
      <c r="AC63" s="30"/>
      <c r="AD63" s="30" t="s">
        <v>42</v>
      </c>
      <c r="AE63" s="30"/>
      <c r="AF63" s="30"/>
      <c r="AG63" s="72"/>
      <c r="AH63" s="31">
        <v>2</v>
      </c>
      <c r="AI63" s="31">
        <v>2</v>
      </c>
      <c r="AJ63" s="31">
        <v>2</v>
      </c>
      <c r="AK63" s="31">
        <v>3</v>
      </c>
      <c r="AL63" s="31">
        <v>1</v>
      </c>
      <c r="AM63" s="31">
        <v>2</v>
      </c>
      <c r="AN63" s="31">
        <f>AM63*AL63*AK63*AJ63*AI63*AH63</f>
        <v>48</v>
      </c>
      <c r="AO63" s="30"/>
      <c r="AP63" s="37">
        <v>44621</v>
      </c>
    </row>
    <row r="64" spans="1:42" s="133" customFormat="1" x14ac:dyDescent="0.2">
      <c r="A64" s="30" t="s">
        <v>35</v>
      </c>
      <c r="B64" s="30" t="s">
        <v>263</v>
      </c>
      <c r="C64" s="30"/>
      <c r="D64" s="30" t="s">
        <v>60</v>
      </c>
      <c r="E64" s="30" t="s">
        <v>1087</v>
      </c>
      <c r="F64" s="72"/>
      <c r="G64" s="30"/>
      <c r="H64" s="30"/>
      <c r="I64" s="30" t="s">
        <v>1088</v>
      </c>
      <c r="J64" s="30"/>
      <c r="K64" s="30"/>
      <c r="L64" s="31"/>
      <c r="M64" s="31"/>
      <c r="N64" s="32">
        <v>2800</v>
      </c>
      <c r="O64" s="33" t="s">
        <v>1012</v>
      </c>
      <c r="P64" s="31">
        <v>20</v>
      </c>
      <c r="Q64" s="35">
        <v>1000</v>
      </c>
      <c r="R64" s="31"/>
      <c r="S64" s="31"/>
      <c r="T64" s="31"/>
      <c r="U64" s="31"/>
      <c r="V64" s="31"/>
      <c r="W64" s="31"/>
      <c r="X64" s="31"/>
      <c r="Y64" s="31"/>
      <c r="Z64" s="30"/>
      <c r="AA64" s="30"/>
      <c r="AB64" s="30"/>
      <c r="AC64" s="30"/>
      <c r="AD64" s="30" t="s">
        <v>42</v>
      </c>
      <c r="AE64" s="30"/>
      <c r="AF64" s="30"/>
      <c r="AG64" s="72"/>
      <c r="AH64" s="31">
        <v>3</v>
      </c>
      <c r="AI64" s="31">
        <v>3</v>
      </c>
      <c r="AJ64" s="31">
        <v>2</v>
      </c>
      <c r="AK64" s="31">
        <v>3</v>
      </c>
      <c r="AL64" s="31">
        <v>1</v>
      </c>
      <c r="AM64" s="31">
        <v>2</v>
      </c>
      <c r="AN64" s="31">
        <f>AH64*AI64*AJ64*AK64*AL64*AM64</f>
        <v>108</v>
      </c>
      <c r="AO64" s="30" t="s">
        <v>45</v>
      </c>
      <c r="AP64" s="37">
        <v>44621</v>
      </c>
    </row>
    <row r="65" spans="1:42" s="133" customFormat="1" x14ac:dyDescent="0.2">
      <c r="A65" s="30" t="s">
        <v>47</v>
      </c>
      <c r="B65" s="30" t="s">
        <v>1097</v>
      </c>
      <c r="C65" s="30"/>
      <c r="D65" s="30" t="s">
        <v>37</v>
      </c>
      <c r="E65" s="30" t="s">
        <v>1087</v>
      </c>
      <c r="F65" s="72"/>
      <c r="G65" s="30"/>
      <c r="H65" s="30"/>
      <c r="I65" s="30" t="s">
        <v>1096</v>
      </c>
      <c r="J65" s="30"/>
      <c r="K65" s="30"/>
      <c r="L65" s="31"/>
      <c r="M65" s="31"/>
      <c r="N65" s="32">
        <v>16000</v>
      </c>
      <c r="O65" s="33" t="s">
        <v>1012</v>
      </c>
      <c r="P65" s="31">
        <v>100</v>
      </c>
      <c r="Q65" s="35">
        <v>5000</v>
      </c>
      <c r="R65" s="31"/>
      <c r="S65" s="31"/>
      <c r="T65" s="31"/>
      <c r="U65" s="31"/>
      <c r="V65" s="31"/>
      <c r="W65" s="31"/>
      <c r="X65" s="31"/>
      <c r="Y65" s="31"/>
      <c r="Z65" s="30"/>
      <c r="AA65" s="30"/>
      <c r="AB65" s="132">
        <f>Q65*P65*0.1*2</f>
        <v>100000</v>
      </c>
      <c r="AC65" s="30"/>
      <c r="AD65" s="30" t="s">
        <v>42</v>
      </c>
      <c r="AE65" s="30"/>
      <c r="AF65" s="30"/>
      <c r="AG65" s="72" t="s">
        <v>1098</v>
      </c>
      <c r="AH65" s="31">
        <v>3</v>
      </c>
      <c r="AI65" s="31">
        <v>3</v>
      </c>
      <c r="AJ65" s="31">
        <v>2</v>
      </c>
      <c r="AK65" s="31">
        <v>3</v>
      </c>
      <c r="AL65" s="31">
        <v>2</v>
      </c>
      <c r="AM65" s="31">
        <v>3</v>
      </c>
      <c r="AN65" s="31">
        <f>AM65*AL65*AK65*AJ65*AI65*AH65</f>
        <v>324</v>
      </c>
      <c r="AO65" s="30" t="s">
        <v>45</v>
      </c>
      <c r="AP65" s="37">
        <v>44621</v>
      </c>
    </row>
    <row r="66" spans="1:42" ht="38.25" x14ac:dyDescent="0.2">
      <c r="A66" s="30" t="s">
        <v>35</v>
      </c>
      <c r="B66" s="30" t="s">
        <v>187</v>
      </c>
      <c r="C66" s="30"/>
      <c r="D66" s="30" t="s">
        <v>37</v>
      </c>
      <c r="E66" s="30" t="s">
        <v>188</v>
      </c>
      <c r="F66" s="72" t="s">
        <v>972</v>
      </c>
      <c r="G66" s="30"/>
      <c r="H66" s="30"/>
      <c r="I66" s="30" t="s">
        <v>189</v>
      </c>
      <c r="J66" s="30" t="s">
        <v>190</v>
      </c>
      <c r="K66" s="30" t="s">
        <v>42</v>
      </c>
      <c r="L66" s="31">
        <v>2015</v>
      </c>
      <c r="M66" s="31"/>
      <c r="N66" s="32">
        <f>0.3*4400+40490/298930000*8500000</f>
        <v>2471.3230522195831</v>
      </c>
      <c r="O66" s="33"/>
      <c r="P66" s="34">
        <f>N66*O66</f>
        <v>0</v>
      </c>
      <c r="Q66" s="35"/>
      <c r="R66" s="35">
        <f>IF(Q66&lt;4.99,(Q66*12%+4),IF(Q66&lt;10.99,(Q66*12%+8),IF(Q66&lt;14.99,(Q66*12%+12),IF(Q66&lt;879.99,(Q66*12%+16),IF(Q66&lt;2569.99,(Q66*7%+60),240)))))</f>
        <v>4</v>
      </c>
      <c r="S66" s="36">
        <f>R66*P66</f>
        <v>0</v>
      </c>
      <c r="T66" s="31"/>
      <c r="U66" s="31"/>
      <c r="V66" s="31"/>
      <c r="W66" s="31"/>
      <c r="X66" s="31"/>
      <c r="Y66" s="31"/>
      <c r="Z66" s="30"/>
      <c r="AA66" s="30"/>
      <c r="AB66" s="30"/>
      <c r="AC66" s="30"/>
      <c r="AD66" s="30" t="s">
        <v>42</v>
      </c>
      <c r="AE66" s="30"/>
      <c r="AF66" s="30" t="s">
        <v>129</v>
      </c>
      <c r="AG66" s="72"/>
      <c r="AH66" s="31">
        <v>1</v>
      </c>
      <c r="AI66" s="31">
        <v>2</v>
      </c>
      <c r="AJ66" s="31">
        <v>2</v>
      </c>
      <c r="AK66" s="31">
        <v>3</v>
      </c>
      <c r="AL66" s="31">
        <v>1</v>
      </c>
      <c r="AM66" s="31">
        <v>2</v>
      </c>
      <c r="AN66" s="31">
        <v>24</v>
      </c>
      <c r="AO66" s="30" t="s">
        <v>45</v>
      </c>
      <c r="AP66" s="30"/>
    </row>
    <row r="67" spans="1:42" x14ac:dyDescent="0.2">
      <c r="A67" s="30" t="s">
        <v>86</v>
      </c>
      <c r="B67" s="30" t="s">
        <v>1090</v>
      </c>
      <c r="C67" s="30"/>
      <c r="D67" s="30" t="s">
        <v>60</v>
      </c>
      <c r="E67" s="30" t="s">
        <v>188</v>
      </c>
      <c r="F67" s="72"/>
      <c r="G67" s="30"/>
      <c r="H67" s="30"/>
      <c r="I67" s="30" t="s">
        <v>1089</v>
      </c>
      <c r="J67" s="30"/>
      <c r="K67" s="30"/>
      <c r="L67" s="31"/>
      <c r="M67" s="31"/>
      <c r="N67" s="32">
        <v>60</v>
      </c>
      <c r="O67" s="33">
        <v>0.1</v>
      </c>
      <c r="P67" s="34">
        <v>6</v>
      </c>
      <c r="Q67" s="35">
        <v>3000</v>
      </c>
      <c r="R67" s="35"/>
      <c r="S67" s="36"/>
      <c r="T67" s="31"/>
      <c r="U67" s="31"/>
      <c r="V67" s="31"/>
      <c r="W67" s="31"/>
      <c r="X67" s="31"/>
      <c r="Y67" s="31"/>
      <c r="Z67" s="30"/>
      <c r="AA67" s="30"/>
      <c r="AB67" s="30"/>
      <c r="AC67" s="30"/>
      <c r="AD67" s="30" t="s">
        <v>42</v>
      </c>
      <c r="AE67" s="30"/>
      <c r="AF67" s="30"/>
      <c r="AG67" s="72" t="s">
        <v>1091</v>
      </c>
      <c r="AH67" s="31">
        <v>1</v>
      </c>
      <c r="AI67" s="31">
        <v>1</v>
      </c>
      <c r="AJ67" s="31">
        <v>2</v>
      </c>
      <c r="AK67" s="31">
        <v>3</v>
      </c>
      <c r="AL67" s="31">
        <v>2</v>
      </c>
      <c r="AM67" s="31">
        <v>2</v>
      </c>
      <c r="AN67" s="31">
        <f>AM67*AL67*AK67*AJ67*AI67*AH67</f>
        <v>24</v>
      </c>
      <c r="AO67" s="30" t="s">
        <v>45</v>
      </c>
      <c r="AP67" s="37">
        <v>44621</v>
      </c>
    </row>
    <row r="68" spans="1:42" ht="38.25" x14ac:dyDescent="0.2">
      <c r="A68" s="22" t="s">
        <v>35</v>
      </c>
      <c r="B68" s="22" t="s">
        <v>548</v>
      </c>
      <c r="C68" s="22"/>
      <c r="D68" s="22" t="s">
        <v>37</v>
      </c>
      <c r="E68" s="22" t="s">
        <v>188</v>
      </c>
      <c r="F68" s="71" t="s">
        <v>972</v>
      </c>
      <c r="G68" s="22"/>
      <c r="H68" s="22"/>
      <c r="I68" s="22" t="s">
        <v>549</v>
      </c>
      <c r="J68" s="22" t="s">
        <v>550</v>
      </c>
      <c r="K68" s="22">
        <v>41970</v>
      </c>
      <c r="L68" s="24">
        <v>2018</v>
      </c>
      <c r="M68" s="24"/>
      <c r="N68" s="51">
        <v>4400</v>
      </c>
      <c r="O68" s="39"/>
      <c r="P68" s="27">
        <f>N68*O68</f>
        <v>0</v>
      </c>
      <c r="Q68" s="28"/>
      <c r="R68" s="28">
        <f>IF(Q68&lt;4.99,(Q68*12%+4),IF(Q68&lt;10.99,(Q68*12%+8),IF(Q68&lt;14.99,(Q68*12%+12),IF(Q68&lt;879.99,(Q68*12%+16),IF(Q68&lt;2569.99,(Q68*7%+60),240)))))</f>
        <v>4</v>
      </c>
      <c r="S68" s="29">
        <f>R68*P68</f>
        <v>0</v>
      </c>
      <c r="T68" s="24"/>
      <c r="U68" s="24"/>
      <c r="V68" s="24"/>
      <c r="W68" s="24"/>
      <c r="X68" s="24"/>
      <c r="Y68" s="24"/>
      <c r="Z68" s="22">
        <v>0</v>
      </c>
      <c r="AA68" s="22"/>
      <c r="AB68" s="22"/>
      <c r="AC68" s="22"/>
      <c r="AD68" s="22" t="s">
        <v>551</v>
      </c>
      <c r="AE68" s="22"/>
      <c r="AF68" s="22" t="s">
        <v>129</v>
      </c>
      <c r="AG68" s="71" t="s">
        <v>552</v>
      </c>
      <c r="AH68" s="24">
        <v>1</v>
      </c>
      <c r="AI68" s="24">
        <v>3</v>
      </c>
      <c r="AJ68" s="24">
        <v>2</v>
      </c>
      <c r="AK68" s="24">
        <v>3</v>
      </c>
      <c r="AL68" s="24">
        <v>1</v>
      </c>
      <c r="AM68" s="24">
        <v>1</v>
      </c>
      <c r="AN68" s="24">
        <v>18</v>
      </c>
      <c r="AO68" s="22" t="s">
        <v>48</v>
      </c>
      <c r="AP68" s="22"/>
    </row>
    <row r="69" spans="1:42" ht="38.25" x14ac:dyDescent="0.2">
      <c r="A69" s="22" t="s">
        <v>35</v>
      </c>
      <c r="B69" s="22" t="s">
        <v>219</v>
      </c>
      <c r="C69" s="22"/>
      <c r="D69" s="65" t="s">
        <v>37</v>
      </c>
      <c r="E69" s="88" t="s">
        <v>83</v>
      </c>
      <c r="F69" s="65" t="s">
        <v>918</v>
      </c>
      <c r="G69" s="88"/>
      <c r="H69" s="88"/>
      <c r="I69" s="65" t="s">
        <v>813</v>
      </c>
      <c r="J69" s="22"/>
      <c r="K69" s="22" t="s">
        <v>834</v>
      </c>
      <c r="L69" s="24">
        <v>2022</v>
      </c>
      <c r="M69" s="24"/>
      <c r="N69" s="38"/>
      <c r="O69" s="39"/>
      <c r="P69" s="27"/>
      <c r="Q69" s="28"/>
      <c r="R69" s="28"/>
      <c r="S69" s="29"/>
      <c r="T69" s="24"/>
      <c r="U69" s="24"/>
      <c r="V69" s="24"/>
      <c r="W69" s="24"/>
      <c r="X69" s="24"/>
      <c r="Y69" s="24"/>
      <c r="Z69" s="22"/>
      <c r="AA69" s="22"/>
      <c r="AB69" s="22"/>
      <c r="AC69" s="22"/>
      <c r="AD69" s="22" t="s">
        <v>42</v>
      </c>
      <c r="AE69" s="22"/>
      <c r="AF69" s="41"/>
      <c r="AG69" s="67"/>
      <c r="AH69" s="24">
        <v>3</v>
      </c>
      <c r="AI69" s="24">
        <v>2</v>
      </c>
      <c r="AJ69" s="24">
        <v>3</v>
      </c>
      <c r="AK69" s="24">
        <v>3</v>
      </c>
      <c r="AL69" s="24">
        <v>1</v>
      </c>
      <c r="AM69" s="24">
        <v>2</v>
      </c>
      <c r="AN69" s="24">
        <v>108</v>
      </c>
      <c r="AO69" s="22" t="s">
        <v>45</v>
      </c>
      <c r="AP69" s="69">
        <v>44166</v>
      </c>
    </row>
    <row r="70" spans="1:42" ht="38.25" x14ac:dyDescent="0.2">
      <c r="A70" s="22" t="s">
        <v>86</v>
      </c>
      <c r="B70" s="22" t="s">
        <v>438</v>
      </c>
      <c r="C70" s="22"/>
      <c r="D70" s="65" t="s">
        <v>37</v>
      </c>
      <c r="E70" s="88" t="s">
        <v>83</v>
      </c>
      <c r="F70" s="65" t="s">
        <v>918</v>
      </c>
      <c r="G70" s="88"/>
      <c r="H70" s="88"/>
      <c r="I70" s="65" t="s">
        <v>812</v>
      </c>
      <c r="J70" s="22"/>
      <c r="K70" s="22" t="s">
        <v>42</v>
      </c>
      <c r="L70" s="24">
        <v>2022</v>
      </c>
      <c r="M70" s="24"/>
      <c r="N70" s="38"/>
      <c r="O70" s="39"/>
      <c r="P70" s="27"/>
      <c r="Q70" s="28"/>
      <c r="R70" s="28"/>
      <c r="S70" s="29"/>
      <c r="T70" s="24"/>
      <c r="U70" s="24"/>
      <c r="V70" s="24"/>
      <c r="W70" s="24"/>
      <c r="X70" s="24"/>
      <c r="Y70" s="24"/>
      <c r="Z70" s="22"/>
      <c r="AA70" s="22"/>
      <c r="AB70" s="22"/>
      <c r="AC70" s="22"/>
      <c r="AD70" s="22" t="s">
        <v>42</v>
      </c>
      <c r="AE70" s="22"/>
      <c r="AF70" s="41"/>
      <c r="AG70" s="67"/>
      <c r="AH70" s="24">
        <v>3</v>
      </c>
      <c r="AI70" s="24">
        <v>2</v>
      </c>
      <c r="AJ70" s="24">
        <v>3</v>
      </c>
      <c r="AK70" s="24">
        <v>1</v>
      </c>
      <c r="AL70" s="24">
        <v>2</v>
      </c>
      <c r="AM70" s="24">
        <v>2</v>
      </c>
      <c r="AN70" s="24">
        <v>72</v>
      </c>
      <c r="AO70" s="22" t="s">
        <v>48</v>
      </c>
      <c r="AP70" s="69">
        <v>44197</v>
      </c>
    </row>
    <row r="71" spans="1:42" ht="38.25" x14ac:dyDescent="0.2">
      <c r="A71" s="13" t="s">
        <v>35</v>
      </c>
      <c r="B71" s="13" t="s">
        <v>82</v>
      </c>
      <c r="C71" s="13"/>
      <c r="D71" s="13" t="s">
        <v>37</v>
      </c>
      <c r="E71" s="13" t="s">
        <v>83</v>
      </c>
      <c r="F71" s="70" t="s">
        <v>918</v>
      </c>
      <c r="G71" s="13"/>
      <c r="H71" s="13"/>
      <c r="I71" s="13" t="s">
        <v>84</v>
      </c>
      <c r="J71" s="13"/>
      <c r="K71" s="13" t="s">
        <v>42</v>
      </c>
      <c r="L71" s="14">
        <v>2020</v>
      </c>
      <c r="M71" s="14"/>
      <c r="N71" s="15">
        <f>8500000/100000</f>
        <v>85</v>
      </c>
      <c r="O71" s="16"/>
      <c r="P71" s="17">
        <f t="shared" ref="P71:P82" si="6">N71*O71</f>
        <v>0</v>
      </c>
      <c r="Q71" s="18"/>
      <c r="R71" s="18">
        <f t="shared" ref="R71:R82" si="7">IF(Q71&lt;4.99,(Q71*12%+4),IF(Q71&lt;10.99,(Q71*12%+8),IF(Q71&lt;14.99,(Q71*12%+12),IF(Q71&lt;879.99,(Q71*12%+16),IF(Q71&lt;2569.99,(Q71*7%+60),240)))))</f>
        <v>4</v>
      </c>
      <c r="S71" s="19">
        <f t="shared" ref="S71:S82" si="8">R71*P71</f>
        <v>0</v>
      </c>
      <c r="T71" s="14"/>
      <c r="U71" s="14"/>
      <c r="V71" s="14"/>
      <c r="W71" s="14"/>
      <c r="X71" s="14"/>
      <c r="Y71" s="14"/>
      <c r="Z71" s="13">
        <v>0</v>
      </c>
      <c r="AA71" s="13"/>
      <c r="AB71" s="13"/>
      <c r="AC71" s="13"/>
      <c r="AD71" s="13" t="s">
        <v>42</v>
      </c>
      <c r="AE71" s="13"/>
      <c r="AF71" s="13" t="s">
        <v>44</v>
      </c>
      <c r="AG71" s="70" t="s">
        <v>85</v>
      </c>
      <c r="AH71" s="14">
        <v>3</v>
      </c>
      <c r="AI71" s="14">
        <v>2</v>
      </c>
      <c r="AJ71" s="14">
        <v>2</v>
      </c>
      <c r="AK71" s="14">
        <v>3</v>
      </c>
      <c r="AL71" s="14">
        <v>1</v>
      </c>
      <c r="AM71" s="14">
        <v>1</v>
      </c>
      <c r="AN71" s="14">
        <v>36</v>
      </c>
      <c r="AO71" s="13" t="s">
        <v>45</v>
      </c>
      <c r="AP71" s="13"/>
    </row>
    <row r="72" spans="1:42" ht="51" x14ac:dyDescent="0.2">
      <c r="A72" s="13" t="s">
        <v>35</v>
      </c>
      <c r="B72" s="13" t="s">
        <v>112</v>
      </c>
      <c r="C72" s="13"/>
      <c r="D72" s="13" t="s">
        <v>98</v>
      </c>
      <c r="E72" s="13" t="s">
        <v>83</v>
      </c>
      <c r="F72" s="70" t="s">
        <v>918</v>
      </c>
      <c r="G72" s="13"/>
      <c r="H72" s="13"/>
      <c r="I72" s="13" t="s">
        <v>113</v>
      </c>
      <c r="J72" s="13" t="s">
        <v>114</v>
      </c>
      <c r="K72" s="13" t="s">
        <v>42</v>
      </c>
      <c r="L72" s="14">
        <v>2020</v>
      </c>
      <c r="M72" s="14"/>
      <c r="N72" s="15">
        <f>8000000*0.0001</f>
        <v>800</v>
      </c>
      <c r="O72" s="16"/>
      <c r="P72" s="17">
        <f t="shared" si="6"/>
        <v>0</v>
      </c>
      <c r="Q72" s="18"/>
      <c r="R72" s="18">
        <f t="shared" si="7"/>
        <v>4</v>
      </c>
      <c r="S72" s="19">
        <f t="shared" si="8"/>
        <v>0</v>
      </c>
      <c r="T72" s="14"/>
      <c r="U72" s="14"/>
      <c r="V72" s="14"/>
      <c r="W72" s="14"/>
      <c r="X72" s="14"/>
      <c r="Y72" s="14"/>
      <c r="Z72" s="13">
        <v>10000</v>
      </c>
      <c r="AA72" s="13"/>
      <c r="AB72" s="13"/>
      <c r="AC72" s="13"/>
      <c r="AD72" s="13" t="s">
        <v>42</v>
      </c>
      <c r="AE72" s="13"/>
      <c r="AF72" s="13" t="s">
        <v>44</v>
      </c>
      <c r="AG72" s="70" t="s">
        <v>115</v>
      </c>
      <c r="AH72" s="14">
        <v>3</v>
      </c>
      <c r="AI72" s="14">
        <v>2</v>
      </c>
      <c r="AJ72" s="14">
        <v>3</v>
      </c>
      <c r="AK72" s="14">
        <v>3</v>
      </c>
      <c r="AL72" s="14">
        <v>1</v>
      </c>
      <c r="AM72" s="14">
        <v>1</v>
      </c>
      <c r="AN72" s="14">
        <v>54</v>
      </c>
      <c r="AO72" s="13" t="s">
        <v>45</v>
      </c>
      <c r="AP72" s="13"/>
    </row>
    <row r="73" spans="1:42" ht="38.25" x14ac:dyDescent="0.2">
      <c r="A73" s="13" t="s">
        <v>72</v>
      </c>
      <c r="B73" s="13" t="s">
        <v>73</v>
      </c>
      <c r="C73" s="13"/>
      <c r="D73" s="13" t="s">
        <v>37</v>
      </c>
      <c r="E73" s="13" t="s">
        <v>83</v>
      </c>
      <c r="F73" s="70" t="s">
        <v>918</v>
      </c>
      <c r="G73" s="13"/>
      <c r="H73" s="13"/>
      <c r="I73" s="13" t="s">
        <v>131</v>
      </c>
      <c r="J73" s="13"/>
      <c r="K73" s="13" t="s">
        <v>42</v>
      </c>
      <c r="L73" s="14">
        <v>2019</v>
      </c>
      <c r="M73" s="14"/>
      <c r="N73" s="15">
        <v>17000</v>
      </c>
      <c r="O73" s="16"/>
      <c r="P73" s="17">
        <f t="shared" si="6"/>
        <v>0</v>
      </c>
      <c r="Q73" s="18"/>
      <c r="R73" s="18">
        <f t="shared" si="7"/>
        <v>4</v>
      </c>
      <c r="S73" s="19">
        <f t="shared" si="8"/>
        <v>0</v>
      </c>
      <c r="T73" s="14"/>
      <c r="U73" s="14"/>
      <c r="V73" s="14"/>
      <c r="W73" s="14"/>
      <c r="X73" s="14"/>
      <c r="Y73" s="14"/>
      <c r="Z73" s="13">
        <v>0</v>
      </c>
      <c r="AA73" s="13"/>
      <c r="AB73" s="13"/>
      <c r="AC73" s="13"/>
      <c r="AD73" s="13" t="s">
        <v>42</v>
      </c>
      <c r="AE73" s="13"/>
      <c r="AF73" s="13" t="s">
        <v>132</v>
      </c>
      <c r="AG73" s="70"/>
      <c r="AH73" s="14">
        <v>3</v>
      </c>
      <c r="AI73" s="14">
        <v>2</v>
      </c>
      <c r="AJ73" s="14">
        <v>3</v>
      </c>
      <c r="AK73" s="14">
        <v>2</v>
      </c>
      <c r="AL73" s="14">
        <v>1</v>
      </c>
      <c r="AM73" s="14">
        <v>3</v>
      </c>
      <c r="AN73" s="14">
        <v>108</v>
      </c>
      <c r="AO73" s="13" t="s">
        <v>45</v>
      </c>
      <c r="AP73" s="13"/>
    </row>
    <row r="74" spans="1:42" ht="38.25" x14ac:dyDescent="0.2">
      <c r="A74" s="22" t="s">
        <v>35</v>
      </c>
      <c r="B74" s="22" t="s">
        <v>384</v>
      </c>
      <c r="C74" s="22"/>
      <c r="D74" s="22" t="s">
        <v>37</v>
      </c>
      <c r="E74" s="22" t="s">
        <v>83</v>
      </c>
      <c r="F74" s="71" t="s">
        <v>918</v>
      </c>
      <c r="G74" s="22"/>
      <c r="H74" s="22"/>
      <c r="I74" s="22" t="s">
        <v>385</v>
      </c>
      <c r="J74" s="22" t="s">
        <v>386</v>
      </c>
      <c r="K74" s="22" t="s">
        <v>42</v>
      </c>
      <c r="L74" s="24">
        <v>2020</v>
      </c>
      <c r="M74" s="24"/>
      <c r="N74" s="38">
        <f>80/1.5</f>
        <v>53.333333333333336</v>
      </c>
      <c r="O74" s="39"/>
      <c r="P74" s="27">
        <f t="shared" si="6"/>
        <v>0</v>
      </c>
      <c r="Q74" s="28"/>
      <c r="R74" s="28">
        <f t="shared" si="7"/>
        <v>4</v>
      </c>
      <c r="S74" s="29">
        <f t="shared" si="8"/>
        <v>0</v>
      </c>
      <c r="T74" s="24"/>
      <c r="U74" s="24"/>
      <c r="V74" s="24"/>
      <c r="W74" s="24"/>
      <c r="X74" s="24"/>
      <c r="Y74" s="24"/>
      <c r="Z74" s="22"/>
      <c r="AA74" s="22"/>
      <c r="AB74" s="22"/>
      <c r="AC74" s="22"/>
      <c r="AD74" s="22" t="s">
        <v>42</v>
      </c>
      <c r="AE74" s="22"/>
      <c r="AF74" s="22" t="s">
        <v>44</v>
      </c>
      <c r="AG74" s="71" t="s">
        <v>387</v>
      </c>
      <c r="AH74" s="24">
        <v>3</v>
      </c>
      <c r="AI74" s="24">
        <v>2</v>
      </c>
      <c r="AJ74" s="24">
        <v>3</v>
      </c>
      <c r="AK74" s="24">
        <v>3</v>
      </c>
      <c r="AL74" s="24">
        <v>1</v>
      </c>
      <c r="AM74" s="24">
        <v>1</v>
      </c>
      <c r="AN74" s="24">
        <v>54</v>
      </c>
      <c r="AO74" s="22" t="s">
        <v>388</v>
      </c>
      <c r="AP74" s="22"/>
    </row>
    <row r="75" spans="1:42" ht="38.25" x14ac:dyDescent="0.2">
      <c r="A75" s="22" t="s">
        <v>35</v>
      </c>
      <c r="B75" s="22" t="s">
        <v>526</v>
      </c>
      <c r="C75" s="22"/>
      <c r="D75" s="22" t="s">
        <v>37</v>
      </c>
      <c r="E75" s="22" t="s">
        <v>83</v>
      </c>
      <c r="F75" s="71" t="s">
        <v>918</v>
      </c>
      <c r="G75" s="22"/>
      <c r="H75" s="22"/>
      <c r="I75" s="22" t="s">
        <v>527</v>
      </c>
      <c r="J75" s="22"/>
      <c r="K75" s="22" t="s">
        <v>42</v>
      </c>
      <c r="L75" s="24">
        <v>2021</v>
      </c>
      <c r="M75" s="24"/>
      <c r="N75" s="51">
        <v>622</v>
      </c>
      <c r="O75" s="39"/>
      <c r="P75" s="27">
        <f t="shared" si="6"/>
        <v>0</v>
      </c>
      <c r="Q75" s="28"/>
      <c r="R75" s="28">
        <f t="shared" si="7"/>
        <v>4</v>
      </c>
      <c r="S75" s="29">
        <f t="shared" si="8"/>
        <v>0</v>
      </c>
      <c r="T75" s="24"/>
      <c r="U75" s="24"/>
      <c r="V75" s="24"/>
      <c r="W75" s="24"/>
      <c r="X75" s="24"/>
      <c r="Y75" s="24"/>
      <c r="Z75" s="22"/>
      <c r="AA75" s="22"/>
      <c r="AB75" s="22"/>
      <c r="AC75" s="22"/>
      <c r="AD75" s="22" t="s">
        <v>64</v>
      </c>
      <c r="AE75" s="22"/>
      <c r="AF75" s="22" t="s">
        <v>132</v>
      </c>
      <c r="AG75" s="71" t="s">
        <v>528</v>
      </c>
      <c r="AH75" s="24">
        <v>3</v>
      </c>
      <c r="AI75" s="24">
        <v>3</v>
      </c>
      <c r="AJ75" s="24">
        <v>3</v>
      </c>
      <c r="AK75" s="24">
        <v>3</v>
      </c>
      <c r="AL75" s="24">
        <v>1</v>
      </c>
      <c r="AM75" s="24">
        <v>2</v>
      </c>
      <c r="AN75" s="24">
        <v>162</v>
      </c>
      <c r="AO75" s="22" t="s">
        <v>45</v>
      </c>
      <c r="AP75" s="22"/>
    </row>
    <row r="76" spans="1:42" ht="25.5" x14ac:dyDescent="0.2">
      <c r="A76" s="22" t="s">
        <v>58</v>
      </c>
      <c r="B76" s="23" t="s">
        <v>1053</v>
      </c>
      <c r="C76" s="22"/>
      <c r="D76" s="22" t="s">
        <v>37</v>
      </c>
      <c r="E76" s="22" t="s">
        <v>246</v>
      </c>
      <c r="F76" s="71"/>
      <c r="G76" s="22"/>
      <c r="H76" s="22"/>
      <c r="I76" s="22" t="s">
        <v>247</v>
      </c>
      <c r="J76" s="22"/>
      <c r="K76" s="22" t="s">
        <v>42</v>
      </c>
      <c r="L76" s="24">
        <v>2022</v>
      </c>
      <c r="M76" s="24"/>
      <c r="N76" s="38">
        <v>100</v>
      </c>
      <c r="O76" s="39"/>
      <c r="P76" s="27">
        <v>10</v>
      </c>
      <c r="Q76" s="28">
        <v>2000</v>
      </c>
      <c r="R76" s="28">
        <f t="shared" si="7"/>
        <v>200</v>
      </c>
      <c r="S76" s="29">
        <f t="shared" si="8"/>
        <v>2000</v>
      </c>
      <c r="T76" s="24"/>
      <c r="U76" s="24"/>
      <c r="V76" s="24"/>
      <c r="W76" s="24"/>
      <c r="X76" s="24"/>
      <c r="Y76" s="24"/>
      <c r="Z76" s="115">
        <f>S76*P76*5</f>
        <v>100000</v>
      </c>
      <c r="AA76" s="22">
        <v>10000</v>
      </c>
      <c r="AB76" s="22"/>
      <c r="AC76" s="22"/>
      <c r="AD76" s="22" t="s">
        <v>42</v>
      </c>
      <c r="AE76" s="22"/>
      <c r="AF76" s="40" t="s">
        <v>76</v>
      </c>
      <c r="AG76" s="71" t="s">
        <v>248</v>
      </c>
      <c r="AH76" s="24">
        <v>3</v>
      </c>
      <c r="AI76" s="24">
        <v>1</v>
      </c>
      <c r="AJ76" s="24">
        <v>3</v>
      </c>
      <c r="AK76" s="24">
        <v>3</v>
      </c>
      <c r="AL76" s="24">
        <v>1</v>
      </c>
      <c r="AM76" s="24">
        <v>2</v>
      </c>
      <c r="AN76" s="24">
        <v>54</v>
      </c>
      <c r="AO76" s="22" t="s">
        <v>45</v>
      </c>
      <c r="AP76" s="22"/>
    </row>
    <row r="77" spans="1:42" ht="76.5" x14ac:dyDescent="0.2">
      <c r="A77" s="30" t="s">
        <v>58</v>
      </c>
      <c r="B77" s="30" t="s">
        <v>333</v>
      </c>
      <c r="C77" s="30"/>
      <c r="D77" s="30" t="s">
        <v>37</v>
      </c>
      <c r="E77" s="30" t="s">
        <v>334</v>
      </c>
      <c r="F77" s="30"/>
      <c r="G77" s="72" t="s">
        <v>950</v>
      </c>
      <c r="H77" s="30"/>
      <c r="I77" s="30" t="s">
        <v>335</v>
      </c>
      <c r="J77" s="30" t="s">
        <v>336</v>
      </c>
      <c r="K77" s="30" t="s">
        <v>201</v>
      </c>
      <c r="L77" s="31">
        <v>2019</v>
      </c>
      <c r="M77" s="31"/>
      <c r="N77" s="32">
        <f>2000/7500000000*8500000</f>
        <v>2.2666666666666666</v>
      </c>
      <c r="O77" s="33"/>
      <c r="P77" s="34">
        <f t="shared" si="6"/>
        <v>0</v>
      </c>
      <c r="Q77" s="35"/>
      <c r="R77" s="35">
        <f t="shared" si="7"/>
        <v>4</v>
      </c>
      <c r="S77" s="36">
        <f t="shared" si="8"/>
        <v>0</v>
      </c>
      <c r="T77" s="31"/>
      <c r="U77" s="31"/>
      <c r="V77" s="31"/>
      <c r="W77" s="31"/>
      <c r="X77" s="31"/>
      <c r="Y77" s="31"/>
      <c r="Z77" s="30">
        <v>5000</v>
      </c>
      <c r="AA77" s="30"/>
      <c r="AB77" s="30"/>
      <c r="AC77" s="30"/>
      <c r="AD77" s="30" t="s">
        <v>42</v>
      </c>
      <c r="AE77" s="30"/>
      <c r="AF77" s="30" t="s">
        <v>95</v>
      </c>
      <c r="AG77" s="72" t="s">
        <v>337</v>
      </c>
      <c r="AH77" s="31">
        <v>2</v>
      </c>
      <c r="AI77" s="31">
        <v>1</v>
      </c>
      <c r="AJ77" s="31">
        <v>2</v>
      </c>
      <c r="AK77" s="31">
        <v>3</v>
      </c>
      <c r="AL77" s="31">
        <v>1</v>
      </c>
      <c r="AM77" s="31">
        <v>1</v>
      </c>
      <c r="AN77" s="31">
        <v>12</v>
      </c>
      <c r="AO77" s="30" t="s">
        <v>48</v>
      </c>
      <c r="AP77" s="30"/>
    </row>
    <row r="78" spans="1:42" ht="38.25" x14ac:dyDescent="0.2">
      <c r="A78" s="22" t="s">
        <v>35</v>
      </c>
      <c r="B78" s="22" t="s">
        <v>78</v>
      </c>
      <c r="C78" s="22"/>
      <c r="D78" s="22" t="s">
        <v>37</v>
      </c>
      <c r="E78" s="22" t="s">
        <v>668</v>
      </c>
      <c r="F78" s="71" t="s">
        <v>988</v>
      </c>
      <c r="G78" s="22"/>
      <c r="H78" s="22"/>
      <c r="I78" s="22" t="s">
        <v>669</v>
      </c>
      <c r="J78" s="22" t="s">
        <v>670</v>
      </c>
      <c r="K78" s="22" t="s">
        <v>556</v>
      </c>
      <c r="L78" s="24">
        <v>2020</v>
      </c>
      <c r="M78" s="24"/>
      <c r="N78" s="38">
        <v>600</v>
      </c>
      <c r="O78" s="39"/>
      <c r="P78" s="27">
        <f t="shared" si="6"/>
        <v>0</v>
      </c>
      <c r="Q78" s="28"/>
      <c r="R78" s="28">
        <f t="shared" si="7"/>
        <v>4</v>
      </c>
      <c r="S78" s="29">
        <f t="shared" si="8"/>
        <v>0</v>
      </c>
      <c r="T78" s="24"/>
      <c r="U78" s="24"/>
      <c r="V78" s="24"/>
      <c r="W78" s="24"/>
      <c r="X78" s="24"/>
      <c r="Y78" s="24"/>
      <c r="Z78" s="22">
        <v>5000</v>
      </c>
      <c r="AA78" s="22"/>
      <c r="AB78" s="22"/>
      <c r="AC78" s="22"/>
      <c r="AD78" s="22" t="s">
        <v>42</v>
      </c>
      <c r="AE78" s="22"/>
      <c r="AF78" s="22" t="s">
        <v>56</v>
      </c>
      <c r="AG78" s="71" t="s">
        <v>671</v>
      </c>
      <c r="AH78" s="24">
        <v>1</v>
      </c>
      <c r="AI78" s="24">
        <v>2</v>
      </c>
      <c r="AJ78" s="24">
        <v>1</v>
      </c>
      <c r="AK78" s="24">
        <v>3</v>
      </c>
      <c r="AL78" s="24">
        <v>1</v>
      </c>
      <c r="AM78" s="24">
        <v>2</v>
      </c>
      <c r="AN78" s="24">
        <v>12</v>
      </c>
      <c r="AO78" s="22" t="s">
        <v>48</v>
      </c>
      <c r="AP78" s="22"/>
    </row>
    <row r="79" spans="1:42" ht="38.25" x14ac:dyDescent="0.2">
      <c r="A79" s="22" t="s">
        <v>58</v>
      </c>
      <c r="B79" s="22" t="s">
        <v>207</v>
      </c>
      <c r="C79" s="22"/>
      <c r="D79" s="22" t="s">
        <v>37</v>
      </c>
      <c r="E79" s="22" t="s">
        <v>208</v>
      </c>
      <c r="F79" s="22"/>
      <c r="G79" s="22"/>
      <c r="H79" s="65" t="s">
        <v>936</v>
      </c>
      <c r="I79" s="22" t="s">
        <v>209</v>
      </c>
      <c r="J79" s="22"/>
      <c r="K79" s="22" t="s">
        <v>128</v>
      </c>
      <c r="L79" s="24">
        <v>2021</v>
      </c>
      <c r="M79" s="24"/>
      <c r="N79" s="51">
        <f>8500000/100000*1.5</f>
        <v>127.5</v>
      </c>
      <c r="O79" s="39"/>
      <c r="P79" s="27">
        <f t="shared" si="6"/>
        <v>0</v>
      </c>
      <c r="Q79" s="28"/>
      <c r="R79" s="28">
        <f t="shared" si="7"/>
        <v>4</v>
      </c>
      <c r="S79" s="29">
        <f t="shared" si="8"/>
        <v>0</v>
      </c>
      <c r="T79" s="24"/>
      <c r="U79" s="24"/>
      <c r="V79" s="24"/>
      <c r="W79" s="24"/>
      <c r="X79" s="24"/>
      <c r="Y79" s="24"/>
      <c r="Z79" s="22"/>
      <c r="AA79" s="22"/>
      <c r="AB79" s="22"/>
      <c r="AC79" s="22"/>
      <c r="AD79" s="22" t="s">
        <v>64</v>
      </c>
      <c r="AE79" s="22"/>
      <c r="AF79" s="22" t="s">
        <v>56</v>
      </c>
      <c r="AG79" s="71" t="s">
        <v>210</v>
      </c>
      <c r="AH79" s="24">
        <v>1</v>
      </c>
      <c r="AI79" s="24">
        <v>1</v>
      </c>
      <c r="AJ79" s="24">
        <v>1</v>
      </c>
      <c r="AK79" s="24">
        <v>3</v>
      </c>
      <c r="AL79" s="24">
        <v>1</v>
      </c>
      <c r="AM79" s="24">
        <v>1</v>
      </c>
      <c r="AN79" s="24">
        <v>3</v>
      </c>
      <c r="AO79" s="22" t="s">
        <v>45</v>
      </c>
      <c r="AP79" s="22"/>
    </row>
    <row r="80" spans="1:42" x14ac:dyDescent="0.2">
      <c r="A80" s="30" t="s">
        <v>58</v>
      </c>
      <c r="B80" s="30" t="s">
        <v>575</v>
      </c>
      <c r="C80" s="30"/>
      <c r="D80" s="30" t="s">
        <v>37</v>
      </c>
      <c r="E80" s="30" t="s">
        <v>576</v>
      </c>
      <c r="F80" s="72"/>
      <c r="G80" s="30" t="s">
        <v>977</v>
      </c>
      <c r="H80" s="106"/>
      <c r="I80" s="30" t="s">
        <v>577</v>
      </c>
      <c r="J80" s="30"/>
      <c r="K80" s="30" t="s">
        <v>42</v>
      </c>
      <c r="L80" s="31">
        <v>2021</v>
      </c>
      <c r="M80" s="31"/>
      <c r="N80" s="32">
        <f>5.5*80</f>
        <v>440</v>
      </c>
      <c r="O80" s="33"/>
      <c r="P80" s="34">
        <f t="shared" si="6"/>
        <v>0</v>
      </c>
      <c r="Q80" s="35"/>
      <c r="R80" s="35">
        <f t="shared" si="7"/>
        <v>4</v>
      </c>
      <c r="S80" s="36">
        <f t="shared" si="8"/>
        <v>0</v>
      </c>
      <c r="T80" s="31"/>
      <c r="U80" s="31"/>
      <c r="V80" s="31"/>
      <c r="W80" s="31"/>
      <c r="X80" s="31"/>
      <c r="Y80" s="31"/>
      <c r="Z80" s="30">
        <v>0</v>
      </c>
      <c r="AA80" s="30"/>
      <c r="AB80" s="30"/>
      <c r="AC80" s="30"/>
      <c r="AD80" s="30" t="s">
        <v>42</v>
      </c>
      <c r="AE80" s="30"/>
      <c r="AF80" s="37" t="s">
        <v>56</v>
      </c>
      <c r="AG80" s="72" t="s">
        <v>557</v>
      </c>
      <c r="AH80" s="31">
        <v>1</v>
      </c>
      <c r="AI80" s="31">
        <v>1</v>
      </c>
      <c r="AJ80" s="31">
        <v>2</v>
      </c>
      <c r="AK80" s="31">
        <v>3</v>
      </c>
      <c r="AL80" s="31">
        <v>1</v>
      </c>
      <c r="AM80" s="31">
        <v>1</v>
      </c>
      <c r="AN80" s="31">
        <v>6</v>
      </c>
      <c r="AO80" s="30" t="s">
        <v>48</v>
      </c>
      <c r="AP80" s="30"/>
    </row>
    <row r="81" spans="1:42" s="133" customFormat="1" ht="63.75" x14ac:dyDescent="0.2">
      <c r="A81" s="30" t="s">
        <v>58</v>
      </c>
      <c r="B81" s="30" t="s">
        <v>553</v>
      </c>
      <c r="C81" s="30"/>
      <c r="D81" s="30" t="s">
        <v>37</v>
      </c>
      <c r="E81" s="30" t="s">
        <v>973</v>
      </c>
      <c r="F81" s="72"/>
      <c r="G81" s="72" t="s">
        <v>974</v>
      </c>
      <c r="H81" s="30"/>
      <c r="I81" s="30" t="s">
        <v>554</v>
      </c>
      <c r="J81" s="30" t="s">
        <v>555</v>
      </c>
      <c r="K81" s="30" t="s">
        <v>556</v>
      </c>
      <c r="L81" s="31">
        <v>2019</v>
      </c>
      <c r="M81" s="31"/>
      <c r="N81" s="32">
        <f>8500000/100000</f>
        <v>85</v>
      </c>
      <c r="O81" s="33"/>
      <c r="P81" s="34">
        <f t="shared" si="6"/>
        <v>0</v>
      </c>
      <c r="Q81" s="35">
        <v>4000</v>
      </c>
      <c r="R81" s="35">
        <f t="shared" si="7"/>
        <v>240</v>
      </c>
      <c r="S81" s="36">
        <f t="shared" si="8"/>
        <v>0</v>
      </c>
      <c r="T81" s="31"/>
      <c r="U81" s="31"/>
      <c r="V81" s="31"/>
      <c r="W81" s="31"/>
      <c r="X81" s="31"/>
      <c r="Y81" s="31"/>
      <c r="Z81" s="30">
        <v>0</v>
      </c>
      <c r="AA81" s="30"/>
      <c r="AB81" s="30"/>
      <c r="AC81" s="30"/>
      <c r="AD81" s="30" t="s">
        <v>201</v>
      </c>
      <c r="AE81" s="30"/>
      <c r="AF81" s="37" t="s">
        <v>56</v>
      </c>
      <c r="AG81" s="72" t="s">
        <v>557</v>
      </c>
      <c r="AH81" s="31">
        <v>1</v>
      </c>
      <c r="AI81" s="31">
        <v>2</v>
      </c>
      <c r="AJ81" s="31">
        <v>1</v>
      </c>
      <c r="AK81" s="31">
        <v>3</v>
      </c>
      <c r="AL81" s="31">
        <v>1</v>
      </c>
      <c r="AM81" s="31">
        <v>1</v>
      </c>
      <c r="AN81" s="31">
        <v>6</v>
      </c>
      <c r="AO81" s="30" t="s">
        <v>48</v>
      </c>
      <c r="AP81" s="30"/>
    </row>
    <row r="82" spans="1:42" ht="38.25" x14ac:dyDescent="0.2">
      <c r="A82" s="22" t="s">
        <v>58</v>
      </c>
      <c r="B82" s="22" t="s">
        <v>692</v>
      </c>
      <c r="C82" s="22"/>
      <c r="D82" s="22" t="s">
        <v>37</v>
      </c>
      <c r="E82" s="22" t="s">
        <v>693</v>
      </c>
      <c r="F82" s="22"/>
      <c r="G82" s="22"/>
      <c r="H82" s="65" t="s">
        <v>990</v>
      </c>
      <c r="I82" s="22" t="s">
        <v>694</v>
      </c>
      <c r="J82" s="22"/>
      <c r="K82" s="22" t="s">
        <v>42</v>
      </c>
      <c r="L82" s="24">
        <v>2023</v>
      </c>
      <c r="M82" s="24"/>
      <c r="N82" s="52">
        <f>8500000/100000*7.5+0.17*8500000*0.8</f>
        <v>1156637.5</v>
      </c>
      <c r="O82" s="39"/>
      <c r="P82" s="27">
        <f t="shared" si="6"/>
        <v>0</v>
      </c>
      <c r="Q82" s="28"/>
      <c r="R82" s="28">
        <f t="shared" si="7"/>
        <v>4</v>
      </c>
      <c r="S82" s="29">
        <f t="shared" si="8"/>
        <v>0</v>
      </c>
      <c r="T82" s="24"/>
      <c r="U82" s="24"/>
      <c r="V82" s="24"/>
      <c r="W82" s="24"/>
      <c r="X82" s="24"/>
      <c r="Y82" s="24"/>
      <c r="Z82" s="22"/>
      <c r="AA82" s="22"/>
      <c r="AB82" s="22"/>
      <c r="AC82" s="22"/>
      <c r="AD82" s="22" t="s">
        <v>42</v>
      </c>
      <c r="AE82" s="22"/>
      <c r="AF82" s="22" t="s">
        <v>56</v>
      </c>
      <c r="AG82" s="71" t="s">
        <v>695</v>
      </c>
      <c r="AH82" s="24">
        <v>1</v>
      </c>
      <c r="AI82" s="24">
        <v>3</v>
      </c>
      <c r="AJ82" s="24">
        <v>1</v>
      </c>
      <c r="AK82" s="24">
        <v>3</v>
      </c>
      <c r="AL82" s="24">
        <v>1</v>
      </c>
      <c r="AM82" s="24">
        <v>2</v>
      </c>
      <c r="AN82" s="24">
        <v>18</v>
      </c>
      <c r="AO82" s="22" t="s">
        <v>45</v>
      </c>
      <c r="AP82" s="22"/>
    </row>
    <row r="83" spans="1:42" ht="38.25" x14ac:dyDescent="0.2">
      <c r="A83" s="22" t="s">
        <v>47</v>
      </c>
      <c r="B83" s="22" t="s">
        <v>816</v>
      </c>
      <c r="C83" s="22"/>
      <c r="D83" s="65" t="s">
        <v>37</v>
      </c>
      <c r="E83" s="88" t="s">
        <v>599</v>
      </c>
      <c r="F83" s="97" t="s">
        <v>917</v>
      </c>
      <c r="G83" s="88"/>
      <c r="H83" s="88"/>
      <c r="I83" s="65" t="s">
        <v>817</v>
      </c>
      <c r="J83" s="22" t="s">
        <v>818</v>
      </c>
      <c r="K83" s="22" t="s">
        <v>201</v>
      </c>
      <c r="L83" s="24">
        <v>2020</v>
      </c>
      <c r="M83" s="24"/>
      <c r="N83" s="38"/>
      <c r="O83" s="39"/>
      <c r="P83" s="27"/>
      <c r="Q83" s="28"/>
      <c r="R83" s="28"/>
      <c r="S83" s="29"/>
      <c r="T83" s="24"/>
      <c r="U83" s="24"/>
      <c r="V83" s="24"/>
      <c r="W83" s="24"/>
      <c r="X83" s="24"/>
      <c r="Y83" s="24"/>
      <c r="Z83" s="22"/>
      <c r="AA83" s="22"/>
      <c r="AB83" s="22"/>
      <c r="AC83" s="22"/>
      <c r="AD83" s="22" t="s">
        <v>819</v>
      </c>
      <c r="AE83" s="22"/>
      <c r="AF83" s="41"/>
      <c r="AG83" s="67"/>
      <c r="AH83" s="24">
        <v>1</v>
      </c>
      <c r="AI83" s="24">
        <v>3</v>
      </c>
      <c r="AJ83" s="24">
        <v>1</v>
      </c>
      <c r="AK83" s="24">
        <v>1</v>
      </c>
      <c r="AL83" s="24">
        <v>1</v>
      </c>
      <c r="AM83" s="24">
        <v>2</v>
      </c>
      <c r="AN83" s="24">
        <v>6</v>
      </c>
      <c r="AO83" s="22" t="s">
        <v>48</v>
      </c>
      <c r="AP83" s="22"/>
    </row>
    <row r="84" spans="1:42" ht="38.25" x14ac:dyDescent="0.2">
      <c r="A84" s="22" t="s">
        <v>35</v>
      </c>
      <c r="B84" s="22" t="s">
        <v>517</v>
      </c>
      <c r="C84" s="22"/>
      <c r="D84" s="65" t="s">
        <v>60</v>
      </c>
      <c r="E84" s="88" t="s">
        <v>599</v>
      </c>
      <c r="F84" s="97" t="s">
        <v>917</v>
      </c>
      <c r="G84" s="88"/>
      <c r="H84" s="88"/>
      <c r="I84" s="65" t="s">
        <v>814</v>
      </c>
      <c r="J84" s="22" t="s">
        <v>815</v>
      </c>
      <c r="K84" s="22" t="s">
        <v>42</v>
      </c>
      <c r="L84" s="24">
        <v>2021</v>
      </c>
      <c r="M84" s="24"/>
      <c r="N84" s="38"/>
      <c r="O84" s="39"/>
      <c r="P84" s="27"/>
      <c r="Q84" s="28"/>
      <c r="R84" s="28"/>
      <c r="S84" s="29"/>
      <c r="T84" s="24"/>
      <c r="U84" s="24"/>
      <c r="V84" s="24"/>
      <c r="W84" s="24"/>
      <c r="X84" s="24"/>
      <c r="Y84" s="24"/>
      <c r="Z84" s="22"/>
      <c r="AA84" s="22"/>
      <c r="AB84" s="22"/>
      <c r="AC84" s="22"/>
      <c r="AD84" s="22" t="s">
        <v>42</v>
      </c>
      <c r="AE84" s="22"/>
      <c r="AF84" s="41"/>
      <c r="AG84" s="67"/>
      <c r="AH84" s="24"/>
      <c r="AI84" s="24"/>
      <c r="AJ84" s="24"/>
      <c r="AK84" s="24"/>
      <c r="AL84" s="24"/>
      <c r="AM84" s="24"/>
      <c r="AN84" s="24">
        <v>0</v>
      </c>
      <c r="AO84" s="22"/>
      <c r="AP84" s="69"/>
    </row>
    <row r="85" spans="1:42" ht="38.25" x14ac:dyDescent="0.2">
      <c r="A85" s="22" t="s">
        <v>35</v>
      </c>
      <c r="B85" s="22" t="s">
        <v>598</v>
      </c>
      <c r="C85" s="22"/>
      <c r="D85" s="22" t="s">
        <v>37</v>
      </c>
      <c r="E85" s="22" t="s">
        <v>599</v>
      </c>
      <c r="F85" s="71" t="s">
        <v>917</v>
      </c>
      <c r="G85" s="22"/>
      <c r="H85" s="22"/>
      <c r="I85" s="22" t="s">
        <v>600</v>
      </c>
      <c r="J85" s="22" t="s">
        <v>601</v>
      </c>
      <c r="K85" s="22" t="s">
        <v>63</v>
      </c>
      <c r="L85" s="24">
        <v>2021</v>
      </c>
      <c r="M85" s="24"/>
      <c r="N85" s="51">
        <f>8500000/100000*1.8</f>
        <v>153</v>
      </c>
      <c r="O85" s="39"/>
      <c r="P85" s="27">
        <f>N85*O85</f>
        <v>0</v>
      </c>
      <c r="Q85" s="28"/>
      <c r="R85" s="28">
        <f>IF(Q85&lt;4.99,(Q85*12%+4),IF(Q85&lt;10.99,(Q85*12%+8),IF(Q85&lt;14.99,(Q85*12%+12),IF(Q85&lt;879.99,(Q85*12%+16),IF(Q85&lt;2569.99,(Q85*7%+60),240)))))</f>
        <v>4</v>
      </c>
      <c r="S85" s="29">
        <f>R85*P85</f>
        <v>0</v>
      </c>
      <c r="T85" s="24"/>
      <c r="U85" s="24"/>
      <c r="V85" s="24"/>
      <c r="W85" s="24"/>
      <c r="X85" s="24"/>
      <c r="Y85" s="24"/>
      <c r="Z85" s="22">
        <v>0</v>
      </c>
      <c r="AA85" s="22"/>
      <c r="AB85" s="22"/>
      <c r="AC85" s="22"/>
      <c r="AD85" s="22" t="s">
        <v>42</v>
      </c>
      <c r="AE85" s="22" t="s">
        <v>43</v>
      </c>
      <c r="AF85" s="40" t="s">
        <v>95</v>
      </c>
      <c r="AG85" s="71" t="s">
        <v>602</v>
      </c>
      <c r="AH85" s="24">
        <v>2</v>
      </c>
      <c r="AI85" s="24">
        <v>2</v>
      </c>
      <c r="AJ85" s="24">
        <v>2</v>
      </c>
      <c r="AK85" s="24">
        <v>3</v>
      </c>
      <c r="AL85" s="24">
        <v>1</v>
      </c>
      <c r="AM85" s="24">
        <v>2</v>
      </c>
      <c r="AN85" s="24">
        <v>48</v>
      </c>
      <c r="AO85" s="22" t="s">
        <v>45</v>
      </c>
      <c r="AP85" s="22"/>
    </row>
    <row r="86" spans="1:42" ht="38.25" x14ac:dyDescent="0.2">
      <c r="A86" s="22" t="s">
        <v>35</v>
      </c>
      <c r="B86" s="22" t="s">
        <v>91</v>
      </c>
      <c r="C86" s="22"/>
      <c r="D86" s="22" t="s">
        <v>37</v>
      </c>
      <c r="E86" s="22" t="s">
        <v>599</v>
      </c>
      <c r="F86" s="71" t="s">
        <v>917</v>
      </c>
      <c r="G86" s="22"/>
      <c r="H86" s="22"/>
      <c r="I86" s="22" t="s">
        <v>618</v>
      </c>
      <c r="J86" s="22"/>
      <c r="K86" s="22" t="s">
        <v>42</v>
      </c>
      <c r="L86" s="24">
        <v>2021</v>
      </c>
      <c r="M86" s="24"/>
      <c r="N86" s="38">
        <f>80*2.5</f>
        <v>200</v>
      </c>
      <c r="O86" s="39"/>
      <c r="P86" s="27">
        <f>N86*O86</f>
        <v>0</v>
      </c>
      <c r="Q86" s="28"/>
      <c r="R86" s="28">
        <f>IF(Q86&lt;4.99,(Q86*12%+4),IF(Q86&lt;10.99,(Q86*12%+8),IF(Q86&lt;14.99,(Q86*12%+12),IF(Q86&lt;879.99,(Q86*12%+16),IF(Q86&lt;2569.99,(Q86*7%+60),240)))))</f>
        <v>4</v>
      </c>
      <c r="S86" s="29">
        <f>R86*P86</f>
        <v>0</v>
      </c>
      <c r="T86" s="24"/>
      <c r="U86" s="24"/>
      <c r="V86" s="24"/>
      <c r="W86" s="24"/>
      <c r="X86" s="24"/>
      <c r="Y86" s="24"/>
      <c r="Z86" s="22">
        <v>5000</v>
      </c>
      <c r="AA86" s="22"/>
      <c r="AB86" s="22"/>
      <c r="AC86" s="22"/>
      <c r="AD86" s="22" t="s">
        <v>42</v>
      </c>
      <c r="AE86" s="22" t="s">
        <v>43</v>
      </c>
      <c r="AF86" s="40" t="s">
        <v>95</v>
      </c>
      <c r="AG86" s="71" t="s">
        <v>619</v>
      </c>
      <c r="AH86" s="24">
        <v>2</v>
      </c>
      <c r="AI86" s="24">
        <v>2</v>
      </c>
      <c r="AJ86" s="24">
        <v>2</v>
      </c>
      <c r="AK86" s="24">
        <v>3</v>
      </c>
      <c r="AL86" s="24">
        <v>1</v>
      </c>
      <c r="AM86" s="24">
        <v>1</v>
      </c>
      <c r="AN86" s="24">
        <v>24</v>
      </c>
      <c r="AO86" s="22" t="s">
        <v>45</v>
      </c>
      <c r="AP86" s="22"/>
    </row>
    <row r="87" spans="1:42" x14ac:dyDescent="0.2">
      <c r="A87" s="22" t="s">
        <v>35</v>
      </c>
      <c r="B87" s="22" t="s">
        <v>1042</v>
      </c>
      <c r="C87" s="22"/>
      <c r="D87" s="22" t="s">
        <v>37</v>
      </c>
      <c r="E87" s="22" t="s">
        <v>1041</v>
      </c>
      <c r="F87" s="71"/>
      <c r="G87" s="22"/>
      <c r="H87" s="22"/>
      <c r="I87" s="22" t="s">
        <v>1043</v>
      </c>
      <c r="J87" s="22" t="s">
        <v>1044</v>
      </c>
      <c r="K87" s="22" t="s">
        <v>63</v>
      </c>
      <c r="L87" s="24">
        <v>2022</v>
      </c>
      <c r="M87" s="24"/>
      <c r="N87" s="38">
        <v>40</v>
      </c>
      <c r="O87" s="39"/>
      <c r="P87" s="27">
        <v>20</v>
      </c>
      <c r="Q87" s="28">
        <v>20000</v>
      </c>
      <c r="R87" s="28">
        <v>240</v>
      </c>
      <c r="S87" s="29"/>
      <c r="T87" s="24"/>
      <c r="U87" s="24"/>
      <c r="V87" s="24"/>
      <c r="W87" s="24"/>
      <c r="X87" s="24"/>
      <c r="Y87" s="24"/>
      <c r="Z87" s="113">
        <f>Q87*P87*5</f>
        <v>2000000</v>
      </c>
      <c r="AA87" s="22"/>
      <c r="AB87" s="22"/>
      <c r="AC87" s="22"/>
      <c r="AD87" s="22"/>
      <c r="AE87" s="22"/>
      <c r="AF87" s="40"/>
      <c r="AG87" s="71"/>
      <c r="AH87" s="24"/>
      <c r="AI87" s="24"/>
      <c r="AJ87" s="24"/>
      <c r="AK87" s="24"/>
      <c r="AL87" s="24"/>
      <c r="AM87" s="24"/>
      <c r="AN87" s="24"/>
      <c r="AO87" s="22"/>
      <c r="AP87" s="22"/>
    </row>
    <row r="88" spans="1:42" ht="38.25" x14ac:dyDescent="0.2">
      <c r="A88" s="13" t="s">
        <v>86</v>
      </c>
      <c r="B88" s="13" t="s">
        <v>105</v>
      </c>
      <c r="C88" s="13"/>
      <c r="D88" s="13" t="s">
        <v>98</v>
      </c>
      <c r="E88" s="13" t="s">
        <v>106</v>
      </c>
      <c r="F88" s="13"/>
      <c r="G88" s="13"/>
      <c r="H88" s="70" t="s">
        <v>926</v>
      </c>
      <c r="I88" s="13" t="s">
        <v>107</v>
      </c>
      <c r="J88" s="13"/>
      <c r="K88" s="13" t="s">
        <v>42</v>
      </c>
      <c r="L88" s="14">
        <v>2021</v>
      </c>
      <c r="M88" s="14"/>
      <c r="N88" s="15">
        <f>8000000*0.04</f>
        <v>320000</v>
      </c>
      <c r="O88" s="16"/>
      <c r="P88" s="17">
        <f>N88*O88</f>
        <v>0</v>
      </c>
      <c r="Q88" s="18"/>
      <c r="R88" s="18">
        <f>IF(Q88&lt;4.99,(Q88*12%+4),IF(Q88&lt;10.99,(Q88*12%+8),IF(Q88&lt;14.99,(Q88*12%+12),IF(Q88&lt;879.99,(Q88*12%+16),IF(Q88&lt;2569.99,(Q88*7%+60),240)))))</f>
        <v>4</v>
      </c>
      <c r="S88" s="19">
        <f>R88*P88</f>
        <v>0</v>
      </c>
      <c r="T88" s="14"/>
      <c r="U88" s="14"/>
      <c r="V88" s="14"/>
      <c r="W88" s="14"/>
      <c r="X88" s="14"/>
      <c r="Y88" s="14"/>
      <c r="Z88" s="13"/>
      <c r="AA88" s="13"/>
      <c r="AB88" s="13"/>
      <c r="AC88" s="13"/>
      <c r="AD88" s="13" t="s">
        <v>64</v>
      </c>
      <c r="AE88" s="13"/>
      <c r="AF88" s="13"/>
      <c r="AG88" s="70" t="s">
        <v>108</v>
      </c>
      <c r="AH88" s="14">
        <v>1</v>
      </c>
      <c r="AI88" s="14">
        <v>3</v>
      </c>
      <c r="AJ88" s="14">
        <v>1</v>
      </c>
      <c r="AK88" s="14">
        <v>1</v>
      </c>
      <c r="AL88" s="14">
        <v>2</v>
      </c>
      <c r="AM88" s="14">
        <v>2</v>
      </c>
      <c r="AN88" s="14">
        <v>12</v>
      </c>
      <c r="AO88" s="13" t="s">
        <v>48</v>
      </c>
      <c r="AP88" s="13"/>
    </row>
    <row r="89" spans="1:42" ht="38.25" x14ac:dyDescent="0.2">
      <c r="A89" s="42" t="s">
        <v>58</v>
      </c>
      <c r="B89" s="42" t="s">
        <v>568</v>
      </c>
      <c r="C89" s="42"/>
      <c r="D89" s="42" t="s">
        <v>569</v>
      </c>
      <c r="E89" s="42" t="s">
        <v>570</v>
      </c>
      <c r="F89" s="73"/>
      <c r="G89" s="73" t="s">
        <v>976</v>
      </c>
      <c r="H89" s="109"/>
      <c r="I89" s="42" t="s">
        <v>571</v>
      </c>
      <c r="J89" s="42" t="s">
        <v>572</v>
      </c>
      <c r="K89" s="42" t="s">
        <v>573</v>
      </c>
      <c r="L89" s="43">
        <v>2019</v>
      </c>
      <c r="M89" s="43"/>
      <c r="N89" s="44">
        <f>8500000/10000*5</f>
        <v>4250</v>
      </c>
      <c r="O89" s="45"/>
      <c r="P89" s="46">
        <f>N89*O89</f>
        <v>0</v>
      </c>
      <c r="Q89" s="47"/>
      <c r="R89" s="47">
        <f>IF(Q89&lt;4.99,(Q89*12%+4),IF(Q89&lt;10.99,(Q89*12%+8),IF(Q89&lt;14.99,(Q89*12%+12),IF(Q89&lt;879.99,(Q89*12%+16),IF(Q89&lt;2569.99,(Q89*7%+60),240)))))</f>
        <v>4</v>
      </c>
      <c r="S89" s="48">
        <f>R89*P89</f>
        <v>0</v>
      </c>
      <c r="T89" s="43"/>
      <c r="U89" s="43"/>
      <c r="V89" s="43"/>
      <c r="W89" s="43"/>
      <c r="X89" s="43"/>
      <c r="Y89" s="43"/>
      <c r="Z89" s="42">
        <v>5000</v>
      </c>
      <c r="AA89" s="42"/>
      <c r="AB89" s="42"/>
      <c r="AC89" s="42"/>
      <c r="AD89" s="42" t="s">
        <v>42</v>
      </c>
      <c r="AE89" s="42"/>
      <c r="AF89" s="60" t="s">
        <v>76</v>
      </c>
      <c r="AG89" s="73" t="s">
        <v>574</v>
      </c>
      <c r="AH89" s="43">
        <v>2</v>
      </c>
      <c r="AI89" s="43">
        <v>2</v>
      </c>
      <c r="AJ89" s="43">
        <v>1</v>
      </c>
      <c r="AK89" s="43">
        <v>3</v>
      </c>
      <c r="AL89" s="43">
        <v>1</v>
      </c>
      <c r="AM89" s="43">
        <v>2</v>
      </c>
      <c r="AN89" s="43">
        <v>24</v>
      </c>
      <c r="AO89" s="42" t="s">
        <v>48</v>
      </c>
      <c r="AP89" s="42"/>
    </row>
    <row r="90" spans="1:42" ht="38.25" x14ac:dyDescent="0.2">
      <c r="A90" s="30" t="s">
        <v>58</v>
      </c>
      <c r="B90" s="30" t="s">
        <v>363</v>
      </c>
      <c r="C90" s="30"/>
      <c r="D90" s="30" t="s">
        <v>37</v>
      </c>
      <c r="E90" s="30" t="s">
        <v>647</v>
      </c>
      <c r="F90" s="72" t="s">
        <v>984</v>
      </c>
      <c r="G90" s="30"/>
      <c r="H90" s="30"/>
      <c r="I90" s="30" t="s">
        <v>648</v>
      </c>
      <c r="J90" s="30" t="s">
        <v>649</v>
      </c>
      <c r="K90" s="30" t="s">
        <v>201</v>
      </c>
      <c r="L90" s="31">
        <v>2018</v>
      </c>
      <c r="M90" s="31"/>
      <c r="N90" s="32">
        <f>4.5*80</f>
        <v>360</v>
      </c>
      <c r="O90" s="33"/>
      <c r="P90" s="34">
        <f>N90*O90</f>
        <v>0</v>
      </c>
      <c r="Q90" s="35"/>
      <c r="R90" s="35">
        <f>IF(Q90&lt;4.99,(Q90*12%+4),IF(Q90&lt;10.99,(Q90*12%+8),IF(Q90&lt;14.99,(Q90*12%+12),IF(Q90&lt;879.99,(Q90*12%+16),IF(Q90&lt;2569.99,(Q90*7%+60),240)))))</f>
        <v>4</v>
      </c>
      <c r="S90" s="36">
        <f>R90*P90</f>
        <v>0</v>
      </c>
      <c r="T90" s="31"/>
      <c r="U90" s="31"/>
      <c r="V90" s="31"/>
      <c r="W90" s="31"/>
      <c r="X90" s="31"/>
      <c r="Y90" s="31"/>
      <c r="Z90" s="30">
        <v>0</v>
      </c>
      <c r="AA90" s="30"/>
      <c r="AB90" s="30"/>
      <c r="AC90" s="30"/>
      <c r="AD90" s="30" t="s">
        <v>650</v>
      </c>
      <c r="AE90" s="30" t="s">
        <v>43</v>
      </c>
      <c r="AF90" s="30" t="s">
        <v>132</v>
      </c>
      <c r="AG90" s="72" t="s">
        <v>651</v>
      </c>
      <c r="AH90" s="31">
        <v>1</v>
      </c>
      <c r="AI90" s="31">
        <v>2</v>
      </c>
      <c r="AJ90" s="31">
        <v>1</v>
      </c>
      <c r="AK90" s="31">
        <v>3</v>
      </c>
      <c r="AL90" s="31">
        <v>1</v>
      </c>
      <c r="AM90" s="31">
        <v>2</v>
      </c>
      <c r="AN90" s="31">
        <v>12</v>
      </c>
      <c r="AO90" s="30" t="s">
        <v>45</v>
      </c>
      <c r="AP90" s="30"/>
    </row>
    <row r="91" spans="1:42" ht="38.25" x14ac:dyDescent="0.2">
      <c r="A91" s="22" t="s">
        <v>58</v>
      </c>
      <c r="B91" s="22" t="s">
        <v>820</v>
      </c>
      <c r="C91" s="22"/>
      <c r="D91" s="65" t="s">
        <v>37</v>
      </c>
      <c r="E91" s="65" t="s">
        <v>915</v>
      </c>
      <c r="F91" s="88"/>
      <c r="G91" s="88"/>
      <c r="H91" s="65" t="s">
        <v>916</v>
      </c>
      <c r="I91" s="68" t="s">
        <v>1045</v>
      </c>
      <c r="J91" s="22" t="s">
        <v>821</v>
      </c>
      <c r="K91" s="22" t="s">
        <v>42</v>
      </c>
      <c r="L91" s="24">
        <v>2022</v>
      </c>
      <c r="M91" s="24"/>
      <c r="N91" s="38">
        <v>1</v>
      </c>
      <c r="O91" s="39"/>
      <c r="P91" s="27">
        <v>1</v>
      </c>
      <c r="Q91" s="28">
        <v>25000</v>
      </c>
      <c r="R91" s="28">
        <v>240</v>
      </c>
      <c r="S91" s="29"/>
      <c r="T91" s="24"/>
      <c r="U91" s="24"/>
      <c r="V91" s="24"/>
      <c r="W91" s="24"/>
      <c r="X91" s="24"/>
      <c r="Y91" s="24"/>
      <c r="Z91" s="113">
        <f>Q91*P91*12</f>
        <v>300000</v>
      </c>
      <c r="AA91" s="22"/>
      <c r="AB91" s="22"/>
      <c r="AC91" s="22"/>
      <c r="AD91" s="22" t="s">
        <v>42</v>
      </c>
      <c r="AE91" s="22"/>
      <c r="AF91" s="41"/>
      <c r="AG91" s="67"/>
      <c r="AH91" s="24">
        <v>1</v>
      </c>
      <c r="AI91" s="24">
        <v>1</v>
      </c>
      <c r="AJ91" s="24">
        <v>1</v>
      </c>
      <c r="AK91" s="24">
        <v>3</v>
      </c>
      <c r="AL91" s="24">
        <v>2</v>
      </c>
      <c r="AM91" s="24">
        <v>1</v>
      </c>
      <c r="AN91" s="24">
        <v>6</v>
      </c>
      <c r="AO91" s="22"/>
      <c r="AP91" s="69">
        <v>44197</v>
      </c>
    </row>
    <row r="92" spans="1:42" ht="38.25" x14ac:dyDescent="0.2">
      <c r="A92" s="30" t="s">
        <v>35</v>
      </c>
      <c r="B92" s="30" t="s">
        <v>493</v>
      </c>
      <c r="C92" s="30"/>
      <c r="D92" s="30" t="s">
        <v>37</v>
      </c>
      <c r="E92" s="30" t="s">
        <v>494</v>
      </c>
      <c r="F92" s="72" t="s">
        <v>966</v>
      </c>
      <c r="G92" s="30"/>
      <c r="H92" s="106"/>
      <c r="I92" s="30" t="s">
        <v>495</v>
      </c>
      <c r="J92" s="30" t="s">
        <v>496</v>
      </c>
      <c r="K92" s="30" t="s">
        <v>201</v>
      </c>
      <c r="L92" s="31">
        <v>2017</v>
      </c>
      <c r="M92" s="31"/>
      <c r="N92" s="32">
        <v>790</v>
      </c>
      <c r="O92" s="33"/>
      <c r="P92" s="34">
        <f t="shared" ref="P92:P103" si="9">N92*O92</f>
        <v>0</v>
      </c>
      <c r="Q92" s="35"/>
      <c r="R92" s="35">
        <f t="shared" ref="R92:R103" si="10">IF(Q92&lt;4.99,(Q92*12%+4),IF(Q92&lt;10.99,(Q92*12%+8),IF(Q92&lt;14.99,(Q92*12%+12),IF(Q92&lt;879.99,(Q92*12%+16),IF(Q92&lt;2569.99,(Q92*7%+60),240)))))</f>
        <v>4</v>
      </c>
      <c r="S92" s="36">
        <f t="shared" ref="S92:S103" si="11">R92*P92</f>
        <v>0</v>
      </c>
      <c r="T92" s="31"/>
      <c r="U92" s="31"/>
      <c r="V92" s="31"/>
      <c r="W92" s="31"/>
      <c r="X92" s="31"/>
      <c r="Y92" s="31"/>
      <c r="Z92" s="30"/>
      <c r="AA92" s="30"/>
      <c r="AB92" s="30"/>
      <c r="AC92" s="30"/>
      <c r="AD92" s="30" t="s">
        <v>201</v>
      </c>
      <c r="AE92" s="30" t="s">
        <v>43</v>
      </c>
      <c r="AF92" s="37" t="s">
        <v>76</v>
      </c>
      <c r="AG92" s="72" t="s">
        <v>497</v>
      </c>
      <c r="AH92" s="31">
        <v>1</v>
      </c>
      <c r="AI92" s="31">
        <v>2</v>
      </c>
      <c r="AJ92" s="31">
        <v>1</v>
      </c>
      <c r="AK92" s="31">
        <v>3</v>
      </c>
      <c r="AL92" s="31">
        <v>2</v>
      </c>
      <c r="AM92" s="31">
        <v>2</v>
      </c>
      <c r="AN92" s="31">
        <v>24</v>
      </c>
      <c r="AO92" s="30" t="s">
        <v>45</v>
      </c>
      <c r="AP92" s="30"/>
    </row>
    <row r="93" spans="1:42" ht="38.25" x14ac:dyDescent="0.2">
      <c r="A93" s="30" t="s">
        <v>35</v>
      </c>
      <c r="B93" s="30" t="s">
        <v>169</v>
      </c>
      <c r="C93" s="30"/>
      <c r="D93" s="30" t="s">
        <v>37</v>
      </c>
      <c r="E93" s="30" t="s">
        <v>170</v>
      </c>
      <c r="F93" s="72" t="s">
        <v>933</v>
      </c>
      <c r="G93" s="30"/>
      <c r="H93" s="30"/>
      <c r="I93" s="30" t="s">
        <v>171</v>
      </c>
      <c r="J93" s="30" t="s">
        <v>172</v>
      </c>
      <c r="K93" s="30" t="s">
        <v>173</v>
      </c>
      <c r="L93" s="31">
        <v>2019</v>
      </c>
      <c r="M93" s="31"/>
      <c r="N93" s="32">
        <f>0.06*6250</f>
        <v>375</v>
      </c>
      <c r="O93" s="33"/>
      <c r="P93" s="34">
        <f t="shared" si="9"/>
        <v>0</v>
      </c>
      <c r="Q93" s="35"/>
      <c r="R93" s="35">
        <f t="shared" si="10"/>
        <v>4</v>
      </c>
      <c r="S93" s="36">
        <f t="shared" si="11"/>
        <v>0</v>
      </c>
      <c r="T93" s="31"/>
      <c r="U93" s="31"/>
      <c r="V93" s="31"/>
      <c r="W93" s="31"/>
      <c r="X93" s="31"/>
      <c r="Y93" s="31"/>
      <c r="Z93" s="30">
        <v>15000</v>
      </c>
      <c r="AA93" s="30"/>
      <c r="AB93" s="30"/>
      <c r="AC93" s="30"/>
      <c r="AD93" s="30" t="s">
        <v>42</v>
      </c>
      <c r="AE93" s="30"/>
      <c r="AF93" s="37" t="s">
        <v>132</v>
      </c>
      <c r="AG93" s="72" t="s">
        <v>174</v>
      </c>
      <c r="AH93" s="31">
        <v>3</v>
      </c>
      <c r="AI93" s="31">
        <v>3</v>
      </c>
      <c r="AJ93" s="31">
        <v>3</v>
      </c>
      <c r="AK93" s="31">
        <v>3</v>
      </c>
      <c r="AL93" s="31">
        <v>1</v>
      </c>
      <c r="AM93" s="31">
        <v>2</v>
      </c>
      <c r="AN93" s="31">
        <v>162</v>
      </c>
      <c r="AO93" s="30" t="s">
        <v>45</v>
      </c>
      <c r="AP93" s="30"/>
    </row>
    <row r="94" spans="1:42" ht="38.25" x14ac:dyDescent="0.2">
      <c r="A94" s="22" t="s">
        <v>35</v>
      </c>
      <c r="B94" s="23" t="s">
        <v>255</v>
      </c>
      <c r="C94" s="22"/>
      <c r="D94" s="22" t="s">
        <v>60</v>
      </c>
      <c r="E94" s="22" t="s">
        <v>170</v>
      </c>
      <c r="F94" s="98" t="s">
        <v>933</v>
      </c>
      <c r="G94" s="22"/>
      <c r="H94" s="22"/>
      <c r="I94" s="22" t="s">
        <v>428</v>
      </c>
      <c r="J94" s="22"/>
      <c r="K94" s="22" t="s">
        <v>42</v>
      </c>
      <c r="L94" s="24">
        <v>2022</v>
      </c>
      <c r="M94" s="24"/>
      <c r="N94" s="51">
        <v>4400</v>
      </c>
      <c r="O94" s="39"/>
      <c r="P94" s="27">
        <f t="shared" si="9"/>
        <v>0</v>
      </c>
      <c r="Q94" s="28"/>
      <c r="R94" s="28">
        <f t="shared" si="10"/>
        <v>4</v>
      </c>
      <c r="S94" s="29">
        <f t="shared" si="11"/>
        <v>0</v>
      </c>
      <c r="T94" s="24"/>
      <c r="U94" s="24"/>
      <c r="V94" s="24"/>
      <c r="W94" s="24"/>
      <c r="X94" s="24"/>
      <c r="Y94" s="24"/>
      <c r="Z94" s="22"/>
      <c r="AA94" s="22"/>
      <c r="AB94" s="22"/>
      <c r="AC94" s="22"/>
      <c r="AD94" s="22" t="s">
        <v>42</v>
      </c>
      <c r="AE94" s="22" t="s">
        <v>182</v>
      </c>
      <c r="AF94" s="40" t="s">
        <v>227</v>
      </c>
      <c r="AG94" s="71" t="s">
        <v>429</v>
      </c>
      <c r="AH94" s="24">
        <v>3</v>
      </c>
      <c r="AI94" s="24">
        <v>3</v>
      </c>
      <c r="AJ94" s="24">
        <v>3</v>
      </c>
      <c r="AK94" s="24">
        <v>3</v>
      </c>
      <c r="AL94" s="24">
        <v>1</v>
      </c>
      <c r="AM94" s="24">
        <v>1</v>
      </c>
      <c r="AN94" s="24">
        <v>81</v>
      </c>
      <c r="AO94" s="22" t="s">
        <v>45</v>
      </c>
      <c r="AP94" s="22"/>
    </row>
    <row r="95" spans="1:42" ht="38.25" x14ac:dyDescent="0.2">
      <c r="A95" s="30" t="s">
        <v>72</v>
      </c>
      <c r="B95" s="30" t="s">
        <v>430</v>
      </c>
      <c r="C95" s="30"/>
      <c r="D95" s="30" t="s">
        <v>98</v>
      </c>
      <c r="E95" s="30" t="s">
        <v>170</v>
      </c>
      <c r="F95" s="72" t="s">
        <v>933</v>
      </c>
      <c r="G95" s="30"/>
      <c r="H95" s="106"/>
      <c r="I95" s="30" t="s">
        <v>431</v>
      </c>
      <c r="J95" s="30" t="s">
        <v>432</v>
      </c>
      <c r="K95" s="30" t="s">
        <v>266</v>
      </c>
      <c r="L95" s="31">
        <v>2019</v>
      </c>
      <c r="M95" s="31"/>
      <c r="N95" s="32">
        <f>0.09*8500000</f>
        <v>765000</v>
      </c>
      <c r="O95" s="33"/>
      <c r="P95" s="34">
        <f t="shared" si="9"/>
        <v>0</v>
      </c>
      <c r="Q95" s="35"/>
      <c r="R95" s="35">
        <f t="shared" si="10"/>
        <v>4</v>
      </c>
      <c r="S95" s="36">
        <f t="shared" si="11"/>
        <v>0</v>
      </c>
      <c r="T95" s="31"/>
      <c r="U95" s="31"/>
      <c r="V95" s="31"/>
      <c r="W95" s="31"/>
      <c r="X95" s="31"/>
      <c r="Y95" s="31"/>
      <c r="Z95" s="30">
        <v>10000</v>
      </c>
      <c r="AA95" s="30"/>
      <c r="AB95" s="30"/>
      <c r="AC95" s="30"/>
      <c r="AD95" s="30" t="s">
        <v>42</v>
      </c>
      <c r="AE95" s="30"/>
      <c r="AF95" s="37" t="s">
        <v>95</v>
      </c>
      <c r="AG95" s="72" t="s">
        <v>433</v>
      </c>
      <c r="AH95" s="31">
        <v>3</v>
      </c>
      <c r="AI95" s="31">
        <v>3</v>
      </c>
      <c r="AJ95" s="31">
        <v>2</v>
      </c>
      <c r="AK95" s="31">
        <v>1</v>
      </c>
      <c r="AL95" s="31">
        <v>3</v>
      </c>
      <c r="AM95" s="31">
        <v>2</v>
      </c>
      <c r="AN95" s="31">
        <v>108</v>
      </c>
      <c r="AO95" s="30" t="s">
        <v>45</v>
      </c>
      <c r="AP95" s="30"/>
    </row>
    <row r="96" spans="1:42" ht="38.25" x14ac:dyDescent="0.2">
      <c r="A96" s="22" t="s">
        <v>86</v>
      </c>
      <c r="B96" s="22" t="s">
        <v>438</v>
      </c>
      <c r="C96" s="22"/>
      <c r="D96" s="22" t="s">
        <v>98</v>
      </c>
      <c r="E96" s="22" t="s">
        <v>170</v>
      </c>
      <c r="F96" s="71" t="s">
        <v>933</v>
      </c>
      <c r="G96" s="22"/>
      <c r="H96" s="22"/>
      <c r="I96" s="22" t="s">
        <v>533</v>
      </c>
      <c r="J96" s="22"/>
      <c r="K96" s="22" t="s">
        <v>42</v>
      </c>
      <c r="L96" s="24">
        <v>2021</v>
      </c>
      <c r="M96" s="24"/>
      <c r="N96" s="38">
        <f>0.02*8000000</f>
        <v>160000</v>
      </c>
      <c r="O96" s="39"/>
      <c r="P96" s="27">
        <f t="shared" si="9"/>
        <v>0</v>
      </c>
      <c r="Q96" s="28"/>
      <c r="R96" s="28">
        <f t="shared" si="10"/>
        <v>4</v>
      </c>
      <c r="S96" s="29">
        <f t="shared" si="11"/>
        <v>0</v>
      </c>
      <c r="T96" s="24"/>
      <c r="U96" s="24"/>
      <c r="V96" s="24"/>
      <c r="W96" s="24"/>
      <c r="X96" s="24"/>
      <c r="Y96" s="24"/>
      <c r="Z96" s="22"/>
      <c r="AA96" s="22"/>
      <c r="AB96" s="22"/>
      <c r="AC96" s="22"/>
      <c r="AD96" s="22" t="s">
        <v>42</v>
      </c>
      <c r="AE96" s="22"/>
      <c r="AF96" s="40"/>
      <c r="AG96" s="71"/>
      <c r="AH96" s="24">
        <v>3</v>
      </c>
      <c r="AI96" s="24">
        <v>3</v>
      </c>
      <c r="AJ96" s="24">
        <v>3</v>
      </c>
      <c r="AK96" s="24">
        <v>1</v>
      </c>
      <c r="AL96" s="24">
        <v>2</v>
      </c>
      <c r="AM96" s="24">
        <v>1</v>
      </c>
      <c r="AN96" s="24">
        <v>54</v>
      </c>
      <c r="AO96" s="22"/>
      <c r="AP96" s="22"/>
    </row>
    <row r="97" spans="1:42" ht="38.25" x14ac:dyDescent="0.2">
      <c r="A97" s="22" t="s">
        <v>35</v>
      </c>
      <c r="B97" s="22" t="s">
        <v>581</v>
      </c>
      <c r="C97" s="22"/>
      <c r="D97" s="22" t="s">
        <v>98</v>
      </c>
      <c r="E97" s="22" t="s">
        <v>170</v>
      </c>
      <c r="F97" s="71" t="s">
        <v>933</v>
      </c>
      <c r="G97" s="22"/>
      <c r="H97" s="22"/>
      <c r="I97" s="22" t="s">
        <v>582</v>
      </c>
      <c r="J97" s="22" t="s">
        <v>583</v>
      </c>
      <c r="K97" s="22" t="s">
        <v>42</v>
      </c>
      <c r="L97" s="24">
        <v>2021</v>
      </c>
      <c r="M97" s="24"/>
      <c r="N97" s="51">
        <v>1400</v>
      </c>
      <c r="O97" s="39"/>
      <c r="P97" s="27">
        <f t="shared" si="9"/>
        <v>0</v>
      </c>
      <c r="Q97" s="28"/>
      <c r="R97" s="28">
        <f t="shared" si="10"/>
        <v>4</v>
      </c>
      <c r="S97" s="29">
        <f t="shared" si="11"/>
        <v>0</v>
      </c>
      <c r="T97" s="24"/>
      <c r="U97" s="24"/>
      <c r="V97" s="24"/>
      <c r="W97" s="24"/>
      <c r="X97" s="24"/>
      <c r="Y97" s="24"/>
      <c r="Z97" s="22"/>
      <c r="AA97" s="22"/>
      <c r="AB97" s="22"/>
      <c r="AC97" s="22"/>
      <c r="AD97" s="22" t="s">
        <v>42</v>
      </c>
      <c r="AE97" s="22"/>
      <c r="AF97" s="40" t="s">
        <v>132</v>
      </c>
      <c r="AG97" s="71" t="s">
        <v>584</v>
      </c>
      <c r="AH97" s="24">
        <v>3</v>
      </c>
      <c r="AI97" s="24">
        <v>2</v>
      </c>
      <c r="AJ97" s="24">
        <v>3</v>
      </c>
      <c r="AK97" s="24">
        <v>3</v>
      </c>
      <c r="AL97" s="24">
        <v>1</v>
      </c>
      <c r="AM97" s="24">
        <v>2</v>
      </c>
      <c r="AN97" s="24">
        <v>108</v>
      </c>
      <c r="AO97" s="22" t="s">
        <v>45</v>
      </c>
      <c r="AP97" s="22"/>
    </row>
    <row r="98" spans="1:42" x14ac:dyDescent="0.2">
      <c r="A98" s="22" t="s">
        <v>72</v>
      </c>
      <c r="B98" s="22" t="s">
        <v>184</v>
      </c>
      <c r="C98" s="22"/>
      <c r="D98" s="22" t="s">
        <v>98</v>
      </c>
      <c r="E98" s="22" t="s">
        <v>170</v>
      </c>
      <c r="F98" s="71"/>
      <c r="G98" s="22"/>
      <c r="H98" s="22"/>
      <c r="I98" s="22" t="s">
        <v>1071</v>
      </c>
      <c r="J98" s="22"/>
      <c r="K98" s="22" t="s">
        <v>42</v>
      </c>
      <c r="L98" s="24">
        <v>2023</v>
      </c>
      <c r="M98" s="24"/>
      <c r="N98" s="51"/>
      <c r="O98" s="39"/>
      <c r="P98" s="27"/>
      <c r="Q98" s="28"/>
      <c r="R98" s="28"/>
      <c r="S98" s="29"/>
      <c r="T98" s="24"/>
      <c r="U98" s="24"/>
      <c r="V98" s="24"/>
      <c r="W98" s="24"/>
      <c r="X98" s="24"/>
      <c r="Y98" s="24"/>
      <c r="Z98" s="22"/>
      <c r="AA98" s="22"/>
      <c r="AB98" s="22"/>
      <c r="AC98" s="22"/>
      <c r="AD98" s="22"/>
      <c r="AE98" s="22"/>
      <c r="AF98" s="40"/>
      <c r="AG98" s="71"/>
      <c r="AH98" s="24"/>
      <c r="AI98" s="24"/>
      <c r="AJ98" s="24"/>
      <c r="AK98" s="24"/>
      <c r="AL98" s="24"/>
      <c r="AM98" s="24"/>
      <c r="AN98" s="24"/>
      <c r="AO98" s="22"/>
      <c r="AP98" s="22"/>
    </row>
    <row r="99" spans="1:42" ht="38.25" x14ac:dyDescent="0.2">
      <c r="A99" s="22" t="s">
        <v>35</v>
      </c>
      <c r="B99" s="22" t="s">
        <v>616</v>
      </c>
      <c r="C99" s="22"/>
      <c r="D99" s="22" t="s">
        <v>37</v>
      </c>
      <c r="E99" s="22" t="s">
        <v>170</v>
      </c>
      <c r="F99" s="71" t="s">
        <v>933</v>
      </c>
      <c r="G99" s="22"/>
      <c r="H99" s="22"/>
      <c r="I99" s="22" t="s">
        <v>702</v>
      </c>
      <c r="J99" s="22"/>
      <c r="K99" s="22" t="s">
        <v>64</v>
      </c>
      <c r="L99" s="24">
        <v>2022</v>
      </c>
      <c r="M99" s="24"/>
      <c r="N99" s="51" t="e">
        <f>0.007*#REF!</f>
        <v>#REF!</v>
      </c>
      <c r="O99" s="39"/>
      <c r="P99" s="27" t="e">
        <f t="shared" si="9"/>
        <v>#REF!</v>
      </c>
      <c r="Q99" s="28"/>
      <c r="R99" s="28">
        <f t="shared" si="10"/>
        <v>4</v>
      </c>
      <c r="S99" s="29" t="e">
        <f t="shared" si="11"/>
        <v>#REF!</v>
      </c>
      <c r="T99" s="24"/>
      <c r="U99" s="24"/>
      <c r="V99" s="24"/>
      <c r="W99" s="24"/>
      <c r="X99" s="24"/>
      <c r="Y99" s="24"/>
      <c r="Z99" s="22"/>
      <c r="AA99" s="22"/>
      <c r="AB99" s="22"/>
      <c r="AC99" s="22"/>
      <c r="AD99" s="22" t="s">
        <v>64</v>
      </c>
      <c r="AE99" s="22"/>
      <c r="AF99" s="22"/>
      <c r="AG99" s="71" t="s">
        <v>703</v>
      </c>
      <c r="AH99" s="24">
        <v>3</v>
      </c>
      <c r="AI99" s="24">
        <v>2</v>
      </c>
      <c r="AJ99" s="24">
        <v>1</v>
      </c>
      <c r="AK99" s="24">
        <v>3</v>
      </c>
      <c r="AL99" s="24"/>
      <c r="AM99" s="24"/>
      <c r="AN99" s="24">
        <v>18</v>
      </c>
      <c r="AO99" s="22"/>
      <c r="AP99" s="22"/>
    </row>
    <row r="100" spans="1:42" ht="51" x14ac:dyDescent="0.2">
      <c r="A100" s="42" t="s">
        <v>58</v>
      </c>
      <c r="B100" s="42" t="s">
        <v>59</v>
      </c>
      <c r="C100" s="42"/>
      <c r="D100" s="42" t="s">
        <v>37</v>
      </c>
      <c r="E100" s="42" t="s">
        <v>504</v>
      </c>
      <c r="F100" s="42"/>
      <c r="G100" s="42"/>
      <c r="H100" s="73" t="s">
        <v>968</v>
      </c>
      <c r="I100" s="42" t="s">
        <v>505</v>
      </c>
      <c r="J100" s="42" t="s">
        <v>506</v>
      </c>
      <c r="K100" s="42" t="s">
        <v>507</v>
      </c>
      <c r="L100" s="43">
        <v>2019</v>
      </c>
      <c r="M100" s="43"/>
      <c r="N100" s="44">
        <v>220</v>
      </c>
      <c r="O100" s="45"/>
      <c r="P100" s="46">
        <f t="shared" si="9"/>
        <v>0</v>
      </c>
      <c r="Q100" s="47"/>
      <c r="R100" s="47">
        <f t="shared" si="10"/>
        <v>4</v>
      </c>
      <c r="S100" s="48">
        <f t="shared" si="11"/>
        <v>0</v>
      </c>
      <c r="T100" s="43"/>
      <c r="U100" s="43"/>
      <c r="V100" s="43"/>
      <c r="W100" s="43"/>
      <c r="X100" s="43"/>
      <c r="Y100" s="43"/>
      <c r="Z100" s="42">
        <v>0</v>
      </c>
      <c r="AA100" s="42"/>
      <c r="AB100" s="42"/>
      <c r="AC100" s="42"/>
      <c r="AD100" s="42" t="s">
        <v>42</v>
      </c>
      <c r="AE100" s="42"/>
      <c r="AF100" s="60"/>
      <c r="AG100" s="73" t="s">
        <v>508</v>
      </c>
      <c r="AH100" s="43">
        <v>1</v>
      </c>
      <c r="AI100" s="43">
        <v>2</v>
      </c>
      <c r="AJ100" s="43">
        <v>1</v>
      </c>
      <c r="AK100" s="43">
        <v>3</v>
      </c>
      <c r="AL100" s="43">
        <v>1</v>
      </c>
      <c r="AM100" s="43">
        <v>2</v>
      </c>
      <c r="AN100" s="43">
        <v>12</v>
      </c>
      <c r="AO100" s="42" t="s">
        <v>48</v>
      </c>
      <c r="AP100" s="42"/>
    </row>
    <row r="101" spans="1:42" ht="38.25" x14ac:dyDescent="0.2">
      <c r="A101" s="22" t="s">
        <v>35</v>
      </c>
      <c r="B101" s="22" t="s">
        <v>719</v>
      </c>
      <c r="C101" s="22"/>
      <c r="D101" s="22" t="s">
        <v>37</v>
      </c>
      <c r="E101" s="22" t="s">
        <v>720</v>
      </c>
      <c r="F101" s="22"/>
      <c r="G101" s="22"/>
      <c r="H101" s="80" t="s">
        <v>992</v>
      </c>
      <c r="I101" s="22" t="s">
        <v>721</v>
      </c>
      <c r="J101" s="22" t="s">
        <v>722</v>
      </c>
      <c r="K101" s="22" t="s">
        <v>723</v>
      </c>
      <c r="L101" s="24">
        <v>2021</v>
      </c>
      <c r="M101" s="24"/>
      <c r="N101" s="51">
        <f>8500000/100000</f>
        <v>85</v>
      </c>
      <c r="O101" s="39"/>
      <c r="P101" s="27">
        <f t="shared" si="9"/>
        <v>0</v>
      </c>
      <c r="Q101" s="28"/>
      <c r="R101" s="28">
        <f t="shared" si="10"/>
        <v>4</v>
      </c>
      <c r="S101" s="29">
        <f t="shared" si="11"/>
        <v>0</v>
      </c>
      <c r="T101" s="24"/>
      <c r="U101" s="24"/>
      <c r="V101" s="24"/>
      <c r="W101" s="24"/>
      <c r="X101" s="24"/>
      <c r="Y101" s="24"/>
      <c r="Z101" s="22"/>
      <c r="AA101" s="22"/>
      <c r="AB101" s="22"/>
      <c r="AC101" s="22"/>
      <c r="AD101" s="22" t="s">
        <v>64</v>
      </c>
      <c r="AE101" s="22" t="s">
        <v>182</v>
      </c>
      <c r="AF101" s="40" t="s">
        <v>56</v>
      </c>
      <c r="AG101" s="71" t="s">
        <v>724</v>
      </c>
      <c r="AH101" s="24">
        <v>1</v>
      </c>
      <c r="AI101" s="24">
        <v>2</v>
      </c>
      <c r="AJ101" s="24">
        <v>1</v>
      </c>
      <c r="AK101" s="24">
        <v>3</v>
      </c>
      <c r="AL101" s="24">
        <v>1</v>
      </c>
      <c r="AM101" s="24">
        <v>2</v>
      </c>
      <c r="AN101" s="24">
        <v>12</v>
      </c>
      <c r="AO101" s="22" t="s">
        <v>48</v>
      </c>
      <c r="AP101" s="22"/>
    </row>
    <row r="102" spans="1:42" ht="38.25" x14ac:dyDescent="0.2">
      <c r="A102" s="22" t="s">
        <v>35</v>
      </c>
      <c r="B102" s="22" t="s">
        <v>456</v>
      </c>
      <c r="C102" s="22"/>
      <c r="D102" s="22" t="s">
        <v>60</v>
      </c>
      <c r="E102" s="22" t="s">
        <v>457</v>
      </c>
      <c r="F102" s="22"/>
      <c r="G102" s="97" t="s">
        <v>962</v>
      </c>
      <c r="H102" s="22"/>
      <c r="I102" s="22" t="s">
        <v>458</v>
      </c>
      <c r="J102" s="22" t="s">
        <v>459</v>
      </c>
      <c r="K102" s="22" t="s">
        <v>460</v>
      </c>
      <c r="L102" s="24">
        <v>2018</v>
      </c>
      <c r="M102" s="24"/>
      <c r="N102" s="51">
        <f>130/81500000*8500000</f>
        <v>13.558282208588956</v>
      </c>
      <c r="O102" s="39"/>
      <c r="P102" s="27">
        <f t="shared" si="9"/>
        <v>0</v>
      </c>
      <c r="Q102" s="28"/>
      <c r="R102" s="28">
        <f t="shared" si="10"/>
        <v>4</v>
      </c>
      <c r="S102" s="29">
        <f t="shared" si="11"/>
        <v>0</v>
      </c>
      <c r="T102" s="24"/>
      <c r="U102" s="24"/>
      <c r="V102" s="24"/>
      <c r="W102" s="24"/>
      <c r="X102" s="24"/>
      <c r="Y102" s="24"/>
      <c r="Z102" s="22">
        <v>0</v>
      </c>
      <c r="AA102" s="22"/>
      <c r="AB102" s="22"/>
      <c r="AC102" s="22"/>
      <c r="AD102" s="22" t="s">
        <v>42</v>
      </c>
      <c r="AE102" s="22"/>
      <c r="AF102" s="40" t="s">
        <v>70</v>
      </c>
      <c r="AG102" s="71" t="s">
        <v>461</v>
      </c>
      <c r="AH102" s="24">
        <v>1</v>
      </c>
      <c r="AI102" s="24">
        <v>1</v>
      </c>
      <c r="AJ102" s="24">
        <v>1</v>
      </c>
      <c r="AK102" s="24">
        <v>3</v>
      </c>
      <c r="AL102" s="24">
        <v>1</v>
      </c>
      <c r="AM102" s="24">
        <v>2</v>
      </c>
      <c r="AN102" s="24">
        <v>6</v>
      </c>
      <c r="AO102" s="22" t="s">
        <v>48</v>
      </c>
      <c r="AP102" s="22"/>
    </row>
    <row r="103" spans="1:42" ht="38.25" x14ac:dyDescent="0.2">
      <c r="A103" s="22" t="s">
        <v>35</v>
      </c>
      <c r="B103" s="22" t="s">
        <v>744</v>
      </c>
      <c r="C103" s="22"/>
      <c r="D103" s="22" t="s">
        <v>37</v>
      </c>
      <c r="E103" s="22" t="s">
        <v>457</v>
      </c>
      <c r="F103" s="22"/>
      <c r="G103" s="97" t="s">
        <v>962</v>
      </c>
      <c r="H103" s="22"/>
      <c r="I103" s="22" t="s">
        <v>745</v>
      </c>
      <c r="J103" s="22" t="s">
        <v>746</v>
      </c>
      <c r="K103" s="22" t="s">
        <v>42</v>
      </c>
      <c r="L103" s="24">
        <v>2018</v>
      </c>
      <c r="M103" s="24"/>
      <c r="N103" s="51">
        <v>990</v>
      </c>
      <c r="O103" s="39"/>
      <c r="P103" s="27">
        <f t="shared" si="9"/>
        <v>0</v>
      </c>
      <c r="Q103" s="28"/>
      <c r="R103" s="28">
        <f t="shared" si="10"/>
        <v>4</v>
      </c>
      <c r="S103" s="29">
        <f t="shared" si="11"/>
        <v>0</v>
      </c>
      <c r="T103" s="24"/>
      <c r="U103" s="24"/>
      <c r="V103" s="24"/>
      <c r="W103" s="24"/>
      <c r="X103" s="24"/>
      <c r="Y103" s="24"/>
      <c r="Z103" s="22">
        <v>0</v>
      </c>
      <c r="AA103" s="22"/>
      <c r="AB103" s="22"/>
      <c r="AC103" s="22"/>
      <c r="AD103" s="22" t="s">
        <v>42</v>
      </c>
      <c r="AE103" s="22" t="s">
        <v>43</v>
      </c>
      <c r="AF103" s="40" t="s">
        <v>56</v>
      </c>
      <c r="AG103" s="71" t="s">
        <v>747</v>
      </c>
      <c r="AH103" s="24">
        <v>1</v>
      </c>
      <c r="AI103" s="24">
        <v>2</v>
      </c>
      <c r="AJ103" s="24">
        <v>2</v>
      </c>
      <c r="AK103" s="24">
        <v>2</v>
      </c>
      <c r="AL103" s="24">
        <v>1</v>
      </c>
      <c r="AM103" s="24">
        <v>2</v>
      </c>
      <c r="AN103" s="24">
        <v>16</v>
      </c>
      <c r="AO103" s="22" t="s">
        <v>48</v>
      </c>
      <c r="AP103" s="22"/>
    </row>
    <row r="104" spans="1:42" ht="38.25" x14ac:dyDescent="0.2">
      <c r="A104" s="22" t="s">
        <v>58</v>
      </c>
      <c r="B104" s="22" t="s">
        <v>822</v>
      </c>
      <c r="C104" s="22"/>
      <c r="D104" s="65" t="s">
        <v>823</v>
      </c>
      <c r="E104" s="88" t="s">
        <v>824</v>
      </c>
      <c r="F104" s="88"/>
      <c r="G104" s="88" t="s">
        <v>914</v>
      </c>
      <c r="H104" s="88"/>
      <c r="I104" s="65" t="s">
        <v>825</v>
      </c>
      <c r="J104" s="22" t="s">
        <v>826</v>
      </c>
      <c r="K104" s="22" t="s">
        <v>834</v>
      </c>
      <c r="L104" s="24">
        <v>2021</v>
      </c>
      <c r="M104" s="24"/>
      <c r="N104" s="38"/>
      <c r="O104" s="39"/>
      <c r="P104" s="27"/>
      <c r="Q104" s="28"/>
      <c r="R104" s="28"/>
      <c r="S104" s="29"/>
      <c r="T104" s="24"/>
      <c r="U104" s="24"/>
      <c r="V104" s="24"/>
      <c r="W104" s="24"/>
      <c r="X104" s="24"/>
      <c r="Y104" s="24"/>
      <c r="Z104" s="22"/>
      <c r="AA104" s="22"/>
      <c r="AB104" s="22"/>
      <c r="AC104" s="22"/>
      <c r="AD104" s="22" t="s">
        <v>42</v>
      </c>
      <c r="AE104" s="22"/>
      <c r="AF104" s="41"/>
      <c r="AG104" s="67"/>
      <c r="AH104" s="24"/>
      <c r="AI104" s="24"/>
      <c r="AJ104" s="24"/>
      <c r="AK104" s="24"/>
      <c r="AL104" s="24"/>
      <c r="AM104" s="24"/>
      <c r="AN104" s="24">
        <v>0</v>
      </c>
      <c r="AO104" s="22"/>
      <c r="AP104" s="69"/>
    </row>
    <row r="105" spans="1:42" ht="38.25" x14ac:dyDescent="0.2">
      <c r="A105" s="13" t="s">
        <v>58</v>
      </c>
      <c r="B105" s="13" t="s">
        <v>133</v>
      </c>
      <c r="C105" s="13"/>
      <c r="D105" s="13" t="s">
        <v>98</v>
      </c>
      <c r="E105" s="13" t="s">
        <v>134</v>
      </c>
      <c r="F105" s="13"/>
      <c r="G105" s="13"/>
      <c r="H105" s="70" t="s">
        <v>930</v>
      </c>
      <c r="I105" s="13" t="s">
        <v>135</v>
      </c>
      <c r="J105" s="13"/>
      <c r="K105" s="13" t="s">
        <v>64</v>
      </c>
      <c r="L105" s="14">
        <v>2021</v>
      </c>
      <c r="M105" s="14"/>
      <c r="N105" s="15">
        <f>8500000/100000*20</f>
        <v>1700</v>
      </c>
      <c r="O105" s="16"/>
      <c r="P105" s="17">
        <f>N105*O105</f>
        <v>0</v>
      </c>
      <c r="Q105" s="18"/>
      <c r="R105" s="18">
        <f>IF(Q105&lt;4.99,(Q105*12%+4),IF(Q105&lt;10.99,(Q105*12%+8),IF(Q105&lt;14.99,(Q105*12%+12),IF(Q105&lt;879.99,(Q105*12%+16),IF(Q105&lt;2569.99,(Q105*7%+60),240)))))</f>
        <v>4</v>
      </c>
      <c r="S105" s="19">
        <f>R105*P105</f>
        <v>0</v>
      </c>
      <c r="T105" s="14"/>
      <c r="U105" s="14"/>
      <c r="V105" s="14"/>
      <c r="W105" s="14"/>
      <c r="X105" s="14"/>
      <c r="Y105" s="14"/>
      <c r="Z105" s="13">
        <v>0</v>
      </c>
      <c r="AA105" s="13"/>
      <c r="AB105" s="13"/>
      <c r="AC105" s="13"/>
      <c r="AD105" s="13" t="s">
        <v>64</v>
      </c>
      <c r="AE105" s="13"/>
      <c r="AF105" s="13" t="s">
        <v>56</v>
      </c>
      <c r="AG105" s="70" t="s">
        <v>136</v>
      </c>
      <c r="AH105" s="14">
        <v>1</v>
      </c>
      <c r="AI105" s="14">
        <v>2</v>
      </c>
      <c r="AJ105" s="14">
        <v>1</v>
      </c>
      <c r="AK105" s="14">
        <v>3</v>
      </c>
      <c r="AL105" s="14">
        <v>3</v>
      </c>
      <c r="AM105" s="14">
        <v>1</v>
      </c>
      <c r="AN105" s="14">
        <v>18</v>
      </c>
      <c r="AO105" s="13" t="s">
        <v>48</v>
      </c>
      <c r="AP105" s="13"/>
    </row>
    <row r="106" spans="1:42" ht="38.25" x14ac:dyDescent="0.2">
      <c r="A106" s="22" t="s">
        <v>86</v>
      </c>
      <c r="B106" s="22" t="s">
        <v>105</v>
      </c>
      <c r="C106" s="22"/>
      <c r="D106" s="22" t="s">
        <v>98</v>
      </c>
      <c r="E106" s="22" t="s">
        <v>540</v>
      </c>
      <c r="F106" s="80" t="s">
        <v>971</v>
      </c>
      <c r="G106" s="22"/>
      <c r="H106" s="22"/>
      <c r="I106" s="22" t="s">
        <v>541</v>
      </c>
      <c r="J106" s="22"/>
      <c r="K106" s="22" t="s">
        <v>42</v>
      </c>
      <c r="L106" s="24">
        <v>2021</v>
      </c>
      <c r="M106" s="24"/>
      <c r="N106" s="38">
        <f>8000000*0.04</f>
        <v>320000</v>
      </c>
      <c r="O106" s="39"/>
      <c r="P106" s="27">
        <f>N106*O106</f>
        <v>0</v>
      </c>
      <c r="Q106" s="28"/>
      <c r="R106" s="28">
        <f>IF(Q106&lt;4.99,(Q106*12%+4),IF(Q106&lt;10.99,(Q106*12%+8),IF(Q106&lt;14.99,(Q106*12%+12),IF(Q106&lt;879.99,(Q106*12%+16),IF(Q106&lt;2569.99,(Q106*7%+60),240)))))</f>
        <v>4</v>
      </c>
      <c r="S106" s="29">
        <f>R106*P106</f>
        <v>0</v>
      </c>
      <c r="T106" s="24"/>
      <c r="U106" s="24"/>
      <c r="V106" s="24"/>
      <c r="W106" s="24"/>
      <c r="X106" s="24"/>
      <c r="Y106" s="24"/>
      <c r="Z106" s="22"/>
      <c r="AA106" s="22"/>
      <c r="AB106" s="22"/>
      <c r="AC106" s="22"/>
      <c r="AD106" s="22" t="s">
        <v>42</v>
      </c>
      <c r="AE106" s="22" t="s">
        <v>43</v>
      </c>
      <c r="AF106" s="22"/>
      <c r="AG106" s="71" t="s">
        <v>542</v>
      </c>
      <c r="AH106" s="24">
        <v>2</v>
      </c>
      <c r="AI106" s="24">
        <v>2</v>
      </c>
      <c r="AJ106" s="24">
        <v>2</v>
      </c>
      <c r="AK106" s="24">
        <v>1</v>
      </c>
      <c r="AL106" s="24">
        <v>2</v>
      </c>
      <c r="AM106" s="24">
        <v>1</v>
      </c>
      <c r="AN106" s="24">
        <v>16</v>
      </c>
      <c r="AO106" s="22" t="s">
        <v>45</v>
      </c>
      <c r="AP106" s="40">
        <v>43556</v>
      </c>
    </row>
    <row r="107" spans="1:42" ht="38.25" x14ac:dyDescent="0.2">
      <c r="A107" s="22" t="s">
        <v>58</v>
      </c>
      <c r="B107" s="22" t="s">
        <v>122</v>
      </c>
      <c r="C107" s="22"/>
      <c r="D107" s="22" t="s">
        <v>37</v>
      </c>
      <c r="E107" s="22" t="s">
        <v>798</v>
      </c>
      <c r="F107" s="22"/>
      <c r="G107" s="22"/>
      <c r="H107" s="78" t="s">
        <v>1000</v>
      </c>
      <c r="I107" s="22"/>
      <c r="J107" s="22" t="s">
        <v>799</v>
      </c>
      <c r="K107" s="22" t="s">
        <v>64</v>
      </c>
      <c r="L107" s="24">
        <v>2022</v>
      </c>
      <c r="M107" s="24"/>
      <c r="N107" s="38">
        <f>0.025*8000000</f>
        <v>200000</v>
      </c>
      <c r="O107" s="39"/>
      <c r="P107" s="27">
        <f>N107*O107</f>
        <v>0</v>
      </c>
      <c r="Q107" s="28"/>
      <c r="R107" s="28">
        <f>IF(Q107&lt;4.99,(Q107*12%+4),IF(Q107&lt;10.99,(Q107*12%+8),IF(Q107&lt;14.99,(Q107*12%+12),IF(Q107&lt;879.99,(Q107*12%+16),IF(Q107&lt;2569.99,(Q107*7%+60),240)))))</f>
        <v>4</v>
      </c>
      <c r="S107" s="29">
        <f>R107*P107</f>
        <v>0</v>
      </c>
      <c r="T107" s="24"/>
      <c r="U107" s="24"/>
      <c r="V107" s="24"/>
      <c r="W107" s="24"/>
      <c r="X107" s="24"/>
      <c r="Y107" s="24"/>
      <c r="Z107" s="22"/>
      <c r="AA107" s="22"/>
      <c r="AB107" s="22"/>
      <c r="AC107" s="22"/>
      <c r="AD107" s="22" t="s">
        <v>64</v>
      </c>
      <c r="AE107" s="22"/>
      <c r="AF107" s="22"/>
      <c r="AG107" s="71" t="s">
        <v>800</v>
      </c>
      <c r="AH107" s="24">
        <v>1</v>
      </c>
      <c r="AI107" s="24">
        <v>3</v>
      </c>
      <c r="AJ107" s="24">
        <v>1</v>
      </c>
      <c r="AK107" s="24">
        <v>3</v>
      </c>
      <c r="AL107" s="24">
        <v>1</v>
      </c>
      <c r="AM107" s="24">
        <v>2</v>
      </c>
      <c r="AN107" s="24">
        <v>18</v>
      </c>
      <c r="AO107" s="22" t="s">
        <v>48</v>
      </c>
      <c r="AP107" s="22"/>
    </row>
    <row r="108" spans="1:42" ht="38.25" x14ac:dyDescent="0.2">
      <c r="A108" s="22" t="s">
        <v>35</v>
      </c>
      <c r="B108" s="22" t="s">
        <v>642</v>
      </c>
      <c r="C108" s="22"/>
      <c r="D108" s="65" t="s">
        <v>60</v>
      </c>
      <c r="E108" s="88" t="s">
        <v>88</v>
      </c>
      <c r="F108" s="80" t="s">
        <v>913</v>
      </c>
      <c r="G108" s="88"/>
      <c r="H108" s="77"/>
      <c r="I108" s="65" t="s">
        <v>831</v>
      </c>
      <c r="J108" s="22"/>
      <c r="K108" s="22" t="s">
        <v>42</v>
      </c>
      <c r="L108" s="24">
        <v>2022</v>
      </c>
      <c r="M108" s="24"/>
      <c r="N108" s="38"/>
      <c r="O108" s="39"/>
      <c r="P108" s="27"/>
      <c r="Q108" s="28"/>
      <c r="R108" s="28"/>
      <c r="S108" s="29"/>
      <c r="T108" s="24"/>
      <c r="U108" s="24"/>
      <c r="V108" s="24"/>
      <c r="W108" s="24"/>
      <c r="X108" s="24"/>
      <c r="Y108" s="24"/>
      <c r="Z108" s="22"/>
      <c r="AA108" s="22"/>
      <c r="AB108" s="22"/>
      <c r="AC108" s="22"/>
      <c r="AD108" s="22" t="s">
        <v>42</v>
      </c>
      <c r="AE108" s="22"/>
      <c r="AF108" s="41"/>
      <c r="AG108" s="67" t="s">
        <v>194</v>
      </c>
      <c r="AH108" s="24">
        <v>1</v>
      </c>
      <c r="AI108" s="24">
        <v>1</v>
      </c>
      <c r="AJ108" s="24">
        <v>2</v>
      </c>
      <c r="AK108" s="24">
        <v>3</v>
      </c>
      <c r="AL108" s="24">
        <v>1</v>
      </c>
      <c r="AM108" s="24">
        <v>2</v>
      </c>
      <c r="AN108" s="24">
        <v>12</v>
      </c>
      <c r="AO108" s="22" t="s">
        <v>48</v>
      </c>
      <c r="AP108" s="69"/>
    </row>
    <row r="109" spans="1:42" ht="38.25" x14ac:dyDescent="0.2">
      <c r="A109" s="22" t="s">
        <v>58</v>
      </c>
      <c r="B109" s="22" t="s">
        <v>829</v>
      </c>
      <c r="C109" s="22"/>
      <c r="D109" s="65"/>
      <c r="E109" s="88" t="s">
        <v>88</v>
      </c>
      <c r="F109" s="80" t="s">
        <v>913</v>
      </c>
      <c r="G109" s="88"/>
      <c r="H109" s="88"/>
      <c r="I109" s="65" t="s">
        <v>830</v>
      </c>
      <c r="J109" s="22"/>
      <c r="K109" s="22" t="s">
        <v>42</v>
      </c>
      <c r="L109" s="24">
        <v>2023</v>
      </c>
      <c r="M109" s="24"/>
      <c r="N109" s="38"/>
      <c r="O109" s="39"/>
      <c r="P109" s="27"/>
      <c r="Q109" s="28"/>
      <c r="R109" s="28"/>
      <c r="S109" s="29"/>
      <c r="T109" s="24"/>
      <c r="U109" s="24"/>
      <c r="V109" s="24"/>
      <c r="W109" s="24"/>
      <c r="X109" s="24"/>
      <c r="Y109" s="24"/>
      <c r="Z109" s="22"/>
      <c r="AA109" s="22"/>
      <c r="AB109" s="22"/>
      <c r="AC109" s="22"/>
      <c r="AD109" s="22" t="s">
        <v>42</v>
      </c>
      <c r="AE109" s="22"/>
      <c r="AF109" s="41"/>
      <c r="AG109" s="67"/>
      <c r="AH109" s="24"/>
      <c r="AI109" s="24"/>
      <c r="AJ109" s="24"/>
      <c r="AK109" s="24"/>
      <c r="AL109" s="24"/>
      <c r="AM109" s="24"/>
      <c r="AN109" s="24">
        <v>0</v>
      </c>
      <c r="AO109" s="22"/>
      <c r="AP109" s="69"/>
    </row>
    <row r="110" spans="1:42" ht="38.25" x14ac:dyDescent="0.2">
      <c r="A110" s="22" t="s">
        <v>47</v>
      </c>
      <c r="B110" s="22" t="s">
        <v>827</v>
      </c>
      <c r="C110" s="22"/>
      <c r="D110" s="65" t="s">
        <v>37</v>
      </c>
      <c r="E110" s="88" t="s">
        <v>88</v>
      </c>
      <c r="F110" s="80" t="s">
        <v>913</v>
      </c>
      <c r="G110" s="88"/>
      <c r="H110" s="88"/>
      <c r="I110" s="65" t="s">
        <v>828</v>
      </c>
      <c r="J110" s="22"/>
      <c r="K110" s="22" t="s">
        <v>42</v>
      </c>
      <c r="L110" s="24">
        <v>2022</v>
      </c>
      <c r="M110" s="24"/>
      <c r="N110" s="38"/>
      <c r="O110" s="39"/>
      <c r="P110" s="27"/>
      <c r="Q110" s="28"/>
      <c r="R110" s="28"/>
      <c r="S110" s="29"/>
      <c r="T110" s="24"/>
      <c r="U110" s="24"/>
      <c r="V110" s="24"/>
      <c r="W110" s="24"/>
      <c r="X110" s="24"/>
      <c r="Y110" s="24"/>
      <c r="Z110" s="22"/>
      <c r="AA110" s="22"/>
      <c r="AB110" s="22"/>
      <c r="AC110" s="22"/>
      <c r="AD110" s="22" t="s">
        <v>42</v>
      </c>
      <c r="AE110" s="22"/>
      <c r="AF110" s="41"/>
      <c r="AG110" s="67"/>
      <c r="AH110" s="24"/>
      <c r="AI110" s="24"/>
      <c r="AJ110" s="24"/>
      <c r="AK110" s="24"/>
      <c r="AL110" s="24"/>
      <c r="AM110" s="24"/>
      <c r="AN110" s="24">
        <v>0</v>
      </c>
      <c r="AO110" s="22"/>
      <c r="AP110" s="69"/>
    </row>
    <row r="111" spans="1:42" ht="38.25" x14ac:dyDescent="0.2">
      <c r="A111" s="13" t="s">
        <v>86</v>
      </c>
      <c r="B111" s="13" t="s">
        <v>87</v>
      </c>
      <c r="C111" s="13"/>
      <c r="D111" s="13" t="s">
        <v>37</v>
      </c>
      <c r="E111" s="13" t="s">
        <v>88</v>
      </c>
      <c r="F111" s="102" t="s">
        <v>913</v>
      </c>
      <c r="G111" s="13"/>
      <c r="H111" s="13"/>
      <c r="I111" s="13" t="s">
        <v>89</v>
      </c>
      <c r="J111" s="13"/>
      <c r="K111" s="13" t="s">
        <v>42</v>
      </c>
      <c r="L111" s="14">
        <v>2020</v>
      </c>
      <c r="M111" s="14"/>
      <c r="N111" s="15" t="e">
        <f>#REF!+#REF!+#REF!</f>
        <v>#REF!</v>
      </c>
      <c r="O111" s="16"/>
      <c r="P111" s="17" t="e">
        <f>N111*O111</f>
        <v>#REF!</v>
      </c>
      <c r="Q111" s="18"/>
      <c r="R111" s="18">
        <f>IF(Q111&lt;4.99,(Q111*12%+4),IF(Q111&lt;10.99,(Q111*12%+8),IF(Q111&lt;14.99,(Q111*12%+12),IF(Q111&lt;879.99,(Q111*12%+16),IF(Q111&lt;2569.99,(Q111*7%+60),240)))))</f>
        <v>4</v>
      </c>
      <c r="S111" s="19" t="e">
        <f>R111*P111</f>
        <v>#REF!</v>
      </c>
      <c r="T111" s="14"/>
      <c r="U111" s="14"/>
      <c r="V111" s="14"/>
      <c r="W111" s="14"/>
      <c r="X111" s="14"/>
      <c r="Y111" s="14"/>
      <c r="Z111" s="13"/>
      <c r="AA111" s="13"/>
      <c r="AB111" s="13"/>
      <c r="AC111" s="13"/>
      <c r="AD111" s="13" t="s">
        <v>42</v>
      </c>
      <c r="AE111" s="13"/>
      <c r="AF111" s="20"/>
      <c r="AG111" s="70" t="s">
        <v>90</v>
      </c>
      <c r="AH111" s="14">
        <v>1</v>
      </c>
      <c r="AI111" s="14">
        <v>3</v>
      </c>
      <c r="AJ111" s="14">
        <v>2</v>
      </c>
      <c r="AK111" s="14">
        <v>1</v>
      </c>
      <c r="AL111" s="14">
        <v>2</v>
      </c>
      <c r="AM111" s="14">
        <v>2</v>
      </c>
      <c r="AN111" s="14">
        <v>24</v>
      </c>
      <c r="AO111" s="13" t="s">
        <v>48</v>
      </c>
      <c r="AP111" s="13"/>
    </row>
    <row r="112" spans="1:42" ht="38.25" x14ac:dyDescent="0.2">
      <c r="A112" s="22" t="s">
        <v>35</v>
      </c>
      <c r="B112" s="22" t="s">
        <v>211</v>
      </c>
      <c r="C112" s="22"/>
      <c r="D112" s="22" t="s">
        <v>60</v>
      </c>
      <c r="E112" s="22" t="s">
        <v>88</v>
      </c>
      <c r="F112" s="71" t="s">
        <v>913</v>
      </c>
      <c r="G112" s="22"/>
      <c r="H112" s="22"/>
      <c r="I112" s="22" t="s">
        <v>212</v>
      </c>
      <c r="J112" s="22"/>
      <c r="K112" s="22" t="s">
        <v>42</v>
      </c>
      <c r="L112" s="24">
        <v>2020</v>
      </c>
      <c r="M112" s="24"/>
      <c r="N112" s="38">
        <f>8500000/100000*150</f>
        <v>12750</v>
      </c>
      <c r="O112" s="39"/>
      <c r="P112" s="27">
        <f>N112*O112</f>
        <v>0</v>
      </c>
      <c r="Q112" s="28"/>
      <c r="R112" s="28">
        <f>IF(Q112&lt;4.99,(Q112*12%+4),IF(Q112&lt;10.99,(Q112*12%+8),IF(Q112&lt;14.99,(Q112*12%+12),IF(Q112&lt;879.99,(Q112*12%+16),IF(Q112&lt;2569.99,(Q112*7%+60),240)))))</f>
        <v>4</v>
      </c>
      <c r="S112" s="29">
        <f>R112*P112</f>
        <v>0</v>
      </c>
      <c r="T112" s="24"/>
      <c r="U112" s="24"/>
      <c r="V112" s="24"/>
      <c r="W112" s="24"/>
      <c r="X112" s="24"/>
      <c r="Y112" s="24"/>
      <c r="Z112" s="22">
        <v>5000</v>
      </c>
      <c r="AA112" s="22"/>
      <c r="AB112" s="22"/>
      <c r="AC112" s="22"/>
      <c r="AD112" s="22" t="s">
        <v>42</v>
      </c>
      <c r="AE112" s="22" t="s">
        <v>182</v>
      </c>
      <c r="AF112" s="40" t="s">
        <v>213</v>
      </c>
      <c r="AG112" s="71" t="s">
        <v>214</v>
      </c>
      <c r="AH112" s="24">
        <v>1</v>
      </c>
      <c r="AI112" s="24">
        <v>2</v>
      </c>
      <c r="AJ112" s="24">
        <v>2</v>
      </c>
      <c r="AK112" s="24">
        <v>3</v>
      </c>
      <c r="AL112" s="24">
        <v>1</v>
      </c>
      <c r="AM112" s="24">
        <v>2</v>
      </c>
      <c r="AN112" s="24">
        <v>24</v>
      </c>
      <c r="AO112" s="22" t="s">
        <v>45</v>
      </c>
      <c r="AP112" s="22"/>
    </row>
    <row r="113" spans="1:42" ht="38.25" x14ac:dyDescent="0.2">
      <c r="A113" s="30" t="s">
        <v>35</v>
      </c>
      <c r="B113" s="30" t="s">
        <v>448</v>
      </c>
      <c r="C113" s="30"/>
      <c r="D113" s="30" t="s">
        <v>37</v>
      </c>
      <c r="E113" s="30" t="s">
        <v>88</v>
      </c>
      <c r="F113" s="72" t="s">
        <v>913</v>
      </c>
      <c r="G113" s="30"/>
      <c r="H113" s="30"/>
      <c r="I113" s="30" t="s">
        <v>449</v>
      </c>
      <c r="J113" s="30"/>
      <c r="K113" s="30" t="s">
        <v>201</v>
      </c>
      <c r="L113" s="31">
        <v>2017</v>
      </c>
      <c r="M113" s="31"/>
      <c r="N113" s="32" t="e">
        <f>0.2*#REF!</f>
        <v>#REF!</v>
      </c>
      <c r="O113" s="33"/>
      <c r="P113" s="34" t="e">
        <f>N113*O113</f>
        <v>#REF!</v>
      </c>
      <c r="Q113" s="35"/>
      <c r="R113" s="35">
        <f>IF(Q113&lt;4.99,(Q113*12%+4),IF(Q113&lt;10.99,(Q113*12%+8),IF(Q113&lt;14.99,(Q113*12%+12),IF(Q113&lt;879.99,(Q113*12%+16),IF(Q113&lt;2569.99,(Q113*7%+60),240)))))</f>
        <v>4</v>
      </c>
      <c r="S113" s="36" t="e">
        <f>R113*P113</f>
        <v>#REF!</v>
      </c>
      <c r="T113" s="31"/>
      <c r="U113" s="31"/>
      <c r="V113" s="31"/>
      <c r="W113" s="31"/>
      <c r="X113" s="31"/>
      <c r="Y113" s="31"/>
      <c r="Z113" s="30"/>
      <c r="AA113" s="30"/>
      <c r="AB113" s="30"/>
      <c r="AC113" s="30"/>
      <c r="AD113" s="30" t="s">
        <v>42</v>
      </c>
      <c r="AE113" s="30" t="s">
        <v>182</v>
      </c>
      <c r="AF113" s="37" t="s">
        <v>56</v>
      </c>
      <c r="AG113" s="72" t="s">
        <v>450</v>
      </c>
      <c r="AH113" s="31">
        <v>1</v>
      </c>
      <c r="AI113" s="31">
        <v>1</v>
      </c>
      <c r="AJ113" s="31">
        <v>2</v>
      </c>
      <c r="AK113" s="31">
        <v>3</v>
      </c>
      <c r="AL113" s="31">
        <v>1</v>
      </c>
      <c r="AM113" s="31">
        <v>1</v>
      </c>
      <c r="AN113" s="31">
        <v>6</v>
      </c>
      <c r="AO113" s="30" t="s">
        <v>45</v>
      </c>
      <c r="AP113" s="30"/>
    </row>
    <row r="114" spans="1:42" ht="38.25" x14ac:dyDescent="0.2">
      <c r="A114" s="42" t="s">
        <v>58</v>
      </c>
      <c r="B114" s="42" t="s">
        <v>122</v>
      </c>
      <c r="C114" s="42"/>
      <c r="D114" s="42" t="s">
        <v>37</v>
      </c>
      <c r="E114" s="42" t="s">
        <v>88</v>
      </c>
      <c r="F114" s="73" t="s">
        <v>913</v>
      </c>
      <c r="G114" s="42"/>
      <c r="H114" s="42"/>
      <c r="I114" s="42" t="s">
        <v>700</v>
      </c>
      <c r="J114" s="42"/>
      <c r="K114" s="42" t="s">
        <v>42</v>
      </c>
      <c r="L114" s="43">
        <v>2021</v>
      </c>
      <c r="M114" s="43"/>
      <c r="N114" s="44">
        <f>0.025*8000000</f>
        <v>200000</v>
      </c>
      <c r="O114" s="45"/>
      <c r="P114" s="46">
        <f>N114*O114</f>
        <v>0</v>
      </c>
      <c r="Q114" s="47"/>
      <c r="R114" s="47">
        <f>IF(Q114&lt;4.99,(Q114*12%+4),IF(Q114&lt;10.99,(Q114*12%+8),IF(Q114&lt;14.99,(Q114*12%+12),IF(Q114&lt;879.99,(Q114*12%+16),IF(Q114&lt;2569.99,(Q114*7%+60),240)))))</f>
        <v>4</v>
      </c>
      <c r="S114" s="48">
        <f>R114*P114</f>
        <v>0</v>
      </c>
      <c r="T114" s="43"/>
      <c r="U114" s="43"/>
      <c r="V114" s="43"/>
      <c r="W114" s="43"/>
      <c r="X114" s="43"/>
      <c r="Y114" s="43"/>
      <c r="Z114" s="42"/>
      <c r="AA114" s="42"/>
      <c r="AB114" s="42"/>
      <c r="AC114" s="42"/>
      <c r="AD114" s="42" t="s">
        <v>42</v>
      </c>
      <c r="AE114" s="42" t="s">
        <v>182</v>
      </c>
      <c r="AF114" s="60" t="s">
        <v>213</v>
      </c>
      <c r="AG114" s="73" t="s">
        <v>701</v>
      </c>
      <c r="AH114" s="43">
        <v>1</v>
      </c>
      <c r="AI114" s="43">
        <v>3</v>
      </c>
      <c r="AJ114" s="43">
        <v>2</v>
      </c>
      <c r="AK114" s="43">
        <v>3</v>
      </c>
      <c r="AL114" s="43">
        <v>1</v>
      </c>
      <c r="AM114" s="43">
        <v>2</v>
      </c>
      <c r="AN114" s="43">
        <v>36</v>
      </c>
      <c r="AO114" s="42" t="s">
        <v>45</v>
      </c>
      <c r="AP114" s="42"/>
    </row>
    <row r="115" spans="1:42" s="116" customFormat="1" x14ac:dyDescent="0.2">
      <c r="A115" s="117" t="s">
        <v>58</v>
      </c>
      <c r="B115" s="117" t="s">
        <v>59</v>
      </c>
      <c r="C115" s="117"/>
      <c r="D115" s="117" t="s">
        <v>37</v>
      </c>
      <c r="E115" s="117" t="s">
        <v>1035</v>
      </c>
      <c r="F115" s="118"/>
      <c r="G115" s="119"/>
      <c r="H115" s="117"/>
      <c r="I115" s="117" t="s">
        <v>1036</v>
      </c>
      <c r="J115" s="117" t="s">
        <v>1037</v>
      </c>
      <c r="K115" s="117" t="s">
        <v>63</v>
      </c>
      <c r="L115" s="120">
        <v>2022</v>
      </c>
      <c r="M115" s="120"/>
      <c r="N115" s="121">
        <v>220</v>
      </c>
      <c r="O115" s="122"/>
      <c r="P115" s="123">
        <v>40</v>
      </c>
      <c r="Q115" s="124">
        <v>5000</v>
      </c>
      <c r="R115" s="124">
        <v>240</v>
      </c>
      <c r="S115" s="125"/>
      <c r="T115" s="120"/>
      <c r="U115" s="120"/>
      <c r="V115" s="120"/>
      <c r="W115" s="120"/>
      <c r="X115" s="120"/>
      <c r="Y115" s="120"/>
      <c r="Z115" s="126">
        <f>Q115*P115*2</f>
        <v>400000</v>
      </c>
      <c r="AA115" s="117"/>
      <c r="AB115" s="117"/>
      <c r="AC115" s="117"/>
      <c r="AD115" s="117"/>
      <c r="AE115" s="117"/>
      <c r="AF115" s="127"/>
      <c r="AG115" s="118"/>
      <c r="AH115" s="120"/>
      <c r="AI115" s="120"/>
      <c r="AJ115" s="120"/>
      <c r="AK115" s="120"/>
      <c r="AL115" s="120"/>
      <c r="AM115" s="120"/>
      <c r="AN115" s="120"/>
      <c r="AO115" s="117"/>
      <c r="AP115" s="117"/>
    </row>
    <row r="116" spans="1:42" ht="38.25" x14ac:dyDescent="0.2">
      <c r="A116" s="22" t="s">
        <v>35</v>
      </c>
      <c r="B116" s="22" t="s">
        <v>100</v>
      </c>
      <c r="C116" s="22"/>
      <c r="D116" s="65" t="s">
        <v>60</v>
      </c>
      <c r="E116" s="88" t="s">
        <v>706</v>
      </c>
      <c r="F116" s="78" t="s">
        <v>912</v>
      </c>
      <c r="G116" s="77"/>
      <c r="H116" s="88"/>
      <c r="I116" s="65" t="s">
        <v>832</v>
      </c>
      <c r="J116" s="22" t="s">
        <v>833</v>
      </c>
      <c r="K116" s="22" t="s">
        <v>834</v>
      </c>
      <c r="L116" s="24">
        <v>2021</v>
      </c>
      <c r="M116" s="24"/>
      <c r="N116" s="38"/>
      <c r="O116" s="39"/>
      <c r="P116" s="27"/>
      <c r="Q116" s="28"/>
      <c r="R116" s="28"/>
      <c r="S116" s="29"/>
      <c r="T116" s="24"/>
      <c r="U116" s="24"/>
      <c r="V116" s="24"/>
      <c r="W116" s="24"/>
      <c r="X116" s="24"/>
      <c r="Y116" s="24"/>
      <c r="Z116" s="22"/>
      <c r="AA116" s="22"/>
      <c r="AB116" s="22"/>
      <c r="AC116" s="22"/>
      <c r="AD116" s="22" t="s">
        <v>42</v>
      </c>
      <c r="AE116" s="22"/>
      <c r="AF116" s="41"/>
      <c r="AG116" s="67"/>
      <c r="AH116" s="24"/>
      <c r="AI116" s="24"/>
      <c r="AJ116" s="24"/>
      <c r="AK116" s="24"/>
      <c r="AL116" s="24"/>
      <c r="AM116" s="24"/>
      <c r="AN116" s="24">
        <v>0</v>
      </c>
      <c r="AO116" s="22"/>
      <c r="AP116" s="69"/>
    </row>
    <row r="117" spans="1:42" ht="38.25" x14ac:dyDescent="0.2">
      <c r="A117" s="42" t="s">
        <v>86</v>
      </c>
      <c r="B117" s="42" t="s">
        <v>259</v>
      </c>
      <c r="C117" s="42"/>
      <c r="D117" s="42" t="s">
        <v>98</v>
      </c>
      <c r="E117" s="42" t="s">
        <v>706</v>
      </c>
      <c r="F117" s="73" t="s">
        <v>912</v>
      </c>
      <c r="G117" s="42"/>
      <c r="H117" s="42"/>
      <c r="I117" s="42" t="s">
        <v>707</v>
      </c>
      <c r="J117" s="42"/>
      <c r="K117" s="42" t="s">
        <v>708</v>
      </c>
      <c r="L117" s="43">
        <v>2018</v>
      </c>
      <c r="M117" s="43"/>
      <c r="N117" s="44">
        <v>70000</v>
      </c>
      <c r="O117" s="45"/>
      <c r="P117" s="46">
        <f>N117*O117</f>
        <v>0</v>
      </c>
      <c r="Q117" s="47"/>
      <c r="R117" s="47">
        <f>IF(Q117&lt;4.99,(Q117*12%+4),IF(Q117&lt;10.99,(Q117*12%+8),IF(Q117&lt;14.99,(Q117*12%+12),IF(Q117&lt;879.99,(Q117*12%+16),IF(Q117&lt;2569.99,(Q117*7%+60),240)))))</f>
        <v>4</v>
      </c>
      <c r="S117" s="48">
        <f>R117*P117</f>
        <v>0</v>
      </c>
      <c r="T117" s="43"/>
      <c r="U117" s="43"/>
      <c r="V117" s="43"/>
      <c r="W117" s="43"/>
      <c r="X117" s="43"/>
      <c r="Y117" s="43"/>
      <c r="Z117" s="42"/>
      <c r="AA117" s="42"/>
      <c r="AB117" s="42"/>
      <c r="AC117" s="42"/>
      <c r="AD117" s="42" t="s">
        <v>42</v>
      </c>
      <c r="AE117" s="42"/>
      <c r="AF117" s="42" t="s">
        <v>227</v>
      </c>
      <c r="AG117" s="73" t="s">
        <v>709</v>
      </c>
      <c r="AH117" s="43">
        <v>3</v>
      </c>
      <c r="AI117" s="43">
        <v>3</v>
      </c>
      <c r="AJ117" s="43">
        <v>1</v>
      </c>
      <c r="AK117" s="43">
        <v>1</v>
      </c>
      <c r="AL117" s="43">
        <v>3</v>
      </c>
      <c r="AM117" s="43">
        <v>1</v>
      </c>
      <c r="AN117" s="43">
        <v>27</v>
      </c>
      <c r="AO117" s="42" t="s">
        <v>48</v>
      </c>
      <c r="AP117" s="42"/>
    </row>
    <row r="118" spans="1:42" s="133" customFormat="1" x14ac:dyDescent="0.2">
      <c r="A118" s="30" t="s">
        <v>47</v>
      </c>
      <c r="B118" s="30" t="s">
        <v>1136</v>
      </c>
      <c r="C118" s="30"/>
      <c r="D118" s="30" t="s">
        <v>37</v>
      </c>
      <c r="E118" s="30" t="s">
        <v>706</v>
      </c>
      <c r="F118" s="72"/>
      <c r="G118" s="30"/>
      <c r="H118" s="30"/>
      <c r="I118" s="30" t="s">
        <v>1137</v>
      </c>
      <c r="J118" s="30" t="s">
        <v>1138</v>
      </c>
      <c r="K118" s="30"/>
      <c r="L118" s="31"/>
      <c r="M118" s="31"/>
      <c r="N118" s="32"/>
      <c r="O118" s="33"/>
      <c r="P118" s="34"/>
      <c r="Q118" s="35"/>
      <c r="R118" s="35"/>
      <c r="S118" s="36"/>
      <c r="T118" s="31"/>
      <c r="U118" s="31"/>
      <c r="V118" s="31"/>
      <c r="W118" s="31"/>
      <c r="X118" s="31"/>
      <c r="Y118" s="31"/>
      <c r="Z118" s="30"/>
      <c r="AA118" s="30"/>
      <c r="AB118" s="30"/>
      <c r="AC118" s="30"/>
      <c r="AD118" s="30"/>
      <c r="AE118" s="30"/>
      <c r="AF118" s="30"/>
      <c r="AG118" s="72"/>
      <c r="AH118" s="31"/>
      <c r="AI118" s="31"/>
      <c r="AJ118" s="31"/>
      <c r="AK118" s="31"/>
      <c r="AL118" s="31"/>
      <c r="AM118" s="31"/>
      <c r="AN118" s="31"/>
      <c r="AO118" s="30"/>
      <c r="AP118" s="30"/>
    </row>
    <row r="119" spans="1:42" ht="38.25" x14ac:dyDescent="0.2">
      <c r="A119" s="13" t="s">
        <v>35</v>
      </c>
      <c r="B119" s="13" t="s">
        <v>78</v>
      </c>
      <c r="C119" s="13"/>
      <c r="D119" s="13" t="s">
        <v>60</v>
      </c>
      <c r="E119" s="13" t="s">
        <v>79</v>
      </c>
      <c r="F119" s="70" t="s">
        <v>912</v>
      </c>
      <c r="G119" s="13"/>
      <c r="H119" s="13"/>
      <c r="I119" s="13" t="s">
        <v>80</v>
      </c>
      <c r="J119" s="13" t="s">
        <v>1125</v>
      </c>
      <c r="K119" s="13" t="s">
        <v>42</v>
      </c>
      <c r="L119" s="14">
        <v>2021</v>
      </c>
      <c r="M119" s="14"/>
      <c r="N119" s="15">
        <v>600</v>
      </c>
      <c r="O119" s="16"/>
      <c r="P119" s="17">
        <f>N119*O119</f>
        <v>0</v>
      </c>
      <c r="Q119" s="18"/>
      <c r="R119" s="18">
        <f>IF(Q119&lt;4.99,(Q119*12%+4),IF(Q119&lt;10.99,(Q119*12%+8),IF(Q119&lt;14.99,(Q119*12%+12),IF(Q119&lt;879.99,(Q119*12%+16),IF(Q119&lt;2569.99,(Q119*7%+60),240)))))</f>
        <v>4</v>
      </c>
      <c r="S119" s="19">
        <f>R119*P119</f>
        <v>0</v>
      </c>
      <c r="T119" s="14"/>
      <c r="U119" s="14"/>
      <c r="V119" s="14"/>
      <c r="W119" s="14"/>
      <c r="X119" s="14"/>
      <c r="Y119" s="14"/>
      <c r="Z119" s="13"/>
      <c r="AA119" s="13"/>
      <c r="AB119" s="13"/>
      <c r="AC119" s="13"/>
      <c r="AD119" s="13" t="s">
        <v>201</v>
      </c>
      <c r="AE119" s="13"/>
      <c r="AF119" s="13"/>
      <c r="AG119" s="70" t="s">
        <v>81</v>
      </c>
      <c r="AH119" s="14">
        <v>3</v>
      </c>
      <c r="AI119" s="14">
        <v>2</v>
      </c>
      <c r="AJ119" s="14">
        <v>1</v>
      </c>
      <c r="AK119" s="14">
        <v>3</v>
      </c>
      <c r="AL119" s="14">
        <v>1</v>
      </c>
      <c r="AM119" s="14">
        <v>2</v>
      </c>
      <c r="AN119" s="14">
        <v>36</v>
      </c>
      <c r="AO119" s="13" t="s">
        <v>45</v>
      </c>
      <c r="AP119" s="13"/>
    </row>
    <row r="120" spans="1:42" ht="38.25" x14ac:dyDescent="0.2">
      <c r="A120" s="22" t="s">
        <v>58</v>
      </c>
      <c r="B120" s="23" t="s">
        <v>287</v>
      </c>
      <c r="C120" s="22"/>
      <c r="D120" s="23" t="s">
        <v>37</v>
      </c>
      <c r="E120" s="22" t="s">
        <v>288</v>
      </c>
      <c r="F120" s="88" t="s">
        <v>946</v>
      </c>
      <c r="G120" s="22"/>
      <c r="H120" s="22"/>
      <c r="I120" s="23" t="s">
        <v>289</v>
      </c>
      <c r="J120" s="22" t="s">
        <v>290</v>
      </c>
      <c r="K120" s="22" t="s">
        <v>63</v>
      </c>
      <c r="L120" s="24">
        <v>2021</v>
      </c>
      <c r="M120" s="24"/>
      <c r="N120" s="52">
        <f>8500000/100000*15</f>
        <v>1275</v>
      </c>
      <c r="O120" s="39"/>
      <c r="P120" s="27">
        <f>N120*O120</f>
        <v>0</v>
      </c>
      <c r="Q120" s="28"/>
      <c r="R120" s="28">
        <f>IF(Q120&lt;4.99,(Q120*12%+4),IF(Q120&lt;10.99,(Q120*12%+8),IF(Q120&lt;14.99,(Q120*12%+12),IF(Q120&lt;879.99,(Q120*12%+16),IF(Q120&lt;2569.99,(Q120*7%+60),240)))))</f>
        <v>4</v>
      </c>
      <c r="S120" s="29">
        <f>R120*P120</f>
        <v>0</v>
      </c>
      <c r="T120" s="24"/>
      <c r="U120" s="24"/>
      <c r="V120" s="24"/>
      <c r="W120" s="24"/>
      <c r="X120" s="24"/>
      <c r="Y120" s="24"/>
      <c r="Z120" s="22">
        <v>0</v>
      </c>
      <c r="AA120" s="22"/>
      <c r="AB120" s="22"/>
      <c r="AC120" s="22"/>
      <c r="AD120" s="22" t="s">
        <v>42</v>
      </c>
      <c r="AE120" s="22"/>
      <c r="AF120" s="40" t="s">
        <v>56</v>
      </c>
      <c r="AG120" s="71" t="s">
        <v>291</v>
      </c>
      <c r="AH120" s="24">
        <v>1</v>
      </c>
      <c r="AI120" s="24">
        <v>1</v>
      </c>
      <c r="AJ120" s="24">
        <v>2</v>
      </c>
      <c r="AK120" s="24">
        <v>3</v>
      </c>
      <c r="AL120" s="24">
        <v>1</v>
      </c>
      <c r="AM120" s="24">
        <v>2</v>
      </c>
      <c r="AN120" s="24">
        <v>12</v>
      </c>
      <c r="AO120" s="22" t="s">
        <v>48</v>
      </c>
      <c r="AP120" s="22"/>
    </row>
    <row r="121" spans="1:42" ht="38.25" x14ac:dyDescent="0.2">
      <c r="A121" s="22" t="s">
        <v>35</v>
      </c>
      <c r="B121" s="22" t="s">
        <v>116</v>
      </c>
      <c r="C121" s="22"/>
      <c r="D121" s="23" t="s">
        <v>311</v>
      </c>
      <c r="E121" s="22" t="s">
        <v>312</v>
      </c>
      <c r="F121" s="83" t="s">
        <v>948</v>
      </c>
      <c r="G121" s="22"/>
      <c r="H121" s="22"/>
      <c r="I121" s="23" t="s">
        <v>313</v>
      </c>
      <c r="J121" s="23" t="s">
        <v>314</v>
      </c>
      <c r="K121" s="23" t="s">
        <v>315</v>
      </c>
      <c r="L121" s="24">
        <v>2020</v>
      </c>
      <c r="M121" s="24"/>
      <c r="N121" s="38">
        <f>8500000/100000*56</f>
        <v>4760</v>
      </c>
      <c r="O121" s="39"/>
      <c r="P121" s="27">
        <f>N121*O121</f>
        <v>0</v>
      </c>
      <c r="Q121" s="28"/>
      <c r="R121" s="28">
        <f>IF(Q121&lt;4.99,(Q121*12%+4),IF(Q121&lt;10.99,(Q121*12%+8),IF(Q121&lt;14.99,(Q121*12%+12),IF(Q121&lt;879.99,(Q121*12%+16),IF(Q121&lt;2569.99,(Q121*7%+60),240)))))</f>
        <v>4</v>
      </c>
      <c r="S121" s="29">
        <f>R121*P121</f>
        <v>0</v>
      </c>
      <c r="T121" s="24"/>
      <c r="U121" s="24"/>
      <c r="V121" s="24"/>
      <c r="W121" s="24"/>
      <c r="X121" s="24"/>
      <c r="Y121" s="24"/>
      <c r="Z121" s="22"/>
      <c r="AA121" s="22"/>
      <c r="AB121" s="22"/>
      <c r="AC121" s="22"/>
      <c r="AD121" s="22" t="s">
        <v>42</v>
      </c>
      <c r="AE121" s="22"/>
      <c r="AF121" s="40" t="s">
        <v>95</v>
      </c>
      <c r="AG121" s="71" t="s">
        <v>316</v>
      </c>
      <c r="AH121" s="24">
        <v>1</v>
      </c>
      <c r="AI121" s="24">
        <v>1</v>
      </c>
      <c r="AJ121" s="24">
        <v>1</v>
      </c>
      <c r="AK121" s="24">
        <v>3</v>
      </c>
      <c r="AL121" s="24">
        <v>1</v>
      </c>
      <c r="AM121" s="24">
        <v>1</v>
      </c>
      <c r="AN121" s="24">
        <v>3</v>
      </c>
      <c r="AO121" s="22" t="s">
        <v>48</v>
      </c>
      <c r="AP121" s="22"/>
    </row>
    <row r="122" spans="1:42" x14ac:dyDescent="0.2">
      <c r="A122" s="22" t="s">
        <v>35</v>
      </c>
      <c r="B122" s="22" t="s">
        <v>1009</v>
      </c>
      <c r="C122" s="22"/>
      <c r="D122" s="23" t="s">
        <v>37</v>
      </c>
      <c r="E122" s="22" t="s">
        <v>1010</v>
      </c>
      <c r="F122" s="83"/>
      <c r="G122" s="22"/>
      <c r="H122" s="22"/>
      <c r="I122" s="23" t="s">
        <v>1011</v>
      </c>
      <c r="J122" s="23"/>
      <c r="K122" s="23" t="s">
        <v>42</v>
      </c>
      <c r="L122" s="24">
        <v>2022</v>
      </c>
      <c r="M122" s="24"/>
      <c r="N122" s="38">
        <v>160</v>
      </c>
      <c r="O122" s="39" t="s">
        <v>1012</v>
      </c>
      <c r="P122" s="27">
        <v>10</v>
      </c>
      <c r="Q122" s="28">
        <v>5000</v>
      </c>
      <c r="R122" s="28">
        <v>240</v>
      </c>
      <c r="S122" s="29">
        <f>P122*R122*12</f>
        <v>28800</v>
      </c>
      <c r="T122" s="24" t="s">
        <v>48</v>
      </c>
      <c r="U122" s="24" t="s">
        <v>45</v>
      </c>
      <c r="V122" s="24" t="s">
        <v>48</v>
      </c>
      <c r="W122" s="24" t="s">
        <v>45</v>
      </c>
      <c r="X122" s="24" t="s">
        <v>45</v>
      </c>
      <c r="Y122" s="24"/>
      <c r="Z122" s="113">
        <f>Q122*P122*12*0.5</f>
        <v>300000</v>
      </c>
      <c r="AA122" s="22"/>
      <c r="AB122" s="22"/>
      <c r="AC122" s="22"/>
      <c r="AD122" s="22" t="s">
        <v>42</v>
      </c>
      <c r="AE122" s="22"/>
      <c r="AF122" s="40"/>
      <c r="AG122" s="71"/>
      <c r="AH122" s="24"/>
      <c r="AI122" s="24"/>
      <c r="AJ122" s="24"/>
      <c r="AK122" s="24"/>
      <c r="AL122" s="24"/>
      <c r="AM122" s="24"/>
      <c r="AN122" s="24"/>
      <c r="AO122" s="22"/>
      <c r="AP122" s="22"/>
    </row>
    <row r="123" spans="1:42" ht="38.25" x14ac:dyDescent="0.2">
      <c r="A123" s="22" t="s">
        <v>58</v>
      </c>
      <c r="B123" s="22" t="s">
        <v>801</v>
      </c>
      <c r="C123" s="22"/>
      <c r="D123" s="22" t="s">
        <v>37</v>
      </c>
      <c r="E123" s="22" t="s">
        <v>802</v>
      </c>
      <c r="F123" s="71" t="s">
        <v>1001</v>
      </c>
      <c r="G123" s="22"/>
      <c r="H123" s="22"/>
      <c r="I123" s="22"/>
      <c r="J123" s="22" t="s">
        <v>803</v>
      </c>
      <c r="K123" s="22"/>
      <c r="L123" s="24"/>
      <c r="M123" s="24"/>
      <c r="N123" s="38"/>
      <c r="O123" s="39"/>
      <c r="P123" s="24"/>
      <c r="Q123" s="28"/>
      <c r="R123" s="24"/>
      <c r="S123" s="24"/>
      <c r="T123" s="24"/>
      <c r="U123" s="24"/>
      <c r="V123" s="24"/>
      <c r="W123" s="24"/>
      <c r="X123" s="24"/>
      <c r="Y123" s="24"/>
      <c r="Z123" s="22"/>
      <c r="AA123" s="22"/>
      <c r="AB123" s="22"/>
      <c r="AC123" s="22"/>
      <c r="AD123" s="22"/>
      <c r="AE123" s="22"/>
      <c r="AF123" s="22"/>
      <c r="AG123" s="71"/>
      <c r="AH123" s="24"/>
      <c r="AI123" s="24"/>
      <c r="AJ123" s="24"/>
      <c r="AK123" s="24"/>
      <c r="AL123" s="24"/>
      <c r="AM123" s="24"/>
      <c r="AN123" s="24"/>
      <c r="AO123" s="22"/>
      <c r="AP123" s="22"/>
    </row>
    <row r="124" spans="1:42" ht="38.25" x14ac:dyDescent="0.2">
      <c r="A124" s="22" t="s">
        <v>58</v>
      </c>
      <c r="B124" s="22" t="s">
        <v>234</v>
      </c>
      <c r="C124" s="22"/>
      <c r="D124" s="22" t="s">
        <v>37</v>
      </c>
      <c r="E124" s="22" t="s">
        <v>235</v>
      </c>
      <c r="F124" s="83" t="s">
        <v>939</v>
      </c>
      <c r="G124" s="22"/>
      <c r="H124" s="22"/>
      <c r="I124" s="22" t="s">
        <v>236</v>
      </c>
      <c r="J124" s="22"/>
      <c r="K124" s="22" t="s">
        <v>42</v>
      </c>
      <c r="L124" s="24">
        <v>2022</v>
      </c>
      <c r="M124" s="24"/>
      <c r="N124" s="52">
        <f>0.15*1500000</f>
        <v>225000</v>
      </c>
      <c r="O124" s="39"/>
      <c r="P124" s="27">
        <f t="shared" ref="P124:P133" si="12">N124*O124</f>
        <v>0</v>
      </c>
      <c r="Q124" s="28"/>
      <c r="R124" s="28">
        <f t="shared" ref="R124:R133" si="13">IF(Q124&lt;4.99,(Q124*12%+4),IF(Q124&lt;10.99,(Q124*12%+8),IF(Q124&lt;14.99,(Q124*12%+12),IF(Q124&lt;879.99,(Q124*12%+16),IF(Q124&lt;2569.99,(Q124*7%+60),240)))))</f>
        <v>4</v>
      </c>
      <c r="S124" s="29">
        <f t="shared" ref="S124:S133" si="14">R124*P124</f>
        <v>0</v>
      </c>
      <c r="T124" s="24"/>
      <c r="U124" s="24"/>
      <c r="V124" s="24"/>
      <c r="W124" s="24"/>
      <c r="X124" s="24"/>
      <c r="Y124" s="24"/>
      <c r="Z124" s="22"/>
      <c r="AA124" s="22"/>
      <c r="AB124" s="22"/>
      <c r="AC124" s="22"/>
      <c r="AD124" s="22" t="s">
        <v>42</v>
      </c>
      <c r="AE124" s="22"/>
      <c r="AF124" s="40"/>
      <c r="AG124" s="71"/>
      <c r="AH124" s="24">
        <v>2</v>
      </c>
      <c r="AI124" s="24">
        <v>3</v>
      </c>
      <c r="AJ124" s="24">
        <v>3</v>
      </c>
      <c r="AK124" s="24">
        <v>3</v>
      </c>
      <c r="AL124" s="24">
        <v>1</v>
      </c>
      <c r="AM124" s="24">
        <v>1</v>
      </c>
      <c r="AN124" s="24">
        <v>54</v>
      </c>
      <c r="AO124" s="22" t="s">
        <v>48</v>
      </c>
      <c r="AP124" s="22"/>
    </row>
    <row r="125" spans="1:42" ht="38.25" x14ac:dyDescent="0.2">
      <c r="A125" s="22" t="s">
        <v>58</v>
      </c>
      <c r="B125" s="23" t="s">
        <v>515</v>
      </c>
      <c r="C125" s="22"/>
      <c r="D125" s="22" t="s">
        <v>37</v>
      </c>
      <c r="E125" s="22" t="s">
        <v>235</v>
      </c>
      <c r="F125" s="83" t="s">
        <v>939</v>
      </c>
      <c r="G125" s="22"/>
      <c r="H125" s="22"/>
      <c r="I125" s="22" t="s">
        <v>516</v>
      </c>
      <c r="J125" s="22"/>
      <c r="K125" s="22" t="s">
        <v>42</v>
      </c>
      <c r="L125" s="24">
        <v>2022</v>
      </c>
      <c r="M125" s="24"/>
      <c r="N125" s="38">
        <f>8500000/200000</f>
        <v>42.5</v>
      </c>
      <c r="O125" s="39"/>
      <c r="P125" s="27">
        <f t="shared" si="12"/>
        <v>0</v>
      </c>
      <c r="Q125" s="28"/>
      <c r="R125" s="28">
        <f t="shared" si="13"/>
        <v>4</v>
      </c>
      <c r="S125" s="29">
        <f t="shared" si="14"/>
        <v>0</v>
      </c>
      <c r="T125" s="24"/>
      <c r="U125" s="24"/>
      <c r="V125" s="24"/>
      <c r="W125" s="24"/>
      <c r="X125" s="24"/>
      <c r="Y125" s="24"/>
      <c r="Z125" s="22"/>
      <c r="AA125" s="22"/>
      <c r="AB125" s="22"/>
      <c r="AC125" s="22"/>
      <c r="AD125" s="22" t="s">
        <v>42</v>
      </c>
      <c r="AE125" s="22"/>
      <c r="AF125" s="40"/>
      <c r="AG125" s="71"/>
      <c r="AH125" s="24">
        <v>2</v>
      </c>
      <c r="AI125" s="24">
        <v>1</v>
      </c>
      <c r="AJ125" s="24">
        <v>3</v>
      </c>
      <c r="AK125" s="24">
        <v>2</v>
      </c>
      <c r="AL125" s="24">
        <v>2</v>
      </c>
      <c r="AM125" s="24">
        <v>2</v>
      </c>
      <c r="AN125" s="24">
        <v>48</v>
      </c>
      <c r="AO125" s="22" t="s">
        <v>48</v>
      </c>
      <c r="AP125" s="22"/>
    </row>
    <row r="126" spans="1:42" s="133" customFormat="1" x14ac:dyDescent="0.2">
      <c r="A126" s="30" t="s">
        <v>35</v>
      </c>
      <c r="B126" s="30" t="s">
        <v>1114</v>
      </c>
      <c r="C126" s="30"/>
      <c r="D126" s="30" t="s">
        <v>60</v>
      </c>
      <c r="E126" s="30" t="s">
        <v>1115</v>
      </c>
      <c r="F126" s="72"/>
      <c r="G126" s="30"/>
      <c r="H126" s="30"/>
      <c r="I126" s="30" t="s">
        <v>1116</v>
      </c>
      <c r="J126" s="30" t="s">
        <v>1126</v>
      </c>
      <c r="K126" s="30"/>
      <c r="L126" s="31"/>
      <c r="M126" s="31"/>
      <c r="N126" s="32"/>
      <c r="O126" s="33"/>
      <c r="P126" s="34">
        <v>20</v>
      </c>
      <c r="Q126" s="35">
        <v>15000</v>
      </c>
      <c r="R126" s="35"/>
      <c r="S126" s="36"/>
      <c r="T126" s="31"/>
      <c r="U126" s="31"/>
      <c r="V126" s="31"/>
      <c r="W126" s="31"/>
      <c r="X126" s="31"/>
      <c r="Y126" s="31"/>
      <c r="Z126" s="30"/>
      <c r="AA126" s="30"/>
      <c r="AB126" s="132">
        <f>Q126*P126*0.2*4</f>
        <v>240000</v>
      </c>
      <c r="AC126" s="30"/>
      <c r="AD126" s="30" t="s">
        <v>42</v>
      </c>
      <c r="AE126" s="30"/>
      <c r="AF126" s="37"/>
      <c r="AG126" s="72" t="s">
        <v>1122</v>
      </c>
      <c r="AH126" s="31">
        <v>2</v>
      </c>
      <c r="AI126" s="31">
        <v>2</v>
      </c>
      <c r="AJ126" s="31">
        <v>1</v>
      </c>
      <c r="AK126" s="31">
        <v>3</v>
      </c>
      <c r="AL126" s="31">
        <v>1</v>
      </c>
      <c r="AM126" s="31">
        <v>2</v>
      </c>
      <c r="AN126" s="31">
        <f>AM126*AL126*AK126*AJ126*AI126*AH126</f>
        <v>24</v>
      </c>
      <c r="AO126" s="30" t="s">
        <v>45</v>
      </c>
      <c r="AP126" s="37">
        <v>44621</v>
      </c>
    </row>
    <row r="127" spans="1:42" ht="38.25" x14ac:dyDescent="0.2">
      <c r="A127" s="22" t="s">
        <v>35</v>
      </c>
      <c r="B127" s="22" t="s">
        <v>517</v>
      </c>
      <c r="C127" s="22"/>
      <c r="D127" s="22" t="s">
        <v>60</v>
      </c>
      <c r="E127" s="22" t="s">
        <v>679</v>
      </c>
      <c r="F127" s="22"/>
      <c r="G127" s="85" t="s">
        <v>989</v>
      </c>
      <c r="H127" s="22"/>
      <c r="I127" s="22" t="s">
        <v>680</v>
      </c>
      <c r="J127" s="22"/>
      <c r="K127" s="22" t="s">
        <v>63</v>
      </c>
      <c r="L127" s="24">
        <v>2020</v>
      </c>
      <c r="M127" s="24"/>
      <c r="N127" s="51">
        <v>6250</v>
      </c>
      <c r="O127" s="39"/>
      <c r="P127" s="27">
        <f t="shared" si="12"/>
        <v>0</v>
      </c>
      <c r="Q127" s="28"/>
      <c r="R127" s="28">
        <f t="shared" si="13"/>
        <v>4</v>
      </c>
      <c r="S127" s="29">
        <f t="shared" si="14"/>
        <v>0</v>
      </c>
      <c r="T127" s="24"/>
      <c r="U127" s="24"/>
      <c r="V127" s="24"/>
      <c r="W127" s="24"/>
      <c r="X127" s="24"/>
      <c r="Y127" s="24"/>
      <c r="Z127" s="22"/>
      <c r="AA127" s="22"/>
      <c r="AB127" s="22"/>
      <c r="AC127" s="22"/>
      <c r="AD127" s="22" t="s">
        <v>42</v>
      </c>
      <c r="AE127" s="22" t="s">
        <v>43</v>
      </c>
      <c r="AF127" s="40" t="s">
        <v>70</v>
      </c>
      <c r="AG127" s="71" t="s">
        <v>681</v>
      </c>
      <c r="AH127" s="24">
        <v>2</v>
      </c>
      <c r="AI127" s="24">
        <v>2</v>
      </c>
      <c r="AJ127" s="24">
        <v>2</v>
      </c>
      <c r="AK127" s="24">
        <v>3</v>
      </c>
      <c r="AL127" s="24">
        <v>1</v>
      </c>
      <c r="AM127" s="24">
        <v>1</v>
      </c>
      <c r="AN127" s="24">
        <v>24</v>
      </c>
      <c r="AO127" s="22" t="s">
        <v>48</v>
      </c>
      <c r="AP127" s="22"/>
    </row>
    <row r="128" spans="1:42" ht="38.25" x14ac:dyDescent="0.2">
      <c r="A128" s="22" t="s">
        <v>35</v>
      </c>
      <c r="B128" s="22" t="s">
        <v>603</v>
      </c>
      <c r="C128" s="22"/>
      <c r="D128" s="22" t="s">
        <v>60</v>
      </c>
      <c r="E128" s="22" t="s">
        <v>679</v>
      </c>
      <c r="F128" s="22"/>
      <c r="G128" s="71" t="s">
        <v>989</v>
      </c>
      <c r="H128" s="22"/>
      <c r="I128" s="22" t="s">
        <v>781</v>
      </c>
      <c r="J128" s="22" t="s">
        <v>781</v>
      </c>
      <c r="K128" s="22" t="s">
        <v>128</v>
      </c>
      <c r="L128" s="24">
        <v>2020</v>
      </c>
      <c r="M128" s="24"/>
      <c r="N128" s="51">
        <v>1600</v>
      </c>
      <c r="O128" s="39"/>
      <c r="P128" s="27">
        <f t="shared" si="12"/>
        <v>0</v>
      </c>
      <c r="Q128" s="28"/>
      <c r="R128" s="28">
        <f t="shared" si="13"/>
        <v>4</v>
      </c>
      <c r="S128" s="29">
        <f t="shared" si="14"/>
        <v>0</v>
      </c>
      <c r="T128" s="24"/>
      <c r="U128" s="24"/>
      <c r="V128" s="24"/>
      <c r="W128" s="24"/>
      <c r="X128" s="24"/>
      <c r="Y128" s="24"/>
      <c r="Z128" s="22"/>
      <c r="AA128" s="22"/>
      <c r="AB128" s="22"/>
      <c r="AC128" s="22"/>
      <c r="AD128" s="22" t="s">
        <v>64</v>
      </c>
      <c r="AE128" s="22"/>
      <c r="AF128" s="22"/>
      <c r="AG128" s="71"/>
      <c r="AH128" s="24">
        <v>1</v>
      </c>
      <c r="AI128" s="24">
        <v>2</v>
      </c>
      <c r="AJ128" s="24">
        <v>1</v>
      </c>
      <c r="AK128" s="24">
        <v>3</v>
      </c>
      <c r="AL128" s="24">
        <v>1</v>
      </c>
      <c r="AM128" s="24">
        <v>1</v>
      </c>
      <c r="AN128" s="24">
        <v>6</v>
      </c>
      <c r="AO128" s="22" t="s">
        <v>48</v>
      </c>
      <c r="AP128" s="22"/>
    </row>
    <row r="129" spans="1:42" x14ac:dyDescent="0.2">
      <c r="A129" s="22" t="s">
        <v>35</v>
      </c>
      <c r="B129" s="22" t="s">
        <v>1032</v>
      </c>
      <c r="C129" s="22"/>
      <c r="D129" s="22" t="s">
        <v>60</v>
      </c>
      <c r="E129" s="22" t="s">
        <v>394</v>
      </c>
      <c r="F129" s="22"/>
      <c r="G129" s="71"/>
      <c r="H129" s="22"/>
      <c r="I129" s="22" t="s">
        <v>1033</v>
      </c>
      <c r="J129" s="22"/>
      <c r="K129" s="22" t="s">
        <v>42</v>
      </c>
      <c r="L129" s="24">
        <v>2022</v>
      </c>
      <c r="M129" s="24"/>
      <c r="N129" s="51">
        <v>50</v>
      </c>
      <c r="O129" s="39">
        <v>0</v>
      </c>
      <c r="P129" s="27">
        <v>5</v>
      </c>
      <c r="Q129" s="28">
        <v>5000</v>
      </c>
      <c r="R129" s="28">
        <v>240</v>
      </c>
      <c r="S129" s="29"/>
      <c r="T129" s="24"/>
      <c r="U129" s="24"/>
      <c r="V129" s="24"/>
      <c r="W129" s="24"/>
      <c r="X129" s="24"/>
      <c r="Y129" s="24"/>
      <c r="Z129" s="113">
        <f>Q129*P129*5</f>
        <v>125000</v>
      </c>
      <c r="AA129" s="22"/>
      <c r="AB129" s="22"/>
      <c r="AC129" s="22"/>
      <c r="AD129" s="22" t="s">
        <v>42</v>
      </c>
      <c r="AE129" s="22"/>
      <c r="AF129" s="22"/>
      <c r="AG129" s="71" t="s">
        <v>1123</v>
      </c>
      <c r="AH129" s="24"/>
      <c r="AI129" s="24"/>
      <c r="AJ129" s="24"/>
      <c r="AK129" s="24"/>
      <c r="AL129" s="24"/>
      <c r="AM129" s="24"/>
      <c r="AN129" s="24"/>
      <c r="AO129" s="22"/>
      <c r="AP129" s="22"/>
    </row>
    <row r="130" spans="1:42" s="129" customFormat="1" x14ac:dyDescent="0.2">
      <c r="A130" s="13" t="s">
        <v>35</v>
      </c>
      <c r="B130" s="13" t="s">
        <v>1117</v>
      </c>
      <c r="C130" s="13"/>
      <c r="D130" s="13" t="s">
        <v>60</v>
      </c>
      <c r="E130" s="13" t="s">
        <v>394</v>
      </c>
      <c r="F130" s="13"/>
      <c r="G130" s="70"/>
      <c r="H130" s="13"/>
      <c r="I130" s="13" t="s">
        <v>1118</v>
      </c>
      <c r="J130" s="13" t="s">
        <v>1119</v>
      </c>
      <c r="K130" s="13"/>
      <c r="L130" s="14"/>
      <c r="M130" s="14"/>
      <c r="N130" s="15">
        <v>560</v>
      </c>
      <c r="O130" s="16"/>
      <c r="P130" s="17">
        <v>30</v>
      </c>
      <c r="Q130" s="18">
        <v>1000</v>
      </c>
      <c r="R130" s="18"/>
      <c r="S130" s="19"/>
      <c r="T130" s="14"/>
      <c r="U130" s="14"/>
      <c r="V130" s="14"/>
      <c r="W130" s="14"/>
      <c r="X130" s="14"/>
      <c r="Y130" s="14"/>
      <c r="Z130" s="135"/>
      <c r="AA130" s="13"/>
      <c r="AB130" s="135">
        <f>20*P130*Q130*0.3</f>
        <v>180000</v>
      </c>
      <c r="AC130" s="13"/>
      <c r="AD130" s="13" t="s">
        <v>1120</v>
      </c>
      <c r="AE130" s="13"/>
      <c r="AF130" s="13"/>
      <c r="AG130" s="70" t="s">
        <v>1121</v>
      </c>
      <c r="AH130" s="14">
        <v>2</v>
      </c>
      <c r="AI130" s="14">
        <v>2</v>
      </c>
      <c r="AJ130" s="14">
        <v>2</v>
      </c>
      <c r="AK130" s="14">
        <v>3</v>
      </c>
      <c r="AL130" s="14">
        <v>1</v>
      </c>
      <c r="AM130" s="14">
        <v>2</v>
      </c>
      <c r="AN130" s="14">
        <f>AM130*AL130*AK130*AJ130*AI130*AH130</f>
        <v>48</v>
      </c>
      <c r="AO130" s="13" t="s">
        <v>45</v>
      </c>
      <c r="AP130" s="20">
        <v>44621</v>
      </c>
    </row>
    <row r="131" spans="1:42" ht="38.25" x14ac:dyDescent="0.2">
      <c r="A131" s="22" t="s">
        <v>35</v>
      </c>
      <c r="B131" s="22" t="s">
        <v>263</v>
      </c>
      <c r="C131" s="22"/>
      <c r="D131" s="22" t="s">
        <v>37</v>
      </c>
      <c r="E131" s="22" t="s">
        <v>394</v>
      </c>
      <c r="F131" s="65" t="s">
        <v>956</v>
      </c>
      <c r="G131" s="22"/>
      <c r="H131" s="22"/>
      <c r="I131" s="22" t="s">
        <v>395</v>
      </c>
      <c r="J131" s="22"/>
      <c r="K131" s="22" t="s">
        <v>128</v>
      </c>
      <c r="L131" s="24">
        <v>2021</v>
      </c>
      <c r="M131" s="24"/>
      <c r="N131" s="51">
        <v>2800</v>
      </c>
      <c r="O131" s="39"/>
      <c r="P131" s="27">
        <f t="shared" si="12"/>
        <v>0</v>
      </c>
      <c r="Q131" s="28"/>
      <c r="R131" s="28">
        <f t="shared" si="13"/>
        <v>4</v>
      </c>
      <c r="S131" s="29">
        <f t="shared" si="14"/>
        <v>0</v>
      </c>
      <c r="T131" s="24"/>
      <c r="U131" s="24"/>
      <c r="V131" s="24"/>
      <c r="W131" s="24"/>
      <c r="X131" s="24"/>
      <c r="Y131" s="24"/>
      <c r="Z131" s="22">
        <v>0</v>
      </c>
      <c r="AA131" s="22"/>
      <c r="AB131" s="22"/>
      <c r="AC131" s="22"/>
      <c r="AD131" s="22" t="s">
        <v>42</v>
      </c>
      <c r="AE131" s="22" t="s">
        <v>182</v>
      </c>
      <c r="AF131" s="40" t="s">
        <v>129</v>
      </c>
      <c r="AG131" s="71" t="s">
        <v>396</v>
      </c>
      <c r="AH131" s="24">
        <v>2</v>
      </c>
      <c r="AI131" s="24">
        <v>2</v>
      </c>
      <c r="AJ131" s="24">
        <v>1</v>
      </c>
      <c r="AK131" s="24">
        <v>3</v>
      </c>
      <c r="AL131" s="24">
        <v>1</v>
      </c>
      <c r="AM131" s="24">
        <v>2</v>
      </c>
      <c r="AN131" s="24">
        <v>24</v>
      </c>
      <c r="AO131" s="22" t="s">
        <v>45</v>
      </c>
      <c r="AP131" s="22"/>
    </row>
    <row r="132" spans="1:42" x14ac:dyDescent="0.2">
      <c r="A132" s="22" t="s">
        <v>35</v>
      </c>
      <c r="B132" s="22" t="s">
        <v>558</v>
      </c>
      <c r="C132" s="22"/>
      <c r="D132" s="22" t="s">
        <v>37</v>
      </c>
      <c r="E132" s="22" t="s">
        <v>394</v>
      </c>
      <c r="F132" s="65"/>
      <c r="G132" s="22"/>
      <c r="H132" s="22"/>
      <c r="I132" s="22" t="s">
        <v>1139</v>
      </c>
      <c r="J132" s="22"/>
      <c r="K132" s="22"/>
      <c r="L132" s="24"/>
      <c r="M132" s="24"/>
      <c r="N132" s="51">
        <v>1600</v>
      </c>
      <c r="O132" s="39"/>
      <c r="P132" s="27">
        <v>15</v>
      </c>
      <c r="Q132" s="28"/>
      <c r="R132" s="28"/>
      <c r="S132" s="29"/>
      <c r="T132" s="24"/>
      <c r="U132" s="24"/>
      <c r="V132" s="24"/>
      <c r="W132" s="24"/>
      <c r="X132" s="24"/>
      <c r="Y132" s="24"/>
      <c r="Z132" s="22"/>
      <c r="AA132" s="22"/>
      <c r="AB132" s="22"/>
      <c r="AC132" s="22"/>
      <c r="AD132" s="22" t="s">
        <v>42</v>
      </c>
      <c r="AE132" s="22"/>
      <c r="AF132" s="40"/>
      <c r="AG132" s="71" t="s">
        <v>1140</v>
      </c>
      <c r="AH132" s="24"/>
      <c r="AI132" s="24"/>
      <c r="AJ132" s="24"/>
      <c r="AK132" s="24"/>
      <c r="AL132" s="24"/>
      <c r="AM132" s="24"/>
      <c r="AN132" s="24"/>
      <c r="AO132" s="22"/>
      <c r="AP132" s="22"/>
    </row>
    <row r="133" spans="1:42" ht="38.25" x14ac:dyDescent="0.2">
      <c r="A133" s="22" t="s">
        <v>86</v>
      </c>
      <c r="B133" s="23" t="s">
        <v>462</v>
      </c>
      <c r="C133" s="22"/>
      <c r="D133" s="22" t="s">
        <v>37</v>
      </c>
      <c r="E133" s="22" t="s">
        <v>394</v>
      </c>
      <c r="F133" s="65" t="s">
        <v>956</v>
      </c>
      <c r="G133" s="22"/>
      <c r="H133" s="22"/>
      <c r="I133" s="22" t="s">
        <v>463</v>
      </c>
      <c r="J133" s="22"/>
      <c r="K133" s="22" t="s">
        <v>42</v>
      </c>
      <c r="L133" s="24">
        <v>2022</v>
      </c>
      <c r="M133" s="24"/>
      <c r="N133" s="25">
        <f>8500000/100000*5</f>
        <v>425</v>
      </c>
      <c r="O133" s="26"/>
      <c r="P133" s="27">
        <f t="shared" si="12"/>
        <v>0</v>
      </c>
      <c r="Q133" s="28"/>
      <c r="R133" s="28">
        <f t="shared" si="13"/>
        <v>4</v>
      </c>
      <c r="S133" s="29">
        <f t="shared" si="14"/>
        <v>0</v>
      </c>
      <c r="T133" s="24"/>
      <c r="U133" s="24"/>
      <c r="V133" s="24"/>
      <c r="W133" s="24"/>
      <c r="X133" s="24"/>
      <c r="Y133" s="24"/>
      <c r="Z133" s="22"/>
      <c r="AA133" s="22"/>
      <c r="AB133" s="22"/>
      <c r="AC133" s="22"/>
      <c r="AD133" s="22" t="s">
        <v>42</v>
      </c>
      <c r="AE133" s="22"/>
      <c r="AF133" s="40"/>
      <c r="AG133" s="71" t="s">
        <v>464</v>
      </c>
      <c r="AH133" s="24">
        <v>2</v>
      </c>
      <c r="AI133" s="24">
        <v>2</v>
      </c>
      <c r="AJ133" s="24">
        <v>1</v>
      </c>
      <c r="AK133" s="24">
        <v>3</v>
      </c>
      <c r="AL133" s="24">
        <v>1</v>
      </c>
      <c r="AM133" s="24">
        <v>2</v>
      </c>
      <c r="AN133" s="24">
        <v>24</v>
      </c>
      <c r="AO133" s="22" t="s">
        <v>45</v>
      </c>
      <c r="AP133" s="22"/>
    </row>
    <row r="134" spans="1:42" ht="51" x14ac:dyDescent="0.2">
      <c r="A134" s="13" t="s">
        <v>47</v>
      </c>
      <c r="B134" s="13" t="s">
        <v>122</v>
      </c>
      <c r="C134" s="13"/>
      <c r="D134" s="13" t="s">
        <v>37</v>
      </c>
      <c r="E134" s="13" t="s">
        <v>123</v>
      </c>
      <c r="F134" s="70" t="s">
        <v>929</v>
      </c>
      <c r="G134" s="13"/>
      <c r="H134" s="13"/>
      <c r="I134" s="13" t="s">
        <v>124</v>
      </c>
      <c r="J134" s="13"/>
      <c r="K134" s="13" t="s">
        <v>42</v>
      </c>
      <c r="L134" s="14">
        <v>2022</v>
      </c>
      <c r="M134" s="14"/>
      <c r="N134" s="15"/>
      <c r="O134" s="16"/>
      <c r="P134" s="14"/>
      <c r="Q134" s="18"/>
      <c r="R134" s="14"/>
      <c r="S134" s="14"/>
      <c r="T134" s="14"/>
      <c r="U134" s="14"/>
      <c r="V134" s="14"/>
      <c r="W134" s="14"/>
      <c r="X134" s="14"/>
      <c r="Y134" s="14"/>
      <c r="Z134" s="13"/>
      <c r="AA134" s="13"/>
      <c r="AB134" s="13"/>
      <c r="AC134" s="13"/>
      <c r="AD134" s="13"/>
      <c r="AE134" s="13"/>
      <c r="AF134" s="13"/>
      <c r="AG134" s="70"/>
      <c r="AH134" s="14">
        <v>3</v>
      </c>
      <c r="AI134" s="14">
        <v>2</v>
      </c>
      <c r="AJ134" s="14">
        <v>1</v>
      </c>
      <c r="AK134" s="14">
        <v>3</v>
      </c>
      <c r="AL134" s="14">
        <v>2</v>
      </c>
      <c r="AM134" s="14">
        <v>3</v>
      </c>
      <c r="AN134" s="14">
        <f>AH134*AI134*AJ134*AK134*AL134*AM134</f>
        <v>108</v>
      </c>
      <c r="AO134" s="13" t="s">
        <v>45</v>
      </c>
      <c r="AP134" s="13" t="s">
        <v>125</v>
      </c>
    </row>
    <row r="135" spans="1:42" ht="38.25" x14ac:dyDescent="0.2">
      <c r="A135" s="42" t="s">
        <v>58</v>
      </c>
      <c r="B135" s="42" t="s">
        <v>451</v>
      </c>
      <c r="C135" s="42"/>
      <c r="D135" s="42" t="s">
        <v>98</v>
      </c>
      <c r="E135" s="42" t="s">
        <v>452</v>
      </c>
      <c r="F135" s="42"/>
      <c r="G135" s="109"/>
      <c r="H135" s="73" t="s">
        <v>961</v>
      </c>
      <c r="I135" s="42" t="s">
        <v>453</v>
      </c>
      <c r="J135" s="42" t="s">
        <v>454</v>
      </c>
      <c r="K135" s="42" t="s">
        <v>315</v>
      </c>
      <c r="L135" s="43">
        <v>2019</v>
      </c>
      <c r="M135" s="43"/>
      <c r="N135" s="44">
        <f>50000/7750000000*8500000</f>
        <v>54.838709677419352</v>
      </c>
      <c r="O135" s="45"/>
      <c r="P135" s="46">
        <f>N135*O135</f>
        <v>0</v>
      </c>
      <c r="Q135" s="47"/>
      <c r="R135" s="47">
        <f>IF(Q135&lt;4.99,(Q135*12%+4),IF(Q135&lt;10.99,(Q135*12%+8),IF(Q135&lt;14.99,(Q135*12%+12),IF(Q135&lt;879.99,(Q135*12%+16),IF(Q135&lt;2569.99,(Q135*7%+60),240)))))</f>
        <v>4</v>
      </c>
      <c r="S135" s="48">
        <f>R135*P135</f>
        <v>0</v>
      </c>
      <c r="T135" s="43"/>
      <c r="U135" s="43"/>
      <c r="V135" s="43"/>
      <c r="W135" s="43"/>
      <c r="X135" s="43"/>
      <c r="Y135" s="43"/>
      <c r="Z135" s="42">
        <v>10000</v>
      </c>
      <c r="AA135" s="42"/>
      <c r="AB135" s="42"/>
      <c r="AC135" s="42"/>
      <c r="AD135" s="42" t="s">
        <v>42</v>
      </c>
      <c r="AE135" s="42"/>
      <c r="AF135" s="42" t="s">
        <v>95</v>
      </c>
      <c r="AG135" s="73" t="s">
        <v>455</v>
      </c>
      <c r="AH135" s="43">
        <v>1</v>
      </c>
      <c r="AI135" s="43">
        <v>1</v>
      </c>
      <c r="AJ135" s="43">
        <v>2</v>
      </c>
      <c r="AK135" s="43">
        <v>3</v>
      </c>
      <c r="AL135" s="43">
        <v>2</v>
      </c>
      <c r="AM135" s="43">
        <v>2</v>
      </c>
      <c r="AN135" s="43">
        <v>24</v>
      </c>
      <c r="AO135" s="42" t="s">
        <v>48</v>
      </c>
      <c r="AP135" s="42"/>
    </row>
    <row r="136" spans="1:42" ht="38.25" x14ac:dyDescent="0.2">
      <c r="A136" s="22" t="s">
        <v>58</v>
      </c>
      <c r="B136" s="23" t="s">
        <v>789</v>
      </c>
      <c r="C136" s="22"/>
      <c r="D136" s="22" t="s">
        <v>98</v>
      </c>
      <c r="E136" s="22" t="s">
        <v>452</v>
      </c>
      <c r="F136" s="22"/>
      <c r="G136" s="22"/>
      <c r="H136" s="71" t="s">
        <v>961</v>
      </c>
      <c r="I136" s="22" t="s">
        <v>790</v>
      </c>
      <c r="J136" s="22" t="s">
        <v>791</v>
      </c>
      <c r="K136" s="22" t="s">
        <v>792</v>
      </c>
      <c r="L136" s="24">
        <v>2018</v>
      </c>
      <c r="M136" s="24"/>
      <c r="N136" s="38">
        <v>8</v>
      </c>
      <c r="O136" s="39"/>
      <c r="P136" s="27">
        <f>N136*O136</f>
        <v>0</v>
      </c>
      <c r="Q136" s="28"/>
      <c r="R136" s="28">
        <f>IF(Q136&lt;4.99,(Q136*12%+4),IF(Q136&lt;10.99,(Q136*12%+8),IF(Q136&lt;14.99,(Q136*12%+12),IF(Q136&lt;879.99,(Q136*12%+16),IF(Q136&lt;2569.99,(Q136*7%+60),240)))))</f>
        <v>4</v>
      </c>
      <c r="S136" s="29">
        <f>R136*P136</f>
        <v>0</v>
      </c>
      <c r="T136" s="24"/>
      <c r="U136" s="24"/>
      <c r="V136" s="24"/>
      <c r="W136" s="24"/>
      <c r="X136" s="24"/>
      <c r="Y136" s="24"/>
      <c r="Z136" s="22"/>
      <c r="AA136" s="22"/>
      <c r="AB136" s="22"/>
      <c r="AC136" s="22"/>
      <c r="AD136" s="22" t="s">
        <v>128</v>
      </c>
      <c r="AE136" s="22" t="s">
        <v>182</v>
      </c>
      <c r="AF136" s="40" t="s">
        <v>132</v>
      </c>
      <c r="AG136" s="71" t="s">
        <v>793</v>
      </c>
      <c r="AH136" s="24">
        <v>1</v>
      </c>
      <c r="AI136" s="24">
        <v>1</v>
      </c>
      <c r="AJ136" s="24">
        <v>2</v>
      </c>
      <c r="AK136" s="24">
        <v>3</v>
      </c>
      <c r="AL136" s="24">
        <v>2</v>
      </c>
      <c r="AM136" s="24">
        <v>1</v>
      </c>
      <c r="AN136" s="24">
        <v>12</v>
      </c>
      <c r="AO136" s="22" t="s">
        <v>48</v>
      </c>
      <c r="AP136" s="22"/>
    </row>
    <row r="137" spans="1:42" x14ac:dyDescent="0.2">
      <c r="A137" s="22" t="s">
        <v>35</v>
      </c>
      <c r="B137" s="23" t="s">
        <v>1059</v>
      </c>
      <c r="C137" s="22"/>
      <c r="D137" s="22" t="s">
        <v>37</v>
      </c>
      <c r="E137" s="22" t="s">
        <v>1058</v>
      </c>
      <c r="F137" s="22"/>
      <c r="G137" s="22"/>
      <c r="H137" s="98"/>
      <c r="I137" s="22" t="s">
        <v>1060</v>
      </c>
      <c r="J137" s="22"/>
      <c r="K137" s="22" t="s">
        <v>42</v>
      </c>
      <c r="L137" s="24">
        <v>2023</v>
      </c>
      <c r="M137" s="24"/>
      <c r="N137" s="38">
        <v>40</v>
      </c>
      <c r="O137" s="39"/>
      <c r="P137" s="27"/>
      <c r="Q137" s="28"/>
      <c r="R137" s="28"/>
      <c r="S137" s="29"/>
      <c r="T137" s="24"/>
      <c r="U137" s="24"/>
      <c r="V137" s="24"/>
      <c r="W137" s="24"/>
      <c r="X137" s="24"/>
      <c r="Y137" s="24"/>
      <c r="Z137" s="22"/>
      <c r="AA137" s="22"/>
      <c r="AB137" s="22"/>
      <c r="AC137" s="22"/>
      <c r="AD137" s="22"/>
      <c r="AE137" s="22"/>
      <c r="AF137" s="40"/>
      <c r="AG137" s="71"/>
      <c r="AH137" s="24"/>
      <c r="AI137" s="24"/>
      <c r="AJ137" s="24"/>
      <c r="AK137" s="24"/>
      <c r="AL137" s="24"/>
      <c r="AM137" s="24"/>
      <c r="AN137" s="24"/>
      <c r="AO137" s="22"/>
      <c r="AP137" s="22"/>
    </row>
    <row r="138" spans="1:42" x14ac:dyDescent="0.2">
      <c r="A138" s="22" t="s">
        <v>58</v>
      </c>
      <c r="B138" s="23" t="s">
        <v>1022</v>
      </c>
      <c r="C138" s="22"/>
      <c r="D138" s="22" t="s">
        <v>37</v>
      </c>
      <c r="E138" s="22" t="s">
        <v>477</v>
      </c>
      <c r="F138" s="22"/>
      <c r="G138" s="22"/>
      <c r="H138" s="98"/>
      <c r="I138" s="22" t="s">
        <v>1023</v>
      </c>
      <c r="J138" s="22" t="s">
        <v>1074</v>
      </c>
      <c r="K138" s="22"/>
      <c r="L138" s="24"/>
      <c r="M138" s="24"/>
      <c r="N138" s="38">
        <v>5</v>
      </c>
      <c r="O138" s="39"/>
      <c r="P138" s="27">
        <v>5</v>
      </c>
      <c r="Q138" s="28">
        <v>20000</v>
      </c>
      <c r="R138" s="28">
        <v>240</v>
      </c>
      <c r="S138" s="29">
        <f>Q138*P138*12</f>
        <v>1200000</v>
      </c>
      <c r="T138" s="24"/>
      <c r="U138" s="24"/>
      <c r="V138" s="24"/>
      <c r="W138" s="24" t="s">
        <v>45</v>
      </c>
      <c r="X138" s="24"/>
      <c r="Y138" s="24"/>
      <c r="Z138" s="22">
        <v>300000</v>
      </c>
      <c r="AA138" s="22">
        <v>0</v>
      </c>
      <c r="AB138" s="22"/>
      <c r="AC138" s="22"/>
      <c r="AD138" s="22"/>
      <c r="AE138" s="22"/>
      <c r="AF138" s="40"/>
      <c r="AG138" s="71"/>
      <c r="AH138" s="24"/>
      <c r="AI138" s="24"/>
      <c r="AJ138" s="24"/>
      <c r="AK138" s="24"/>
      <c r="AL138" s="24"/>
      <c r="AM138" s="24"/>
      <c r="AN138" s="24"/>
      <c r="AO138" s="22"/>
      <c r="AP138" s="22"/>
    </row>
    <row r="139" spans="1:42" ht="38.25" x14ac:dyDescent="0.2">
      <c r="A139" s="30" t="s">
        <v>35</v>
      </c>
      <c r="B139" s="30" t="s">
        <v>476</v>
      </c>
      <c r="C139" s="30"/>
      <c r="D139" s="30" t="s">
        <v>98</v>
      </c>
      <c r="E139" s="30" t="s">
        <v>477</v>
      </c>
      <c r="F139" s="30"/>
      <c r="G139" s="72" t="s">
        <v>964</v>
      </c>
      <c r="H139" s="106"/>
      <c r="I139" s="30" t="s">
        <v>478</v>
      </c>
      <c r="J139" s="30" t="s">
        <v>479</v>
      </c>
      <c r="K139" s="30" t="s">
        <v>201</v>
      </c>
      <c r="L139" s="31">
        <v>2016</v>
      </c>
      <c r="M139" s="31"/>
      <c r="N139" s="32">
        <v>140</v>
      </c>
      <c r="O139" s="33"/>
      <c r="P139" s="34">
        <f>N139*O139</f>
        <v>0</v>
      </c>
      <c r="Q139" s="35"/>
      <c r="R139" s="35">
        <f>IF(Q139&lt;4.99,(Q139*12%+4),IF(Q139&lt;10.99,(Q139*12%+8),IF(Q139&lt;14.99,(Q139*12%+12),IF(Q139&lt;879.99,(Q139*12%+16),IF(Q139&lt;2569.99,(Q139*7%+60),240)))))</f>
        <v>4</v>
      </c>
      <c r="S139" s="36">
        <f>R139*P139</f>
        <v>0</v>
      </c>
      <c r="T139" s="31"/>
      <c r="U139" s="31"/>
      <c r="V139" s="31"/>
      <c r="W139" s="31"/>
      <c r="X139" s="31"/>
      <c r="Y139" s="31"/>
      <c r="Z139" s="30"/>
      <c r="AA139" s="30"/>
      <c r="AB139" s="30"/>
      <c r="AC139" s="30"/>
      <c r="AD139" s="30" t="s">
        <v>201</v>
      </c>
      <c r="AE139" s="30"/>
      <c r="AF139" s="37" t="s">
        <v>95</v>
      </c>
      <c r="AG139" s="72" t="s">
        <v>480</v>
      </c>
      <c r="AH139" s="31">
        <v>1</v>
      </c>
      <c r="AI139" s="31">
        <v>3</v>
      </c>
      <c r="AJ139" s="31">
        <v>2</v>
      </c>
      <c r="AK139" s="31">
        <v>2</v>
      </c>
      <c r="AL139" s="31">
        <v>2</v>
      </c>
      <c r="AM139" s="31">
        <v>2</v>
      </c>
      <c r="AN139" s="31">
        <v>48</v>
      </c>
      <c r="AO139" s="30" t="s">
        <v>45</v>
      </c>
      <c r="AP139" s="37">
        <v>43466</v>
      </c>
    </row>
    <row r="140" spans="1:42" ht="38.25" x14ac:dyDescent="0.2">
      <c r="A140" s="30" t="s">
        <v>58</v>
      </c>
      <c r="B140" s="30" t="s">
        <v>725</v>
      </c>
      <c r="C140" s="30"/>
      <c r="D140" s="30" t="s">
        <v>37</v>
      </c>
      <c r="E140" s="30" t="s">
        <v>477</v>
      </c>
      <c r="F140" s="30"/>
      <c r="G140" s="72" t="s">
        <v>964</v>
      </c>
      <c r="H140" s="30"/>
      <c r="I140" s="30" t="s">
        <v>726</v>
      </c>
      <c r="J140" s="30" t="s">
        <v>727</v>
      </c>
      <c r="K140" s="30" t="s">
        <v>201</v>
      </c>
      <c r="L140" s="31">
        <v>2019</v>
      </c>
      <c r="M140" s="31"/>
      <c r="N140" s="32">
        <f>0.5*85</f>
        <v>42.5</v>
      </c>
      <c r="O140" s="33"/>
      <c r="P140" s="34">
        <f>N140*O140</f>
        <v>0</v>
      </c>
      <c r="Q140" s="35"/>
      <c r="R140" s="35">
        <f>IF(Q140&lt;4.99,(Q140*12%+4),IF(Q140&lt;10.99,(Q140*12%+8),IF(Q140&lt;14.99,(Q140*12%+12),IF(Q140&lt;879.99,(Q140*12%+16),IF(Q140&lt;2569.99,(Q140*7%+60),240)))))</f>
        <v>4</v>
      </c>
      <c r="S140" s="36">
        <f>R140*P140</f>
        <v>0</v>
      </c>
      <c r="T140" s="31"/>
      <c r="U140" s="31"/>
      <c r="V140" s="31"/>
      <c r="W140" s="31"/>
      <c r="X140" s="31"/>
      <c r="Y140" s="31"/>
      <c r="Z140" s="30">
        <v>5000</v>
      </c>
      <c r="AA140" s="30"/>
      <c r="AB140" s="30"/>
      <c r="AC140" s="30"/>
      <c r="AD140" s="30" t="s">
        <v>728</v>
      </c>
      <c r="AE140" s="30"/>
      <c r="AF140" s="37" t="s">
        <v>70</v>
      </c>
      <c r="AG140" s="72" t="s">
        <v>729</v>
      </c>
      <c r="AH140" s="31">
        <v>1</v>
      </c>
      <c r="AI140" s="31">
        <v>1</v>
      </c>
      <c r="AJ140" s="31">
        <v>1</v>
      </c>
      <c r="AK140" s="31">
        <v>3</v>
      </c>
      <c r="AL140" s="31">
        <v>1</v>
      </c>
      <c r="AM140" s="31">
        <v>1</v>
      </c>
      <c r="AN140" s="31">
        <v>3</v>
      </c>
      <c r="AO140" s="30" t="s">
        <v>48</v>
      </c>
      <c r="AP140" s="30"/>
    </row>
    <row r="141" spans="1:42" ht="38.25" x14ac:dyDescent="0.2">
      <c r="A141" s="22" t="s">
        <v>35</v>
      </c>
      <c r="B141" s="22" t="s">
        <v>219</v>
      </c>
      <c r="C141" s="22"/>
      <c r="D141" s="65" t="s">
        <v>60</v>
      </c>
      <c r="E141" s="88" t="s">
        <v>835</v>
      </c>
      <c r="F141" s="65" t="s">
        <v>911</v>
      </c>
      <c r="G141" s="88"/>
      <c r="H141" s="88"/>
      <c r="I141" s="65" t="s">
        <v>842</v>
      </c>
      <c r="J141" s="22"/>
      <c r="K141" s="22" t="s">
        <v>42</v>
      </c>
      <c r="L141" s="24">
        <v>2022</v>
      </c>
      <c r="M141" s="24"/>
      <c r="N141" s="38"/>
      <c r="O141" s="39"/>
      <c r="P141" s="27"/>
      <c r="Q141" s="28"/>
      <c r="R141" s="28"/>
      <c r="S141" s="29"/>
      <c r="T141" s="24"/>
      <c r="U141" s="24"/>
      <c r="V141" s="24"/>
      <c r="W141" s="24"/>
      <c r="X141" s="24"/>
      <c r="Y141" s="24"/>
      <c r="Z141" s="22"/>
      <c r="AA141" s="22"/>
      <c r="AB141" s="22"/>
      <c r="AC141" s="22"/>
      <c r="AD141" s="22" t="s">
        <v>42</v>
      </c>
      <c r="AE141" s="22"/>
      <c r="AF141" s="41"/>
      <c r="AG141" s="67"/>
      <c r="AH141" s="24"/>
      <c r="AI141" s="24"/>
      <c r="AJ141" s="24"/>
      <c r="AK141" s="24"/>
      <c r="AL141" s="24"/>
      <c r="AM141" s="24"/>
      <c r="AN141" s="24">
        <v>0</v>
      </c>
      <c r="AO141" s="22"/>
      <c r="AP141" s="69"/>
    </row>
    <row r="142" spans="1:42" ht="38.25" x14ac:dyDescent="0.2">
      <c r="A142" s="22" t="s">
        <v>35</v>
      </c>
      <c r="B142" s="22" t="s">
        <v>268</v>
      </c>
      <c r="C142" s="22"/>
      <c r="D142" s="65" t="s">
        <v>60</v>
      </c>
      <c r="E142" s="88" t="s">
        <v>835</v>
      </c>
      <c r="F142" s="79" t="s">
        <v>911</v>
      </c>
      <c r="G142" s="88"/>
      <c r="H142" s="88"/>
      <c r="I142" s="65" t="s">
        <v>841</v>
      </c>
      <c r="J142" s="22"/>
      <c r="K142" s="22" t="s">
        <v>64</v>
      </c>
      <c r="L142" s="24">
        <v>2023</v>
      </c>
      <c r="M142" s="24"/>
      <c r="N142" s="38"/>
      <c r="O142" s="39"/>
      <c r="P142" s="27"/>
      <c r="Q142" s="28"/>
      <c r="R142" s="28"/>
      <c r="S142" s="29"/>
      <c r="T142" s="24"/>
      <c r="U142" s="24"/>
      <c r="V142" s="24"/>
      <c r="W142" s="24"/>
      <c r="X142" s="24"/>
      <c r="Y142" s="24"/>
      <c r="Z142" s="22"/>
      <c r="AA142" s="22"/>
      <c r="AB142" s="22"/>
      <c r="AC142" s="22"/>
      <c r="AD142" s="22" t="s">
        <v>64</v>
      </c>
      <c r="AE142" s="22"/>
      <c r="AF142" s="41"/>
      <c r="AG142" s="67"/>
      <c r="AH142" s="24"/>
      <c r="AI142" s="24"/>
      <c r="AJ142" s="24"/>
      <c r="AK142" s="24"/>
      <c r="AL142" s="24"/>
      <c r="AM142" s="24"/>
      <c r="AN142" s="24">
        <v>0</v>
      </c>
      <c r="AO142" s="22"/>
      <c r="AP142" s="69"/>
    </row>
    <row r="143" spans="1:42" ht="38.25" x14ac:dyDescent="0.2">
      <c r="A143" s="22" t="s">
        <v>35</v>
      </c>
      <c r="B143" s="22" t="s">
        <v>838</v>
      </c>
      <c r="C143" s="22"/>
      <c r="D143" s="65" t="s">
        <v>37</v>
      </c>
      <c r="E143" s="88" t="s">
        <v>835</v>
      </c>
      <c r="F143" s="65" t="s">
        <v>911</v>
      </c>
      <c r="G143" s="88"/>
      <c r="H143" s="88"/>
      <c r="I143" s="65" t="s">
        <v>839</v>
      </c>
      <c r="J143" s="22" t="s">
        <v>840</v>
      </c>
      <c r="K143" s="22" t="s">
        <v>63</v>
      </c>
      <c r="L143" s="24">
        <v>2022</v>
      </c>
      <c r="M143" s="24"/>
      <c r="N143" s="38"/>
      <c r="O143" s="39"/>
      <c r="P143" s="27"/>
      <c r="Q143" s="28"/>
      <c r="R143" s="28"/>
      <c r="S143" s="29"/>
      <c r="T143" s="24"/>
      <c r="U143" s="24"/>
      <c r="V143" s="24"/>
      <c r="W143" s="24"/>
      <c r="X143" s="24"/>
      <c r="Y143" s="24"/>
      <c r="Z143" s="22"/>
      <c r="AA143" s="22"/>
      <c r="AB143" s="22"/>
      <c r="AC143" s="22"/>
      <c r="AD143" s="22" t="s">
        <v>42</v>
      </c>
      <c r="AE143" s="22"/>
      <c r="AF143" s="41"/>
      <c r="AG143" s="67"/>
      <c r="AH143" s="24"/>
      <c r="AI143" s="24"/>
      <c r="AJ143" s="24"/>
      <c r="AK143" s="24"/>
      <c r="AL143" s="24"/>
      <c r="AM143" s="24"/>
      <c r="AN143" s="24">
        <v>0</v>
      </c>
      <c r="AO143" s="22"/>
      <c r="AP143" s="69"/>
    </row>
    <row r="144" spans="1:42" ht="38.25" x14ac:dyDescent="0.2">
      <c r="A144" s="22" t="s">
        <v>35</v>
      </c>
      <c r="B144" s="22" t="s">
        <v>255</v>
      </c>
      <c r="C144" s="22"/>
      <c r="D144" s="65" t="s">
        <v>98</v>
      </c>
      <c r="E144" s="88" t="s">
        <v>835</v>
      </c>
      <c r="F144" s="65" t="s">
        <v>911</v>
      </c>
      <c r="G144" s="88"/>
      <c r="H144" s="88"/>
      <c r="I144" s="65" t="s">
        <v>257</v>
      </c>
      <c r="J144" s="22"/>
      <c r="K144" s="22" t="s">
        <v>42</v>
      </c>
      <c r="L144" s="24">
        <v>2020</v>
      </c>
      <c r="M144" s="24"/>
      <c r="N144" s="38"/>
      <c r="O144" s="39"/>
      <c r="P144" s="27"/>
      <c r="Q144" s="28"/>
      <c r="R144" s="28"/>
      <c r="S144" s="29"/>
      <c r="T144" s="24"/>
      <c r="U144" s="24"/>
      <c r="V144" s="24"/>
      <c r="W144" s="24"/>
      <c r="X144" s="24"/>
      <c r="Y144" s="24"/>
      <c r="Z144" s="22"/>
      <c r="AA144" s="22"/>
      <c r="AB144" s="22"/>
      <c r="AC144" s="22"/>
      <c r="AD144" s="22" t="s">
        <v>42</v>
      </c>
      <c r="AE144" s="22"/>
      <c r="AF144" s="41"/>
      <c r="AG144" s="67" t="s">
        <v>258</v>
      </c>
      <c r="AH144" s="24">
        <v>1</v>
      </c>
      <c r="AI144" s="24">
        <v>2</v>
      </c>
      <c r="AJ144" s="24">
        <v>1</v>
      </c>
      <c r="AK144" s="24">
        <v>3</v>
      </c>
      <c r="AL144" s="24">
        <v>2</v>
      </c>
      <c r="AM144" s="24">
        <v>2</v>
      </c>
      <c r="AN144" s="24">
        <v>24</v>
      </c>
      <c r="AO144" s="22" t="s">
        <v>48</v>
      </c>
      <c r="AP144" s="69"/>
    </row>
    <row r="145" spans="1:42" ht="38.25" x14ac:dyDescent="0.2">
      <c r="A145" s="22" t="s">
        <v>72</v>
      </c>
      <c r="B145" s="22" t="s">
        <v>73</v>
      </c>
      <c r="C145" s="22"/>
      <c r="D145" s="65" t="s">
        <v>37</v>
      </c>
      <c r="E145" s="88" t="s">
        <v>835</v>
      </c>
      <c r="F145" s="79" t="s">
        <v>911</v>
      </c>
      <c r="G145" s="88"/>
      <c r="H145" s="88"/>
      <c r="I145" s="65" t="s">
        <v>836</v>
      </c>
      <c r="J145" s="22"/>
      <c r="K145" s="22" t="s">
        <v>42</v>
      </c>
      <c r="L145" s="24">
        <v>2021</v>
      </c>
      <c r="M145" s="24"/>
      <c r="N145" s="38"/>
      <c r="O145" s="39"/>
      <c r="P145" s="27"/>
      <c r="Q145" s="28"/>
      <c r="R145" s="28"/>
      <c r="S145" s="29"/>
      <c r="T145" s="24"/>
      <c r="U145" s="24"/>
      <c r="V145" s="24"/>
      <c r="W145" s="24"/>
      <c r="X145" s="24"/>
      <c r="Y145" s="24"/>
      <c r="Z145" s="22"/>
      <c r="AA145" s="22"/>
      <c r="AB145" s="22"/>
      <c r="AC145" s="22"/>
      <c r="AD145" s="22" t="s">
        <v>42</v>
      </c>
      <c r="AE145" s="22"/>
      <c r="AF145" s="41"/>
      <c r="AG145" s="67" t="s">
        <v>837</v>
      </c>
      <c r="AH145" s="24">
        <v>3</v>
      </c>
      <c r="AI145" s="24">
        <v>3</v>
      </c>
      <c r="AJ145" s="24">
        <v>3</v>
      </c>
      <c r="AK145" s="24">
        <v>1</v>
      </c>
      <c r="AL145" s="24">
        <v>2</v>
      </c>
      <c r="AM145" s="24">
        <v>2</v>
      </c>
      <c r="AN145" s="24">
        <v>108</v>
      </c>
      <c r="AO145" s="22" t="s">
        <v>45</v>
      </c>
      <c r="AP145" s="69"/>
    </row>
    <row r="146" spans="1:42" ht="38.25" x14ac:dyDescent="0.2">
      <c r="A146" s="30" t="s">
        <v>35</v>
      </c>
      <c r="B146" s="30" t="s">
        <v>223</v>
      </c>
      <c r="C146" s="30"/>
      <c r="D146" s="30" t="s">
        <v>37</v>
      </c>
      <c r="E146" s="30" t="s">
        <v>224</v>
      </c>
      <c r="F146" s="72" t="s">
        <v>911</v>
      </c>
      <c r="G146" s="30"/>
      <c r="H146" s="30"/>
      <c r="I146" s="30" t="s">
        <v>225</v>
      </c>
      <c r="J146" s="30" t="s">
        <v>226</v>
      </c>
      <c r="K146" s="30" t="s">
        <v>201</v>
      </c>
      <c r="L146" s="31">
        <v>2019</v>
      </c>
      <c r="M146" s="31"/>
      <c r="N146" s="32">
        <v>6100</v>
      </c>
      <c r="O146" s="33"/>
      <c r="P146" s="34">
        <f>N146*O146</f>
        <v>0</v>
      </c>
      <c r="Q146" s="35"/>
      <c r="R146" s="35">
        <f>IF(Q146&lt;4.99,(Q146*12%+4),IF(Q146&lt;10.99,(Q146*12%+8),IF(Q146&lt;14.99,(Q146*12%+12),IF(Q146&lt;879.99,(Q146*12%+16),IF(Q146&lt;2569.99,(Q146*7%+60),240)))))</f>
        <v>4</v>
      </c>
      <c r="S146" s="36">
        <f>R146*P146</f>
        <v>0</v>
      </c>
      <c r="T146" s="31"/>
      <c r="U146" s="31"/>
      <c r="V146" s="31"/>
      <c r="W146" s="31"/>
      <c r="X146" s="31"/>
      <c r="Y146" s="31"/>
      <c r="Z146" s="30">
        <v>0</v>
      </c>
      <c r="AA146" s="30"/>
      <c r="AB146" s="30"/>
      <c r="AC146" s="30"/>
      <c r="AD146" s="30" t="s">
        <v>42</v>
      </c>
      <c r="AE146" s="30"/>
      <c r="AF146" s="37" t="s">
        <v>227</v>
      </c>
      <c r="AG146" s="72" t="s">
        <v>228</v>
      </c>
      <c r="AH146" s="31">
        <v>1</v>
      </c>
      <c r="AI146" s="31">
        <v>2</v>
      </c>
      <c r="AJ146" s="31">
        <v>2</v>
      </c>
      <c r="AK146" s="31">
        <v>3</v>
      </c>
      <c r="AL146" s="31">
        <v>1</v>
      </c>
      <c r="AM146" s="31">
        <v>2</v>
      </c>
      <c r="AN146" s="31">
        <v>24</v>
      </c>
      <c r="AO146" s="30" t="s">
        <v>48</v>
      </c>
      <c r="AP146" s="30"/>
    </row>
    <row r="147" spans="1:42" ht="38.25" x14ac:dyDescent="0.2">
      <c r="A147" s="30" t="s">
        <v>86</v>
      </c>
      <c r="B147" s="30" t="s">
        <v>438</v>
      </c>
      <c r="C147" s="30"/>
      <c r="D147" s="30" t="s">
        <v>422</v>
      </c>
      <c r="E147" s="30" t="s">
        <v>224</v>
      </c>
      <c r="F147" s="72" t="s">
        <v>911</v>
      </c>
      <c r="G147" s="30"/>
      <c r="H147" s="30"/>
      <c r="I147" s="30" t="s">
        <v>439</v>
      </c>
      <c r="J147" s="30" t="s">
        <v>440</v>
      </c>
      <c r="K147" s="30" t="s">
        <v>201</v>
      </c>
      <c r="L147" s="31">
        <v>2018</v>
      </c>
      <c r="M147" s="31"/>
      <c r="N147" s="32">
        <f>0.02*8000000</f>
        <v>160000</v>
      </c>
      <c r="O147" s="33"/>
      <c r="P147" s="34">
        <f>N147*O147</f>
        <v>0</v>
      </c>
      <c r="Q147" s="35"/>
      <c r="R147" s="35">
        <f>IF(Q147&lt;4.99,(Q147*12%+4),IF(Q147&lt;10.99,(Q147*12%+8),IF(Q147&lt;14.99,(Q147*12%+12),IF(Q147&lt;879.99,(Q147*12%+16),IF(Q147&lt;2569.99,(Q147*7%+60),240)))))</f>
        <v>4</v>
      </c>
      <c r="S147" s="36">
        <f>R147*P147</f>
        <v>0</v>
      </c>
      <c r="T147" s="31"/>
      <c r="U147" s="31"/>
      <c r="V147" s="31"/>
      <c r="W147" s="31"/>
      <c r="X147" s="31"/>
      <c r="Y147" s="31"/>
      <c r="Z147" s="30">
        <v>36000</v>
      </c>
      <c r="AA147" s="30"/>
      <c r="AB147" s="30"/>
      <c r="AC147" s="30"/>
      <c r="AD147" s="30" t="s">
        <v>42</v>
      </c>
      <c r="AE147" s="30" t="s">
        <v>43</v>
      </c>
      <c r="AF147" s="37" t="s">
        <v>132</v>
      </c>
      <c r="AG147" s="72" t="s">
        <v>441</v>
      </c>
      <c r="AH147" s="31">
        <v>1</v>
      </c>
      <c r="AI147" s="31">
        <v>2</v>
      </c>
      <c r="AJ147" s="31">
        <v>3</v>
      </c>
      <c r="AK147" s="31">
        <v>2</v>
      </c>
      <c r="AL147" s="31">
        <v>2</v>
      </c>
      <c r="AM147" s="31">
        <v>2</v>
      </c>
      <c r="AN147" s="31">
        <v>48</v>
      </c>
      <c r="AO147" s="30" t="s">
        <v>48</v>
      </c>
      <c r="AP147" s="30"/>
    </row>
    <row r="148" spans="1:42" ht="38.25" x14ac:dyDescent="0.2">
      <c r="A148" s="22" t="s">
        <v>35</v>
      </c>
      <c r="B148" s="22" t="s">
        <v>526</v>
      </c>
      <c r="C148" s="22"/>
      <c r="D148" s="22" t="s">
        <v>37</v>
      </c>
      <c r="E148" s="22" t="s">
        <v>696</v>
      </c>
      <c r="F148" s="95"/>
      <c r="G148" s="83" t="s">
        <v>991</v>
      </c>
      <c r="H148" s="22"/>
      <c r="I148" s="22" t="s">
        <v>697</v>
      </c>
      <c r="J148" s="22" t="s">
        <v>698</v>
      </c>
      <c r="K148" s="22" t="s">
        <v>63</v>
      </c>
      <c r="L148" s="24">
        <v>2021</v>
      </c>
      <c r="M148" s="24"/>
      <c r="N148" s="51">
        <v>622</v>
      </c>
      <c r="O148" s="39"/>
      <c r="P148" s="27">
        <f>N148*O148</f>
        <v>0</v>
      </c>
      <c r="Q148" s="28"/>
      <c r="R148" s="28">
        <f>IF(Q148&lt;4.99,(Q148*12%+4),IF(Q148&lt;10.99,(Q148*12%+8),IF(Q148&lt;14.99,(Q148*12%+12),IF(Q148&lt;879.99,(Q148*12%+16),IF(Q148&lt;2569.99,(Q148*7%+60),240)))))</f>
        <v>4</v>
      </c>
      <c r="S148" s="29">
        <f>R148*P148</f>
        <v>0</v>
      </c>
      <c r="T148" s="24"/>
      <c r="U148" s="24"/>
      <c r="V148" s="24"/>
      <c r="W148" s="24"/>
      <c r="X148" s="24"/>
      <c r="Y148" s="24"/>
      <c r="Z148" s="22">
        <v>0</v>
      </c>
      <c r="AA148" s="22"/>
      <c r="AB148" s="22"/>
      <c r="AC148" s="22"/>
      <c r="AD148" s="22" t="s">
        <v>42</v>
      </c>
      <c r="AE148" s="22"/>
      <c r="AF148" s="22" t="s">
        <v>44</v>
      </c>
      <c r="AG148" s="71" t="s">
        <v>699</v>
      </c>
      <c r="AH148" s="24">
        <v>1</v>
      </c>
      <c r="AI148" s="24">
        <v>2</v>
      </c>
      <c r="AJ148" s="24">
        <v>2</v>
      </c>
      <c r="AK148" s="24">
        <v>3</v>
      </c>
      <c r="AL148" s="24">
        <v>1</v>
      </c>
      <c r="AM148" s="24">
        <v>1</v>
      </c>
      <c r="AN148" s="24">
        <v>12</v>
      </c>
      <c r="AO148" s="22" t="s">
        <v>48</v>
      </c>
      <c r="AP148" s="22"/>
    </row>
    <row r="149" spans="1:42" ht="51" x14ac:dyDescent="0.2">
      <c r="A149" s="13" t="s">
        <v>35</v>
      </c>
      <c r="B149" s="13" t="s">
        <v>116</v>
      </c>
      <c r="C149" s="13"/>
      <c r="D149" s="13" t="s">
        <v>60</v>
      </c>
      <c r="E149" s="13" t="s">
        <v>117</v>
      </c>
      <c r="F149" s="70" t="s">
        <v>928</v>
      </c>
      <c r="G149" s="13"/>
      <c r="H149" s="13"/>
      <c r="I149" s="13" t="s">
        <v>118</v>
      </c>
      <c r="J149" s="13" t="s">
        <v>119</v>
      </c>
      <c r="K149" s="13" t="s">
        <v>120</v>
      </c>
      <c r="L149" s="14">
        <v>2019</v>
      </c>
      <c r="M149" s="14"/>
      <c r="N149" s="15">
        <f>8500000/100000*56</f>
        <v>4760</v>
      </c>
      <c r="O149" s="16"/>
      <c r="P149" s="17">
        <f>N149*O149</f>
        <v>0</v>
      </c>
      <c r="Q149" s="18"/>
      <c r="R149" s="18">
        <f>IF(Q149&lt;4.99,(Q149*12%+4),IF(Q149&lt;10.99,(Q149*12%+8),IF(Q149&lt;14.99,(Q149*12%+12),IF(Q149&lt;879.99,(Q149*12%+16),IF(Q149&lt;2569.99,(Q149*7%+60),240)))))</f>
        <v>4</v>
      </c>
      <c r="S149" s="19">
        <f>R149*P149</f>
        <v>0</v>
      </c>
      <c r="T149" s="14"/>
      <c r="U149" s="14"/>
      <c r="V149" s="14"/>
      <c r="W149" s="14"/>
      <c r="X149" s="14"/>
      <c r="Y149" s="14"/>
      <c r="Z149" s="13">
        <v>5000</v>
      </c>
      <c r="AA149" s="13"/>
      <c r="AB149" s="13"/>
      <c r="AC149" s="13"/>
      <c r="AD149" s="13" t="s">
        <v>42</v>
      </c>
      <c r="AE149" s="13" t="s">
        <v>43</v>
      </c>
      <c r="AF149" s="13" t="s">
        <v>95</v>
      </c>
      <c r="AG149" s="70" t="s">
        <v>121</v>
      </c>
      <c r="AH149" s="14">
        <v>2</v>
      </c>
      <c r="AI149" s="14">
        <v>1</v>
      </c>
      <c r="AJ149" s="14">
        <v>2</v>
      </c>
      <c r="AK149" s="14">
        <v>3</v>
      </c>
      <c r="AL149" s="14">
        <v>1</v>
      </c>
      <c r="AM149" s="14">
        <v>2</v>
      </c>
      <c r="AN149" s="14">
        <v>24</v>
      </c>
      <c r="AO149" s="13" t="s">
        <v>45</v>
      </c>
      <c r="AP149" s="13"/>
    </row>
    <row r="150" spans="1:42" s="129" customFormat="1" ht="38.25" x14ac:dyDescent="0.2">
      <c r="A150" s="13" t="s">
        <v>86</v>
      </c>
      <c r="B150" s="13" t="s">
        <v>105</v>
      </c>
      <c r="C150" s="13"/>
      <c r="D150" s="136" t="s">
        <v>98</v>
      </c>
      <c r="E150" s="136" t="s">
        <v>282</v>
      </c>
      <c r="F150" s="140" t="s">
        <v>910</v>
      </c>
      <c r="G150" s="136"/>
      <c r="H150" s="136"/>
      <c r="I150" s="136" t="s">
        <v>761</v>
      </c>
      <c r="J150" s="13" t="s">
        <v>1124</v>
      </c>
      <c r="K150" s="13" t="s">
        <v>42</v>
      </c>
      <c r="L150" s="14">
        <v>2021</v>
      </c>
      <c r="M150" s="14"/>
      <c r="N150" s="15"/>
      <c r="O150" s="16"/>
      <c r="P150" s="17">
        <v>20</v>
      </c>
      <c r="Q150" s="18">
        <v>1200</v>
      </c>
      <c r="R150" s="18"/>
      <c r="S150" s="19"/>
      <c r="T150" s="14"/>
      <c r="U150" s="14"/>
      <c r="V150" s="14"/>
      <c r="W150" s="14"/>
      <c r="X150" s="14"/>
      <c r="Y150" s="14"/>
      <c r="Z150" s="13"/>
      <c r="AA150" s="13"/>
      <c r="AB150" s="135">
        <f>Q150*P150*2</f>
        <v>48000</v>
      </c>
      <c r="AC150" s="13"/>
      <c r="AD150" s="13" t="s">
        <v>266</v>
      </c>
      <c r="AE150" s="13"/>
      <c r="AF150" s="21"/>
      <c r="AG150" s="137"/>
      <c r="AH150" s="14">
        <v>1</v>
      </c>
      <c r="AI150" s="14">
        <v>3</v>
      </c>
      <c r="AJ150" s="14">
        <v>1</v>
      </c>
      <c r="AK150" s="14">
        <v>1</v>
      </c>
      <c r="AL150" s="14">
        <v>3</v>
      </c>
      <c r="AM150" s="14">
        <v>2</v>
      </c>
      <c r="AN150" s="14">
        <v>18</v>
      </c>
      <c r="AO150" s="13" t="s">
        <v>48</v>
      </c>
      <c r="AP150" s="138">
        <v>44197</v>
      </c>
    </row>
    <row r="151" spans="1:42" ht="38.25" x14ac:dyDescent="0.2">
      <c r="A151" s="22" t="s">
        <v>86</v>
      </c>
      <c r="B151" s="22" t="s">
        <v>281</v>
      </c>
      <c r="C151" s="22"/>
      <c r="D151" s="22" t="s">
        <v>98</v>
      </c>
      <c r="E151" s="22" t="s">
        <v>282</v>
      </c>
      <c r="F151" s="71" t="s">
        <v>910</v>
      </c>
      <c r="G151" s="22"/>
      <c r="H151" s="22"/>
      <c r="I151" s="22" t="s">
        <v>283</v>
      </c>
      <c r="J151" s="22" t="s">
        <v>284</v>
      </c>
      <c r="K151" s="22" t="s">
        <v>285</v>
      </c>
      <c r="L151" s="24">
        <v>2020</v>
      </c>
      <c r="M151" s="24"/>
      <c r="N151" s="52">
        <f>0.8*150000</f>
        <v>120000</v>
      </c>
      <c r="O151" s="39"/>
      <c r="P151" s="27">
        <f>N151*O151</f>
        <v>0</v>
      </c>
      <c r="Q151" s="28"/>
      <c r="R151" s="28">
        <f>IF(Q151&lt;4.99,(Q151*12%+4),IF(Q151&lt;10.99,(Q151*12%+8),IF(Q151&lt;14.99,(Q151*12%+12),IF(Q151&lt;879.99,(Q151*12%+16),IF(Q151&lt;2569.99,(Q151*7%+60),240)))))</f>
        <v>4</v>
      </c>
      <c r="S151" s="29">
        <f>R151*P151</f>
        <v>0</v>
      </c>
      <c r="T151" s="24"/>
      <c r="U151" s="24"/>
      <c r="V151" s="24"/>
      <c r="W151" s="24"/>
      <c r="X151" s="24"/>
      <c r="Y151" s="24"/>
      <c r="Z151" s="22"/>
      <c r="AA151" s="22"/>
      <c r="AB151" s="22"/>
      <c r="AC151" s="22"/>
      <c r="AD151" s="22" t="s">
        <v>42</v>
      </c>
      <c r="AE151" s="22"/>
      <c r="AF151" s="22" t="s">
        <v>132</v>
      </c>
      <c r="AG151" s="71" t="s">
        <v>286</v>
      </c>
      <c r="AH151" s="24">
        <v>1</v>
      </c>
      <c r="AI151" s="24">
        <v>3</v>
      </c>
      <c r="AJ151" s="24">
        <v>1</v>
      </c>
      <c r="AK151" s="24">
        <v>2</v>
      </c>
      <c r="AL151" s="24">
        <v>2</v>
      </c>
      <c r="AM151" s="24">
        <v>1</v>
      </c>
      <c r="AN151" s="24">
        <v>12</v>
      </c>
      <c r="AO151" s="22" t="s">
        <v>48</v>
      </c>
      <c r="AP151" s="22"/>
    </row>
    <row r="152" spans="1:42" ht="38.25" x14ac:dyDescent="0.2">
      <c r="A152" s="22" t="s">
        <v>72</v>
      </c>
      <c r="B152" s="22" t="s">
        <v>229</v>
      </c>
      <c r="C152" s="22"/>
      <c r="D152" s="22" t="s">
        <v>498</v>
      </c>
      <c r="E152" s="22" t="s">
        <v>499</v>
      </c>
      <c r="F152" s="22"/>
      <c r="G152" s="65" t="s">
        <v>967</v>
      </c>
      <c r="H152" s="22"/>
      <c r="I152" s="22" t="s">
        <v>500</v>
      </c>
      <c r="J152" s="22" t="s">
        <v>501</v>
      </c>
      <c r="K152" s="22" t="s">
        <v>502</v>
      </c>
      <c r="L152" s="24">
        <v>2020</v>
      </c>
      <c r="M152" s="24"/>
      <c r="N152" s="52">
        <v>15000</v>
      </c>
      <c r="O152" s="39"/>
      <c r="P152" s="27">
        <f>N152*O152</f>
        <v>0</v>
      </c>
      <c r="Q152" s="28"/>
      <c r="R152" s="28">
        <f>IF(Q152&lt;4.99,(Q152*12%+4),IF(Q152&lt;10.99,(Q152*12%+8),IF(Q152&lt;14.99,(Q152*12%+12),IF(Q152&lt;879.99,(Q152*12%+16),IF(Q152&lt;2569.99,(Q152*7%+60),240)))))</f>
        <v>4</v>
      </c>
      <c r="S152" s="29">
        <f>R152*P152</f>
        <v>0</v>
      </c>
      <c r="T152" s="24"/>
      <c r="U152" s="24"/>
      <c r="V152" s="24"/>
      <c r="W152" s="24"/>
      <c r="X152" s="24"/>
      <c r="Y152" s="24"/>
      <c r="Z152" s="22">
        <v>0</v>
      </c>
      <c r="AA152" s="22"/>
      <c r="AB152" s="22"/>
      <c r="AC152" s="22"/>
      <c r="AD152" s="22" t="s">
        <v>42</v>
      </c>
      <c r="AE152" s="22"/>
      <c r="AF152" s="40"/>
      <c r="AG152" s="71" t="s">
        <v>503</v>
      </c>
      <c r="AH152" s="24">
        <v>1</v>
      </c>
      <c r="AI152" s="24">
        <v>2</v>
      </c>
      <c r="AJ152" s="24">
        <v>1</v>
      </c>
      <c r="AK152" s="24">
        <v>3</v>
      </c>
      <c r="AL152" s="24">
        <v>3</v>
      </c>
      <c r="AM152" s="24">
        <v>1</v>
      </c>
      <c r="AN152" s="24">
        <v>18</v>
      </c>
      <c r="AO152" s="22" t="s">
        <v>48</v>
      </c>
      <c r="AP152" s="22"/>
    </row>
    <row r="153" spans="1:42" ht="38.25" x14ac:dyDescent="0.2">
      <c r="A153" s="22" t="s">
        <v>72</v>
      </c>
      <c r="B153" s="22" t="s">
        <v>153</v>
      </c>
      <c r="C153" s="22"/>
      <c r="D153" s="22" t="s">
        <v>60</v>
      </c>
      <c r="E153" s="22" t="s">
        <v>403</v>
      </c>
      <c r="F153" s="65" t="s">
        <v>957</v>
      </c>
      <c r="G153" s="22"/>
      <c r="H153" s="22"/>
      <c r="I153" s="22" t="s">
        <v>404</v>
      </c>
      <c r="J153" s="22"/>
      <c r="K153" s="22" t="s">
        <v>63</v>
      </c>
      <c r="L153" s="24">
        <v>2020</v>
      </c>
      <c r="M153" s="24"/>
      <c r="N153" s="38">
        <v>1000000</v>
      </c>
      <c r="O153" s="39"/>
      <c r="P153" s="27">
        <f>N153*O153</f>
        <v>0</v>
      </c>
      <c r="Q153" s="28"/>
      <c r="R153" s="28">
        <f>IF(Q153&lt;4.99,(Q153*12%+4),IF(Q153&lt;10.99,(Q153*12%+8),IF(Q153&lt;14.99,(Q153*12%+12),IF(Q153&lt;879.99,(Q153*12%+16),IF(Q153&lt;2569.99,(Q153*7%+60),240)))))</f>
        <v>4</v>
      </c>
      <c r="S153" s="29">
        <f>R153*P153</f>
        <v>0</v>
      </c>
      <c r="T153" s="24"/>
      <c r="U153" s="24"/>
      <c r="V153" s="24"/>
      <c r="W153" s="24"/>
      <c r="X153" s="24"/>
      <c r="Y153" s="24"/>
      <c r="Z153" s="22">
        <v>0</v>
      </c>
      <c r="AA153" s="22"/>
      <c r="AB153" s="22"/>
      <c r="AC153" s="22"/>
      <c r="AD153" s="22" t="s">
        <v>42</v>
      </c>
      <c r="AE153" s="22"/>
      <c r="AF153" s="22" t="s">
        <v>56</v>
      </c>
      <c r="AG153" s="71" t="s">
        <v>405</v>
      </c>
      <c r="AH153" s="24">
        <v>1</v>
      </c>
      <c r="AI153" s="24">
        <v>3</v>
      </c>
      <c r="AJ153" s="24">
        <v>1</v>
      </c>
      <c r="AK153" s="24">
        <v>1</v>
      </c>
      <c r="AL153" s="24">
        <v>3</v>
      </c>
      <c r="AM153" s="24">
        <v>2</v>
      </c>
      <c r="AN153" s="24">
        <v>18</v>
      </c>
      <c r="AO153" s="22" t="s">
        <v>45</v>
      </c>
      <c r="AP153" s="22"/>
    </row>
    <row r="154" spans="1:42" ht="38.25" x14ac:dyDescent="0.2">
      <c r="A154" s="22" t="s">
        <v>35</v>
      </c>
      <c r="B154" s="22" t="s">
        <v>268</v>
      </c>
      <c r="C154" s="22"/>
      <c r="D154" s="65" t="s">
        <v>37</v>
      </c>
      <c r="E154" s="88" t="s">
        <v>317</v>
      </c>
      <c r="F154" s="65" t="s">
        <v>909</v>
      </c>
      <c r="G154" s="88"/>
      <c r="H154" s="88"/>
      <c r="I154" s="65" t="s">
        <v>843</v>
      </c>
      <c r="J154" s="22" t="s">
        <v>844</v>
      </c>
      <c r="K154" s="22" t="s">
        <v>42</v>
      </c>
      <c r="L154" s="24">
        <v>2022</v>
      </c>
      <c r="M154" s="24"/>
      <c r="N154" s="38"/>
      <c r="O154" s="39"/>
      <c r="P154" s="27"/>
      <c r="Q154" s="28"/>
      <c r="R154" s="28"/>
      <c r="S154" s="29"/>
      <c r="T154" s="24"/>
      <c r="U154" s="24"/>
      <c r="V154" s="24"/>
      <c r="W154" s="24"/>
      <c r="X154" s="24"/>
      <c r="Y154" s="24"/>
      <c r="Z154" s="22"/>
      <c r="AA154" s="22"/>
      <c r="AB154" s="22"/>
      <c r="AC154" s="22"/>
      <c r="AD154" s="22" t="s">
        <v>42</v>
      </c>
      <c r="AE154" s="22"/>
      <c r="AF154" s="41"/>
      <c r="AG154" s="67" t="s">
        <v>845</v>
      </c>
      <c r="AH154" s="24">
        <v>2</v>
      </c>
      <c r="AI154" s="24">
        <v>1</v>
      </c>
      <c r="AJ154" s="24">
        <v>2</v>
      </c>
      <c r="AK154" s="24">
        <v>3</v>
      </c>
      <c r="AL154" s="24">
        <v>2</v>
      </c>
      <c r="AM154" s="24">
        <v>1</v>
      </c>
      <c r="AN154" s="24">
        <v>24</v>
      </c>
      <c r="AO154" s="22" t="s">
        <v>45</v>
      </c>
      <c r="AP154" s="69">
        <v>44197</v>
      </c>
    </row>
    <row r="155" spans="1:42" ht="38.25" x14ac:dyDescent="0.2">
      <c r="A155" s="30" t="s">
        <v>72</v>
      </c>
      <c r="B155" s="30" t="s">
        <v>73</v>
      </c>
      <c r="C155" s="30"/>
      <c r="D155" s="30" t="s">
        <v>37</v>
      </c>
      <c r="E155" s="30" t="s">
        <v>317</v>
      </c>
      <c r="F155" s="72" t="s">
        <v>909</v>
      </c>
      <c r="G155" s="30"/>
      <c r="H155" s="30"/>
      <c r="I155" s="30" t="s">
        <v>318</v>
      </c>
      <c r="J155" s="30" t="s">
        <v>319</v>
      </c>
      <c r="K155" s="30" t="s">
        <v>315</v>
      </c>
      <c r="L155" s="31">
        <v>2019</v>
      </c>
      <c r="M155" s="31"/>
      <c r="N155" s="32">
        <v>17000</v>
      </c>
      <c r="O155" s="33"/>
      <c r="P155" s="34">
        <f>N155*O155</f>
        <v>0</v>
      </c>
      <c r="Q155" s="35"/>
      <c r="R155" s="35">
        <f>IF(Q155&lt;4.99,(Q155*12%+4),IF(Q155&lt;10.99,(Q155*12%+8),IF(Q155&lt;14.99,(Q155*12%+12),IF(Q155&lt;879.99,(Q155*12%+16),IF(Q155&lt;2569.99,(Q155*7%+60),240)))))</f>
        <v>4</v>
      </c>
      <c r="S155" s="36">
        <f>R155*P155</f>
        <v>0</v>
      </c>
      <c r="T155" s="31"/>
      <c r="U155" s="31"/>
      <c r="V155" s="31"/>
      <c r="W155" s="31"/>
      <c r="X155" s="31"/>
      <c r="Y155" s="31"/>
      <c r="Z155" s="30">
        <v>20000</v>
      </c>
      <c r="AA155" s="30"/>
      <c r="AB155" s="30"/>
      <c r="AC155" s="30"/>
      <c r="AD155" s="30" t="s">
        <v>42</v>
      </c>
      <c r="AE155" s="30" t="s">
        <v>94</v>
      </c>
      <c r="AF155" s="30" t="s">
        <v>95</v>
      </c>
      <c r="AG155" s="72" t="s">
        <v>320</v>
      </c>
      <c r="AH155" s="31">
        <v>3</v>
      </c>
      <c r="AI155" s="31">
        <v>2</v>
      </c>
      <c r="AJ155" s="31">
        <v>2</v>
      </c>
      <c r="AK155" s="31">
        <v>1</v>
      </c>
      <c r="AL155" s="31">
        <v>3</v>
      </c>
      <c r="AM155" s="31">
        <v>2</v>
      </c>
      <c r="AN155" s="31">
        <v>72</v>
      </c>
      <c r="AO155" s="30" t="s">
        <v>45</v>
      </c>
      <c r="AP155" s="30"/>
    </row>
    <row r="156" spans="1:42" s="133" customFormat="1" x14ac:dyDescent="0.2">
      <c r="A156" s="30" t="s">
        <v>58</v>
      </c>
      <c r="B156" s="30" t="s">
        <v>1051</v>
      </c>
      <c r="C156" s="30"/>
      <c r="D156" s="30" t="s">
        <v>37</v>
      </c>
      <c r="E156" s="30" t="s">
        <v>1050</v>
      </c>
      <c r="F156" s="72"/>
      <c r="G156" s="30"/>
      <c r="H156" s="30"/>
      <c r="I156" s="30" t="s">
        <v>1052</v>
      </c>
      <c r="J156" s="30" t="s">
        <v>1127</v>
      </c>
      <c r="K156" s="30" t="s">
        <v>42</v>
      </c>
      <c r="L156" s="31">
        <v>2023</v>
      </c>
      <c r="M156" s="31"/>
      <c r="N156" s="32">
        <v>80</v>
      </c>
      <c r="O156" s="33"/>
      <c r="P156" s="34">
        <v>40</v>
      </c>
      <c r="Q156" s="35">
        <v>2000</v>
      </c>
      <c r="R156" s="35"/>
      <c r="S156" s="36"/>
      <c r="T156" s="31"/>
      <c r="U156" s="31"/>
      <c r="V156" s="31"/>
      <c r="W156" s="31"/>
      <c r="X156" s="31"/>
      <c r="Y156" s="31"/>
      <c r="Z156" s="132">
        <f>Q156*P156*0.5*5</f>
        <v>200000</v>
      </c>
      <c r="AA156" s="30">
        <v>5000</v>
      </c>
      <c r="AB156" s="30"/>
      <c r="AC156" s="30"/>
      <c r="AD156" s="30"/>
      <c r="AE156" s="30"/>
      <c r="AF156" s="30"/>
      <c r="AG156" s="72"/>
      <c r="AH156" s="31"/>
      <c r="AI156" s="31"/>
      <c r="AJ156" s="31"/>
      <c r="AK156" s="31"/>
      <c r="AL156" s="31"/>
      <c r="AM156" s="31"/>
      <c r="AN156" s="31"/>
      <c r="AO156" s="30"/>
      <c r="AP156" s="30"/>
    </row>
    <row r="157" spans="1:42" ht="38.25" x14ac:dyDescent="0.2">
      <c r="A157" s="22" t="s">
        <v>35</v>
      </c>
      <c r="B157" s="22" t="s">
        <v>219</v>
      </c>
      <c r="C157" s="22"/>
      <c r="D157" s="22" t="s">
        <v>220</v>
      </c>
      <c r="E157" s="22" t="s">
        <v>221</v>
      </c>
      <c r="F157" s="22"/>
      <c r="G157" s="22"/>
      <c r="H157" s="97" t="s">
        <v>937</v>
      </c>
      <c r="I157" s="22" t="s">
        <v>222</v>
      </c>
      <c r="J157" s="22"/>
      <c r="K157" s="22" t="s">
        <v>168</v>
      </c>
      <c r="L157" s="24">
        <v>2019</v>
      </c>
      <c r="M157" s="24"/>
      <c r="N157" s="38">
        <f>80/1.5</f>
        <v>53.333333333333336</v>
      </c>
      <c r="O157" s="39"/>
      <c r="P157" s="27">
        <f>N157*O157</f>
        <v>0</v>
      </c>
      <c r="Q157" s="28"/>
      <c r="R157" s="28">
        <f>IF(Q157&lt;4.99,(Q157*12%+4),IF(Q157&lt;10.99,(Q157*12%+8),IF(Q157&lt;14.99,(Q157*12%+12),IF(Q157&lt;879.99,(Q157*12%+16),IF(Q157&lt;2569.99,(Q157*7%+60),240)))))</f>
        <v>4</v>
      </c>
      <c r="S157" s="29">
        <f>R157*P157</f>
        <v>0</v>
      </c>
      <c r="T157" s="24"/>
      <c r="U157" s="24"/>
      <c r="V157" s="24"/>
      <c r="W157" s="24"/>
      <c r="X157" s="24"/>
      <c r="Y157" s="24"/>
      <c r="Z157" s="22">
        <v>0</v>
      </c>
      <c r="AA157" s="22"/>
      <c r="AB157" s="22"/>
      <c r="AC157" s="22"/>
      <c r="AD157" s="22" t="s">
        <v>64</v>
      </c>
      <c r="AE157" s="22"/>
      <c r="AF157" s="22" t="s">
        <v>213</v>
      </c>
      <c r="AG157" s="71"/>
      <c r="AH157" s="24">
        <v>1</v>
      </c>
      <c r="AI157" s="24">
        <v>2</v>
      </c>
      <c r="AJ157" s="24">
        <v>0</v>
      </c>
      <c r="AK157" s="24">
        <v>3</v>
      </c>
      <c r="AL157" s="24">
        <v>1</v>
      </c>
      <c r="AM157" s="24">
        <v>1</v>
      </c>
      <c r="AN157" s="24">
        <v>0</v>
      </c>
      <c r="AO157" s="22" t="s">
        <v>48</v>
      </c>
      <c r="AP157" s="22"/>
    </row>
    <row r="158" spans="1:42" ht="51" x14ac:dyDescent="0.2">
      <c r="A158" s="30" t="s">
        <v>58</v>
      </c>
      <c r="B158" s="30" t="s">
        <v>363</v>
      </c>
      <c r="C158" s="30"/>
      <c r="D158" s="30" t="s">
        <v>60</v>
      </c>
      <c r="E158" s="30" t="s">
        <v>364</v>
      </c>
      <c r="F158" s="30"/>
      <c r="G158" s="72" t="s">
        <v>953</v>
      </c>
      <c r="H158" s="30"/>
      <c r="I158" s="30" t="s">
        <v>365</v>
      </c>
      <c r="J158" s="30" t="s">
        <v>366</v>
      </c>
      <c r="K158" s="30" t="s">
        <v>266</v>
      </c>
      <c r="L158" s="31">
        <v>2019</v>
      </c>
      <c r="M158" s="31"/>
      <c r="N158" s="32">
        <f>4.5*80</f>
        <v>360</v>
      </c>
      <c r="O158" s="33"/>
      <c r="P158" s="34">
        <f>N158*O158</f>
        <v>0</v>
      </c>
      <c r="Q158" s="35"/>
      <c r="R158" s="35">
        <f>IF(Q158&lt;4.99,(Q158*12%+4),IF(Q158&lt;10.99,(Q158*12%+8),IF(Q158&lt;14.99,(Q158*12%+12),IF(Q158&lt;879.99,(Q158*12%+16),IF(Q158&lt;2569.99,(Q158*7%+60),240)))))</f>
        <v>4</v>
      </c>
      <c r="S158" s="36">
        <f>R158*P158</f>
        <v>0</v>
      </c>
      <c r="T158" s="31"/>
      <c r="U158" s="31"/>
      <c r="V158" s="31"/>
      <c r="W158" s="31"/>
      <c r="X158" s="31"/>
      <c r="Y158" s="31"/>
      <c r="Z158" s="30">
        <v>100000</v>
      </c>
      <c r="AA158" s="30"/>
      <c r="AB158" s="30"/>
      <c r="AC158" s="30"/>
      <c r="AD158" s="30" t="s">
        <v>42</v>
      </c>
      <c r="AE158" s="30"/>
      <c r="AF158" s="30" t="s">
        <v>151</v>
      </c>
      <c r="AG158" s="72" t="s">
        <v>367</v>
      </c>
      <c r="AH158" s="31">
        <v>2</v>
      </c>
      <c r="AI158" s="31">
        <v>2</v>
      </c>
      <c r="AJ158" s="31">
        <v>1</v>
      </c>
      <c r="AK158" s="31">
        <v>3</v>
      </c>
      <c r="AL158" s="31">
        <v>3</v>
      </c>
      <c r="AM158" s="31">
        <v>3</v>
      </c>
      <c r="AN158" s="31">
        <v>108</v>
      </c>
      <c r="AO158" s="30" t="s">
        <v>45</v>
      </c>
      <c r="AP158" s="30"/>
    </row>
    <row r="159" spans="1:42" x14ac:dyDescent="0.2">
      <c r="A159" s="13" t="s">
        <v>35</v>
      </c>
      <c r="B159" s="13" t="s">
        <v>1025</v>
      </c>
      <c r="C159" s="13"/>
      <c r="D159" s="13" t="s">
        <v>37</v>
      </c>
      <c r="E159" s="13" t="s">
        <v>1024</v>
      </c>
      <c r="F159" s="70"/>
      <c r="G159" s="13"/>
      <c r="H159" s="13"/>
      <c r="I159" s="13" t="s">
        <v>1026</v>
      </c>
      <c r="J159" s="13" t="s">
        <v>1027</v>
      </c>
      <c r="K159" s="13" t="s">
        <v>63</v>
      </c>
      <c r="L159" s="14">
        <v>2022</v>
      </c>
      <c r="M159" s="14"/>
      <c r="N159" s="15"/>
      <c r="O159" s="16"/>
      <c r="P159" s="17">
        <v>30</v>
      </c>
      <c r="Q159" s="18"/>
      <c r="R159" s="18">
        <v>2000</v>
      </c>
      <c r="S159" s="19">
        <v>180</v>
      </c>
      <c r="T159" s="14"/>
      <c r="U159" s="14"/>
      <c r="V159" s="14"/>
      <c r="W159" s="14"/>
      <c r="X159" s="14"/>
      <c r="Y159" s="14"/>
      <c r="Z159" s="13">
        <f>R159*P159*0.5*12</f>
        <v>360000</v>
      </c>
      <c r="AA159" s="13">
        <v>5000</v>
      </c>
      <c r="AB159" s="13"/>
      <c r="AC159" s="13"/>
      <c r="AD159" s="13"/>
      <c r="AE159" s="13"/>
      <c r="AF159" s="13"/>
      <c r="AG159" s="70"/>
      <c r="AH159" s="14"/>
      <c r="AI159" s="14"/>
      <c r="AJ159" s="14"/>
      <c r="AK159" s="14"/>
      <c r="AL159" s="14"/>
      <c r="AM159" s="14"/>
      <c r="AN159" s="14"/>
      <c r="AO159" s="13"/>
      <c r="AP159" s="13"/>
    </row>
    <row r="160" spans="1:42" ht="38.25" x14ac:dyDescent="0.2">
      <c r="A160" s="22" t="s">
        <v>86</v>
      </c>
      <c r="B160" s="22" t="s">
        <v>259</v>
      </c>
      <c r="C160" s="22"/>
      <c r="D160" s="22" t="s">
        <v>37</v>
      </c>
      <c r="E160" s="22" t="s">
        <v>748</v>
      </c>
      <c r="F160" s="22"/>
      <c r="G160" s="110" t="s">
        <v>996</v>
      </c>
      <c r="H160" s="22"/>
      <c r="I160" s="22" t="s">
        <v>749</v>
      </c>
      <c r="J160" s="22" t="s">
        <v>750</v>
      </c>
      <c r="K160" s="22" t="s">
        <v>128</v>
      </c>
      <c r="L160" s="24">
        <v>2021</v>
      </c>
      <c r="M160" s="24"/>
      <c r="N160" s="38">
        <v>70000</v>
      </c>
      <c r="O160" s="39"/>
      <c r="P160" s="27">
        <f>N160*O160</f>
        <v>0</v>
      </c>
      <c r="Q160" s="28"/>
      <c r="R160" s="28">
        <f>IF(Q160&lt;4.99,(Q160*12%+4),IF(Q160&lt;10.99,(Q160*12%+8),IF(Q160&lt;14.99,(Q160*12%+12),IF(Q160&lt;879.99,(Q160*12%+16),IF(Q160&lt;2569.99,(Q160*7%+60),240)))))</f>
        <v>4</v>
      </c>
      <c r="S160" s="29">
        <f>R160*P160</f>
        <v>0</v>
      </c>
      <c r="T160" s="24"/>
      <c r="U160" s="24"/>
      <c r="V160" s="24"/>
      <c r="W160" s="24"/>
      <c r="X160" s="24"/>
      <c r="Y160" s="24"/>
      <c r="Z160" s="22"/>
      <c r="AA160" s="22"/>
      <c r="AB160" s="22"/>
      <c r="AC160" s="22"/>
      <c r="AD160" s="22" t="s">
        <v>751</v>
      </c>
      <c r="AE160" s="22"/>
      <c r="AF160" s="22"/>
      <c r="AG160" s="71"/>
      <c r="AH160" s="24">
        <v>2</v>
      </c>
      <c r="AI160" s="24">
        <v>3</v>
      </c>
      <c r="AJ160" s="24">
        <v>2</v>
      </c>
      <c r="AK160" s="24">
        <v>2</v>
      </c>
      <c r="AL160" s="24">
        <v>2</v>
      </c>
      <c r="AM160" s="24">
        <v>2</v>
      </c>
      <c r="AN160" s="24">
        <v>96</v>
      </c>
      <c r="AO160" s="22" t="s">
        <v>48</v>
      </c>
      <c r="AP160" s="22"/>
    </row>
    <row r="161" spans="1:42" ht="38.25" x14ac:dyDescent="0.2">
      <c r="A161" s="22" t="s">
        <v>72</v>
      </c>
      <c r="B161" s="22" t="s">
        <v>773</v>
      </c>
      <c r="C161" s="22"/>
      <c r="D161" s="22" t="s">
        <v>37</v>
      </c>
      <c r="E161" s="22" t="s">
        <v>774</v>
      </c>
      <c r="F161" s="22"/>
      <c r="G161" s="22"/>
      <c r="H161" s="78" t="s">
        <v>998</v>
      </c>
      <c r="I161" s="22" t="s">
        <v>775</v>
      </c>
      <c r="J161" s="22" t="s">
        <v>776</v>
      </c>
      <c r="K161" s="22" t="s">
        <v>63</v>
      </c>
      <c r="L161" s="24">
        <v>2022</v>
      </c>
      <c r="M161" s="24"/>
      <c r="N161" s="38"/>
      <c r="O161" s="39"/>
      <c r="P161" s="27">
        <f>N161*O161</f>
        <v>0</v>
      </c>
      <c r="Q161" s="28"/>
      <c r="R161" s="28">
        <f>IF(Q161&lt;4.99,(Q161*12%+4),IF(Q161&lt;10.99,(Q161*12%+8),IF(Q161&lt;14.99,(Q161*12%+12),IF(Q161&lt;879.99,(Q161*12%+16),IF(Q161&lt;2569.99,(Q161*7%+60),240)))))</f>
        <v>4</v>
      </c>
      <c r="S161" s="29">
        <f>R161*P161</f>
        <v>0</v>
      </c>
      <c r="T161" s="24"/>
      <c r="U161" s="24"/>
      <c r="V161" s="24"/>
      <c r="W161" s="24"/>
      <c r="X161" s="24"/>
      <c r="Y161" s="24"/>
      <c r="Z161" s="22">
        <v>5000</v>
      </c>
      <c r="AA161" s="22"/>
      <c r="AB161" s="22"/>
      <c r="AC161" s="22"/>
      <c r="AD161" s="22" t="s">
        <v>42</v>
      </c>
      <c r="AE161" s="22"/>
      <c r="AF161" s="22"/>
      <c r="AG161" s="71"/>
      <c r="AH161" s="24">
        <v>1</v>
      </c>
      <c r="AI161" s="24">
        <v>2</v>
      </c>
      <c r="AJ161" s="24">
        <v>1</v>
      </c>
      <c r="AK161" s="24">
        <v>2</v>
      </c>
      <c r="AL161" s="24">
        <v>1</v>
      </c>
      <c r="AM161" s="24">
        <v>2</v>
      </c>
      <c r="AN161" s="24">
        <v>8</v>
      </c>
      <c r="AO161" s="22" t="s">
        <v>48</v>
      </c>
      <c r="AP161" s="22"/>
    </row>
    <row r="162" spans="1:42" ht="51" x14ac:dyDescent="0.2">
      <c r="A162" s="22" t="s">
        <v>35</v>
      </c>
      <c r="B162" s="22" t="s">
        <v>1002</v>
      </c>
      <c r="C162" s="22"/>
      <c r="D162" s="22" t="s">
        <v>37</v>
      </c>
      <c r="E162" s="22" t="s">
        <v>52</v>
      </c>
      <c r="F162" s="67" t="s">
        <v>908</v>
      </c>
      <c r="G162" s="22"/>
      <c r="H162" s="78"/>
      <c r="I162" s="22" t="s">
        <v>1003</v>
      </c>
      <c r="J162" s="22" t="s">
        <v>1128</v>
      </c>
      <c r="K162" s="22" t="s">
        <v>42</v>
      </c>
      <c r="L162" s="24">
        <v>2022</v>
      </c>
      <c r="M162" s="24"/>
      <c r="N162" s="38">
        <v>160</v>
      </c>
      <c r="O162" s="39"/>
      <c r="P162" s="27">
        <v>40</v>
      </c>
      <c r="Q162" s="28">
        <v>4500</v>
      </c>
      <c r="R162" s="28">
        <v>240</v>
      </c>
      <c r="S162" s="29"/>
      <c r="T162" s="24" t="s">
        <v>1004</v>
      </c>
      <c r="U162" s="24" t="s">
        <v>45</v>
      </c>
      <c r="V162" s="24" t="s">
        <v>48</v>
      </c>
      <c r="W162" s="24" t="s">
        <v>45</v>
      </c>
      <c r="X162" s="24" t="s">
        <v>45</v>
      </c>
      <c r="Y162" s="24"/>
      <c r="Z162" s="22">
        <v>135000</v>
      </c>
      <c r="AA162" s="22">
        <v>0</v>
      </c>
      <c r="AB162" s="22"/>
      <c r="AC162" s="22"/>
      <c r="AD162" s="22" t="s">
        <v>42</v>
      </c>
      <c r="AE162" s="22"/>
      <c r="AF162" s="22"/>
      <c r="AG162" s="71"/>
      <c r="AH162" s="24"/>
      <c r="AI162" s="24"/>
      <c r="AJ162" s="24"/>
      <c r="AK162" s="24"/>
      <c r="AL162" s="24"/>
      <c r="AM162" s="24"/>
      <c r="AN162" s="24"/>
      <c r="AO162" s="22"/>
      <c r="AP162" s="22"/>
    </row>
    <row r="163" spans="1:42" x14ac:dyDescent="0.2">
      <c r="A163" s="22" t="s">
        <v>35</v>
      </c>
      <c r="B163" s="22" t="s">
        <v>268</v>
      </c>
      <c r="C163" s="22"/>
      <c r="D163" s="22" t="s">
        <v>37</v>
      </c>
      <c r="E163" s="22" t="s">
        <v>52</v>
      </c>
      <c r="F163" s="67"/>
      <c r="G163" s="22"/>
      <c r="H163" s="78"/>
      <c r="I163" s="22" t="s">
        <v>1020</v>
      </c>
      <c r="J163" s="22" t="s">
        <v>1021</v>
      </c>
      <c r="K163" s="22" t="s">
        <v>1017</v>
      </c>
      <c r="L163" s="24">
        <v>2021</v>
      </c>
      <c r="M163" s="24"/>
      <c r="N163" s="38"/>
      <c r="O163" s="39"/>
      <c r="P163" s="27">
        <v>30</v>
      </c>
      <c r="Q163" s="28">
        <v>9300</v>
      </c>
      <c r="R163" s="28">
        <v>240</v>
      </c>
      <c r="S163" s="29">
        <f>Q163*40</f>
        <v>372000</v>
      </c>
      <c r="T163" s="24"/>
      <c r="U163" s="24"/>
      <c r="V163" s="24"/>
      <c r="W163" s="24"/>
      <c r="X163" s="24"/>
      <c r="Y163" s="24"/>
      <c r="Z163" s="115">
        <f>S163</f>
        <v>372000</v>
      </c>
      <c r="AA163" s="22">
        <v>0</v>
      </c>
      <c r="AB163" s="22"/>
      <c r="AC163" s="22"/>
      <c r="AD163" s="22"/>
      <c r="AE163" s="22"/>
      <c r="AF163" s="22"/>
      <c r="AG163" s="71"/>
      <c r="AH163" s="24"/>
      <c r="AI163" s="24"/>
      <c r="AJ163" s="24"/>
      <c r="AK163" s="24"/>
      <c r="AL163" s="24"/>
      <c r="AM163" s="24"/>
      <c r="AN163" s="24"/>
      <c r="AO163" s="22"/>
      <c r="AP163" s="22"/>
    </row>
    <row r="164" spans="1:42" s="129" customFormat="1" ht="51" x14ac:dyDescent="0.2">
      <c r="A164" s="13" t="s">
        <v>846</v>
      </c>
      <c r="B164" s="13" t="s">
        <v>816</v>
      </c>
      <c r="C164" s="13"/>
      <c r="D164" s="136" t="s">
        <v>60</v>
      </c>
      <c r="E164" s="136" t="s">
        <v>52</v>
      </c>
      <c r="F164" s="137" t="s">
        <v>908</v>
      </c>
      <c r="G164" s="136"/>
      <c r="H164" s="136"/>
      <c r="I164" s="136" t="s">
        <v>847</v>
      </c>
      <c r="J164" s="13" t="s">
        <v>848</v>
      </c>
      <c r="K164" s="13" t="s">
        <v>834</v>
      </c>
      <c r="L164" s="14">
        <v>2021</v>
      </c>
      <c r="M164" s="14"/>
      <c r="N164" s="15"/>
      <c r="O164" s="16"/>
      <c r="P164" s="17">
        <v>10</v>
      </c>
      <c r="Q164" s="18">
        <v>2800</v>
      </c>
      <c r="R164" s="18"/>
      <c r="S164" s="19"/>
      <c r="T164" s="14"/>
      <c r="U164" s="14"/>
      <c r="V164" s="14"/>
      <c r="W164" s="14"/>
      <c r="X164" s="14"/>
      <c r="Y164" s="14"/>
      <c r="Z164" s="13"/>
      <c r="AA164" s="13"/>
      <c r="AB164" s="135">
        <f>Q164*P164*3</f>
        <v>84000</v>
      </c>
      <c r="AC164" s="13"/>
      <c r="AD164" s="13" t="s">
        <v>1082</v>
      </c>
      <c r="AE164" s="13" t="s">
        <v>43</v>
      </c>
      <c r="AF164" s="21" t="s">
        <v>1083</v>
      </c>
      <c r="AG164" s="137" t="s">
        <v>1084</v>
      </c>
      <c r="AH164" s="14">
        <v>3</v>
      </c>
      <c r="AI164" s="14">
        <v>2</v>
      </c>
      <c r="AJ164" s="14">
        <v>3</v>
      </c>
      <c r="AK164" s="14">
        <v>2</v>
      </c>
      <c r="AL164" s="14">
        <v>1</v>
      </c>
      <c r="AM164" s="14">
        <v>3</v>
      </c>
      <c r="AN164" s="14">
        <v>108</v>
      </c>
      <c r="AO164" s="13" t="s">
        <v>45</v>
      </c>
      <c r="AP164" s="138"/>
    </row>
    <row r="165" spans="1:42" ht="51" x14ac:dyDescent="0.2">
      <c r="A165" s="13" t="s">
        <v>49</v>
      </c>
      <c r="B165" s="13" t="s">
        <v>50</v>
      </c>
      <c r="C165" s="13"/>
      <c r="D165" s="13" t="s">
        <v>51</v>
      </c>
      <c r="E165" s="13" t="s">
        <v>52</v>
      </c>
      <c r="F165" s="70" t="s">
        <v>908</v>
      </c>
      <c r="G165" s="13"/>
      <c r="H165" s="13"/>
      <c r="I165" s="13" t="s">
        <v>53</v>
      </c>
      <c r="J165" s="13" t="s">
        <v>54</v>
      </c>
      <c r="K165" s="13" t="s">
        <v>42</v>
      </c>
      <c r="L165" s="14">
        <v>2020</v>
      </c>
      <c r="M165" s="14"/>
      <c r="N165" s="15">
        <f>2000000/83*8.5/2</f>
        <v>102409.63855421687</v>
      </c>
      <c r="O165" s="16"/>
      <c r="P165" s="17">
        <f t="shared" ref="P165:P172" si="15">N165*O165</f>
        <v>0</v>
      </c>
      <c r="Q165" s="18"/>
      <c r="R165" s="18">
        <f t="shared" ref="R165:R172" si="16">IF(Q165&lt;4.99,(Q165*12%+4),IF(Q165&lt;10.99,(Q165*12%+8),IF(Q165&lt;14.99,(Q165*12%+12),IF(Q165&lt;879.99,(Q165*12%+16),IF(Q165&lt;2569.99,(Q165*7%+60),240)))))</f>
        <v>4</v>
      </c>
      <c r="S165" s="19">
        <f t="shared" ref="S165:S172" si="17">R165*P165</f>
        <v>0</v>
      </c>
      <c r="T165" s="14"/>
      <c r="U165" s="14"/>
      <c r="V165" s="14"/>
      <c r="W165" s="14"/>
      <c r="X165" s="14"/>
      <c r="Y165" s="14"/>
      <c r="Z165" s="13">
        <v>0</v>
      </c>
      <c r="AA165" s="13"/>
      <c r="AB165" s="13"/>
      <c r="AC165" s="13"/>
      <c r="AD165" s="13" t="s">
        <v>55</v>
      </c>
      <c r="AE165" s="13" t="s">
        <v>43</v>
      </c>
      <c r="AF165" s="13" t="s">
        <v>56</v>
      </c>
      <c r="AG165" s="70" t="s">
        <v>57</v>
      </c>
      <c r="AH165" s="14">
        <v>3</v>
      </c>
      <c r="AI165" s="14">
        <v>3</v>
      </c>
      <c r="AJ165" s="14">
        <v>3</v>
      </c>
      <c r="AK165" s="14">
        <v>1</v>
      </c>
      <c r="AL165" s="14">
        <v>1</v>
      </c>
      <c r="AM165" s="14">
        <v>1</v>
      </c>
      <c r="AN165" s="14">
        <v>27</v>
      </c>
      <c r="AO165" s="13" t="s">
        <v>45</v>
      </c>
      <c r="AP165" s="13"/>
    </row>
    <row r="166" spans="1:42" ht="51" x14ac:dyDescent="0.2">
      <c r="A166" s="13" t="s">
        <v>58</v>
      </c>
      <c r="B166" s="13" t="s">
        <v>59</v>
      </c>
      <c r="C166" s="13"/>
      <c r="D166" s="13" t="s">
        <v>60</v>
      </c>
      <c r="E166" s="13" t="s">
        <v>52</v>
      </c>
      <c r="F166" s="70" t="s">
        <v>908</v>
      </c>
      <c r="G166" s="13"/>
      <c r="H166" s="13"/>
      <c r="I166" s="13" t="s">
        <v>61</v>
      </c>
      <c r="J166" s="13" t="s">
        <v>62</v>
      </c>
      <c r="K166" s="13" t="s">
        <v>63</v>
      </c>
      <c r="L166" s="14">
        <v>2020</v>
      </c>
      <c r="M166" s="14"/>
      <c r="N166" s="15">
        <v>220</v>
      </c>
      <c r="O166" s="16"/>
      <c r="P166" s="17">
        <f t="shared" si="15"/>
        <v>0</v>
      </c>
      <c r="Q166" s="18"/>
      <c r="R166" s="18">
        <f t="shared" si="16"/>
        <v>4</v>
      </c>
      <c r="S166" s="19">
        <f t="shared" si="17"/>
        <v>0</v>
      </c>
      <c r="T166" s="14"/>
      <c r="U166" s="14"/>
      <c r="V166" s="14"/>
      <c r="W166" s="14"/>
      <c r="X166" s="14"/>
      <c r="Y166" s="14"/>
      <c r="Z166" s="13"/>
      <c r="AA166" s="13"/>
      <c r="AB166" s="13"/>
      <c r="AC166" s="13"/>
      <c r="AD166" s="13" t="s">
        <v>64</v>
      </c>
      <c r="AE166" s="13"/>
      <c r="AF166" s="13"/>
      <c r="AG166" s="70"/>
      <c r="AH166" s="14">
        <v>3</v>
      </c>
      <c r="AI166" s="14">
        <v>2</v>
      </c>
      <c r="AJ166" s="14">
        <v>3</v>
      </c>
      <c r="AK166" s="14">
        <v>3</v>
      </c>
      <c r="AL166" s="14">
        <v>1</v>
      </c>
      <c r="AM166" s="14">
        <v>2</v>
      </c>
      <c r="AN166" s="14">
        <v>108</v>
      </c>
      <c r="AO166" s="13" t="s">
        <v>48</v>
      </c>
      <c r="AP166" s="13"/>
    </row>
    <row r="167" spans="1:42" ht="51" x14ac:dyDescent="0.2">
      <c r="A167" s="13" t="s">
        <v>72</v>
      </c>
      <c r="B167" s="13" t="s">
        <v>73</v>
      </c>
      <c r="C167" s="13"/>
      <c r="D167" s="13" t="s">
        <v>98</v>
      </c>
      <c r="E167" s="13" t="s">
        <v>52</v>
      </c>
      <c r="F167" s="70" t="s">
        <v>908</v>
      </c>
      <c r="G167" s="108"/>
      <c r="H167" s="13"/>
      <c r="I167" s="13" t="s">
        <v>126</v>
      </c>
      <c r="J167" s="13" t="s">
        <v>127</v>
      </c>
      <c r="K167" s="13" t="s">
        <v>128</v>
      </c>
      <c r="L167" s="14">
        <v>2021</v>
      </c>
      <c r="M167" s="14"/>
      <c r="N167" s="15">
        <v>17000</v>
      </c>
      <c r="O167" s="16"/>
      <c r="P167" s="17">
        <f t="shared" si="15"/>
        <v>0</v>
      </c>
      <c r="Q167" s="18"/>
      <c r="R167" s="18">
        <f t="shared" si="16"/>
        <v>4</v>
      </c>
      <c r="S167" s="19">
        <f t="shared" si="17"/>
        <v>0</v>
      </c>
      <c r="T167" s="14"/>
      <c r="U167" s="14"/>
      <c r="V167" s="14"/>
      <c r="W167" s="14"/>
      <c r="X167" s="14"/>
      <c r="Y167" s="14"/>
      <c r="Z167" s="13"/>
      <c r="AA167" s="13"/>
      <c r="AB167" s="13"/>
      <c r="AC167" s="13"/>
      <c r="AD167" s="13" t="s">
        <v>64</v>
      </c>
      <c r="AE167" s="13"/>
      <c r="AF167" s="21" t="s">
        <v>129</v>
      </c>
      <c r="AG167" s="70" t="s">
        <v>130</v>
      </c>
      <c r="AH167" s="14">
        <v>3</v>
      </c>
      <c r="AI167" s="14">
        <v>2</v>
      </c>
      <c r="AJ167" s="14">
        <v>3</v>
      </c>
      <c r="AK167" s="14">
        <v>3</v>
      </c>
      <c r="AL167" s="14">
        <v>3</v>
      </c>
      <c r="AM167" s="14">
        <v>2</v>
      </c>
      <c r="AN167" s="14">
        <v>324</v>
      </c>
      <c r="AO167" s="13" t="s">
        <v>45</v>
      </c>
      <c r="AP167" s="13"/>
    </row>
    <row r="168" spans="1:42" ht="51" x14ac:dyDescent="0.2">
      <c r="A168" s="13" t="s">
        <v>72</v>
      </c>
      <c r="B168" s="13" t="s">
        <v>147</v>
      </c>
      <c r="C168" s="13"/>
      <c r="D168" s="13" t="s">
        <v>37</v>
      </c>
      <c r="E168" s="13" t="s">
        <v>52</v>
      </c>
      <c r="F168" s="101" t="s">
        <v>908</v>
      </c>
      <c r="G168" s="13"/>
      <c r="H168" s="13"/>
      <c r="I168" s="13" t="s">
        <v>148</v>
      </c>
      <c r="J168" s="13" t="s">
        <v>149</v>
      </c>
      <c r="K168" s="13" t="s">
        <v>128</v>
      </c>
      <c r="L168" s="14">
        <v>2020</v>
      </c>
      <c r="M168" s="14"/>
      <c r="N168" s="15">
        <v>17000</v>
      </c>
      <c r="O168" s="16"/>
      <c r="P168" s="17">
        <f t="shared" si="15"/>
        <v>0</v>
      </c>
      <c r="Q168" s="18"/>
      <c r="R168" s="18">
        <f t="shared" si="16"/>
        <v>4</v>
      </c>
      <c r="S168" s="19">
        <f t="shared" si="17"/>
        <v>0</v>
      </c>
      <c r="T168" s="14"/>
      <c r="U168" s="14"/>
      <c r="V168" s="14"/>
      <c r="W168" s="14"/>
      <c r="X168" s="14"/>
      <c r="Y168" s="14"/>
      <c r="Z168" s="13">
        <v>20000</v>
      </c>
      <c r="AA168" s="13"/>
      <c r="AB168" s="13"/>
      <c r="AC168" s="13"/>
      <c r="AD168" s="13" t="s">
        <v>42</v>
      </c>
      <c r="AE168" s="13" t="s">
        <v>150</v>
      </c>
      <c r="AF168" s="21" t="s">
        <v>151</v>
      </c>
      <c r="AG168" s="70" t="s">
        <v>152</v>
      </c>
      <c r="AH168" s="14">
        <v>3</v>
      </c>
      <c r="AI168" s="14">
        <v>3</v>
      </c>
      <c r="AJ168" s="14">
        <v>3</v>
      </c>
      <c r="AK168" s="14">
        <v>1</v>
      </c>
      <c r="AL168" s="14">
        <v>3</v>
      </c>
      <c r="AM168" s="14">
        <v>2</v>
      </c>
      <c r="AN168" s="14">
        <v>162</v>
      </c>
      <c r="AO168" s="13" t="s">
        <v>45</v>
      </c>
      <c r="AP168" s="13"/>
    </row>
    <row r="169" spans="1:42" ht="38.25" x14ac:dyDescent="0.2">
      <c r="A169" s="30" t="s">
        <v>35</v>
      </c>
      <c r="B169" s="30" t="s">
        <v>203</v>
      </c>
      <c r="C169" s="30"/>
      <c r="D169" s="30" t="s">
        <v>37</v>
      </c>
      <c r="E169" s="30" t="s">
        <v>52</v>
      </c>
      <c r="F169" s="96" t="s">
        <v>935</v>
      </c>
      <c r="G169" s="30"/>
      <c r="H169" s="30"/>
      <c r="I169" s="30" t="s">
        <v>204</v>
      </c>
      <c r="J169" s="30" t="s">
        <v>205</v>
      </c>
      <c r="K169" s="30" t="s">
        <v>42</v>
      </c>
      <c r="L169" s="31">
        <v>2019</v>
      </c>
      <c r="M169" s="31"/>
      <c r="N169" s="32">
        <f>1670000/7750000000*8500000*0.7*2</f>
        <v>2564.2580645161293</v>
      </c>
      <c r="O169" s="33"/>
      <c r="P169" s="34">
        <f t="shared" si="15"/>
        <v>0</v>
      </c>
      <c r="Q169" s="35"/>
      <c r="R169" s="35">
        <f t="shared" si="16"/>
        <v>4</v>
      </c>
      <c r="S169" s="36">
        <f t="shared" si="17"/>
        <v>0</v>
      </c>
      <c r="T169" s="31"/>
      <c r="U169" s="31"/>
      <c r="V169" s="31"/>
      <c r="W169" s="31"/>
      <c r="X169" s="31"/>
      <c r="Y169" s="31"/>
      <c r="Z169" s="30">
        <v>5000</v>
      </c>
      <c r="AA169" s="30"/>
      <c r="AB169" s="30"/>
      <c r="AC169" s="30"/>
      <c r="AD169" s="30" t="s">
        <v>42</v>
      </c>
      <c r="AE169" s="30" t="s">
        <v>43</v>
      </c>
      <c r="AF169" s="50" t="s">
        <v>95</v>
      </c>
      <c r="AG169" s="72" t="s">
        <v>206</v>
      </c>
      <c r="AH169" s="31">
        <v>3</v>
      </c>
      <c r="AI169" s="31">
        <v>2</v>
      </c>
      <c r="AJ169" s="31">
        <v>2</v>
      </c>
      <c r="AK169" s="31">
        <v>3</v>
      </c>
      <c r="AL169" s="31">
        <v>1</v>
      </c>
      <c r="AM169" s="31">
        <v>2</v>
      </c>
      <c r="AN169" s="31">
        <v>72</v>
      </c>
      <c r="AO169" s="30" t="s">
        <v>45</v>
      </c>
      <c r="AP169" s="30"/>
    </row>
    <row r="170" spans="1:42" ht="51" x14ac:dyDescent="0.2">
      <c r="A170" s="22" t="s">
        <v>86</v>
      </c>
      <c r="B170" s="23" t="s">
        <v>509</v>
      </c>
      <c r="C170" s="22"/>
      <c r="D170" s="22" t="s">
        <v>98</v>
      </c>
      <c r="E170" s="22" t="s">
        <v>52</v>
      </c>
      <c r="F170" s="67" t="s">
        <v>908</v>
      </c>
      <c r="G170" s="22"/>
      <c r="H170" s="22"/>
      <c r="I170" s="22" t="s">
        <v>510</v>
      </c>
      <c r="J170" s="22"/>
      <c r="K170" s="22" t="s">
        <v>42</v>
      </c>
      <c r="L170" s="24">
        <v>2021</v>
      </c>
      <c r="M170" s="24"/>
      <c r="N170" s="38">
        <f>0.0075*8500000</f>
        <v>63750</v>
      </c>
      <c r="O170" s="39"/>
      <c r="P170" s="27">
        <f t="shared" si="15"/>
        <v>0</v>
      </c>
      <c r="Q170" s="28"/>
      <c r="R170" s="28">
        <f t="shared" si="16"/>
        <v>4</v>
      </c>
      <c r="S170" s="29">
        <f t="shared" si="17"/>
        <v>0</v>
      </c>
      <c r="T170" s="24"/>
      <c r="U170" s="24"/>
      <c r="V170" s="24"/>
      <c r="W170" s="24"/>
      <c r="X170" s="24"/>
      <c r="Y170" s="24"/>
      <c r="Z170" s="22"/>
      <c r="AA170" s="22"/>
      <c r="AB170" s="22"/>
      <c r="AC170" s="22"/>
      <c r="AD170" s="22" t="s">
        <v>42</v>
      </c>
      <c r="AE170" s="22"/>
      <c r="AF170" s="22"/>
      <c r="AG170" s="71" t="s">
        <v>511</v>
      </c>
      <c r="AH170" s="24">
        <v>3</v>
      </c>
      <c r="AI170" s="24">
        <v>1</v>
      </c>
      <c r="AJ170" s="24">
        <v>2</v>
      </c>
      <c r="AK170" s="24">
        <v>2</v>
      </c>
      <c r="AL170" s="24">
        <v>2</v>
      </c>
      <c r="AM170" s="24">
        <v>2</v>
      </c>
      <c r="AN170" s="24">
        <v>48</v>
      </c>
      <c r="AO170" s="22" t="s">
        <v>45</v>
      </c>
      <c r="AP170" s="22"/>
    </row>
    <row r="171" spans="1:42" ht="51" x14ac:dyDescent="0.2">
      <c r="A171" s="22" t="s">
        <v>35</v>
      </c>
      <c r="B171" s="22" t="s">
        <v>558</v>
      </c>
      <c r="C171" s="22"/>
      <c r="D171" s="22" t="s">
        <v>37</v>
      </c>
      <c r="E171" s="22" t="s">
        <v>52</v>
      </c>
      <c r="F171" s="67" t="s">
        <v>908</v>
      </c>
      <c r="G171" s="22"/>
      <c r="H171" s="22"/>
      <c r="I171" s="22" t="s">
        <v>126</v>
      </c>
      <c r="J171" s="22" t="s">
        <v>127</v>
      </c>
      <c r="K171" s="22" t="s">
        <v>42</v>
      </c>
      <c r="L171" s="24">
        <v>2020</v>
      </c>
      <c r="M171" s="24"/>
      <c r="N171" s="51">
        <v>1600</v>
      </c>
      <c r="O171" s="39"/>
      <c r="P171" s="27">
        <f t="shared" si="15"/>
        <v>0</v>
      </c>
      <c r="Q171" s="28"/>
      <c r="R171" s="28">
        <f t="shared" si="16"/>
        <v>4</v>
      </c>
      <c r="S171" s="29">
        <f t="shared" si="17"/>
        <v>0</v>
      </c>
      <c r="T171" s="24"/>
      <c r="U171" s="24"/>
      <c r="V171" s="24"/>
      <c r="W171" s="24"/>
      <c r="X171" s="24"/>
      <c r="Y171" s="24"/>
      <c r="Z171" s="22"/>
      <c r="AA171" s="22"/>
      <c r="AB171" s="22"/>
      <c r="AC171" s="22"/>
      <c r="AD171" s="22" t="s">
        <v>42</v>
      </c>
      <c r="AE171" s="22" t="s">
        <v>182</v>
      </c>
      <c r="AF171" s="41" t="s">
        <v>213</v>
      </c>
      <c r="AG171" s="71" t="s">
        <v>559</v>
      </c>
      <c r="AH171" s="24">
        <v>3</v>
      </c>
      <c r="AI171" s="24">
        <v>2</v>
      </c>
      <c r="AJ171" s="24">
        <v>3</v>
      </c>
      <c r="AK171" s="24">
        <v>3</v>
      </c>
      <c r="AL171" s="24">
        <v>1</v>
      </c>
      <c r="AM171" s="24">
        <v>1</v>
      </c>
      <c r="AN171" s="24">
        <v>54</v>
      </c>
      <c r="AO171" s="22" t="s">
        <v>45</v>
      </c>
      <c r="AP171" s="22"/>
    </row>
    <row r="172" spans="1:42" ht="51" x14ac:dyDescent="0.2">
      <c r="A172" s="42" t="s">
        <v>49</v>
      </c>
      <c r="B172" s="42" t="s">
        <v>50</v>
      </c>
      <c r="C172" s="42"/>
      <c r="D172" s="42" t="s">
        <v>51</v>
      </c>
      <c r="E172" s="42" t="s">
        <v>52</v>
      </c>
      <c r="F172" s="73" t="s">
        <v>908</v>
      </c>
      <c r="G172" s="42"/>
      <c r="H172" s="42"/>
      <c r="I172" s="42" t="s">
        <v>585</v>
      </c>
      <c r="J172" s="42" t="s">
        <v>586</v>
      </c>
      <c r="K172" s="42">
        <v>2017</v>
      </c>
      <c r="L172" s="43">
        <v>2018</v>
      </c>
      <c r="M172" s="43"/>
      <c r="N172" s="44">
        <f>2000000/83*8.5/2</f>
        <v>102409.63855421687</v>
      </c>
      <c r="O172" s="45"/>
      <c r="P172" s="46">
        <f t="shared" si="15"/>
        <v>0</v>
      </c>
      <c r="Q172" s="47"/>
      <c r="R172" s="47">
        <f t="shared" si="16"/>
        <v>4</v>
      </c>
      <c r="S172" s="48">
        <f t="shared" si="17"/>
        <v>0</v>
      </c>
      <c r="T172" s="43"/>
      <c r="U172" s="43"/>
      <c r="V172" s="43"/>
      <c r="W172" s="43"/>
      <c r="X172" s="43"/>
      <c r="Y172" s="43"/>
      <c r="Z172" s="42"/>
      <c r="AA172" s="42"/>
      <c r="AB172" s="42"/>
      <c r="AC172" s="42"/>
      <c r="AD172" s="42" t="s">
        <v>55</v>
      </c>
      <c r="AE172" s="42" t="s">
        <v>43</v>
      </c>
      <c r="AF172" s="42" t="s">
        <v>56</v>
      </c>
      <c r="AG172" s="73" t="s">
        <v>587</v>
      </c>
      <c r="AH172" s="43">
        <v>3</v>
      </c>
      <c r="AI172" s="43">
        <v>3</v>
      </c>
      <c r="AJ172" s="43">
        <v>3</v>
      </c>
      <c r="AK172" s="43">
        <v>1</v>
      </c>
      <c r="AL172" s="43">
        <v>1</v>
      </c>
      <c r="AM172" s="43">
        <v>1</v>
      </c>
      <c r="AN172" s="43">
        <v>27</v>
      </c>
      <c r="AO172" s="42" t="s">
        <v>45</v>
      </c>
      <c r="AP172" s="42"/>
    </row>
    <row r="173" spans="1:42" ht="38.25" x14ac:dyDescent="0.2">
      <c r="A173" s="22" t="s">
        <v>58</v>
      </c>
      <c r="B173" s="22" t="s">
        <v>849</v>
      </c>
      <c r="C173" s="22"/>
      <c r="D173" s="65" t="s">
        <v>98</v>
      </c>
      <c r="E173" s="88" t="s">
        <v>297</v>
      </c>
      <c r="F173" s="97" t="s">
        <v>907</v>
      </c>
      <c r="G173" s="88"/>
      <c r="H173" s="88"/>
      <c r="I173" s="65" t="s">
        <v>850</v>
      </c>
      <c r="J173" s="22"/>
      <c r="K173" s="22" t="s">
        <v>42</v>
      </c>
      <c r="L173" s="24">
        <v>2023</v>
      </c>
      <c r="M173" s="24"/>
      <c r="N173" s="38"/>
      <c r="O173" s="39"/>
      <c r="P173" s="27"/>
      <c r="Q173" s="28"/>
      <c r="R173" s="28"/>
      <c r="S173" s="29"/>
      <c r="T173" s="24"/>
      <c r="U173" s="24"/>
      <c r="V173" s="24"/>
      <c r="W173" s="24"/>
      <c r="X173" s="24"/>
      <c r="Y173" s="24"/>
      <c r="Z173" s="22"/>
      <c r="AA173" s="22"/>
      <c r="AB173" s="22"/>
      <c r="AC173" s="22"/>
      <c r="AD173" s="22" t="s">
        <v>42</v>
      </c>
      <c r="AE173" s="22"/>
      <c r="AF173" s="41"/>
      <c r="AG173" s="67"/>
      <c r="AH173" s="24"/>
      <c r="AI173" s="24"/>
      <c r="AJ173" s="24"/>
      <c r="AK173" s="24"/>
      <c r="AL173" s="24"/>
      <c r="AM173" s="24"/>
      <c r="AN173" s="24">
        <v>0</v>
      </c>
      <c r="AO173" s="22"/>
      <c r="AP173" s="69"/>
    </row>
    <row r="174" spans="1:42" ht="38.25" x14ac:dyDescent="0.2">
      <c r="A174" s="30" t="s">
        <v>58</v>
      </c>
      <c r="B174" s="30" t="s">
        <v>296</v>
      </c>
      <c r="C174" s="30"/>
      <c r="D174" s="30" t="s">
        <v>60</v>
      </c>
      <c r="E174" s="30" t="s">
        <v>297</v>
      </c>
      <c r="F174" s="72" t="s">
        <v>907</v>
      </c>
      <c r="G174" s="30"/>
      <c r="H174" s="30"/>
      <c r="I174" s="30" t="s">
        <v>298</v>
      </c>
      <c r="J174" s="30" t="s">
        <v>299</v>
      </c>
      <c r="K174" s="30" t="s">
        <v>201</v>
      </c>
      <c r="L174" s="31">
        <v>2018</v>
      </c>
      <c r="M174" s="31"/>
      <c r="N174" s="32">
        <f>750/6*5</f>
        <v>625</v>
      </c>
      <c r="O174" s="33"/>
      <c r="P174" s="34">
        <f>N174*O174</f>
        <v>0</v>
      </c>
      <c r="Q174" s="35"/>
      <c r="R174" s="35">
        <f>IF(Q174&lt;4.99,(Q174*12%+4),IF(Q174&lt;10.99,(Q174*12%+8),IF(Q174&lt;14.99,(Q174*12%+12),IF(Q174&lt;879.99,(Q174*12%+16),IF(Q174&lt;2569.99,(Q174*7%+60),240)))))</f>
        <v>4</v>
      </c>
      <c r="S174" s="36">
        <f>R174*P174</f>
        <v>0</v>
      </c>
      <c r="T174" s="31"/>
      <c r="U174" s="31"/>
      <c r="V174" s="31"/>
      <c r="W174" s="31"/>
      <c r="X174" s="31"/>
      <c r="Y174" s="31"/>
      <c r="Z174" s="30"/>
      <c r="AA174" s="30"/>
      <c r="AB174" s="30"/>
      <c r="AC174" s="30"/>
      <c r="AD174" s="30"/>
      <c r="AE174" s="30"/>
      <c r="AF174" s="30"/>
      <c r="AG174" s="72"/>
      <c r="AH174" s="31"/>
      <c r="AI174" s="31"/>
      <c r="AJ174" s="31"/>
      <c r="AK174" s="31"/>
      <c r="AL174" s="31"/>
      <c r="AM174" s="31"/>
      <c r="AN174" s="31"/>
      <c r="AO174" s="30"/>
      <c r="AP174" s="30"/>
    </row>
    <row r="175" spans="1:42" ht="38.25" x14ac:dyDescent="0.2">
      <c r="A175" s="22" t="s">
        <v>58</v>
      </c>
      <c r="B175" s="22" t="s">
        <v>59</v>
      </c>
      <c r="C175" s="22"/>
      <c r="D175" s="22" t="s">
        <v>37</v>
      </c>
      <c r="E175" s="22" t="s">
        <v>297</v>
      </c>
      <c r="F175" s="71" t="s">
        <v>907</v>
      </c>
      <c r="G175" s="22"/>
      <c r="H175" s="22"/>
      <c r="I175" s="22" t="s">
        <v>397</v>
      </c>
      <c r="J175" s="22"/>
      <c r="K175" s="23" t="s">
        <v>42</v>
      </c>
      <c r="L175" s="24">
        <v>2022</v>
      </c>
      <c r="M175" s="24"/>
      <c r="N175" s="52">
        <v>220</v>
      </c>
      <c r="O175" s="39"/>
      <c r="P175" s="27">
        <f>N175*O175</f>
        <v>0</v>
      </c>
      <c r="Q175" s="28"/>
      <c r="R175" s="28">
        <f>IF(Q175&lt;4.99,(Q175*12%+4),IF(Q175&lt;10.99,(Q175*12%+8),IF(Q175&lt;14.99,(Q175*12%+12),IF(Q175&lt;879.99,(Q175*12%+16),IF(Q175&lt;2569.99,(Q175*7%+60),240)))))</f>
        <v>4</v>
      </c>
      <c r="S175" s="29">
        <f>R175*P175</f>
        <v>0</v>
      </c>
      <c r="T175" s="24"/>
      <c r="U175" s="24"/>
      <c r="V175" s="24"/>
      <c r="W175" s="24"/>
      <c r="X175" s="24"/>
      <c r="Y175" s="24"/>
      <c r="Z175" s="22"/>
      <c r="AA175" s="22"/>
      <c r="AB175" s="22"/>
      <c r="AC175" s="22"/>
      <c r="AD175" s="22" t="s">
        <v>42</v>
      </c>
      <c r="AE175" s="22"/>
      <c r="AF175" s="22"/>
      <c r="AG175" s="71" t="s">
        <v>398</v>
      </c>
      <c r="AH175" s="24">
        <v>1</v>
      </c>
      <c r="AI175" s="24">
        <v>2</v>
      </c>
      <c r="AJ175" s="24">
        <v>2</v>
      </c>
      <c r="AK175" s="24">
        <v>3</v>
      </c>
      <c r="AL175" s="24">
        <v>1</v>
      </c>
      <c r="AM175" s="24">
        <v>2</v>
      </c>
      <c r="AN175" s="24">
        <v>24</v>
      </c>
      <c r="AO175" s="22" t="s">
        <v>48</v>
      </c>
      <c r="AP175" s="22"/>
    </row>
    <row r="176" spans="1:42" ht="38.25" x14ac:dyDescent="0.2">
      <c r="A176" s="30" t="s">
        <v>58</v>
      </c>
      <c r="B176" s="30" t="s">
        <v>399</v>
      </c>
      <c r="C176" s="30"/>
      <c r="D176" s="30" t="s">
        <v>60</v>
      </c>
      <c r="E176" s="30" t="s">
        <v>297</v>
      </c>
      <c r="F176" s="72" t="s">
        <v>907</v>
      </c>
      <c r="G176" s="106"/>
      <c r="H176" s="30"/>
      <c r="I176" s="30" t="s">
        <v>400</v>
      </c>
      <c r="J176" s="30" t="s">
        <v>401</v>
      </c>
      <c r="K176" s="30" t="s">
        <v>201</v>
      </c>
      <c r="L176" s="31">
        <v>2017</v>
      </c>
      <c r="M176" s="31"/>
      <c r="N176" s="32">
        <v>750</v>
      </c>
      <c r="O176" s="33"/>
      <c r="P176" s="34">
        <f>N176*O176</f>
        <v>0</v>
      </c>
      <c r="Q176" s="35"/>
      <c r="R176" s="35">
        <f>IF(Q176&lt;4.99,(Q176*12%+4),IF(Q176&lt;10.99,(Q176*12%+8),IF(Q176&lt;14.99,(Q176*12%+12),IF(Q176&lt;879.99,(Q176*12%+16),IF(Q176&lt;2569.99,(Q176*7%+60),240)))))</f>
        <v>4</v>
      </c>
      <c r="S176" s="36">
        <f>R176*P176</f>
        <v>0</v>
      </c>
      <c r="T176" s="31"/>
      <c r="U176" s="31"/>
      <c r="V176" s="31"/>
      <c r="W176" s="31"/>
      <c r="X176" s="31"/>
      <c r="Y176" s="31"/>
      <c r="Z176" s="30"/>
      <c r="AA176" s="30"/>
      <c r="AB176" s="30"/>
      <c r="AC176" s="30"/>
      <c r="AD176" s="30" t="s">
        <v>201</v>
      </c>
      <c r="AE176" s="30" t="s">
        <v>43</v>
      </c>
      <c r="AF176" s="30" t="s">
        <v>56</v>
      </c>
      <c r="AG176" s="72" t="s">
        <v>402</v>
      </c>
      <c r="AH176" s="31">
        <v>2</v>
      </c>
      <c r="AI176" s="31">
        <v>2</v>
      </c>
      <c r="AJ176" s="31">
        <v>2</v>
      </c>
      <c r="AK176" s="31">
        <v>1</v>
      </c>
      <c r="AL176" s="31">
        <v>2</v>
      </c>
      <c r="AM176" s="31">
        <v>2</v>
      </c>
      <c r="AN176" s="31">
        <v>32</v>
      </c>
      <c r="AO176" s="30" t="s">
        <v>45</v>
      </c>
      <c r="AP176" s="30"/>
    </row>
    <row r="177" spans="1:42" ht="38.25" x14ac:dyDescent="0.2">
      <c r="A177" s="30" t="s">
        <v>58</v>
      </c>
      <c r="B177" s="30" t="s">
        <v>296</v>
      </c>
      <c r="C177" s="30"/>
      <c r="D177" s="30" t="s">
        <v>60</v>
      </c>
      <c r="E177" s="30" t="s">
        <v>297</v>
      </c>
      <c r="F177" s="72" t="s">
        <v>907</v>
      </c>
      <c r="G177" s="30"/>
      <c r="H177" s="30"/>
      <c r="I177" s="30" t="s">
        <v>764</v>
      </c>
      <c r="J177" s="30" t="s">
        <v>765</v>
      </c>
      <c r="K177" s="30" t="s">
        <v>766</v>
      </c>
      <c r="L177" s="31">
        <v>2019</v>
      </c>
      <c r="M177" s="31"/>
      <c r="N177" s="32">
        <f>750/6*5</f>
        <v>625</v>
      </c>
      <c r="O177" s="33"/>
      <c r="P177" s="34">
        <f>N177*O177</f>
        <v>0</v>
      </c>
      <c r="Q177" s="35"/>
      <c r="R177" s="35">
        <f>IF(Q177&lt;4.99,(Q177*12%+4),IF(Q177&lt;10.99,(Q177*12%+8),IF(Q177&lt;14.99,(Q177*12%+12),IF(Q177&lt;879.99,(Q177*12%+16),IF(Q177&lt;2569.99,(Q177*7%+60),240)))))</f>
        <v>4</v>
      </c>
      <c r="S177" s="36">
        <f>R177*P177</f>
        <v>0</v>
      </c>
      <c r="T177" s="31"/>
      <c r="U177" s="31"/>
      <c r="V177" s="31"/>
      <c r="W177" s="31"/>
      <c r="X177" s="31"/>
      <c r="Y177" s="31"/>
      <c r="Z177" s="30">
        <v>0</v>
      </c>
      <c r="AA177" s="30"/>
      <c r="AB177" s="30"/>
      <c r="AC177" s="30"/>
      <c r="AD177" s="30" t="s">
        <v>42</v>
      </c>
      <c r="AE177" s="30"/>
      <c r="AF177" s="30" t="s">
        <v>76</v>
      </c>
      <c r="AG177" s="72" t="s">
        <v>767</v>
      </c>
      <c r="AH177" s="31">
        <v>2</v>
      </c>
      <c r="AI177" s="31">
        <v>2</v>
      </c>
      <c r="AJ177" s="31">
        <v>2</v>
      </c>
      <c r="AK177" s="31">
        <v>1</v>
      </c>
      <c r="AL177" s="31">
        <v>3</v>
      </c>
      <c r="AM177" s="31">
        <v>2</v>
      </c>
      <c r="AN177" s="31">
        <v>48</v>
      </c>
      <c r="AO177" s="30" t="s">
        <v>48</v>
      </c>
      <c r="AP177" s="30"/>
    </row>
    <row r="178" spans="1:42" ht="38.25" x14ac:dyDescent="0.2">
      <c r="A178" s="22" t="s">
        <v>35</v>
      </c>
      <c r="B178" s="22" t="s">
        <v>851</v>
      </c>
      <c r="C178" s="22"/>
      <c r="D178" s="65" t="s">
        <v>37</v>
      </c>
      <c r="E178" s="88" t="s">
        <v>852</v>
      </c>
      <c r="F178" s="77"/>
      <c r="G178" s="78" t="s">
        <v>906</v>
      </c>
      <c r="H178" s="88"/>
      <c r="I178" s="65" t="s">
        <v>853</v>
      </c>
      <c r="J178" s="22"/>
      <c r="K178" s="22" t="s">
        <v>42</v>
      </c>
      <c r="L178" s="24">
        <v>2023</v>
      </c>
      <c r="M178" s="24"/>
      <c r="N178" s="38"/>
      <c r="O178" s="39"/>
      <c r="P178" s="27"/>
      <c r="Q178" s="28"/>
      <c r="R178" s="28"/>
      <c r="S178" s="29"/>
      <c r="T178" s="24"/>
      <c r="U178" s="24"/>
      <c r="V178" s="24"/>
      <c r="W178" s="24"/>
      <c r="X178" s="24"/>
      <c r="Y178" s="24"/>
      <c r="Z178" s="22"/>
      <c r="AA178" s="22"/>
      <c r="AB178" s="22"/>
      <c r="AC178" s="22"/>
      <c r="AD178" s="22" t="s">
        <v>42</v>
      </c>
      <c r="AE178" s="22"/>
      <c r="AF178" s="41"/>
      <c r="AG178" s="67"/>
      <c r="AH178" s="24">
        <v>1</v>
      </c>
      <c r="AI178" s="24">
        <v>2</v>
      </c>
      <c r="AJ178" s="24">
        <v>2</v>
      </c>
      <c r="AK178" s="24">
        <v>3</v>
      </c>
      <c r="AL178" s="24">
        <v>1</v>
      </c>
      <c r="AM178" s="24">
        <v>1</v>
      </c>
      <c r="AN178" s="24">
        <v>12</v>
      </c>
      <c r="AO178" s="22" t="s">
        <v>45</v>
      </c>
      <c r="AP178" s="69"/>
    </row>
    <row r="179" spans="1:42" ht="51" x14ac:dyDescent="0.2">
      <c r="A179" s="22" t="s">
        <v>35</v>
      </c>
      <c r="B179" s="23" t="s">
        <v>637</v>
      </c>
      <c r="C179" s="22"/>
      <c r="D179" s="22" t="s">
        <v>60</v>
      </c>
      <c r="E179" s="22" t="s">
        <v>638</v>
      </c>
      <c r="F179" s="22"/>
      <c r="G179" s="22"/>
      <c r="H179" s="110" t="s">
        <v>982</v>
      </c>
      <c r="I179" s="22" t="s">
        <v>639</v>
      </c>
      <c r="J179" s="22" t="s">
        <v>640</v>
      </c>
      <c r="K179" s="22" t="s">
        <v>42</v>
      </c>
      <c r="L179" s="24">
        <v>2020</v>
      </c>
      <c r="M179" s="24"/>
      <c r="N179" s="38">
        <f>550000/7750000000*8500000*2</f>
        <v>1206.4516129032259</v>
      </c>
      <c r="O179" s="39"/>
      <c r="P179" s="27">
        <f>N179*O179</f>
        <v>0</v>
      </c>
      <c r="Q179" s="28"/>
      <c r="R179" s="28">
        <f>IF(Q179&lt;4.99,(Q179*12%+4),IF(Q179&lt;10.99,(Q179*12%+8),IF(Q179&lt;14.99,(Q179*12%+12),IF(Q179&lt;879.99,(Q179*12%+16),IF(Q179&lt;2569.99,(Q179*7%+60),240)))))</f>
        <v>4</v>
      </c>
      <c r="S179" s="29">
        <f>R179*P179</f>
        <v>0</v>
      </c>
      <c r="T179" s="24"/>
      <c r="U179" s="24"/>
      <c r="V179" s="24"/>
      <c r="W179" s="24"/>
      <c r="X179" s="24"/>
      <c r="Y179" s="24"/>
      <c r="Z179" s="22"/>
      <c r="AA179" s="22"/>
      <c r="AB179" s="22"/>
      <c r="AC179" s="22"/>
      <c r="AD179" s="22" t="s">
        <v>42</v>
      </c>
      <c r="AE179" s="22"/>
      <c r="AF179" s="22"/>
      <c r="AG179" s="71" t="s">
        <v>641</v>
      </c>
      <c r="AH179" s="24">
        <v>1</v>
      </c>
      <c r="AI179" s="24">
        <v>1</v>
      </c>
      <c r="AJ179" s="24">
        <v>1</v>
      </c>
      <c r="AK179" s="24">
        <v>3</v>
      </c>
      <c r="AL179" s="24">
        <v>1</v>
      </c>
      <c r="AM179" s="24">
        <v>1</v>
      </c>
      <c r="AN179" s="24">
        <v>3</v>
      </c>
      <c r="AO179" s="22" t="s">
        <v>48</v>
      </c>
      <c r="AP179" s="22"/>
    </row>
    <row r="180" spans="1:42" ht="38.25" x14ac:dyDescent="0.2">
      <c r="A180" s="22" t="s">
        <v>35</v>
      </c>
      <c r="B180" s="22" t="s">
        <v>642</v>
      </c>
      <c r="C180" s="22"/>
      <c r="D180" s="22" t="s">
        <v>37</v>
      </c>
      <c r="E180" s="22" t="s">
        <v>643</v>
      </c>
      <c r="F180" s="22"/>
      <c r="G180" s="22"/>
      <c r="H180" s="65" t="s">
        <v>983</v>
      </c>
      <c r="I180" s="22" t="s">
        <v>644</v>
      </c>
      <c r="J180" s="22"/>
      <c r="K180" s="22" t="s">
        <v>645</v>
      </c>
      <c r="L180" s="24">
        <v>2021</v>
      </c>
      <c r="M180" s="24"/>
      <c r="N180" s="52">
        <v>1680</v>
      </c>
      <c r="O180" s="39"/>
      <c r="P180" s="27">
        <f>N180*O180</f>
        <v>0</v>
      </c>
      <c r="Q180" s="28"/>
      <c r="R180" s="28">
        <f>IF(Q180&lt;4.99,(Q180*12%+4),IF(Q180&lt;10.99,(Q180*12%+8),IF(Q180&lt;14.99,(Q180*12%+12),IF(Q180&lt;879.99,(Q180*12%+16),IF(Q180&lt;2569.99,(Q180*7%+60),240)))))</f>
        <v>4</v>
      </c>
      <c r="S180" s="29">
        <f>R180*P180</f>
        <v>0</v>
      </c>
      <c r="T180" s="24"/>
      <c r="U180" s="24"/>
      <c r="V180" s="24"/>
      <c r="W180" s="24"/>
      <c r="X180" s="24"/>
      <c r="Y180" s="24"/>
      <c r="Z180" s="22">
        <v>0</v>
      </c>
      <c r="AA180" s="22"/>
      <c r="AB180" s="22"/>
      <c r="AC180" s="22"/>
      <c r="AD180" s="22" t="s">
        <v>42</v>
      </c>
      <c r="AE180" s="22"/>
      <c r="AF180" s="22"/>
      <c r="AG180" s="71" t="s">
        <v>646</v>
      </c>
      <c r="AH180" s="24">
        <v>2</v>
      </c>
      <c r="AI180" s="24">
        <v>2</v>
      </c>
      <c r="AJ180" s="24">
        <v>1</v>
      </c>
      <c r="AK180" s="24">
        <v>3</v>
      </c>
      <c r="AL180" s="24">
        <v>1</v>
      </c>
      <c r="AM180" s="24">
        <v>1</v>
      </c>
      <c r="AN180" s="24">
        <v>12</v>
      </c>
      <c r="AO180" s="22" t="s">
        <v>48</v>
      </c>
      <c r="AP180" s="22"/>
    </row>
    <row r="181" spans="1:42" x14ac:dyDescent="0.2">
      <c r="A181" s="22" t="s">
        <v>35</v>
      </c>
      <c r="B181" s="22" t="s">
        <v>526</v>
      </c>
      <c r="C181" s="22"/>
      <c r="D181" s="22" t="s">
        <v>37</v>
      </c>
      <c r="E181" s="22" t="s">
        <v>1144</v>
      </c>
      <c r="F181" s="95"/>
      <c r="G181" s="22"/>
      <c r="H181" s="65"/>
      <c r="I181" s="22" t="s">
        <v>1145</v>
      </c>
      <c r="J181" s="22"/>
      <c r="K181" s="22"/>
      <c r="L181" s="24"/>
      <c r="M181" s="24"/>
      <c r="N181" s="52"/>
      <c r="O181" s="39"/>
      <c r="P181" s="27">
        <v>10</v>
      </c>
      <c r="Q181" s="28"/>
      <c r="R181" s="28"/>
      <c r="S181" s="29"/>
      <c r="T181" s="24"/>
      <c r="U181" s="24"/>
      <c r="V181" s="24"/>
      <c r="W181" s="24"/>
      <c r="X181" s="24"/>
      <c r="Y181" s="24"/>
      <c r="Z181" s="22"/>
      <c r="AA181" s="22"/>
      <c r="AB181" s="22"/>
      <c r="AC181" s="22"/>
      <c r="AD181" s="22" t="s">
        <v>42</v>
      </c>
      <c r="AE181" s="22"/>
      <c r="AF181" s="22"/>
      <c r="AG181" s="71"/>
      <c r="AH181" s="24">
        <v>1</v>
      </c>
      <c r="AI181" s="24">
        <v>2</v>
      </c>
      <c r="AJ181" s="24">
        <v>1</v>
      </c>
      <c r="AK181" s="24">
        <v>3</v>
      </c>
      <c r="AL181" s="24">
        <v>2</v>
      </c>
      <c r="AM181" s="24">
        <v>2</v>
      </c>
      <c r="AN181" s="24">
        <f>AM181*AL181*AK181*AJ181*AI181*AH181</f>
        <v>24</v>
      </c>
      <c r="AO181" s="22"/>
      <c r="AP181" s="40">
        <v>44621</v>
      </c>
    </row>
    <row r="182" spans="1:42" ht="38.25" x14ac:dyDescent="0.2">
      <c r="A182" s="22" t="s">
        <v>58</v>
      </c>
      <c r="B182" s="22" t="s">
        <v>660</v>
      </c>
      <c r="C182" s="22"/>
      <c r="D182" s="65" t="s">
        <v>98</v>
      </c>
      <c r="E182" s="88" t="s">
        <v>854</v>
      </c>
      <c r="F182" s="81" t="s">
        <v>905</v>
      </c>
      <c r="G182" s="88"/>
      <c r="H182" s="88"/>
      <c r="I182" s="65" t="s">
        <v>662</v>
      </c>
      <c r="J182" s="22" t="s">
        <v>663</v>
      </c>
      <c r="K182" s="22" t="s">
        <v>834</v>
      </c>
      <c r="L182" s="24">
        <v>2020</v>
      </c>
      <c r="M182" s="24"/>
      <c r="N182" s="38"/>
      <c r="O182" s="39"/>
      <c r="P182" s="27"/>
      <c r="Q182" s="28"/>
      <c r="R182" s="28"/>
      <c r="S182" s="29"/>
      <c r="T182" s="24"/>
      <c r="U182" s="24"/>
      <c r="V182" s="24"/>
      <c r="W182" s="24"/>
      <c r="X182" s="24"/>
      <c r="Y182" s="24"/>
      <c r="Z182" s="22"/>
      <c r="AA182" s="22"/>
      <c r="AB182" s="22"/>
      <c r="AC182" s="22"/>
      <c r="AD182" s="22" t="s">
        <v>855</v>
      </c>
      <c r="AE182" s="22"/>
      <c r="AF182" s="41"/>
      <c r="AG182" s="67" t="s">
        <v>856</v>
      </c>
      <c r="AH182" s="24">
        <v>1</v>
      </c>
      <c r="AI182" s="24">
        <v>2</v>
      </c>
      <c r="AJ182" s="24">
        <v>2</v>
      </c>
      <c r="AK182" s="24">
        <v>3</v>
      </c>
      <c r="AL182" s="24">
        <v>1</v>
      </c>
      <c r="AM182" s="24">
        <v>2</v>
      </c>
      <c r="AN182" s="24">
        <v>24</v>
      </c>
      <c r="AO182" s="22" t="s">
        <v>48</v>
      </c>
      <c r="AP182" s="69"/>
    </row>
    <row r="183" spans="1:42" ht="38.25" x14ac:dyDescent="0.2">
      <c r="A183" s="22" t="s">
        <v>58</v>
      </c>
      <c r="B183" s="22" t="s">
        <v>756</v>
      </c>
      <c r="C183" s="22"/>
      <c r="D183" s="22" t="s">
        <v>37</v>
      </c>
      <c r="E183" s="22" t="s">
        <v>757</v>
      </c>
      <c r="F183" s="22"/>
      <c r="G183" s="97" t="s">
        <v>997</v>
      </c>
      <c r="H183" s="22"/>
      <c r="I183" s="22" t="s">
        <v>758</v>
      </c>
      <c r="J183" s="22" t="s">
        <v>759</v>
      </c>
      <c r="K183" s="22" t="s">
        <v>315</v>
      </c>
      <c r="L183" s="24">
        <v>2020</v>
      </c>
      <c r="M183" s="24"/>
      <c r="N183" s="38"/>
      <c r="O183" s="39"/>
      <c r="P183" s="27">
        <f>N183*O183</f>
        <v>0</v>
      </c>
      <c r="Q183" s="28"/>
      <c r="R183" s="28">
        <f>IF(Q183&lt;4.99,(Q183*12%+4),IF(Q183&lt;10.99,(Q183*12%+8),IF(Q183&lt;14.99,(Q183*12%+12),IF(Q183&lt;879.99,(Q183*12%+16),IF(Q183&lt;2569.99,(Q183*7%+60),240)))))</f>
        <v>4</v>
      </c>
      <c r="S183" s="29">
        <f>R183*P183</f>
        <v>0</v>
      </c>
      <c r="T183" s="24"/>
      <c r="U183" s="24"/>
      <c r="V183" s="24"/>
      <c r="W183" s="24"/>
      <c r="X183" s="24"/>
      <c r="Y183" s="24"/>
      <c r="Z183" s="22"/>
      <c r="AA183" s="22"/>
      <c r="AB183" s="22"/>
      <c r="AC183" s="22"/>
      <c r="AD183" s="22" t="s">
        <v>42</v>
      </c>
      <c r="AE183" s="22" t="s">
        <v>132</v>
      </c>
      <c r="AF183" s="22"/>
      <c r="AG183" s="71" t="s">
        <v>760</v>
      </c>
      <c r="AH183" s="24">
        <v>2</v>
      </c>
      <c r="AI183" s="24">
        <v>1</v>
      </c>
      <c r="AJ183" s="24">
        <v>1</v>
      </c>
      <c r="AK183" s="24">
        <v>3</v>
      </c>
      <c r="AL183" s="24">
        <v>1</v>
      </c>
      <c r="AM183" s="24">
        <v>2</v>
      </c>
      <c r="AN183" s="24">
        <v>12</v>
      </c>
      <c r="AO183" s="22" t="s">
        <v>45</v>
      </c>
      <c r="AP183" s="22"/>
    </row>
    <row r="184" spans="1:42" x14ac:dyDescent="0.2">
      <c r="A184" s="22" t="s">
        <v>58</v>
      </c>
      <c r="B184" s="22" t="s">
        <v>1040</v>
      </c>
      <c r="C184" s="22"/>
      <c r="D184" s="22" t="s">
        <v>37</v>
      </c>
      <c r="E184" s="22" t="s">
        <v>1038</v>
      </c>
      <c r="F184" s="22"/>
      <c r="G184" s="97"/>
      <c r="H184" s="22"/>
      <c r="I184" s="22" t="s">
        <v>1039</v>
      </c>
      <c r="J184" s="22"/>
      <c r="K184" s="22" t="s">
        <v>645</v>
      </c>
      <c r="L184" s="24">
        <v>2022</v>
      </c>
      <c r="M184" s="24"/>
      <c r="N184" s="38">
        <v>40</v>
      </c>
      <c r="O184" s="39"/>
      <c r="P184" s="27">
        <v>5</v>
      </c>
      <c r="Q184" s="28">
        <v>5000</v>
      </c>
      <c r="R184" s="28"/>
      <c r="S184" s="29"/>
      <c r="T184" s="24"/>
      <c r="U184" s="24"/>
      <c r="V184" s="24"/>
      <c r="W184" s="24"/>
      <c r="X184" s="24"/>
      <c r="Y184" s="24"/>
      <c r="Z184" s="113">
        <f>Q184*P184*2</f>
        <v>50000</v>
      </c>
      <c r="AA184" s="22"/>
      <c r="AB184" s="22"/>
      <c r="AC184" s="22"/>
      <c r="AD184" s="22"/>
      <c r="AE184" s="22"/>
      <c r="AF184" s="22"/>
      <c r="AG184" s="71"/>
      <c r="AH184" s="24"/>
      <c r="AI184" s="24"/>
      <c r="AJ184" s="24"/>
      <c r="AK184" s="24"/>
      <c r="AL184" s="24"/>
      <c r="AM184" s="24"/>
      <c r="AN184" s="24"/>
      <c r="AO184" s="22"/>
      <c r="AP184" s="22"/>
    </row>
    <row r="185" spans="1:42" ht="38.25" x14ac:dyDescent="0.2">
      <c r="A185" s="22" t="s">
        <v>86</v>
      </c>
      <c r="B185" s="22" t="s">
        <v>105</v>
      </c>
      <c r="C185" s="22"/>
      <c r="D185" s="65" t="s">
        <v>37</v>
      </c>
      <c r="E185" s="88" t="s">
        <v>338</v>
      </c>
      <c r="F185" s="65" t="s">
        <v>904</v>
      </c>
      <c r="G185" s="88"/>
      <c r="H185" s="88"/>
      <c r="I185" s="65" t="s">
        <v>857</v>
      </c>
      <c r="J185" s="22" t="s">
        <v>1130</v>
      </c>
      <c r="K185" s="22" t="s">
        <v>42</v>
      </c>
      <c r="L185" s="24">
        <v>2022</v>
      </c>
      <c r="M185" s="24"/>
      <c r="N185" s="38"/>
      <c r="O185" s="39"/>
      <c r="P185" s="27">
        <v>10</v>
      </c>
      <c r="Q185" s="28">
        <v>1300</v>
      </c>
      <c r="R185" s="28"/>
      <c r="S185" s="29"/>
      <c r="T185" s="24"/>
      <c r="U185" s="24"/>
      <c r="V185" s="24"/>
      <c r="W185" s="24"/>
      <c r="X185" s="24"/>
      <c r="Y185" s="24"/>
      <c r="Z185" s="22"/>
      <c r="AA185" s="22"/>
      <c r="AB185" s="113">
        <f>Q185*P185*5</f>
        <v>65000</v>
      </c>
      <c r="AC185" s="22"/>
      <c r="AD185" s="22" t="s">
        <v>42</v>
      </c>
      <c r="AE185" s="22"/>
      <c r="AF185" s="41"/>
      <c r="AG185" s="67"/>
      <c r="AH185" s="24">
        <v>2</v>
      </c>
      <c r="AI185" s="24">
        <v>3</v>
      </c>
      <c r="AJ185" s="24">
        <v>3</v>
      </c>
      <c r="AK185" s="24">
        <v>1</v>
      </c>
      <c r="AL185" s="24">
        <v>1</v>
      </c>
      <c r="AM185" s="24">
        <v>2</v>
      </c>
      <c r="AN185" s="24">
        <v>36</v>
      </c>
      <c r="AO185" s="22" t="s">
        <v>48</v>
      </c>
      <c r="AP185" s="69">
        <v>44166</v>
      </c>
    </row>
    <row r="186" spans="1:42" ht="38.25" x14ac:dyDescent="0.2">
      <c r="A186" s="30" t="s">
        <v>35</v>
      </c>
      <c r="B186" s="30" t="s">
        <v>268</v>
      </c>
      <c r="C186" s="30"/>
      <c r="D186" s="30" t="s">
        <v>37</v>
      </c>
      <c r="E186" s="30" t="s">
        <v>338</v>
      </c>
      <c r="F186" s="72" t="s">
        <v>904</v>
      </c>
      <c r="G186" s="30"/>
      <c r="H186" s="30"/>
      <c r="I186" s="30" t="s">
        <v>339</v>
      </c>
      <c r="J186" s="30" t="s">
        <v>340</v>
      </c>
      <c r="K186" s="30" t="s">
        <v>266</v>
      </c>
      <c r="L186" s="31">
        <v>2020</v>
      </c>
      <c r="M186" s="31"/>
      <c r="N186" s="32">
        <f>0.75*4400</f>
        <v>3300</v>
      </c>
      <c r="O186" s="33"/>
      <c r="P186" s="34">
        <f>N186*O186</f>
        <v>0</v>
      </c>
      <c r="Q186" s="35"/>
      <c r="R186" s="35">
        <f>IF(Q186&lt;4.99,(Q186*12%+4),IF(Q186&lt;10.99,(Q186*12%+8),IF(Q186&lt;14.99,(Q186*12%+12),IF(Q186&lt;879.99,(Q186*12%+16),IF(Q186&lt;2569.99,(Q186*7%+60),240)))))</f>
        <v>4</v>
      </c>
      <c r="S186" s="36">
        <f>R186*P186</f>
        <v>0</v>
      </c>
      <c r="T186" s="31"/>
      <c r="U186" s="31"/>
      <c r="V186" s="31"/>
      <c r="W186" s="31"/>
      <c r="X186" s="31"/>
      <c r="Y186" s="31"/>
      <c r="Z186" s="30"/>
      <c r="AA186" s="30"/>
      <c r="AB186" s="30"/>
      <c r="AC186" s="30"/>
      <c r="AD186" s="30" t="s">
        <v>42</v>
      </c>
      <c r="AE186" s="30" t="s">
        <v>43</v>
      </c>
      <c r="AF186" s="30" t="s">
        <v>76</v>
      </c>
      <c r="AG186" s="72" t="s">
        <v>341</v>
      </c>
      <c r="AH186" s="31">
        <v>2</v>
      </c>
      <c r="AI186" s="31">
        <v>2</v>
      </c>
      <c r="AJ186" s="31">
        <v>3</v>
      </c>
      <c r="AK186" s="31">
        <v>3</v>
      </c>
      <c r="AL186" s="31">
        <v>1</v>
      </c>
      <c r="AM186" s="31">
        <v>2</v>
      </c>
      <c r="AN186" s="31">
        <v>72</v>
      </c>
      <c r="AO186" s="30"/>
      <c r="AP186" s="30"/>
    </row>
    <row r="187" spans="1:42" ht="38.25" x14ac:dyDescent="0.2">
      <c r="A187" s="30" t="s">
        <v>35</v>
      </c>
      <c r="B187" s="30" t="s">
        <v>198</v>
      </c>
      <c r="C187" s="30"/>
      <c r="D187" s="30" t="s">
        <v>37</v>
      </c>
      <c r="E187" s="30" t="s">
        <v>338</v>
      </c>
      <c r="F187" s="72" t="s">
        <v>904</v>
      </c>
      <c r="G187" s="30"/>
      <c r="H187" s="30"/>
      <c r="I187" s="30" t="s">
        <v>512</v>
      </c>
      <c r="J187" s="30" t="s">
        <v>513</v>
      </c>
      <c r="K187" s="30" t="s">
        <v>266</v>
      </c>
      <c r="L187" s="31">
        <v>2019</v>
      </c>
      <c r="M187" s="31"/>
      <c r="N187" s="32">
        <v>4400</v>
      </c>
      <c r="O187" s="33"/>
      <c r="P187" s="34">
        <f>N187*O187</f>
        <v>0</v>
      </c>
      <c r="Q187" s="35"/>
      <c r="R187" s="35">
        <f>IF(Q187&lt;4.99,(Q187*12%+4),IF(Q187&lt;10.99,(Q187*12%+8),IF(Q187&lt;14.99,(Q187*12%+12),IF(Q187&lt;879.99,(Q187*12%+16),IF(Q187&lt;2569.99,(Q187*7%+60),240)))))</f>
        <v>4</v>
      </c>
      <c r="S187" s="36">
        <f>R187*P187</f>
        <v>0</v>
      </c>
      <c r="T187" s="31"/>
      <c r="U187" s="31"/>
      <c r="V187" s="31"/>
      <c r="W187" s="31"/>
      <c r="X187" s="31"/>
      <c r="Y187" s="31"/>
      <c r="Z187" s="30">
        <v>5000</v>
      </c>
      <c r="AA187" s="30"/>
      <c r="AB187" s="30"/>
      <c r="AC187" s="30"/>
      <c r="AD187" s="30" t="s">
        <v>42</v>
      </c>
      <c r="AE187" s="30"/>
      <c r="AF187" s="30"/>
      <c r="AG187" s="72" t="s">
        <v>514</v>
      </c>
      <c r="AH187" s="31">
        <v>2</v>
      </c>
      <c r="AI187" s="31">
        <v>3</v>
      </c>
      <c r="AJ187" s="31">
        <v>3</v>
      </c>
      <c r="AK187" s="31">
        <v>3</v>
      </c>
      <c r="AL187" s="31">
        <v>1</v>
      </c>
      <c r="AM187" s="31">
        <v>2</v>
      </c>
      <c r="AN187" s="31">
        <v>108</v>
      </c>
      <c r="AO187" s="30" t="s">
        <v>45</v>
      </c>
      <c r="AP187" s="30"/>
    </row>
    <row r="188" spans="1:42" ht="38.25" x14ac:dyDescent="0.2">
      <c r="A188" s="22" t="s">
        <v>35</v>
      </c>
      <c r="B188" s="22" t="s">
        <v>543</v>
      </c>
      <c r="C188" s="22"/>
      <c r="D188" s="22" t="s">
        <v>37</v>
      </c>
      <c r="E188" s="22" t="s">
        <v>338</v>
      </c>
      <c r="F188" s="71" t="s">
        <v>904</v>
      </c>
      <c r="G188" s="22"/>
      <c r="H188" s="22"/>
      <c r="I188" s="22" t="s">
        <v>710</v>
      </c>
      <c r="J188" s="22" t="s">
        <v>711</v>
      </c>
      <c r="K188" s="22" t="s">
        <v>201</v>
      </c>
      <c r="L188" s="24">
        <v>2020</v>
      </c>
      <c r="M188" s="24"/>
      <c r="N188" s="38">
        <v>76000</v>
      </c>
      <c r="O188" s="39"/>
      <c r="P188" s="27">
        <f>N188*O188</f>
        <v>0</v>
      </c>
      <c r="Q188" s="28"/>
      <c r="R188" s="28">
        <f>IF(Q188&lt;4.99,(Q188*12%+4),IF(Q188&lt;10.99,(Q188*12%+8),IF(Q188&lt;14.99,(Q188*12%+12),IF(Q188&lt;879.99,(Q188*12%+16),IF(Q188&lt;2569.99,(Q188*7%+60),240)))))</f>
        <v>4</v>
      </c>
      <c r="S188" s="29">
        <f>R188*P188</f>
        <v>0</v>
      </c>
      <c r="T188" s="24"/>
      <c r="U188" s="24"/>
      <c r="V188" s="24"/>
      <c r="W188" s="24"/>
      <c r="X188" s="24"/>
      <c r="Y188" s="24"/>
      <c r="Z188" s="22"/>
      <c r="AA188" s="22"/>
      <c r="AB188" s="22"/>
      <c r="AC188" s="22"/>
      <c r="AD188" s="22" t="s">
        <v>42</v>
      </c>
      <c r="AE188" s="22" t="s">
        <v>43</v>
      </c>
      <c r="AF188" s="22" t="s">
        <v>76</v>
      </c>
      <c r="AG188" s="71" t="s">
        <v>712</v>
      </c>
      <c r="AH188" s="24">
        <v>2</v>
      </c>
      <c r="AI188" s="24">
        <v>3</v>
      </c>
      <c r="AJ188" s="24">
        <v>3</v>
      </c>
      <c r="AK188" s="24">
        <v>3</v>
      </c>
      <c r="AL188" s="24">
        <v>1</v>
      </c>
      <c r="AM188" s="24">
        <v>2</v>
      </c>
      <c r="AN188" s="24">
        <v>108</v>
      </c>
      <c r="AO188" s="22" t="s">
        <v>45</v>
      </c>
      <c r="AP188" s="22"/>
    </row>
    <row r="189" spans="1:42" ht="38.25" x14ac:dyDescent="0.2">
      <c r="A189" s="22" t="s">
        <v>58</v>
      </c>
      <c r="B189" s="22" t="s">
        <v>373</v>
      </c>
      <c r="C189" s="22"/>
      <c r="D189" s="22" t="s">
        <v>60</v>
      </c>
      <c r="E189" s="22" t="s">
        <v>338</v>
      </c>
      <c r="F189" s="71" t="s">
        <v>904</v>
      </c>
      <c r="G189" s="22"/>
      <c r="H189" s="22"/>
      <c r="I189" s="22" t="s">
        <v>713</v>
      </c>
      <c r="J189" s="22" t="s">
        <v>714</v>
      </c>
      <c r="K189" s="22" t="s">
        <v>128</v>
      </c>
      <c r="L189" s="24">
        <v>2021</v>
      </c>
      <c r="M189" s="24"/>
      <c r="N189" s="25">
        <f>8500000/57000</f>
        <v>149.12280701754386</v>
      </c>
      <c r="O189" s="26"/>
      <c r="P189" s="27">
        <f>N189*O189</f>
        <v>0</v>
      </c>
      <c r="Q189" s="28"/>
      <c r="R189" s="28">
        <f>IF(Q189&lt;4.99,(Q189*12%+4),IF(Q189&lt;10.99,(Q189*12%+8),IF(Q189&lt;14.99,(Q189*12%+12),IF(Q189&lt;879.99,(Q189*12%+16),IF(Q189&lt;2569.99,(Q189*7%+60),240)))))</f>
        <v>4</v>
      </c>
      <c r="S189" s="29">
        <f>R189*P189</f>
        <v>0</v>
      </c>
      <c r="T189" s="24"/>
      <c r="U189" s="24"/>
      <c r="V189" s="24"/>
      <c r="W189" s="24"/>
      <c r="X189" s="24"/>
      <c r="Y189" s="24"/>
      <c r="Z189" s="22">
        <v>0</v>
      </c>
      <c r="AA189" s="22"/>
      <c r="AB189" s="22"/>
      <c r="AC189" s="22"/>
      <c r="AD189" s="22" t="s">
        <v>715</v>
      </c>
      <c r="AE189" s="22"/>
      <c r="AF189" s="22" t="s">
        <v>129</v>
      </c>
      <c r="AG189" s="71" t="s">
        <v>716</v>
      </c>
      <c r="AH189" s="24">
        <v>3</v>
      </c>
      <c r="AI189" s="24">
        <v>1</v>
      </c>
      <c r="AJ189" s="24">
        <v>3</v>
      </c>
      <c r="AK189" s="24">
        <v>3</v>
      </c>
      <c r="AL189" s="24">
        <v>1</v>
      </c>
      <c r="AM189" s="24">
        <v>1</v>
      </c>
      <c r="AN189" s="24">
        <v>27</v>
      </c>
      <c r="AO189" s="22" t="s">
        <v>45</v>
      </c>
      <c r="AP189" s="22"/>
    </row>
    <row r="190" spans="1:42" ht="38.25" x14ac:dyDescent="0.2">
      <c r="A190" s="22" t="s">
        <v>86</v>
      </c>
      <c r="B190" s="23" t="s">
        <v>717</v>
      </c>
      <c r="C190" s="22"/>
      <c r="D190" s="22" t="s">
        <v>98</v>
      </c>
      <c r="E190" s="22" t="s">
        <v>338</v>
      </c>
      <c r="F190" s="71" t="s">
        <v>904</v>
      </c>
      <c r="G190" s="22"/>
      <c r="H190" s="22"/>
      <c r="I190" s="22" t="s">
        <v>718</v>
      </c>
      <c r="J190" s="22"/>
      <c r="K190" s="22" t="s">
        <v>42</v>
      </c>
      <c r="L190" s="24">
        <v>2022</v>
      </c>
      <c r="M190" s="24"/>
      <c r="N190" s="38">
        <f>800000*0.08</f>
        <v>64000</v>
      </c>
      <c r="O190" s="39"/>
      <c r="P190" s="27">
        <f>N190*O190</f>
        <v>0</v>
      </c>
      <c r="Q190" s="28"/>
      <c r="R190" s="28">
        <f>IF(Q190&lt;4.99,(Q190*12%+4),IF(Q190&lt;10.99,(Q190*12%+8),IF(Q190&lt;14.99,(Q190*12%+12),IF(Q190&lt;879.99,(Q190*12%+16),IF(Q190&lt;2569.99,(Q190*7%+60),240)))))</f>
        <v>4</v>
      </c>
      <c r="S190" s="29">
        <f>R190*P190</f>
        <v>0</v>
      </c>
      <c r="T190" s="24"/>
      <c r="U190" s="24"/>
      <c r="V190" s="24"/>
      <c r="W190" s="24"/>
      <c r="X190" s="24"/>
      <c r="Y190" s="24"/>
      <c r="Z190" s="22">
        <v>5000</v>
      </c>
      <c r="AA190" s="22"/>
      <c r="AB190" s="22"/>
      <c r="AC190" s="22"/>
      <c r="AD190" s="22" t="s">
        <v>42</v>
      </c>
      <c r="AE190" s="22"/>
      <c r="AF190" s="22"/>
      <c r="AG190" s="71" t="s">
        <v>1129</v>
      </c>
      <c r="AH190" s="24">
        <v>2</v>
      </c>
      <c r="AI190" s="24">
        <v>3</v>
      </c>
      <c r="AJ190" s="24">
        <v>3</v>
      </c>
      <c r="AK190" s="24">
        <v>1</v>
      </c>
      <c r="AL190" s="24">
        <v>3</v>
      </c>
      <c r="AM190" s="24">
        <v>2</v>
      </c>
      <c r="AN190" s="24">
        <v>108</v>
      </c>
      <c r="AO190" s="22" t="s">
        <v>48</v>
      </c>
      <c r="AP190" s="22"/>
    </row>
    <row r="191" spans="1:42" ht="51" x14ac:dyDescent="0.2">
      <c r="A191" s="22" t="s">
        <v>35</v>
      </c>
      <c r="B191" s="22" t="s">
        <v>858</v>
      </c>
      <c r="C191" s="22"/>
      <c r="D191" s="65" t="s">
        <v>37</v>
      </c>
      <c r="E191" s="88" t="s">
        <v>609</v>
      </c>
      <c r="F191" s="97" t="s">
        <v>903</v>
      </c>
      <c r="G191" s="88"/>
      <c r="H191" s="88"/>
      <c r="I191" s="65" t="s">
        <v>859</v>
      </c>
      <c r="J191" s="22" t="s">
        <v>860</v>
      </c>
      <c r="K191" s="22" t="s">
        <v>63</v>
      </c>
      <c r="L191" s="24">
        <v>2021</v>
      </c>
      <c r="M191" s="24"/>
      <c r="N191" s="38"/>
      <c r="O191" s="39"/>
      <c r="P191" s="27"/>
      <c r="Q191" s="28"/>
      <c r="R191" s="28"/>
      <c r="S191" s="29"/>
      <c r="T191" s="24"/>
      <c r="U191" s="24"/>
      <c r="V191" s="24"/>
      <c r="W191" s="24"/>
      <c r="X191" s="24"/>
      <c r="Y191" s="24"/>
      <c r="Z191" s="22"/>
      <c r="AA191" s="22"/>
      <c r="AB191" s="22"/>
      <c r="AC191" s="22"/>
      <c r="AD191" s="22" t="s">
        <v>42</v>
      </c>
      <c r="AE191" s="22"/>
      <c r="AF191" s="41"/>
      <c r="AG191" s="67"/>
      <c r="AH191" s="24"/>
      <c r="AI191" s="24"/>
      <c r="AJ191" s="24"/>
      <c r="AK191" s="24"/>
      <c r="AL191" s="24"/>
      <c r="AM191" s="24"/>
      <c r="AN191" s="24">
        <v>0</v>
      </c>
      <c r="AO191" s="22"/>
      <c r="AP191" s="69"/>
    </row>
    <row r="192" spans="1:42" ht="51" x14ac:dyDescent="0.2">
      <c r="A192" s="22" t="s">
        <v>35</v>
      </c>
      <c r="B192" s="22" t="s">
        <v>526</v>
      </c>
      <c r="C192" s="22"/>
      <c r="D192" s="22" t="s">
        <v>60</v>
      </c>
      <c r="E192" s="22" t="s">
        <v>609</v>
      </c>
      <c r="F192" s="71" t="s">
        <v>903</v>
      </c>
      <c r="G192" s="22"/>
      <c r="H192" s="22"/>
      <c r="I192" s="22" t="s">
        <v>610</v>
      </c>
      <c r="J192" s="22" t="s">
        <v>611</v>
      </c>
      <c r="K192" s="22" t="s">
        <v>42</v>
      </c>
      <c r="L192" s="24">
        <v>2018</v>
      </c>
      <c r="M192" s="24"/>
      <c r="N192" s="51">
        <v>622</v>
      </c>
      <c r="O192" s="39"/>
      <c r="P192" s="27">
        <f t="shared" ref="P192:P199" si="18">N192*O192</f>
        <v>0</v>
      </c>
      <c r="Q192" s="28"/>
      <c r="R192" s="28">
        <f t="shared" ref="R192:R199" si="19">IF(Q192&lt;4.99,(Q192*12%+4),IF(Q192&lt;10.99,(Q192*12%+8),IF(Q192&lt;14.99,(Q192*12%+12),IF(Q192&lt;879.99,(Q192*12%+16),IF(Q192&lt;2569.99,(Q192*7%+60),240)))))</f>
        <v>4</v>
      </c>
      <c r="S192" s="29">
        <f t="shared" ref="S192:S199" si="20">R192*P192</f>
        <v>0</v>
      </c>
      <c r="T192" s="24"/>
      <c r="U192" s="24"/>
      <c r="V192" s="24"/>
      <c r="W192" s="24"/>
      <c r="X192" s="24"/>
      <c r="Y192" s="24"/>
      <c r="Z192" s="22">
        <v>0</v>
      </c>
      <c r="AA192" s="22"/>
      <c r="AB192" s="22"/>
      <c r="AC192" s="22"/>
      <c r="AD192" s="22" t="s">
        <v>181</v>
      </c>
      <c r="AE192" s="22"/>
      <c r="AF192" s="22"/>
      <c r="AG192" s="71"/>
      <c r="AH192" s="24">
        <v>1</v>
      </c>
      <c r="AI192" s="24">
        <v>2</v>
      </c>
      <c r="AJ192" s="24">
        <v>1</v>
      </c>
      <c r="AK192" s="24">
        <v>3</v>
      </c>
      <c r="AL192" s="24">
        <v>1</v>
      </c>
      <c r="AM192" s="24">
        <v>1</v>
      </c>
      <c r="AN192" s="24">
        <v>6</v>
      </c>
      <c r="AO192" s="22" t="s">
        <v>48</v>
      </c>
      <c r="AP192" s="22"/>
    </row>
    <row r="193" spans="1:42" ht="45" x14ac:dyDescent="0.2">
      <c r="A193" s="53" t="s">
        <v>35</v>
      </c>
      <c r="B193" s="53" t="s">
        <v>263</v>
      </c>
      <c r="C193" s="53"/>
      <c r="D193" s="53" t="s">
        <v>37</v>
      </c>
      <c r="E193" s="53" t="s">
        <v>264</v>
      </c>
      <c r="F193" s="103" t="s">
        <v>944</v>
      </c>
      <c r="G193" s="53"/>
      <c r="H193" s="53"/>
      <c r="I193" s="53" t="s">
        <v>265</v>
      </c>
      <c r="J193" s="53"/>
      <c r="K193" s="53" t="s">
        <v>266</v>
      </c>
      <c r="L193" s="54">
        <v>2019</v>
      </c>
      <c r="M193" s="54"/>
      <c r="N193" s="55">
        <v>2800</v>
      </c>
      <c r="O193" s="56"/>
      <c r="P193" s="57">
        <f t="shared" si="18"/>
        <v>0</v>
      </c>
      <c r="Q193" s="58"/>
      <c r="R193" s="58">
        <f t="shared" si="19"/>
        <v>4</v>
      </c>
      <c r="S193" s="59">
        <f t="shared" si="20"/>
        <v>0</v>
      </c>
      <c r="T193" s="54"/>
      <c r="U193" s="54"/>
      <c r="V193" s="54"/>
      <c r="W193" s="54"/>
      <c r="X193" s="54"/>
      <c r="Y193" s="54"/>
      <c r="Z193" s="53">
        <v>0</v>
      </c>
      <c r="AA193" s="53"/>
      <c r="AB193" s="53"/>
      <c r="AC193" s="53"/>
      <c r="AD193" s="53" t="s">
        <v>42</v>
      </c>
      <c r="AE193" s="53"/>
      <c r="AF193" s="53" t="s">
        <v>70</v>
      </c>
      <c r="AG193" s="74" t="s">
        <v>267</v>
      </c>
      <c r="AH193" s="54">
        <v>2</v>
      </c>
      <c r="AI193" s="54">
        <v>2</v>
      </c>
      <c r="AJ193" s="54">
        <v>1</v>
      </c>
      <c r="AK193" s="54">
        <v>3</v>
      </c>
      <c r="AL193" s="54">
        <v>2</v>
      </c>
      <c r="AM193" s="54">
        <v>1</v>
      </c>
      <c r="AN193" s="54">
        <v>24</v>
      </c>
      <c r="AO193" s="53" t="s">
        <v>45</v>
      </c>
      <c r="AP193" s="53"/>
    </row>
    <row r="194" spans="1:42" ht="38.25" x14ac:dyDescent="0.2">
      <c r="A194" s="30" t="s">
        <v>35</v>
      </c>
      <c r="B194" s="30" t="s">
        <v>389</v>
      </c>
      <c r="C194" s="30"/>
      <c r="D194" s="30" t="s">
        <v>37</v>
      </c>
      <c r="E194" s="30" t="s">
        <v>264</v>
      </c>
      <c r="F194" s="72" t="s">
        <v>944</v>
      </c>
      <c r="G194" s="30"/>
      <c r="H194" s="30"/>
      <c r="I194" s="30" t="s">
        <v>390</v>
      </c>
      <c r="J194" s="30" t="s">
        <v>391</v>
      </c>
      <c r="K194" s="30" t="s">
        <v>266</v>
      </c>
      <c r="L194" s="31">
        <v>2018</v>
      </c>
      <c r="M194" s="31"/>
      <c r="N194" s="32">
        <v>1400</v>
      </c>
      <c r="O194" s="33"/>
      <c r="P194" s="34">
        <f t="shared" si="18"/>
        <v>0</v>
      </c>
      <c r="Q194" s="35"/>
      <c r="R194" s="35">
        <f t="shared" si="19"/>
        <v>4</v>
      </c>
      <c r="S194" s="36">
        <f t="shared" si="20"/>
        <v>0</v>
      </c>
      <c r="T194" s="31"/>
      <c r="U194" s="31"/>
      <c r="V194" s="31"/>
      <c r="W194" s="31"/>
      <c r="X194" s="31"/>
      <c r="Y194" s="31"/>
      <c r="Z194" s="30">
        <v>5000</v>
      </c>
      <c r="AA194" s="30"/>
      <c r="AB194" s="30"/>
      <c r="AC194" s="30"/>
      <c r="AD194" s="30" t="s">
        <v>392</v>
      </c>
      <c r="AE194" s="30"/>
      <c r="AF194" s="30" t="s">
        <v>56</v>
      </c>
      <c r="AG194" s="72" t="s">
        <v>393</v>
      </c>
      <c r="AH194" s="31">
        <v>3</v>
      </c>
      <c r="AI194" s="31">
        <v>1</v>
      </c>
      <c r="AJ194" s="31">
        <v>3</v>
      </c>
      <c r="AK194" s="31">
        <v>3</v>
      </c>
      <c r="AL194" s="31">
        <v>1</v>
      </c>
      <c r="AM194" s="31">
        <v>1</v>
      </c>
      <c r="AN194" s="31">
        <v>27</v>
      </c>
      <c r="AO194" s="30" t="s">
        <v>45</v>
      </c>
      <c r="AP194" s="30"/>
    </row>
    <row r="195" spans="1:42" ht="38.25" x14ac:dyDescent="0.2">
      <c r="A195" s="22" t="s">
        <v>35</v>
      </c>
      <c r="B195" s="22" t="s">
        <v>543</v>
      </c>
      <c r="C195" s="22"/>
      <c r="D195" s="22" t="s">
        <v>37</v>
      </c>
      <c r="E195" s="22" t="s">
        <v>544</v>
      </c>
      <c r="F195" s="71" t="s">
        <v>944</v>
      </c>
      <c r="G195" s="22"/>
      <c r="H195" s="22"/>
      <c r="I195" s="22" t="s">
        <v>545</v>
      </c>
      <c r="J195" s="22" t="s">
        <v>546</v>
      </c>
      <c r="K195" s="22" t="s">
        <v>315</v>
      </c>
      <c r="L195" s="24">
        <v>2020</v>
      </c>
      <c r="M195" s="24"/>
      <c r="N195" s="38">
        <v>76000</v>
      </c>
      <c r="O195" s="39"/>
      <c r="P195" s="27">
        <f t="shared" si="18"/>
        <v>0</v>
      </c>
      <c r="Q195" s="28"/>
      <c r="R195" s="28">
        <f t="shared" si="19"/>
        <v>4</v>
      </c>
      <c r="S195" s="29">
        <f t="shared" si="20"/>
        <v>0</v>
      </c>
      <c r="T195" s="24"/>
      <c r="U195" s="24"/>
      <c r="V195" s="24"/>
      <c r="W195" s="24"/>
      <c r="X195" s="24"/>
      <c r="Y195" s="24"/>
      <c r="Z195" s="22">
        <v>0</v>
      </c>
      <c r="AA195" s="22"/>
      <c r="AB195" s="22"/>
      <c r="AC195" s="22"/>
      <c r="AD195" s="22" t="s">
        <v>42</v>
      </c>
      <c r="AE195" s="22"/>
      <c r="AF195" s="22"/>
      <c r="AG195" s="71" t="s">
        <v>547</v>
      </c>
      <c r="AH195" s="24">
        <v>1</v>
      </c>
      <c r="AI195" s="24">
        <v>3</v>
      </c>
      <c r="AJ195" s="24">
        <v>1</v>
      </c>
      <c r="AK195" s="24">
        <v>3</v>
      </c>
      <c r="AL195" s="24">
        <v>1</v>
      </c>
      <c r="AM195" s="24">
        <v>1</v>
      </c>
      <c r="AN195" s="24">
        <v>9</v>
      </c>
      <c r="AO195" s="22" t="s">
        <v>48</v>
      </c>
      <c r="AP195" s="22"/>
    </row>
    <row r="196" spans="1:42" x14ac:dyDescent="0.2">
      <c r="A196" s="22" t="s">
        <v>86</v>
      </c>
      <c r="B196" s="22" t="s">
        <v>1069</v>
      </c>
      <c r="C196" s="22"/>
      <c r="D196" s="22" t="s">
        <v>37</v>
      </c>
      <c r="E196" s="22" t="s">
        <v>338</v>
      </c>
      <c r="F196" s="98"/>
      <c r="G196" s="22"/>
      <c r="H196" s="22"/>
      <c r="I196" s="22" t="s">
        <v>1070</v>
      </c>
      <c r="J196" s="22"/>
      <c r="K196" s="22" t="s">
        <v>42</v>
      </c>
      <c r="L196" s="24">
        <v>2023</v>
      </c>
      <c r="M196" s="24"/>
      <c r="N196" s="38"/>
      <c r="O196" s="39"/>
      <c r="P196" s="27"/>
      <c r="Q196" s="28"/>
      <c r="R196" s="28"/>
      <c r="S196" s="29"/>
      <c r="T196" s="24"/>
      <c r="U196" s="24"/>
      <c r="V196" s="24"/>
      <c r="W196" s="24"/>
      <c r="X196" s="24"/>
      <c r="Y196" s="24"/>
      <c r="Z196" s="22"/>
      <c r="AA196" s="22"/>
      <c r="AB196" s="22"/>
      <c r="AC196" s="22"/>
      <c r="AD196" s="22"/>
      <c r="AE196" s="22"/>
      <c r="AF196" s="22"/>
      <c r="AG196" s="71"/>
      <c r="AH196" s="24"/>
      <c r="AI196" s="24"/>
      <c r="AJ196" s="24"/>
      <c r="AK196" s="24"/>
      <c r="AL196" s="24"/>
      <c r="AM196" s="24"/>
      <c r="AN196" s="24"/>
      <c r="AO196" s="22"/>
      <c r="AP196" s="22"/>
    </row>
    <row r="197" spans="1:42" ht="51" x14ac:dyDescent="0.2">
      <c r="A197" s="22" t="s">
        <v>58</v>
      </c>
      <c r="B197" s="22" t="s">
        <v>97</v>
      </c>
      <c r="C197" s="22"/>
      <c r="D197" s="22" t="s">
        <v>37</v>
      </c>
      <c r="E197" s="22" t="s">
        <v>237</v>
      </c>
      <c r="F197" s="105" t="s">
        <v>940</v>
      </c>
      <c r="G197" s="22"/>
      <c r="H197" s="22"/>
      <c r="I197" s="22" t="s">
        <v>238</v>
      </c>
      <c r="J197" s="22" t="s">
        <v>239</v>
      </c>
      <c r="K197" s="22" t="s">
        <v>240</v>
      </c>
      <c r="L197" s="24">
        <v>2021</v>
      </c>
      <c r="M197" s="24"/>
      <c r="N197" s="38">
        <f>8500000/10000*1.5</f>
        <v>1275</v>
      </c>
      <c r="O197" s="39"/>
      <c r="P197" s="27">
        <f t="shared" si="18"/>
        <v>0</v>
      </c>
      <c r="Q197" s="28"/>
      <c r="R197" s="28">
        <f t="shared" si="19"/>
        <v>4</v>
      </c>
      <c r="S197" s="29">
        <f t="shared" si="20"/>
        <v>0</v>
      </c>
      <c r="T197" s="24"/>
      <c r="U197" s="24"/>
      <c r="V197" s="24"/>
      <c r="W197" s="24"/>
      <c r="X197" s="24"/>
      <c r="Y197" s="24"/>
      <c r="Z197" s="22"/>
      <c r="AA197" s="22"/>
      <c r="AB197" s="22"/>
      <c r="AC197" s="22"/>
      <c r="AD197" s="22" t="s">
        <v>42</v>
      </c>
      <c r="AE197" s="22" t="s">
        <v>241</v>
      </c>
      <c r="AF197" s="22" t="s">
        <v>227</v>
      </c>
      <c r="AG197" s="71" t="s">
        <v>242</v>
      </c>
      <c r="AH197" s="24">
        <v>1</v>
      </c>
      <c r="AI197" s="24">
        <v>2</v>
      </c>
      <c r="AJ197" s="24">
        <v>1</v>
      </c>
      <c r="AK197" s="24">
        <v>3</v>
      </c>
      <c r="AL197" s="24">
        <v>1</v>
      </c>
      <c r="AM197" s="24">
        <v>2</v>
      </c>
      <c r="AN197" s="24">
        <v>12</v>
      </c>
      <c r="AO197" s="22" t="s">
        <v>48</v>
      </c>
      <c r="AP197" s="22"/>
    </row>
    <row r="198" spans="1:42" ht="38.25" x14ac:dyDescent="0.2">
      <c r="A198" s="22" t="s">
        <v>58</v>
      </c>
      <c r="B198" s="23" t="s">
        <v>97</v>
      </c>
      <c r="C198" s="22"/>
      <c r="D198" s="22" t="s">
        <v>37</v>
      </c>
      <c r="E198" s="22" t="s">
        <v>237</v>
      </c>
      <c r="F198" s="71" t="s">
        <v>940</v>
      </c>
      <c r="G198" s="22"/>
      <c r="H198" s="22"/>
      <c r="I198" s="22" t="s">
        <v>346</v>
      </c>
      <c r="J198" s="22" t="s">
        <v>347</v>
      </c>
      <c r="K198" s="22" t="s">
        <v>63</v>
      </c>
      <c r="L198" s="24">
        <v>2018</v>
      </c>
      <c r="M198" s="24"/>
      <c r="N198" s="38">
        <f>8500000/10000*1.5</f>
        <v>1275</v>
      </c>
      <c r="O198" s="39"/>
      <c r="P198" s="27">
        <f t="shared" si="18"/>
        <v>0</v>
      </c>
      <c r="Q198" s="28"/>
      <c r="R198" s="28">
        <f t="shared" si="19"/>
        <v>4</v>
      </c>
      <c r="S198" s="29">
        <f t="shared" si="20"/>
        <v>0</v>
      </c>
      <c r="T198" s="24"/>
      <c r="U198" s="24"/>
      <c r="V198" s="24"/>
      <c r="W198" s="24"/>
      <c r="X198" s="24"/>
      <c r="Y198" s="24"/>
      <c r="Z198" s="22"/>
      <c r="AA198" s="22"/>
      <c r="AB198" s="22"/>
      <c r="AC198" s="22"/>
      <c r="AD198" s="22" t="s">
        <v>42</v>
      </c>
      <c r="AE198" s="22"/>
      <c r="AF198" s="22" t="s">
        <v>227</v>
      </c>
      <c r="AG198" s="71" t="s">
        <v>348</v>
      </c>
      <c r="AH198" s="24">
        <v>1</v>
      </c>
      <c r="AI198" s="24">
        <v>2</v>
      </c>
      <c r="AJ198" s="24">
        <v>1</v>
      </c>
      <c r="AK198" s="24">
        <v>3</v>
      </c>
      <c r="AL198" s="24">
        <v>2</v>
      </c>
      <c r="AM198" s="24">
        <v>2</v>
      </c>
      <c r="AN198" s="24">
        <v>24</v>
      </c>
      <c r="AO198" s="22" t="s">
        <v>48</v>
      </c>
      <c r="AP198" s="22"/>
    </row>
    <row r="199" spans="1:42" ht="38.25" x14ac:dyDescent="0.2">
      <c r="A199" s="22" t="s">
        <v>58</v>
      </c>
      <c r="B199" s="22" t="s">
        <v>620</v>
      </c>
      <c r="C199" s="22"/>
      <c r="D199" s="22" t="s">
        <v>98</v>
      </c>
      <c r="E199" s="22" t="s">
        <v>621</v>
      </c>
      <c r="F199" s="71" t="s">
        <v>895</v>
      </c>
      <c r="G199" s="95"/>
      <c r="H199" s="22"/>
      <c r="I199" s="22" t="s">
        <v>622</v>
      </c>
      <c r="J199" s="22"/>
      <c r="K199" s="22" t="s">
        <v>623</v>
      </c>
      <c r="L199" s="24">
        <v>2021</v>
      </c>
      <c r="M199" s="24"/>
      <c r="N199" s="38">
        <f>16*8</f>
        <v>128</v>
      </c>
      <c r="O199" s="39"/>
      <c r="P199" s="27">
        <f t="shared" si="18"/>
        <v>0</v>
      </c>
      <c r="Q199" s="28"/>
      <c r="R199" s="28">
        <f t="shared" si="19"/>
        <v>4</v>
      </c>
      <c r="S199" s="29">
        <f t="shared" si="20"/>
        <v>0</v>
      </c>
      <c r="T199" s="24"/>
      <c r="U199" s="24"/>
      <c r="V199" s="24"/>
      <c r="W199" s="24"/>
      <c r="X199" s="24"/>
      <c r="Y199" s="24"/>
      <c r="Z199" s="22">
        <v>0</v>
      </c>
      <c r="AA199" s="22"/>
      <c r="AB199" s="22"/>
      <c r="AC199" s="22"/>
      <c r="AD199" s="22" t="s">
        <v>64</v>
      </c>
      <c r="AE199" s="22"/>
      <c r="AF199" s="22"/>
      <c r="AG199" s="71" t="s">
        <v>624</v>
      </c>
      <c r="AH199" s="24">
        <v>1</v>
      </c>
      <c r="AI199" s="24">
        <v>1</v>
      </c>
      <c r="AJ199" s="24">
        <v>1</v>
      </c>
      <c r="AK199" s="24">
        <v>3</v>
      </c>
      <c r="AL199" s="24">
        <v>1</v>
      </c>
      <c r="AM199" s="24">
        <v>2</v>
      </c>
      <c r="AN199" s="24">
        <v>6</v>
      </c>
      <c r="AO199" s="22" t="s">
        <v>48</v>
      </c>
      <c r="AP199" s="22"/>
    </row>
    <row r="200" spans="1:42" ht="38.25" x14ac:dyDescent="0.2">
      <c r="A200" s="22" t="s">
        <v>86</v>
      </c>
      <c r="B200" s="22" t="s">
        <v>861</v>
      </c>
      <c r="C200" s="22"/>
      <c r="D200" s="65"/>
      <c r="E200" s="88" t="s">
        <v>862</v>
      </c>
      <c r="F200" s="77"/>
      <c r="G200" s="88"/>
      <c r="H200" s="78" t="s">
        <v>902</v>
      </c>
      <c r="I200" s="65" t="s">
        <v>863</v>
      </c>
      <c r="J200" s="22" t="s">
        <v>864</v>
      </c>
      <c r="K200" s="22" t="s">
        <v>42</v>
      </c>
      <c r="L200" s="24">
        <v>2022</v>
      </c>
      <c r="M200" s="24"/>
      <c r="N200" s="38"/>
      <c r="O200" s="39"/>
      <c r="P200" s="27"/>
      <c r="Q200" s="28"/>
      <c r="R200" s="28"/>
      <c r="S200" s="29"/>
      <c r="T200" s="24"/>
      <c r="U200" s="24"/>
      <c r="V200" s="24"/>
      <c r="W200" s="24"/>
      <c r="X200" s="24"/>
      <c r="Y200" s="24"/>
      <c r="Z200" s="22"/>
      <c r="AA200" s="22"/>
      <c r="AB200" s="22"/>
      <c r="AC200" s="22"/>
      <c r="AD200" s="22" t="s">
        <v>42</v>
      </c>
      <c r="AE200" s="22"/>
      <c r="AF200" s="41"/>
      <c r="AG200" s="67" t="s">
        <v>865</v>
      </c>
      <c r="AH200" s="24"/>
      <c r="AI200" s="24"/>
      <c r="AJ200" s="24"/>
      <c r="AK200" s="24"/>
      <c r="AL200" s="24"/>
      <c r="AM200" s="24"/>
      <c r="AN200" s="24">
        <v>0</v>
      </c>
      <c r="AO200" s="22"/>
      <c r="AP200" s="69"/>
    </row>
    <row r="201" spans="1:42" ht="38.25" x14ac:dyDescent="0.2">
      <c r="A201" s="22" t="s">
        <v>58</v>
      </c>
      <c r="B201" s="23" t="s">
        <v>165</v>
      </c>
      <c r="C201" s="22"/>
      <c r="D201" s="22" t="s">
        <v>37</v>
      </c>
      <c r="E201" s="22" t="s">
        <v>862</v>
      </c>
      <c r="F201" s="22"/>
      <c r="G201" s="22"/>
      <c r="H201" s="71" t="s">
        <v>902</v>
      </c>
      <c r="I201" s="22" t="s">
        <v>166</v>
      </c>
      <c r="J201" s="22" t="s">
        <v>167</v>
      </c>
      <c r="K201" s="22" t="s">
        <v>168</v>
      </c>
      <c r="L201" s="24">
        <v>2020</v>
      </c>
      <c r="M201" s="24"/>
      <c r="N201" s="25">
        <f>8500000/100000</f>
        <v>85</v>
      </c>
      <c r="O201" s="26"/>
      <c r="P201" s="27">
        <f>N201*O201</f>
        <v>0</v>
      </c>
      <c r="Q201" s="28"/>
      <c r="R201" s="28">
        <f>IF(Q201&lt;4.99,(Q201*12%+4),IF(Q201&lt;10.99,(Q201*12%+8),IF(Q201&lt;14.99,(Q201*12%+12),IF(Q201&lt;879.99,(Q201*12%+16),IF(Q201&lt;2569.99,(Q201*7%+60),240)))))</f>
        <v>4</v>
      </c>
      <c r="S201" s="29">
        <f>R201*P201</f>
        <v>0</v>
      </c>
      <c r="T201" s="24"/>
      <c r="U201" s="24"/>
      <c r="V201" s="24"/>
      <c r="W201" s="24"/>
      <c r="X201" s="24"/>
      <c r="Y201" s="24"/>
      <c r="Z201" s="22"/>
      <c r="AA201" s="22"/>
      <c r="AB201" s="22"/>
      <c r="AC201" s="22"/>
      <c r="AD201" s="22" t="s">
        <v>64</v>
      </c>
      <c r="AE201" s="22"/>
      <c r="AF201" s="22"/>
      <c r="AG201" s="71"/>
      <c r="AH201" s="24">
        <v>1</v>
      </c>
      <c r="AI201" s="24">
        <v>1</v>
      </c>
      <c r="AJ201" s="24">
        <v>2</v>
      </c>
      <c r="AK201" s="24">
        <v>3</v>
      </c>
      <c r="AL201" s="24">
        <v>1</v>
      </c>
      <c r="AM201" s="24">
        <v>1</v>
      </c>
      <c r="AN201" s="24">
        <v>6</v>
      </c>
      <c r="AO201" s="22" t="s">
        <v>48</v>
      </c>
      <c r="AP201" s="22"/>
    </row>
    <row r="202" spans="1:42" ht="38.25" x14ac:dyDescent="0.2">
      <c r="A202" s="22" t="s">
        <v>35</v>
      </c>
      <c r="B202" s="22"/>
      <c r="C202" s="22"/>
      <c r="D202" s="22" t="s">
        <v>37</v>
      </c>
      <c r="E202" s="22" t="s">
        <v>862</v>
      </c>
      <c r="F202" s="22"/>
      <c r="G202" s="22"/>
      <c r="H202" s="71" t="s">
        <v>902</v>
      </c>
      <c r="I202" s="22" t="s">
        <v>563</v>
      </c>
      <c r="J202" s="22" t="s">
        <v>167</v>
      </c>
      <c r="K202" s="22" t="s">
        <v>42</v>
      </c>
      <c r="L202" s="24">
        <v>2021</v>
      </c>
      <c r="M202" s="24"/>
      <c r="N202" s="38"/>
      <c r="O202" s="39"/>
      <c r="P202" s="24"/>
      <c r="Q202" s="28"/>
      <c r="R202" s="24"/>
      <c r="S202" s="24"/>
      <c r="T202" s="24"/>
      <c r="U202" s="24"/>
      <c r="V202" s="24"/>
      <c r="W202" s="24"/>
      <c r="X202" s="24"/>
      <c r="Y202" s="24"/>
      <c r="Z202" s="22"/>
      <c r="AA202" s="22"/>
      <c r="AB202" s="22"/>
      <c r="AC202" s="22"/>
      <c r="AD202" s="22"/>
      <c r="AE202" s="22"/>
      <c r="AF202" s="22"/>
      <c r="AG202" s="71" t="s">
        <v>564</v>
      </c>
      <c r="AH202" s="24"/>
      <c r="AI202" s="24"/>
      <c r="AJ202" s="24"/>
      <c r="AK202" s="24"/>
      <c r="AL202" s="24"/>
      <c r="AM202" s="24"/>
      <c r="AN202" s="24"/>
      <c r="AO202" s="22"/>
      <c r="AP202" s="22"/>
    </row>
    <row r="203" spans="1:42" ht="38.25" x14ac:dyDescent="0.2">
      <c r="A203" s="22" t="s">
        <v>58</v>
      </c>
      <c r="B203" s="22" t="s">
        <v>625</v>
      </c>
      <c r="C203" s="22"/>
      <c r="D203" s="22" t="s">
        <v>37</v>
      </c>
      <c r="E203" s="22" t="s">
        <v>665</v>
      </c>
      <c r="F203" s="22"/>
      <c r="G203" s="95"/>
      <c r="H203" s="97" t="s">
        <v>987</v>
      </c>
      <c r="I203" s="22" t="s">
        <v>666</v>
      </c>
      <c r="J203" s="22"/>
      <c r="K203" s="22" t="s">
        <v>64</v>
      </c>
      <c r="L203" s="24">
        <v>2022</v>
      </c>
      <c r="M203" s="24"/>
      <c r="N203" s="51">
        <f>8500000/1000000*4</f>
        <v>34</v>
      </c>
      <c r="O203" s="39"/>
      <c r="P203" s="27">
        <f>N203*O203</f>
        <v>0</v>
      </c>
      <c r="Q203" s="28"/>
      <c r="R203" s="28">
        <f>IF(Q203&lt;4.99,(Q203*12%+4),IF(Q203&lt;10.99,(Q203*12%+8),IF(Q203&lt;14.99,(Q203*12%+12),IF(Q203&lt;879.99,(Q203*12%+16),IF(Q203&lt;2569.99,(Q203*7%+60),240)))))</f>
        <v>4</v>
      </c>
      <c r="S203" s="29">
        <f>R203*P203</f>
        <v>0</v>
      </c>
      <c r="T203" s="24"/>
      <c r="U203" s="24"/>
      <c r="V203" s="24"/>
      <c r="W203" s="24"/>
      <c r="X203" s="24"/>
      <c r="Y203" s="24"/>
      <c r="Z203" s="22"/>
      <c r="AA203" s="22"/>
      <c r="AB203" s="22"/>
      <c r="AC203" s="22"/>
      <c r="AD203" s="22" t="s">
        <v>64</v>
      </c>
      <c r="AE203" s="22"/>
      <c r="AF203" s="22"/>
      <c r="AG203" s="71" t="s">
        <v>667</v>
      </c>
      <c r="AH203" s="24">
        <v>1</v>
      </c>
      <c r="AI203" s="24">
        <v>2</v>
      </c>
      <c r="AJ203" s="24">
        <v>1</v>
      </c>
      <c r="AK203" s="24">
        <v>2</v>
      </c>
      <c r="AL203" s="24">
        <v>1</v>
      </c>
      <c r="AM203" s="24">
        <v>2</v>
      </c>
      <c r="AN203" s="24">
        <v>8</v>
      </c>
      <c r="AO203" s="22" t="s">
        <v>48</v>
      </c>
      <c r="AP203" s="22"/>
    </row>
    <row r="204" spans="1:42" x14ac:dyDescent="0.2">
      <c r="A204" s="22" t="s">
        <v>49</v>
      </c>
      <c r="B204" s="22" t="s">
        <v>1018</v>
      </c>
      <c r="C204" s="22"/>
      <c r="D204" s="22" t="s">
        <v>51</v>
      </c>
      <c r="E204" s="22" t="s">
        <v>138</v>
      </c>
      <c r="F204" s="22"/>
      <c r="G204" s="95"/>
      <c r="H204" s="97"/>
      <c r="I204" s="22" t="s">
        <v>1019</v>
      </c>
      <c r="J204" s="22" t="s">
        <v>1131</v>
      </c>
      <c r="K204" s="22" t="s">
        <v>42</v>
      </c>
      <c r="L204" s="24">
        <v>2022</v>
      </c>
      <c r="M204" s="24"/>
      <c r="N204" s="51"/>
      <c r="O204" s="39"/>
      <c r="P204" s="27">
        <v>10</v>
      </c>
      <c r="Q204" s="28">
        <v>1200</v>
      </c>
      <c r="R204" s="28">
        <v>120</v>
      </c>
      <c r="S204" s="29">
        <f>P204*Q204*3</f>
        <v>36000</v>
      </c>
      <c r="T204" s="24"/>
      <c r="U204" s="24"/>
      <c r="V204" s="24"/>
      <c r="W204" s="24"/>
      <c r="X204" s="24"/>
      <c r="Y204" s="24"/>
      <c r="Z204" s="22">
        <v>30000</v>
      </c>
      <c r="AA204" s="22">
        <v>0</v>
      </c>
      <c r="AB204" s="22"/>
      <c r="AC204" s="22"/>
      <c r="AD204" s="22" t="s">
        <v>645</v>
      </c>
      <c r="AE204" s="22"/>
      <c r="AF204" s="22"/>
      <c r="AG204" s="71"/>
      <c r="AH204" s="24"/>
      <c r="AI204" s="24"/>
      <c r="AJ204" s="24"/>
      <c r="AK204" s="24"/>
      <c r="AL204" s="24"/>
      <c r="AM204" s="24"/>
      <c r="AN204" s="24"/>
      <c r="AO204" s="22"/>
      <c r="AP204" s="22"/>
    </row>
    <row r="205" spans="1:42" ht="38.25" x14ac:dyDescent="0.2">
      <c r="A205" s="22" t="s">
        <v>72</v>
      </c>
      <c r="B205" s="22" t="s">
        <v>184</v>
      </c>
      <c r="C205" s="22"/>
      <c r="D205" s="65" t="s">
        <v>98</v>
      </c>
      <c r="E205" s="88" t="s">
        <v>138</v>
      </c>
      <c r="F205" s="97" t="s">
        <v>901</v>
      </c>
      <c r="G205" s="77"/>
      <c r="H205" s="88"/>
      <c r="I205" s="65" t="s">
        <v>866</v>
      </c>
      <c r="J205" s="22"/>
      <c r="K205" s="22" t="s">
        <v>42</v>
      </c>
      <c r="L205" s="24">
        <v>2023</v>
      </c>
      <c r="M205" s="24"/>
      <c r="N205" s="38"/>
      <c r="O205" s="39"/>
      <c r="P205" s="27"/>
      <c r="Q205" s="28"/>
      <c r="R205" s="28"/>
      <c r="S205" s="29"/>
      <c r="T205" s="24"/>
      <c r="U205" s="24"/>
      <c r="V205" s="24"/>
      <c r="W205" s="24"/>
      <c r="X205" s="24"/>
      <c r="Y205" s="24"/>
      <c r="Z205" s="22"/>
      <c r="AA205" s="22"/>
      <c r="AB205" s="22"/>
      <c r="AC205" s="22"/>
      <c r="AD205" s="22" t="s">
        <v>42</v>
      </c>
      <c r="AE205" s="22"/>
      <c r="AF205" s="41"/>
      <c r="AG205" s="68" t="s">
        <v>869</v>
      </c>
      <c r="AH205" s="24">
        <v>2</v>
      </c>
      <c r="AI205" s="24">
        <v>3</v>
      </c>
      <c r="AJ205" s="24">
        <v>3</v>
      </c>
      <c r="AK205" s="24">
        <v>3</v>
      </c>
      <c r="AL205" s="24">
        <v>1</v>
      </c>
      <c r="AM205" s="24">
        <v>3</v>
      </c>
      <c r="AN205" s="24">
        <v>162</v>
      </c>
      <c r="AO205" s="22" t="s">
        <v>48</v>
      </c>
      <c r="AP205" s="69"/>
    </row>
    <row r="206" spans="1:42" ht="38.25" x14ac:dyDescent="0.2">
      <c r="A206" s="13" t="s">
        <v>58</v>
      </c>
      <c r="B206" s="13" t="s">
        <v>137</v>
      </c>
      <c r="C206" s="13"/>
      <c r="D206" s="13" t="s">
        <v>37</v>
      </c>
      <c r="E206" s="13" t="s">
        <v>138</v>
      </c>
      <c r="F206" s="70" t="s">
        <v>901</v>
      </c>
      <c r="G206" s="13"/>
      <c r="H206" s="13"/>
      <c r="I206" s="13" t="s">
        <v>139</v>
      </c>
      <c r="J206" s="13"/>
      <c r="K206" s="13" t="s">
        <v>42</v>
      </c>
      <c r="L206" s="14">
        <v>2021</v>
      </c>
      <c r="M206" s="14"/>
      <c r="N206" s="15">
        <f>85000/10000</f>
        <v>8.5</v>
      </c>
      <c r="O206" s="16"/>
      <c r="P206" s="17">
        <f>N206*O206</f>
        <v>0</v>
      </c>
      <c r="Q206" s="18"/>
      <c r="R206" s="18">
        <f>IF(Q206&lt;4.99,(Q206*12%+4),IF(Q206&lt;10.99,(Q206*12%+8),IF(Q206&lt;14.99,(Q206*12%+12),IF(Q206&lt;879.99,(Q206*12%+16),IF(Q206&lt;2569.99,(Q206*7%+60),240)))))</f>
        <v>4</v>
      </c>
      <c r="S206" s="19">
        <f>R206*P206</f>
        <v>0</v>
      </c>
      <c r="T206" s="14"/>
      <c r="U206" s="14"/>
      <c r="V206" s="14"/>
      <c r="W206" s="14"/>
      <c r="X206" s="14"/>
      <c r="Y206" s="14"/>
      <c r="Z206" s="13">
        <v>5000</v>
      </c>
      <c r="AA206" s="13"/>
      <c r="AB206" s="13"/>
      <c r="AC206" s="13"/>
      <c r="AD206" s="13" t="s">
        <v>42</v>
      </c>
      <c r="AE206" s="13"/>
      <c r="AF206" s="13"/>
      <c r="AG206" s="70" t="s">
        <v>140</v>
      </c>
      <c r="AH206" s="14">
        <v>2</v>
      </c>
      <c r="AI206" s="14">
        <v>1</v>
      </c>
      <c r="AJ206" s="14">
        <v>3</v>
      </c>
      <c r="AK206" s="14">
        <v>3</v>
      </c>
      <c r="AL206" s="14">
        <v>1</v>
      </c>
      <c r="AM206" s="14">
        <v>2</v>
      </c>
      <c r="AN206" s="14">
        <v>36</v>
      </c>
      <c r="AO206" s="13" t="s">
        <v>45</v>
      </c>
      <c r="AP206" s="20">
        <v>43466</v>
      </c>
    </row>
    <row r="207" spans="1:42" ht="38.25" x14ac:dyDescent="0.2">
      <c r="A207" s="13" t="s">
        <v>58</v>
      </c>
      <c r="B207" s="13" t="s">
        <v>162</v>
      </c>
      <c r="C207" s="13"/>
      <c r="D207" s="13" t="s">
        <v>98</v>
      </c>
      <c r="E207" s="13" t="s">
        <v>138</v>
      </c>
      <c r="F207" s="101" t="s">
        <v>901</v>
      </c>
      <c r="G207" s="13"/>
      <c r="H207" s="13"/>
      <c r="I207" s="13" t="s">
        <v>163</v>
      </c>
      <c r="J207" s="13"/>
      <c r="K207" s="13" t="s">
        <v>42</v>
      </c>
      <c r="L207" s="14">
        <v>2020</v>
      </c>
      <c r="M207" s="14"/>
      <c r="N207" s="15"/>
      <c r="O207" s="16"/>
      <c r="P207" s="17"/>
      <c r="Q207" s="18"/>
      <c r="R207" s="18"/>
      <c r="S207" s="19"/>
      <c r="T207" s="14"/>
      <c r="U207" s="14"/>
      <c r="V207" s="14"/>
      <c r="W207" s="14"/>
      <c r="X207" s="14"/>
      <c r="Y207" s="14"/>
      <c r="Z207" s="13"/>
      <c r="AA207" s="13"/>
      <c r="AB207" s="13"/>
      <c r="AC207" s="13"/>
      <c r="AD207" s="13"/>
      <c r="AE207" s="13"/>
      <c r="AF207" s="20"/>
      <c r="AG207" s="70" t="s">
        <v>164</v>
      </c>
      <c r="AH207" s="14">
        <v>2</v>
      </c>
      <c r="AI207" s="14">
        <v>2</v>
      </c>
      <c r="AJ207" s="14">
        <v>3</v>
      </c>
      <c r="AK207" s="14">
        <v>1</v>
      </c>
      <c r="AL207" s="14">
        <v>3</v>
      </c>
      <c r="AM207" s="14">
        <v>2</v>
      </c>
      <c r="AN207" s="14">
        <f>AH207*AI207*AJ207*AK207*AL207*AM207</f>
        <v>72</v>
      </c>
      <c r="AO207" s="13" t="s">
        <v>45</v>
      </c>
      <c r="AP207" s="20">
        <v>43983</v>
      </c>
    </row>
    <row r="208" spans="1:42" ht="38.25" x14ac:dyDescent="0.2">
      <c r="A208" s="30" t="s">
        <v>35</v>
      </c>
      <c r="B208" s="30" t="s">
        <v>198</v>
      </c>
      <c r="C208" s="30"/>
      <c r="D208" s="30" t="s">
        <v>37</v>
      </c>
      <c r="E208" s="30" t="s">
        <v>138</v>
      </c>
      <c r="F208" s="72" t="s">
        <v>901</v>
      </c>
      <c r="G208" s="30"/>
      <c r="H208" s="30"/>
      <c r="I208" s="30" t="s">
        <v>199</v>
      </c>
      <c r="J208" s="30" t="s">
        <v>200</v>
      </c>
      <c r="K208" s="30" t="s">
        <v>201</v>
      </c>
      <c r="L208" s="31">
        <v>2016</v>
      </c>
      <c r="M208" s="31"/>
      <c r="N208" s="32">
        <v>4400</v>
      </c>
      <c r="O208" s="33"/>
      <c r="P208" s="34">
        <f>N208*O208</f>
        <v>0</v>
      </c>
      <c r="Q208" s="35"/>
      <c r="R208" s="35">
        <f>IF(Q208&lt;4.99,(Q208*12%+4),IF(Q208&lt;10.99,(Q208*12%+8),IF(Q208&lt;14.99,(Q208*12%+12),IF(Q208&lt;879.99,(Q208*12%+16),IF(Q208&lt;2569.99,(Q208*7%+60),240)))))</f>
        <v>4</v>
      </c>
      <c r="S208" s="36">
        <f>R208*P208</f>
        <v>0</v>
      </c>
      <c r="T208" s="31"/>
      <c r="U208" s="31"/>
      <c r="V208" s="31"/>
      <c r="W208" s="31"/>
      <c r="X208" s="31"/>
      <c r="Y208" s="31"/>
      <c r="Z208" s="30"/>
      <c r="AA208" s="30"/>
      <c r="AB208" s="30"/>
      <c r="AC208" s="30"/>
      <c r="AD208" s="30" t="s">
        <v>201</v>
      </c>
      <c r="AE208" s="30" t="s">
        <v>202</v>
      </c>
      <c r="AF208" s="30" t="s">
        <v>132</v>
      </c>
      <c r="AG208" s="72"/>
      <c r="AH208" s="31">
        <v>1</v>
      </c>
      <c r="AI208" s="31">
        <v>2</v>
      </c>
      <c r="AJ208" s="31">
        <v>3</v>
      </c>
      <c r="AK208" s="31">
        <v>3</v>
      </c>
      <c r="AL208" s="31">
        <v>1</v>
      </c>
      <c r="AM208" s="31">
        <v>2</v>
      </c>
      <c r="AN208" s="31">
        <v>36</v>
      </c>
      <c r="AO208" s="30"/>
      <c r="AP208" s="30"/>
    </row>
    <row r="209" spans="1:42" ht="38.25" x14ac:dyDescent="0.2">
      <c r="A209" s="22" t="s">
        <v>72</v>
      </c>
      <c r="B209" s="22" t="s">
        <v>184</v>
      </c>
      <c r="C209" s="22"/>
      <c r="D209" s="22" t="s">
        <v>98</v>
      </c>
      <c r="E209" s="22" t="s">
        <v>138</v>
      </c>
      <c r="F209" s="71" t="s">
        <v>901</v>
      </c>
      <c r="G209" s="22"/>
      <c r="H209" s="22"/>
      <c r="I209" s="22" t="s">
        <v>326</v>
      </c>
      <c r="J209" s="22"/>
      <c r="K209" s="22" t="s">
        <v>42</v>
      </c>
      <c r="L209" s="24">
        <v>2022</v>
      </c>
      <c r="M209" s="24"/>
      <c r="N209" s="38">
        <f>150000*2/3</f>
        <v>100000</v>
      </c>
      <c r="O209" s="39"/>
      <c r="P209" s="27">
        <f>N209*O209</f>
        <v>0</v>
      </c>
      <c r="Q209" s="28"/>
      <c r="R209" s="28">
        <f>IF(Q209&lt;4.99,(Q209*12%+4),IF(Q209&lt;10.99,(Q209*12%+8),IF(Q209&lt;14.99,(Q209*12%+12),IF(Q209&lt;879.99,(Q209*12%+16),IF(Q209&lt;2569.99,(Q209*7%+60),240)))))</f>
        <v>4</v>
      </c>
      <c r="S209" s="29">
        <f>R209*P209</f>
        <v>0</v>
      </c>
      <c r="T209" s="24"/>
      <c r="U209" s="24"/>
      <c r="V209" s="24"/>
      <c r="W209" s="24"/>
      <c r="X209" s="24"/>
      <c r="Y209" s="24"/>
      <c r="Z209" s="22"/>
      <c r="AA209" s="22"/>
      <c r="AB209" s="22"/>
      <c r="AC209" s="22"/>
      <c r="AD209" s="22" t="s">
        <v>42</v>
      </c>
      <c r="AE209" s="22"/>
      <c r="AF209" s="22" t="s">
        <v>129</v>
      </c>
      <c r="AG209" s="71" t="s">
        <v>327</v>
      </c>
      <c r="AH209" s="24">
        <v>2</v>
      </c>
      <c r="AI209" s="24">
        <v>3</v>
      </c>
      <c r="AJ209" s="24">
        <v>3</v>
      </c>
      <c r="AK209" s="24">
        <v>3</v>
      </c>
      <c r="AL209" s="24">
        <v>1</v>
      </c>
      <c r="AM209" s="24">
        <v>3</v>
      </c>
      <c r="AN209" s="24">
        <v>162</v>
      </c>
      <c r="AO209" s="22" t="s">
        <v>48</v>
      </c>
      <c r="AP209" s="22"/>
    </row>
    <row r="210" spans="1:42" ht="38.25" x14ac:dyDescent="0.2">
      <c r="A210" s="22" t="s">
        <v>86</v>
      </c>
      <c r="B210" s="22" t="s">
        <v>415</v>
      </c>
      <c r="C210" s="22"/>
      <c r="D210" s="22" t="s">
        <v>98</v>
      </c>
      <c r="E210" s="22" t="s">
        <v>138</v>
      </c>
      <c r="F210" s="71" t="s">
        <v>901</v>
      </c>
      <c r="G210" s="22"/>
      <c r="H210" s="22"/>
      <c r="I210" s="22" t="s">
        <v>416</v>
      </c>
      <c r="J210" s="22"/>
      <c r="K210" s="22" t="s">
        <v>42</v>
      </c>
      <c r="L210" s="24">
        <v>2021</v>
      </c>
      <c r="M210" s="24"/>
      <c r="N210" s="38">
        <f>8500000/1000</f>
        <v>8500</v>
      </c>
      <c r="O210" s="39"/>
      <c r="P210" s="27">
        <f>N210*O210</f>
        <v>0</v>
      </c>
      <c r="Q210" s="28"/>
      <c r="R210" s="28">
        <f>IF(Q210&lt;4.99,(Q210*12%+4),IF(Q210&lt;10.99,(Q210*12%+8),IF(Q210&lt;14.99,(Q210*12%+12),IF(Q210&lt;879.99,(Q210*12%+16),IF(Q210&lt;2569.99,(Q210*7%+60),240)))))</f>
        <v>4</v>
      </c>
      <c r="S210" s="29">
        <f>R210*P210</f>
        <v>0</v>
      </c>
      <c r="T210" s="24"/>
      <c r="U210" s="24"/>
      <c r="V210" s="24"/>
      <c r="W210" s="24"/>
      <c r="X210" s="24"/>
      <c r="Y210" s="24"/>
      <c r="Z210" s="22"/>
      <c r="AA210" s="22"/>
      <c r="AB210" s="22"/>
      <c r="AC210" s="22"/>
      <c r="AD210" s="22" t="s">
        <v>42</v>
      </c>
      <c r="AE210" s="22"/>
      <c r="AF210" s="22"/>
      <c r="AG210" s="71" t="s">
        <v>417</v>
      </c>
      <c r="AH210" s="24">
        <v>1</v>
      </c>
      <c r="AI210" s="24">
        <v>3</v>
      </c>
      <c r="AJ210" s="24">
        <v>3</v>
      </c>
      <c r="AK210" s="24">
        <v>1</v>
      </c>
      <c r="AL210" s="24">
        <v>2</v>
      </c>
      <c r="AM210" s="24">
        <v>2</v>
      </c>
      <c r="AN210" s="24">
        <v>36</v>
      </c>
      <c r="AO210" s="22" t="s">
        <v>48</v>
      </c>
      <c r="AP210" s="22"/>
    </row>
    <row r="211" spans="1:42" ht="38.25" x14ac:dyDescent="0.2">
      <c r="A211" s="22" t="s">
        <v>35</v>
      </c>
      <c r="B211" s="23" t="s">
        <v>612</v>
      </c>
      <c r="C211" s="22"/>
      <c r="D211" s="22" t="s">
        <v>60</v>
      </c>
      <c r="E211" s="22" t="s">
        <v>138</v>
      </c>
      <c r="F211" s="71" t="s">
        <v>901</v>
      </c>
      <c r="G211" s="22"/>
      <c r="H211" s="22"/>
      <c r="I211" s="22" t="s">
        <v>613</v>
      </c>
      <c r="J211" s="22" t="s">
        <v>614</v>
      </c>
      <c r="K211" s="22" t="s">
        <v>42</v>
      </c>
      <c r="L211" s="24">
        <v>2020</v>
      </c>
      <c r="M211" s="24"/>
      <c r="N211" s="25">
        <f>8500000/10000*2.5</f>
        <v>2125</v>
      </c>
      <c r="O211" s="26"/>
      <c r="P211" s="27">
        <f>N211*O211</f>
        <v>0</v>
      </c>
      <c r="Q211" s="28"/>
      <c r="R211" s="28">
        <f>IF(Q211&lt;4.99,(Q211*12%+4),IF(Q211&lt;10.99,(Q211*12%+8),IF(Q211&lt;14.99,(Q211*12%+12),IF(Q211&lt;879.99,(Q211*12%+16),IF(Q211&lt;2569.99,(Q211*7%+60),240)))))</f>
        <v>4</v>
      </c>
      <c r="S211" s="29">
        <f>R211*P211</f>
        <v>0</v>
      </c>
      <c r="T211" s="24"/>
      <c r="U211" s="24"/>
      <c r="V211" s="24"/>
      <c r="W211" s="24"/>
      <c r="X211" s="24"/>
      <c r="Y211" s="24"/>
      <c r="Z211" s="22"/>
      <c r="AA211" s="22"/>
      <c r="AB211" s="22"/>
      <c r="AC211" s="22"/>
      <c r="AD211" s="22" t="s">
        <v>42</v>
      </c>
      <c r="AE211" s="22"/>
      <c r="AF211" s="22"/>
      <c r="AG211" s="71" t="s">
        <v>615</v>
      </c>
      <c r="AH211" s="24">
        <v>2</v>
      </c>
      <c r="AI211" s="24">
        <v>1</v>
      </c>
      <c r="AJ211" s="24">
        <v>3</v>
      </c>
      <c r="AK211" s="24">
        <v>2</v>
      </c>
      <c r="AL211" s="24">
        <v>1</v>
      </c>
      <c r="AM211" s="24">
        <v>1</v>
      </c>
      <c r="AN211" s="24">
        <v>12</v>
      </c>
      <c r="AO211" s="22" t="s">
        <v>45</v>
      </c>
      <c r="AP211" s="40">
        <v>43617</v>
      </c>
    </row>
    <row r="212" spans="1:42" ht="38.25" x14ac:dyDescent="0.2">
      <c r="A212" s="22" t="s">
        <v>72</v>
      </c>
      <c r="B212" s="22" t="s">
        <v>271</v>
      </c>
      <c r="C212" s="22"/>
      <c r="D212" s="22" t="s">
        <v>60</v>
      </c>
      <c r="E212" s="22" t="s">
        <v>272</v>
      </c>
      <c r="F212" s="22"/>
      <c r="G212" s="22"/>
      <c r="H212" s="65" t="s">
        <v>945</v>
      </c>
      <c r="I212" s="22" t="s">
        <v>273</v>
      </c>
      <c r="J212" s="22" t="s">
        <v>274</v>
      </c>
      <c r="K212" s="22" t="s">
        <v>63</v>
      </c>
      <c r="L212" s="24">
        <v>2020</v>
      </c>
      <c r="M212" s="24"/>
      <c r="N212" s="38">
        <v>13000</v>
      </c>
      <c r="O212" s="39"/>
      <c r="P212" s="27">
        <f>N212*O212</f>
        <v>0</v>
      </c>
      <c r="Q212" s="28"/>
      <c r="R212" s="28">
        <f>IF(Q212&lt;4.99,(Q212*12%+4),IF(Q212&lt;10.99,(Q212*12%+8),IF(Q212&lt;14.99,(Q212*12%+12),IF(Q212&lt;879.99,(Q212*12%+16),IF(Q212&lt;2569.99,(Q212*7%+60),240)))))</f>
        <v>4</v>
      </c>
      <c r="S212" s="29">
        <f>R212*P212</f>
        <v>0</v>
      </c>
      <c r="T212" s="24"/>
      <c r="U212" s="24"/>
      <c r="V212" s="24"/>
      <c r="W212" s="24"/>
      <c r="X212" s="24"/>
      <c r="Y212" s="24"/>
      <c r="Z212" s="22"/>
      <c r="AA212" s="22"/>
      <c r="AB212" s="22"/>
      <c r="AC212" s="22"/>
      <c r="AD212" s="22" t="s">
        <v>42</v>
      </c>
      <c r="AE212" s="22"/>
      <c r="AF212" s="22"/>
      <c r="AG212" s="71" t="s">
        <v>275</v>
      </c>
      <c r="AH212" s="24">
        <v>1</v>
      </c>
      <c r="AI212" s="24">
        <v>2</v>
      </c>
      <c r="AJ212" s="24">
        <v>1</v>
      </c>
      <c r="AK212" s="24">
        <v>3</v>
      </c>
      <c r="AL212" s="24">
        <v>1</v>
      </c>
      <c r="AM212" s="24">
        <v>2</v>
      </c>
      <c r="AN212" s="24">
        <v>12</v>
      </c>
      <c r="AO212" s="22" t="s">
        <v>48</v>
      </c>
      <c r="AP212" s="22"/>
    </row>
    <row r="213" spans="1:42" ht="38.25" x14ac:dyDescent="0.2">
      <c r="A213" s="22" t="s">
        <v>72</v>
      </c>
      <c r="B213" s="22" t="s">
        <v>73</v>
      </c>
      <c r="C213" s="22"/>
      <c r="D213" s="22" t="s">
        <v>37</v>
      </c>
      <c r="E213" s="22" t="s">
        <v>685</v>
      </c>
      <c r="F213" s="98" t="s">
        <v>900</v>
      </c>
      <c r="G213" s="22"/>
      <c r="H213" s="22"/>
      <c r="I213" s="22" t="s">
        <v>686</v>
      </c>
      <c r="J213" s="22"/>
      <c r="K213" s="22" t="s">
        <v>42</v>
      </c>
      <c r="L213" s="24">
        <v>2023</v>
      </c>
      <c r="M213" s="24"/>
      <c r="N213" s="38"/>
      <c r="O213" s="39"/>
      <c r="P213" s="24"/>
      <c r="Q213" s="28"/>
      <c r="R213" s="24"/>
      <c r="S213" s="24"/>
      <c r="T213" s="24"/>
      <c r="U213" s="24"/>
      <c r="V213" s="24"/>
      <c r="W213" s="24"/>
      <c r="X213" s="24"/>
      <c r="Y213" s="24"/>
      <c r="Z213" s="22"/>
      <c r="AA213" s="22"/>
      <c r="AB213" s="22"/>
      <c r="AC213" s="22"/>
      <c r="AD213" s="22" t="s">
        <v>42</v>
      </c>
      <c r="AE213" s="22"/>
      <c r="AF213" s="22"/>
      <c r="AG213" s="71"/>
      <c r="AH213" s="24">
        <v>3</v>
      </c>
      <c r="AI213" s="24">
        <v>2</v>
      </c>
      <c r="AJ213" s="24">
        <v>3</v>
      </c>
      <c r="AK213" s="24">
        <v>1</v>
      </c>
      <c r="AL213" s="24">
        <v>3</v>
      </c>
      <c r="AM213" s="24">
        <v>2</v>
      </c>
      <c r="AN213" s="24"/>
      <c r="AO213" s="22" t="s">
        <v>45</v>
      </c>
      <c r="AP213" s="40">
        <v>43922</v>
      </c>
    </row>
    <row r="214" spans="1:42" s="129" customFormat="1" ht="38.25" x14ac:dyDescent="0.2">
      <c r="A214" s="13" t="s">
        <v>58</v>
      </c>
      <c r="B214" s="13" t="s">
        <v>867</v>
      </c>
      <c r="C214" s="13"/>
      <c r="D214" s="136" t="s">
        <v>60</v>
      </c>
      <c r="E214" s="136" t="s">
        <v>101</v>
      </c>
      <c r="F214" s="143" t="s">
        <v>900</v>
      </c>
      <c r="G214" s="136"/>
      <c r="H214" s="136"/>
      <c r="I214" s="136" t="s">
        <v>868</v>
      </c>
      <c r="J214" s="13" t="s">
        <v>1135</v>
      </c>
      <c r="K214" s="13" t="s">
        <v>42</v>
      </c>
      <c r="L214" s="14">
        <v>2021</v>
      </c>
      <c r="M214" s="14"/>
      <c r="N214" s="15"/>
      <c r="O214" s="16"/>
      <c r="P214" s="17">
        <v>5</v>
      </c>
      <c r="Q214" s="18">
        <v>9000</v>
      </c>
      <c r="R214" s="18"/>
      <c r="S214" s="19"/>
      <c r="T214" s="14"/>
      <c r="U214" s="14"/>
      <c r="V214" s="14"/>
      <c r="W214" s="14"/>
      <c r="X214" s="14"/>
      <c r="Y214" s="14"/>
      <c r="Z214" s="13"/>
      <c r="AA214" s="13"/>
      <c r="AB214" s="135">
        <f>Q214*P214*4</f>
        <v>180000</v>
      </c>
      <c r="AC214" s="13"/>
      <c r="AD214" s="13" t="s">
        <v>42</v>
      </c>
      <c r="AE214" s="13"/>
      <c r="AF214" s="21"/>
      <c r="AG214" s="137" t="s">
        <v>755</v>
      </c>
      <c r="AH214" s="14">
        <v>1</v>
      </c>
      <c r="AI214" s="14">
        <v>1</v>
      </c>
      <c r="AJ214" s="14">
        <v>1</v>
      </c>
      <c r="AK214" s="14">
        <v>3</v>
      </c>
      <c r="AL214" s="14">
        <v>1</v>
      </c>
      <c r="AM214" s="14">
        <v>1</v>
      </c>
      <c r="AN214" s="14">
        <v>3</v>
      </c>
      <c r="AO214" s="13" t="s">
        <v>48</v>
      </c>
      <c r="AP214" s="138"/>
    </row>
    <row r="215" spans="1:42" ht="38.25" x14ac:dyDescent="0.2">
      <c r="A215" s="13" t="s">
        <v>35</v>
      </c>
      <c r="B215" s="13" t="s">
        <v>100</v>
      </c>
      <c r="C215" s="13"/>
      <c r="D215" s="13" t="s">
        <v>60</v>
      </c>
      <c r="E215" s="13" t="s">
        <v>101</v>
      </c>
      <c r="F215" s="70" t="s">
        <v>900</v>
      </c>
      <c r="G215" s="13"/>
      <c r="H215" s="13"/>
      <c r="I215" s="13" t="s">
        <v>102</v>
      </c>
      <c r="J215" s="13" t="s">
        <v>103</v>
      </c>
      <c r="K215" s="13" t="s">
        <v>42</v>
      </c>
      <c r="L215" s="14">
        <v>2020</v>
      </c>
      <c r="M215" s="14"/>
      <c r="N215" s="15">
        <v>622</v>
      </c>
      <c r="O215" s="16"/>
      <c r="P215" s="17">
        <f t="shared" ref="P215:P222" si="21">N215*O215</f>
        <v>0</v>
      </c>
      <c r="Q215" s="18"/>
      <c r="R215" s="18">
        <f t="shared" ref="R215:R222" si="22">IF(Q215&lt;4.99,(Q215*12%+4),IF(Q215&lt;10.99,(Q215*12%+8),IF(Q215&lt;14.99,(Q215*12%+12),IF(Q215&lt;879.99,(Q215*12%+16),IF(Q215&lt;2569.99,(Q215*7%+60),240)))))</f>
        <v>4</v>
      </c>
      <c r="S215" s="19">
        <f t="shared" ref="S215:S222" si="23">R215*P215</f>
        <v>0</v>
      </c>
      <c r="T215" s="14"/>
      <c r="U215" s="14"/>
      <c r="V215" s="14"/>
      <c r="W215" s="14"/>
      <c r="X215" s="14"/>
      <c r="Y215" s="14"/>
      <c r="Z215" s="13">
        <v>0</v>
      </c>
      <c r="AA215" s="13"/>
      <c r="AB215" s="13"/>
      <c r="AC215" s="13"/>
      <c r="AD215" s="13" t="s">
        <v>42</v>
      </c>
      <c r="AE215" s="13"/>
      <c r="AF215" s="20" t="s">
        <v>70</v>
      </c>
      <c r="AG215" s="70" t="s">
        <v>104</v>
      </c>
      <c r="AH215" s="14">
        <v>3</v>
      </c>
      <c r="AI215" s="14">
        <v>2</v>
      </c>
      <c r="AJ215" s="14">
        <v>3</v>
      </c>
      <c r="AK215" s="14">
        <v>3</v>
      </c>
      <c r="AL215" s="14">
        <v>1</v>
      </c>
      <c r="AM215" s="14">
        <v>1</v>
      </c>
      <c r="AN215" s="14">
        <v>54</v>
      </c>
      <c r="AO215" s="13" t="s">
        <v>45</v>
      </c>
      <c r="AP215" s="13"/>
    </row>
    <row r="216" spans="1:42" ht="38.25" x14ac:dyDescent="0.2">
      <c r="A216" s="30" t="s">
        <v>58</v>
      </c>
      <c r="B216" s="30" t="s">
        <v>292</v>
      </c>
      <c r="C216" s="30"/>
      <c r="D216" s="30" t="s">
        <v>60</v>
      </c>
      <c r="E216" s="30" t="s">
        <v>101</v>
      </c>
      <c r="F216" s="72" t="s">
        <v>900</v>
      </c>
      <c r="G216" s="30"/>
      <c r="H216" s="106"/>
      <c r="I216" s="30" t="s">
        <v>293</v>
      </c>
      <c r="J216" s="30" t="s">
        <v>294</v>
      </c>
      <c r="K216" s="30" t="s">
        <v>201</v>
      </c>
      <c r="L216" s="31">
        <v>2018</v>
      </c>
      <c r="M216" s="31"/>
      <c r="N216" s="32">
        <f>8500000/1000000*5</f>
        <v>42.5</v>
      </c>
      <c r="O216" s="33"/>
      <c r="P216" s="34">
        <f t="shared" si="21"/>
        <v>0</v>
      </c>
      <c r="Q216" s="35"/>
      <c r="R216" s="35">
        <f t="shared" si="22"/>
        <v>4</v>
      </c>
      <c r="S216" s="36">
        <f t="shared" si="23"/>
        <v>0</v>
      </c>
      <c r="T216" s="31"/>
      <c r="U216" s="31"/>
      <c r="V216" s="31"/>
      <c r="W216" s="31"/>
      <c r="X216" s="31"/>
      <c r="Y216" s="31"/>
      <c r="Z216" s="30">
        <v>35000</v>
      </c>
      <c r="AA216" s="30"/>
      <c r="AB216" s="30"/>
      <c r="AC216" s="30"/>
      <c r="AD216" s="30" t="s">
        <v>42</v>
      </c>
      <c r="AE216" s="30"/>
      <c r="AF216" s="30" t="s">
        <v>95</v>
      </c>
      <c r="AG216" s="72" t="s">
        <v>295</v>
      </c>
      <c r="AH216" s="31">
        <v>3</v>
      </c>
      <c r="AI216" s="31">
        <v>1</v>
      </c>
      <c r="AJ216" s="31">
        <v>2</v>
      </c>
      <c r="AK216" s="31">
        <v>3</v>
      </c>
      <c r="AL216" s="31">
        <v>1</v>
      </c>
      <c r="AM216" s="31">
        <v>3</v>
      </c>
      <c r="AN216" s="31">
        <v>54</v>
      </c>
      <c r="AO216" s="30" t="s">
        <v>45</v>
      </c>
      <c r="AP216" s="30"/>
    </row>
    <row r="217" spans="1:42" ht="38.25" x14ac:dyDescent="0.2">
      <c r="A217" s="30" t="s">
        <v>35</v>
      </c>
      <c r="B217" s="30" t="s">
        <v>300</v>
      </c>
      <c r="C217" s="30"/>
      <c r="D217" s="30" t="s">
        <v>60</v>
      </c>
      <c r="E217" s="30" t="s">
        <v>101</v>
      </c>
      <c r="F217" s="72" t="s">
        <v>900</v>
      </c>
      <c r="G217" s="30"/>
      <c r="H217" s="106"/>
      <c r="I217" s="30" t="s">
        <v>301</v>
      </c>
      <c r="J217" s="30" t="s">
        <v>302</v>
      </c>
      <c r="K217" s="30" t="s">
        <v>201</v>
      </c>
      <c r="L217" s="31">
        <v>2018</v>
      </c>
      <c r="M217" s="31"/>
      <c r="N217" s="32">
        <v>33000</v>
      </c>
      <c r="O217" s="33"/>
      <c r="P217" s="34">
        <f t="shared" si="21"/>
        <v>0</v>
      </c>
      <c r="Q217" s="35"/>
      <c r="R217" s="35">
        <f t="shared" si="22"/>
        <v>4</v>
      </c>
      <c r="S217" s="36">
        <f t="shared" si="23"/>
        <v>0</v>
      </c>
      <c r="T217" s="31"/>
      <c r="U217" s="31"/>
      <c r="V217" s="31"/>
      <c r="W217" s="31"/>
      <c r="X217" s="31"/>
      <c r="Y217" s="31"/>
      <c r="Z217" s="30">
        <v>0</v>
      </c>
      <c r="AA217" s="30"/>
      <c r="AB217" s="30"/>
      <c r="AC217" s="30"/>
      <c r="AD217" s="30" t="s">
        <v>64</v>
      </c>
      <c r="AE217" s="30"/>
      <c r="AF217" s="37" t="s">
        <v>95</v>
      </c>
      <c r="AG217" s="72" t="s">
        <v>303</v>
      </c>
      <c r="AH217" s="31">
        <v>3</v>
      </c>
      <c r="AI217" s="31">
        <v>2</v>
      </c>
      <c r="AJ217" s="31">
        <v>3</v>
      </c>
      <c r="AK217" s="31">
        <v>3</v>
      </c>
      <c r="AL217" s="31">
        <v>1</v>
      </c>
      <c r="AM217" s="31">
        <v>1</v>
      </c>
      <c r="AN217" s="31">
        <v>54</v>
      </c>
      <c r="AO217" s="30" t="s">
        <v>45</v>
      </c>
      <c r="AP217" s="30"/>
    </row>
    <row r="218" spans="1:42" ht="38.25" x14ac:dyDescent="0.2">
      <c r="A218" s="22" t="s">
        <v>58</v>
      </c>
      <c r="B218" s="23" t="s">
        <v>373</v>
      </c>
      <c r="C218" s="22"/>
      <c r="D218" s="22" t="s">
        <v>37</v>
      </c>
      <c r="E218" s="22" t="s">
        <v>101</v>
      </c>
      <c r="F218" s="71" t="s">
        <v>900</v>
      </c>
      <c r="G218" s="22"/>
      <c r="H218" s="22"/>
      <c r="I218" s="22" t="s">
        <v>374</v>
      </c>
      <c r="J218" s="22" t="s">
        <v>375</v>
      </c>
      <c r="K218" s="22" t="s">
        <v>376</v>
      </c>
      <c r="L218" s="24">
        <v>2018</v>
      </c>
      <c r="M218" s="24"/>
      <c r="N218" s="25">
        <f>8500000/57000</f>
        <v>149.12280701754386</v>
      </c>
      <c r="O218" s="26"/>
      <c r="P218" s="27">
        <f t="shared" si="21"/>
        <v>0</v>
      </c>
      <c r="Q218" s="28"/>
      <c r="R218" s="28">
        <f t="shared" si="22"/>
        <v>4</v>
      </c>
      <c r="S218" s="29">
        <f t="shared" si="23"/>
        <v>0</v>
      </c>
      <c r="T218" s="24"/>
      <c r="U218" s="24"/>
      <c r="V218" s="24"/>
      <c r="W218" s="24"/>
      <c r="X218" s="24"/>
      <c r="Y218" s="24"/>
      <c r="Z218" s="22">
        <v>5000</v>
      </c>
      <c r="AA218" s="22"/>
      <c r="AB218" s="22"/>
      <c r="AC218" s="22"/>
      <c r="AD218" s="22" t="s">
        <v>377</v>
      </c>
      <c r="AE218" s="22" t="s">
        <v>378</v>
      </c>
      <c r="AF218" s="40" t="s">
        <v>129</v>
      </c>
      <c r="AG218" s="71" t="s">
        <v>379</v>
      </c>
      <c r="AH218" s="24">
        <v>3</v>
      </c>
      <c r="AI218" s="24">
        <v>1</v>
      </c>
      <c r="AJ218" s="24">
        <v>3</v>
      </c>
      <c r="AK218" s="24">
        <v>2</v>
      </c>
      <c r="AL218" s="24">
        <v>1</v>
      </c>
      <c r="AM218" s="24">
        <v>1</v>
      </c>
      <c r="AN218" s="24">
        <v>18</v>
      </c>
      <c r="AO218" s="22" t="s">
        <v>45</v>
      </c>
      <c r="AP218" s="22"/>
    </row>
    <row r="219" spans="1:42" ht="38.25" x14ac:dyDescent="0.2">
      <c r="A219" s="22" t="s">
        <v>58</v>
      </c>
      <c r="B219" s="22" t="s">
        <v>421</v>
      </c>
      <c r="C219" s="22"/>
      <c r="D219" s="22" t="s">
        <v>422</v>
      </c>
      <c r="E219" s="22" t="s">
        <v>101</v>
      </c>
      <c r="F219" s="71" t="s">
        <v>900</v>
      </c>
      <c r="G219" s="22"/>
      <c r="H219" s="22"/>
      <c r="I219" s="22" t="s">
        <v>423</v>
      </c>
      <c r="J219" s="22"/>
      <c r="K219" s="22" t="s">
        <v>42</v>
      </c>
      <c r="L219" s="24">
        <v>2021</v>
      </c>
      <c r="M219" s="24"/>
      <c r="N219" s="38">
        <v>750</v>
      </c>
      <c r="O219" s="39"/>
      <c r="P219" s="27">
        <f t="shared" si="21"/>
        <v>0</v>
      </c>
      <c r="Q219" s="28"/>
      <c r="R219" s="28">
        <f t="shared" si="22"/>
        <v>4</v>
      </c>
      <c r="S219" s="29">
        <f t="shared" si="23"/>
        <v>0</v>
      </c>
      <c r="T219" s="24"/>
      <c r="U219" s="24"/>
      <c r="V219" s="24"/>
      <c r="W219" s="24"/>
      <c r="X219" s="24"/>
      <c r="Y219" s="24"/>
      <c r="Z219" s="22"/>
      <c r="AA219" s="22"/>
      <c r="AB219" s="22"/>
      <c r="AC219" s="22"/>
      <c r="AD219" s="22" t="s">
        <v>42</v>
      </c>
      <c r="AE219" s="22"/>
      <c r="AF219" s="40" t="s">
        <v>56</v>
      </c>
      <c r="AG219" s="71" t="s">
        <v>424</v>
      </c>
      <c r="AH219" s="24">
        <v>3</v>
      </c>
      <c r="AI219" s="24">
        <v>2</v>
      </c>
      <c r="AJ219" s="24">
        <v>3</v>
      </c>
      <c r="AK219" s="24">
        <v>1</v>
      </c>
      <c r="AL219" s="24">
        <v>3</v>
      </c>
      <c r="AM219" s="24">
        <v>2</v>
      </c>
      <c r="AN219" s="24">
        <v>108</v>
      </c>
      <c r="AO219" s="22" t="s">
        <v>45</v>
      </c>
      <c r="AP219" s="22"/>
    </row>
    <row r="220" spans="1:42" ht="38.25" x14ac:dyDescent="0.2">
      <c r="A220" s="42" t="s">
        <v>58</v>
      </c>
      <c r="B220" s="42" t="s">
        <v>529</v>
      </c>
      <c r="C220" s="42"/>
      <c r="D220" s="42" t="s">
        <v>98</v>
      </c>
      <c r="E220" s="42" t="s">
        <v>101</v>
      </c>
      <c r="F220" s="94" t="s">
        <v>900</v>
      </c>
      <c r="G220" s="42"/>
      <c r="H220" s="42"/>
      <c r="I220" s="42" t="s">
        <v>530</v>
      </c>
      <c r="J220" s="42" t="s">
        <v>531</v>
      </c>
      <c r="K220" s="42" t="s">
        <v>128</v>
      </c>
      <c r="L220" s="43">
        <v>2018</v>
      </c>
      <c r="M220" s="43"/>
      <c r="N220" s="44">
        <f>8500000/300000</f>
        <v>28.333333333333332</v>
      </c>
      <c r="O220" s="45"/>
      <c r="P220" s="46">
        <f t="shared" si="21"/>
        <v>0</v>
      </c>
      <c r="Q220" s="47"/>
      <c r="R220" s="47">
        <f t="shared" si="22"/>
        <v>4</v>
      </c>
      <c r="S220" s="48">
        <f t="shared" si="23"/>
        <v>0</v>
      </c>
      <c r="T220" s="43"/>
      <c r="U220" s="43"/>
      <c r="V220" s="43"/>
      <c r="W220" s="43"/>
      <c r="X220" s="43"/>
      <c r="Y220" s="43"/>
      <c r="Z220" s="42"/>
      <c r="AA220" s="42"/>
      <c r="AB220" s="42"/>
      <c r="AC220" s="42"/>
      <c r="AD220" s="42" t="s">
        <v>42</v>
      </c>
      <c r="AE220" s="42"/>
      <c r="AF220" s="42" t="s">
        <v>56</v>
      </c>
      <c r="AG220" s="73" t="s">
        <v>532</v>
      </c>
      <c r="AH220" s="43">
        <v>3</v>
      </c>
      <c r="AI220" s="43">
        <v>2</v>
      </c>
      <c r="AJ220" s="43">
        <v>3</v>
      </c>
      <c r="AK220" s="43">
        <v>2</v>
      </c>
      <c r="AL220" s="43">
        <v>1</v>
      </c>
      <c r="AM220" s="43">
        <v>1</v>
      </c>
      <c r="AN220" s="43">
        <v>36</v>
      </c>
      <c r="AO220" s="42" t="s">
        <v>45</v>
      </c>
      <c r="AP220" s="42"/>
    </row>
    <row r="221" spans="1:42" ht="38.25" x14ac:dyDescent="0.2">
      <c r="A221" s="30" t="s">
        <v>86</v>
      </c>
      <c r="B221" s="30" t="s">
        <v>259</v>
      </c>
      <c r="C221" s="30"/>
      <c r="D221" s="30" t="s">
        <v>98</v>
      </c>
      <c r="E221" s="30" t="s">
        <v>101</v>
      </c>
      <c r="F221" s="72" t="s">
        <v>900</v>
      </c>
      <c r="G221" s="30"/>
      <c r="H221" s="30"/>
      <c r="I221" s="30" t="s">
        <v>687</v>
      </c>
      <c r="J221" s="30" t="s">
        <v>688</v>
      </c>
      <c r="K221" s="30" t="s">
        <v>201</v>
      </c>
      <c r="L221" s="31">
        <v>2018</v>
      </c>
      <c r="M221" s="31">
        <v>1</v>
      </c>
      <c r="N221" s="32">
        <v>70000</v>
      </c>
      <c r="O221" s="33">
        <v>0.01</v>
      </c>
      <c r="P221" s="34">
        <f t="shared" si="21"/>
        <v>700</v>
      </c>
      <c r="Q221" s="35">
        <v>1332.25</v>
      </c>
      <c r="R221" s="35">
        <f t="shared" si="22"/>
        <v>153.25749999999999</v>
      </c>
      <c r="S221" s="36">
        <f t="shared" si="23"/>
        <v>107280.25</v>
      </c>
      <c r="T221" s="31"/>
      <c r="U221" s="31"/>
      <c r="V221" s="31"/>
      <c r="W221" s="31"/>
      <c r="X221" s="31"/>
      <c r="Y221" s="31"/>
      <c r="Z221" s="30">
        <v>20000</v>
      </c>
      <c r="AA221" s="30"/>
      <c r="AB221" s="30"/>
      <c r="AC221" s="30"/>
      <c r="AD221" s="30" t="s">
        <v>42</v>
      </c>
      <c r="AE221" s="30" t="s">
        <v>689</v>
      </c>
      <c r="AF221" s="30" t="s">
        <v>56</v>
      </c>
      <c r="AG221" s="72" t="s">
        <v>690</v>
      </c>
      <c r="AH221" s="31">
        <v>3</v>
      </c>
      <c r="AI221" s="31">
        <v>3</v>
      </c>
      <c r="AJ221" s="31">
        <v>3</v>
      </c>
      <c r="AK221" s="31">
        <v>2</v>
      </c>
      <c r="AL221" s="31">
        <v>2</v>
      </c>
      <c r="AM221" s="31">
        <v>1</v>
      </c>
      <c r="AN221" s="31">
        <v>108</v>
      </c>
      <c r="AO221" s="30" t="s">
        <v>691</v>
      </c>
      <c r="AP221" s="30"/>
    </row>
    <row r="222" spans="1:42" ht="38.25" x14ac:dyDescent="0.2">
      <c r="A222" s="22" t="s">
        <v>86</v>
      </c>
      <c r="B222" s="22" t="s">
        <v>259</v>
      </c>
      <c r="C222" s="22"/>
      <c r="D222" s="22" t="s">
        <v>98</v>
      </c>
      <c r="E222" s="22" t="s">
        <v>786</v>
      </c>
      <c r="F222" s="71" t="s">
        <v>900</v>
      </c>
      <c r="G222" s="22"/>
      <c r="H222" s="95"/>
      <c r="I222" s="22" t="s">
        <v>787</v>
      </c>
      <c r="J222" s="22"/>
      <c r="K222" s="22" t="s">
        <v>64</v>
      </c>
      <c r="L222" s="24">
        <v>2019</v>
      </c>
      <c r="M222" s="24"/>
      <c r="N222" s="38">
        <v>70000</v>
      </c>
      <c r="O222" s="39"/>
      <c r="P222" s="27">
        <f t="shared" si="21"/>
        <v>0</v>
      </c>
      <c r="Q222" s="28"/>
      <c r="R222" s="28">
        <f t="shared" si="22"/>
        <v>4</v>
      </c>
      <c r="S222" s="29">
        <f t="shared" si="23"/>
        <v>0</v>
      </c>
      <c r="T222" s="24"/>
      <c r="U222" s="24"/>
      <c r="V222" s="24"/>
      <c r="W222" s="24"/>
      <c r="X222" s="24"/>
      <c r="Y222" s="24"/>
      <c r="Z222" s="22">
        <v>0</v>
      </c>
      <c r="AA222" s="22"/>
      <c r="AB222" s="22"/>
      <c r="AC222" s="22"/>
      <c r="AD222" s="22" t="s">
        <v>64</v>
      </c>
      <c r="AE222" s="22"/>
      <c r="AF222" s="22" t="s">
        <v>95</v>
      </c>
      <c r="AG222" s="71" t="s">
        <v>788</v>
      </c>
      <c r="AH222" s="24">
        <v>3</v>
      </c>
      <c r="AI222" s="24">
        <v>3</v>
      </c>
      <c r="AJ222" s="24">
        <v>3</v>
      </c>
      <c r="AK222" s="24">
        <v>1</v>
      </c>
      <c r="AL222" s="24">
        <v>3</v>
      </c>
      <c r="AM222" s="24">
        <v>2</v>
      </c>
      <c r="AN222" s="24">
        <v>162</v>
      </c>
      <c r="AO222" s="22" t="s">
        <v>45</v>
      </c>
      <c r="AP222" s="22"/>
    </row>
    <row r="223" spans="1:42" x14ac:dyDescent="0.2">
      <c r="A223" s="22" t="s">
        <v>47</v>
      </c>
      <c r="B223" s="22" t="s">
        <v>1141</v>
      </c>
      <c r="C223" s="22"/>
      <c r="D223" s="22" t="s">
        <v>1142</v>
      </c>
      <c r="E223" s="22" t="s">
        <v>101</v>
      </c>
      <c r="F223" s="71"/>
      <c r="G223" s="22"/>
      <c r="H223" s="95"/>
      <c r="I223" s="22" t="s">
        <v>1143</v>
      </c>
      <c r="J223" s="22"/>
      <c r="K223" s="22"/>
      <c r="L223" s="24"/>
      <c r="M223" s="24"/>
      <c r="N223" s="38"/>
      <c r="O223" s="39"/>
      <c r="P223" s="27"/>
      <c r="Q223" s="28"/>
      <c r="R223" s="28"/>
      <c r="S223" s="29"/>
      <c r="T223" s="24"/>
      <c r="U223" s="24"/>
      <c r="V223" s="24"/>
      <c r="W223" s="24"/>
      <c r="X223" s="24"/>
      <c r="Y223" s="24"/>
      <c r="Z223" s="22"/>
      <c r="AA223" s="22"/>
      <c r="AB223" s="22"/>
      <c r="AC223" s="22"/>
      <c r="AD223" s="22"/>
      <c r="AE223" s="22"/>
      <c r="AF223" s="22"/>
      <c r="AG223" s="71"/>
      <c r="AH223" s="24"/>
      <c r="AI223" s="24"/>
      <c r="AJ223" s="24"/>
      <c r="AK223" s="24"/>
      <c r="AL223" s="24"/>
      <c r="AM223" s="24"/>
      <c r="AN223" s="24"/>
      <c r="AO223" s="22"/>
      <c r="AP223" s="22"/>
    </row>
    <row r="224" spans="1:42" s="129" customFormat="1" x14ac:dyDescent="0.2">
      <c r="A224" s="13" t="s">
        <v>58</v>
      </c>
      <c r="B224" s="13" t="s">
        <v>1040</v>
      </c>
      <c r="C224" s="13"/>
      <c r="D224" s="13" t="s">
        <v>37</v>
      </c>
      <c r="E224" s="13" t="s">
        <v>101</v>
      </c>
      <c r="F224" s="70"/>
      <c r="G224" s="13"/>
      <c r="H224" s="108"/>
      <c r="I224" s="13" t="s">
        <v>1146</v>
      </c>
      <c r="J224" s="13" t="s">
        <v>1147</v>
      </c>
      <c r="K224" s="13"/>
      <c r="L224" s="14"/>
      <c r="M224" s="14"/>
      <c r="N224" s="15">
        <v>30</v>
      </c>
      <c r="O224" s="16"/>
      <c r="P224" s="17">
        <v>10</v>
      </c>
      <c r="Q224" s="18">
        <v>5000</v>
      </c>
      <c r="R224" s="18"/>
      <c r="S224" s="19"/>
      <c r="T224" s="14"/>
      <c r="U224" s="14"/>
      <c r="V224" s="14"/>
      <c r="W224" s="14"/>
      <c r="X224" s="14"/>
      <c r="Y224" s="14"/>
      <c r="Z224" s="13"/>
      <c r="AA224" s="13"/>
      <c r="AB224" s="135">
        <f>Q224*P224*3</f>
        <v>150000</v>
      </c>
      <c r="AC224" s="13"/>
      <c r="AD224" s="13" t="s">
        <v>42</v>
      </c>
      <c r="AE224" s="13"/>
      <c r="AF224" s="13"/>
      <c r="AG224" s="70" t="s">
        <v>1148</v>
      </c>
      <c r="AH224" s="14">
        <v>3</v>
      </c>
      <c r="AI224" s="14">
        <v>1</v>
      </c>
      <c r="AJ224" s="14">
        <v>3</v>
      </c>
      <c r="AK224" s="14">
        <v>3</v>
      </c>
      <c r="AL224" s="14">
        <v>3</v>
      </c>
      <c r="AM224" s="14">
        <v>1</v>
      </c>
      <c r="AN224" s="14">
        <f>AM224*AL224*AK224*AJ224*AI224*AH224</f>
        <v>81</v>
      </c>
      <c r="AO224" s="13" t="s">
        <v>45</v>
      </c>
      <c r="AP224" s="20">
        <v>44621</v>
      </c>
    </row>
    <row r="225" spans="1:42" s="133" customFormat="1" ht="25.5" x14ac:dyDescent="0.2">
      <c r="A225" s="30" t="s">
        <v>58</v>
      </c>
      <c r="B225" s="30" t="s">
        <v>1149</v>
      </c>
      <c r="C225" s="30"/>
      <c r="D225" s="30" t="s">
        <v>37</v>
      </c>
      <c r="E225" s="30" t="s">
        <v>101</v>
      </c>
      <c r="F225" s="72"/>
      <c r="G225" s="30"/>
      <c r="H225" s="106"/>
      <c r="I225" s="30" t="s">
        <v>1150</v>
      </c>
      <c r="J225" s="30" t="s">
        <v>1151</v>
      </c>
      <c r="K225" s="30"/>
      <c r="L225" s="31"/>
      <c r="M225" s="31"/>
      <c r="N225" s="32">
        <v>425</v>
      </c>
      <c r="O225" s="33"/>
      <c r="P225" s="34"/>
      <c r="Q225" s="35">
        <v>15000</v>
      </c>
      <c r="R225" s="35"/>
      <c r="S225" s="36"/>
      <c r="T225" s="31"/>
      <c r="U225" s="31"/>
      <c r="V225" s="31"/>
      <c r="W225" s="31"/>
      <c r="X225" s="31"/>
      <c r="Y225" s="31"/>
      <c r="Z225" s="30"/>
      <c r="AA225" s="30"/>
      <c r="AB225" s="132">
        <f>Q225*N225*0.1</f>
        <v>637500</v>
      </c>
      <c r="AC225" s="30"/>
      <c r="AD225" s="30" t="s">
        <v>42</v>
      </c>
      <c r="AE225" s="30"/>
      <c r="AF225" s="30"/>
      <c r="AG225" s="72" t="s">
        <v>1152</v>
      </c>
      <c r="AH225" s="31">
        <v>3</v>
      </c>
      <c r="AI225" s="31">
        <v>2</v>
      </c>
      <c r="AJ225" s="31">
        <v>3</v>
      </c>
      <c r="AK225" s="31">
        <v>3</v>
      </c>
      <c r="AL225" s="31">
        <v>2</v>
      </c>
      <c r="AM225" s="31">
        <v>3</v>
      </c>
      <c r="AN225" s="31">
        <f>AH225*AM225*AL225*AK225*AJ225*AI225</f>
        <v>324</v>
      </c>
      <c r="AO225" s="30" t="s">
        <v>45</v>
      </c>
      <c r="AP225" s="37">
        <v>44621</v>
      </c>
    </row>
    <row r="226" spans="1:42" ht="38.25" x14ac:dyDescent="0.2">
      <c r="A226" s="22" t="s">
        <v>47</v>
      </c>
      <c r="B226" s="22" t="s">
        <v>816</v>
      </c>
      <c r="C226" s="22"/>
      <c r="D226" s="65" t="s">
        <v>98</v>
      </c>
      <c r="E226" s="88" t="s">
        <v>870</v>
      </c>
      <c r="F226" s="78" t="s">
        <v>900</v>
      </c>
      <c r="G226" s="88"/>
      <c r="H226" s="88"/>
      <c r="I226" s="65" t="s">
        <v>871</v>
      </c>
      <c r="J226" s="22"/>
      <c r="K226" s="22" t="s">
        <v>42</v>
      </c>
      <c r="L226" s="24">
        <v>2021</v>
      </c>
      <c r="M226" s="24"/>
      <c r="N226" s="38"/>
      <c r="O226" s="39"/>
      <c r="P226" s="27"/>
      <c r="Q226" s="28"/>
      <c r="R226" s="28"/>
      <c r="S226" s="29"/>
      <c r="T226" s="24"/>
      <c r="U226" s="24"/>
      <c r="V226" s="24"/>
      <c r="W226" s="24"/>
      <c r="X226" s="24"/>
      <c r="Y226" s="24"/>
      <c r="Z226" s="22"/>
      <c r="AA226" s="22"/>
      <c r="AB226" s="22"/>
      <c r="AC226" s="22"/>
      <c r="AD226" s="22" t="s">
        <v>42</v>
      </c>
      <c r="AE226" s="22"/>
      <c r="AF226" s="41"/>
      <c r="AG226" s="67"/>
      <c r="AH226" s="24">
        <v>2</v>
      </c>
      <c r="AI226" s="24">
        <v>3</v>
      </c>
      <c r="AJ226" s="24">
        <v>3</v>
      </c>
      <c r="AK226" s="24">
        <v>1</v>
      </c>
      <c r="AL226" s="24">
        <v>2</v>
      </c>
      <c r="AM226" s="24">
        <v>3</v>
      </c>
      <c r="AN226" s="24">
        <v>108</v>
      </c>
      <c r="AO226" s="22" t="s">
        <v>45</v>
      </c>
      <c r="AP226" s="69">
        <v>44197</v>
      </c>
    </row>
    <row r="227" spans="1:42" ht="38.25" x14ac:dyDescent="0.2">
      <c r="A227" s="42" t="s">
        <v>58</v>
      </c>
      <c r="B227" s="42" t="s">
        <v>97</v>
      </c>
      <c r="C227" s="42"/>
      <c r="D227" s="42" t="s">
        <v>37</v>
      </c>
      <c r="E227" s="42" t="s">
        <v>406</v>
      </c>
      <c r="F227" s="73" t="s">
        <v>958</v>
      </c>
      <c r="G227" s="42"/>
      <c r="H227" s="42"/>
      <c r="I227" s="42" t="s">
        <v>407</v>
      </c>
      <c r="J227" s="42" t="s">
        <v>408</v>
      </c>
      <c r="K227" s="42" t="s">
        <v>409</v>
      </c>
      <c r="L227" s="43">
        <v>2018</v>
      </c>
      <c r="M227" s="43"/>
      <c r="N227" s="44">
        <f>8500000/10000*1.5</f>
        <v>1275</v>
      </c>
      <c r="O227" s="45"/>
      <c r="P227" s="46">
        <f>N227*O227</f>
        <v>0</v>
      </c>
      <c r="Q227" s="47"/>
      <c r="R227" s="47">
        <f>IF(Q227&lt;4.99,(Q227*12%+4),IF(Q227&lt;10.99,(Q227*12%+8),IF(Q227&lt;14.99,(Q227*12%+12),IF(Q227&lt;879.99,(Q227*12%+16),IF(Q227&lt;2569.99,(Q227*7%+60),240)))))</f>
        <v>4</v>
      </c>
      <c r="S227" s="48">
        <f>R227*P227</f>
        <v>0</v>
      </c>
      <c r="T227" s="43"/>
      <c r="U227" s="43"/>
      <c r="V227" s="43"/>
      <c r="W227" s="43"/>
      <c r="X227" s="43"/>
      <c r="Y227" s="43"/>
      <c r="Z227" s="42"/>
      <c r="AA227" s="42"/>
      <c r="AB227" s="42"/>
      <c r="AC227" s="42"/>
      <c r="AD227" s="42" t="s">
        <v>64</v>
      </c>
      <c r="AE227" s="42"/>
      <c r="AF227" s="42" t="s">
        <v>70</v>
      </c>
      <c r="AG227" s="73" t="s">
        <v>410</v>
      </c>
      <c r="AH227" s="43">
        <v>1</v>
      </c>
      <c r="AI227" s="43">
        <v>2</v>
      </c>
      <c r="AJ227" s="43">
        <v>1</v>
      </c>
      <c r="AK227" s="43">
        <v>3</v>
      </c>
      <c r="AL227" s="43">
        <v>1</v>
      </c>
      <c r="AM227" s="43">
        <v>2</v>
      </c>
      <c r="AN227" s="43">
        <v>12</v>
      </c>
      <c r="AO227" s="42" t="s">
        <v>48</v>
      </c>
      <c r="AP227" s="42"/>
    </row>
    <row r="228" spans="1:42" ht="38.25" x14ac:dyDescent="0.2">
      <c r="A228" s="42" t="s">
        <v>58</v>
      </c>
      <c r="B228" s="42" t="s">
        <v>97</v>
      </c>
      <c r="C228" s="42"/>
      <c r="D228" s="42" t="s">
        <v>37</v>
      </c>
      <c r="E228" s="42" t="s">
        <v>418</v>
      </c>
      <c r="F228" s="73" t="s">
        <v>958</v>
      </c>
      <c r="G228" s="42"/>
      <c r="H228" s="42"/>
      <c r="I228" s="42" t="s">
        <v>419</v>
      </c>
      <c r="J228" s="42"/>
      <c r="K228" s="42" t="s">
        <v>128</v>
      </c>
      <c r="L228" s="43">
        <v>2019</v>
      </c>
      <c r="M228" s="43"/>
      <c r="N228" s="44">
        <f>8500000/10000*1.5</f>
        <v>1275</v>
      </c>
      <c r="O228" s="45"/>
      <c r="P228" s="46">
        <f>N228*O228</f>
        <v>0</v>
      </c>
      <c r="Q228" s="47"/>
      <c r="R228" s="47">
        <f>IF(Q228&lt;4.99,(Q228*12%+4),IF(Q228&lt;10.99,(Q228*12%+8),IF(Q228&lt;14.99,(Q228*12%+12),IF(Q228&lt;879.99,(Q228*12%+16),IF(Q228&lt;2569.99,(Q228*7%+60),240)))))</f>
        <v>4</v>
      </c>
      <c r="S228" s="48">
        <f>R228*P228</f>
        <v>0</v>
      </c>
      <c r="T228" s="43"/>
      <c r="U228" s="43"/>
      <c r="V228" s="43"/>
      <c r="W228" s="43"/>
      <c r="X228" s="43"/>
      <c r="Y228" s="43"/>
      <c r="Z228" s="42">
        <v>0</v>
      </c>
      <c r="AA228" s="42"/>
      <c r="AB228" s="42"/>
      <c r="AC228" s="42"/>
      <c r="AD228" s="42" t="s">
        <v>64</v>
      </c>
      <c r="AE228" s="42"/>
      <c r="AF228" s="42" t="s">
        <v>70</v>
      </c>
      <c r="AG228" s="73" t="s">
        <v>420</v>
      </c>
      <c r="AH228" s="43">
        <v>1</v>
      </c>
      <c r="AI228" s="43">
        <v>2</v>
      </c>
      <c r="AJ228" s="43">
        <v>1</v>
      </c>
      <c r="AK228" s="43">
        <v>3</v>
      </c>
      <c r="AL228" s="43">
        <v>1</v>
      </c>
      <c r="AM228" s="43">
        <v>2</v>
      </c>
      <c r="AN228" s="43">
        <v>12</v>
      </c>
      <c r="AO228" s="42" t="s">
        <v>48</v>
      </c>
      <c r="AP228" s="42"/>
    </row>
    <row r="229" spans="1:42" ht="38.25" x14ac:dyDescent="0.2">
      <c r="A229" s="22" t="s">
        <v>35</v>
      </c>
      <c r="B229" s="22" t="s">
        <v>517</v>
      </c>
      <c r="C229" s="22"/>
      <c r="D229" s="65" t="s">
        <v>37</v>
      </c>
      <c r="E229" s="88" t="s">
        <v>872</v>
      </c>
      <c r="F229" s="88" t="s">
        <v>899</v>
      </c>
      <c r="G229" s="88"/>
      <c r="H229" s="88"/>
      <c r="I229" s="65" t="s">
        <v>763</v>
      </c>
      <c r="J229" s="22" t="s">
        <v>873</v>
      </c>
      <c r="K229" s="22" t="s">
        <v>309</v>
      </c>
      <c r="L229" s="24">
        <v>2020</v>
      </c>
      <c r="M229" s="24"/>
      <c r="N229" s="38"/>
      <c r="O229" s="39"/>
      <c r="P229" s="27"/>
      <c r="Q229" s="28"/>
      <c r="R229" s="28"/>
      <c r="S229" s="29"/>
      <c r="T229" s="24"/>
      <c r="U229" s="24"/>
      <c r="V229" s="24"/>
      <c r="W229" s="24"/>
      <c r="X229" s="24"/>
      <c r="Y229" s="24"/>
      <c r="Z229" s="22"/>
      <c r="AA229" s="22"/>
      <c r="AB229" s="22"/>
      <c r="AC229" s="22"/>
      <c r="AD229" s="71" t="s">
        <v>874</v>
      </c>
      <c r="AE229" s="22"/>
      <c r="AF229" s="41"/>
      <c r="AG229" s="67"/>
      <c r="AH229" s="24"/>
      <c r="AI229" s="24"/>
      <c r="AJ229" s="24"/>
      <c r="AK229" s="24"/>
      <c r="AL229" s="24"/>
      <c r="AM229" s="24"/>
      <c r="AN229" s="24">
        <v>0</v>
      </c>
      <c r="AO229" s="22"/>
      <c r="AP229" s="69"/>
    </row>
    <row r="230" spans="1:42" ht="38.25" x14ac:dyDescent="0.2">
      <c r="A230" s="22" t="s">
        <v>35</v>
      </c>
      <c r="B230" s="22" t="s">
        <v>762</v>
      </c>
      <c r="C230" s="22"/>
      <c r="D230" s="22" t="s">
        <v>37</v>
      </c>
      <c r="E230" s="22" t="s">
        <v>999</v>
      </c>
      <c r="F230" s="71" t="s">
        <v>899</v>
      </c>
      <c r="G230" s="22"/>
      <c r="H230" s="22"/>
      <c r="I230" s="22" t="s">
        <v>763</v>
      </c>
      <c r="J230" s="22"/>
      <c r="K230" s="22" t="s">
        <v>42</v>
      </c>
      <c r="L230" s="24">
        <v>2021</v>
      </c>
      <c r="M230" s="24"/>
      <c r="N230" s="38"/>
      <c r="O230" s="39"/>
      <c r="P230" s="24"/>
      <c r="Q230" s="28"/>
      <c r="R230" s="24"/>
      <c r="S230" s="24"/>
      <c r="T230" s="24"/>
      <c r="U230" s="24"/>
      <c r="V230" s="24"/>
      <c r="W230" s="24"/>
      <c r="X230" s="24"/>
      <c r="Y230" s="24"/>
      <c r="Z230" s="22"/>
      <c r="AA230" s="22"/>
      <c r="AB230" s="22"/>
      <c r="AC230" s="22"/>
      <c r="AD230" s="22"/>
      <c r="AE230" s="22"/>
      <c r="AF230" s="22"/>
      <c r="AG230" s="71"/>
      <c r="AH230" s="24">
        <v>1</v>
      </c>
      <c r="AI230" s="24">
        <v>3</v>
      </c>
      <c r="AJ230" s="24">
        <v>2</v>
      </c>
      <c r="AK230" s="24">
        <v>3</v>
      </c>
      <c r="AL230" s="24">
        <v>1</v>
      </c>
      <c r="AM230" s="24">
        <v>2</v>
      </c>
      <c r="AN230" s="14">
        <f>AH230*AI230*AJ230*AK230*AL230*AM230</f>
        <v>36</v>
      </c>
      <c r="AO230" s="22"/>
      <c r="AP230" s="22"/>
    </row>
    <row r="231" spans="1:42" ht="38.25" x14ac:dyDescent="0.2">
      <c r="A231" s="22" t="s">
        <v>35</v>
      </c>
      <c r="B231" s="22" t="s">
        <v>603</v>
      </c>
      <c r="C231" s="22"/>
      <c r="D231" s="22" t="s">
        <v>60</v>
      </c>
      <c r="E231" s="22" t="s">
        <v>604</v>
      </c>
      <c r="F231" s="97" t="s">
        <v>969</v>
      </c>
      <c r="G231" s="22"/>
      <c r="H231" s="22"/>
      <c r="I231" s="22" t="s">
        <v>605</v>
      </c>
      <c r="J231" s="22" t="s">
        <v>606</v>
      </c>
      <c r="K231" s="22" t="s">
        <v>607</v>
      </c>
      <c r="L231" s="24">
        <v>2018</v>
      </c>
      <c r="M231" s="24"/>
      <c r="N231" s="51">
        <v>1600</v>
      </c>
      <c r="O231" s="39"/>
      <c r="P231" s="27">
        <f t="shared" ref="P231:P240" si="24">N231*O231</f>
        <v>0</v>
      </c>
      <c r="Q231" s="28"/>
      <c r="R231" s="28">
        <f t="shared" ref="R231:R240" si="25">IF(Q231&lt;4.99,(Q231*12%+4),IF(Q231&lt;10.99,(Q231*12%+8),IF(Q231&lt;14.99,(Q231*12%+12),IF(Q231&lt;879.99,(Q231*12%+16),IF(Q231&lt;2569.99,(Q231*7%+60),240)))))</f>
        <v>4</v>
      </c>
      <c r="S231" s="29">
        <f t="shared" ref="S231:S240" si="26">R231*P231</f>
        <v>0</v>
      </c>
      <c r="T231" s="24"/>
      <c r="U231" s="24"/>
      <c r="V231" s="24"/>
      <c r="W231" s="24"/>
      <c r="X231" s="24"/>
      <c r="Y231" s="24"/>
      <c r="Z231" s="22">
        <v>0</v>
      </c>
      <c r="AA231" s="22"/>
      <c r="AB231" s="22"/>
      <c r="AC231" s="22"/>
      <c r="AD231" s="22" t="s">
        <v>186</v>
      </c>
      <c r="AE231" s="22"/>
      <c r="AF231" s="22" t="s">
        <v>129</v>
      </c>
      <c r="AG231" s="71" t="s">
        <v>608</v>
      </c>
      <c r="AH231" s="24">
        <v>3</v>
      </c>
      <c r="AI231" s="24">
        <v>1</v>
      </c>
      <c r="AJ231" s="24">
        <v>1</v>
      </c>
      <c r="AK231" s="24">
        <v>3</v>
      </c>
      <c r="AL231" s="24">
        <v>1</v>
      </c>
      <c r="AM231" s="24">
        <v>1</v>
      </c>
      <c r="AN231" s="24">
        <v>9</v>
      </c>
      <c r="AO231" s="22" t="s">
        <v>48</v>
      </c>
      <c r="AP231" s="22"/>
    </row>
    <row r="232" spans="1:42" ht="38.25" x14ac:dyDescent="0.2">
      <c r="A232" s="22" t="s">
        <v>35</v>
      </c>
      <c r="B232" s="23" t="s">
        <v>672</v>
      </c>
      <c r="C232" s="22"/>
      <c r="D232" s="22" t="s">
        <v>37</v>
      </c>
      <c r="E232" s="22" t="s">
        <v>604</v>
      </c>
      <c r="F232" s="71" t="s">
        <v>969</v>
      </c>
      <c r="G232" s="22"/>
      <c r="H232" s="22"/>
      <c r="I232" s="22" t="s">
        <v>673</v>
      </c>
      <c r="J232" s="22"/>
      <c r="K232" s="22" t="s">
        <v>128</v>
      </c>
      <c r="L232" s="24">
        <v>2022</v>
      </c>
      <c r="M232" s="24"/>
      <c r="N232" s="38">
        <f>3000*0.85+8500000/100000*3*5</f>
        <v>3825</v>
      </c>
      <c r="O232" s="39"/>
      <c r="P232" s="27">
        <f t="shared" si="24"/>
        <v>0</v>
      </c>
      <c r="Q232" s="28"/>
      <c r="R232" s="28">
        <f t="shared" si="25"/>
        <v>4</v>
      </c>
      <c r="S232" s="29">
        <f t="shared" si="26"/>
        <v>0</v>
      </c>
      <c r="T232" s="24"/>
      <c r="U232" s="24"/>
      <c r="V232" s="24"/>
      <c r="W232" s="24"/>
      <c r="X232" s="24"/>
      <c r="Y232" s="24"/>
      <c r="Z232" s="22"/>
      <c r="AA232" s="22"/>
      <c r="AB232" s="22"/>
      <c r="AC232" s="22"/>
      <c r="AD232" s="22" t="s">
        <v>64</v>
      </c>
      <c r="AE232" s="22"/>
      <c r="AF232" s="22" t="s">
        <v>76</v>
      </c>
      <c r="AG232" s="71" t="s">
        <v>520</v>
      </c>
      <c r="AH232" s="24">
        <v>3</v>
      </c>
      <c r="AI232" s="24">
        <v>2</v>
      </c>
      <c r="AJ232" s="24">
        <v>2</v>
      </c>
      <c r="AK232" s="24">
        <v>3</v>
      </c>
      <c r="AL232" s="24">
        <v>1</v>
      </c>
      <c r="AM232" s="24">
        <v>2</v>
      </c>
      <c r="AN232" s="24">
        <v>72</v>
      </c>
      <c r="AO232" s="22" t="s">
        <v>45</v>
      </c>
      <c r="AP232" s="22"/>
    </row>
    <row r="233" spans="1:42" ht="38.25" x14ac:dyDescent="0.2">
      <c r="A233" s="22" t="s">
        <v>35</v>
      </c>
      <c r="B233" s="22" t="s">
        <v>517</v>
      </c>
      <c r="C233" s="22"/>
      <c r="D233" s="22" t="s">
        <v>37</v>
      </c>
      <c r="E233" s="22" t="s">
        <v>518</v>
      </c>
      <c r="F233" s="97" t="s">
        <v>969</v>
      </c>
      <c r="G233" s="22"/>
      <c r="H233" s="95"/>
      <c r="I233" s="22" t="s">
        <v>519</v>
      </c>
      <c r="J233" s="22"/>
      <c r="K233" s="22" t="s">
        <v>128</v>
      </c>
      <c r="L233" s="24">
        <v>2022</v>
      </c>
      <c r="M233" s="24"/>
      <c r="N233" s="51">
        <v>6250</v>
      </c>
      <c r="O233" s="39"/>
      <c r="P233" s="27">
        <f t="shared" si="24"/>
        <v>0</v>
      </c>
      <c r="Q233" s="28"/>
      <c r="R233" s="28">
        <f t="shared" si="25"/>
        <v>4</v>
      </c>
      <c r="S233" s="29">
        <f t="shared" si="26"/>
        <v>0</v>
      </c>
      <c r="T233" s="24"/>
      <c r="U233" s="24"/>
      <c r="V233" s="24"/>
      <c r="W233" s="24"/>
      <c r="X233" s="24"/>
      <c r="Y233" s="24"/>
      <c r="Z233" s="22">
        <v>5000</v>
      </c>
      <c r="AA233" s="22"/>
      <c r="AB233" s="22"/>
      <c r="AC233" s="22"/>
      <c r="AD233" s="22" t="s">
        <v>64</v>
      </c>
      <c r="AE233" s="22"/>
      <c r="AF233" s="22" t="s">
        <v>76</v>
      </c>
      <c r="AG233" s="71" t="s">
        <v>520</v>
      </c>
      <c r="AH233" s="24">
        <v>3</v>
      </c>
      <c r="AI233" s="24">
        <v>2</v>
      </c>
      <c r="AJ233" s="24">
        <v>2</v>
      </c>
      <c r="AK233" s="24">
        <v>3</v>
      </c>
      <c r="AL233" s="24">
        <v>1</v>
      </c>
      <c r="AM233" s="24">
        <v>2</v>
      </c>
      <c r="AN233" s="24">
        <v>72</v>
      </c>
      <c r="AO233" s="22" t="s">
        <v>45</v>
      </c>
      <c r="AP233" s="22"/>
    </row>
    <row r="234" spans="1:42" ht="38.25" x14ac:dyDescent="0.2">
      <c r="A234" s="22" t="s">
        <v>35</v>
      </c>
      <c r="B234" s="22" t="s">
        <v>674</v>
      </c>
      <c r="C234" s="22"/>
      <c r="D234" s="22" t="s">
        <v>37</v>
      </c>
      <c r="E234" s="22" t="s">
        <v>675</v>
      </c>
      <c r="F234" s="71" t="s">
        <v>969</v>
      </c>
      <c r="G234" s="22"/>
      <c r="H234" s="22"/>
      <c r="I234" s="22" t="s">
        <v>676</v>
      </c>
      <c r="J234" s="22"/>
      <c r="K234" s="22" t="s">
        <v>128</v>
      </c>
      <c r="L234" s="24">
        <v>2021</v>
      </c>
      <c r="M234" s="24"/>
      <c r="N234" s="51" t="e">
        <f>8500000/100000*4+#REF!</f>
        <v>#REF!</v>
      </c>
      <c r="O234" s="39"/>
      <c r="P234" s="27" t="e">
        <f t="shared" si="24"/>
        <v>#REF!</v>
      </c>
      <c r="Q234" s="28"/>
      <c r="R234" s="28">
        <f t="shared" si="25"/>
        <v>4</v>
      </c>
      <c r="S234" s="29" t="e">
        <f t="shared" si="26"/>
        <v>#REF!</v>
      </c>
      <c r="T234" s="24"/>
      <c r="U234" s="24"/>
      <c r="V234" s="24"/>
      <c r="W234" s="24"/>
      <c r="X234" s="24"/>
      <c r="Y234" s="24"/>
      <c r="Z234" s="22"/>
      <c r="AA234" s="22"/>
      <c r="AB234" s="22"/>
      <c r="AC234" s="22"/>
      <c r="AD234" s="22" t="s">
        <v>677</v>
      </c>
      <c r="AE234" s="22"/>
      <c r="AF234" s="22" t="s">
        <v>129</v>
      </c>
      <c r="AG234" s="71" t="s">
        <v>678</v>
      </c>
      <c r="AH234" s="24">
        <v>3</v>
      </c>
      <c r="AI234" s="24">
        <v>2</v>
      </c>
      <c r="AJ234" s="24">
        <v>2</v>
      </c>
      <c r="AK234" s="24">
        <v>3</v>
      </c>
      <c r="AL234" s="24">
        <v>1</v>
      </c>
      <c r="AM234" s="24">
        <v>2</v>
      </c>
      <c r="AN234" s="24">
        <v>72</v>
      </c>
      <c r="AO234" s="22" t="s">
        <v>45</v>
      </c>
      <c r="AP234" s="22"/>
    </row>
    <row r="235" spans="1:42" ht="38.25" x14ac:dyDescent="0.2">
      <c r="A235" s="22" t="s">
        <v>58</v>
      </c>
      <c r="B235" s="22" t="s">
        <v>521</v>
      </c>
      <c r="C235" s="22"/>
      <c r="D235" s="22" t="s">
        <v>37</v>
      </c>
      <c r="E235" s="22" t="s">
        <v>522</v>
      </c>
      <c r="F235" s="71"/>
      <c r="G235" s="71" t="s">
        <v>970</v>
      </c>
      <c r="H235" s="22"/>
      <c r="I235" s="22" t="s">
        <v>523</v>
      </c>
      <c r="J235" s="22" t="s">
        <v>524</v>
      </c>
      <c r="K235" s="22" t="s">
        <v>315</v>
      </c>
      <c r="L235" s="24">
        <v>2021</v>
      </c>
      <c r="M235" s="24"/>
      <c r="N235" s="51">
        <f>8500000/100000*3*0.8</f>
        <v>204</v>
      </c>
      <c r="O235" s="39"/>
      <c r="P235" s="27">
        <f t="shared" si="24"/>
        <v>0</v>
      </c>
      <c r="Q235" s="28"/>
      <c r="R235" s="28">
        <f t="shared" si="25"/>
        <v>4</v>
      </c>
      <c r="S235" s="29">
        <f t="shared" si="26"/>
        <v>0</v>
      </c>
      <c r="T235" s="24"/>
      <c r="U235" s="24"/>
      <c r="V235" s="24"/>
      <c r="W235" s="24"/>
      <c r="X235" s="24"/>
      <c r="Y235" s="24"/>
      <c r="Z235" s="22"/>
      <c r="AA235" s="22"/>
      <c r="AB235" s="22"/>
      <c r="AC235" s="22"/>
      <c r="AD235" s="22" t="s">
        <v>42</v>
      </c>
      <c r="AE235" s="22"/>
      <c r="AF235" s="22"/>
      <c r="AG235" s="71" t="s">
        <v>525</v>
      </c>
      <c r="AH235" s="24">
        <v>1</v>
      </c>
      <c r="AI235" s="24">
        <v>2</v>
      </c>
      <c r="AJ235" s="24">
        <v>2</v>
      </c>
      <c r="AK235" s="24">
        <v>3</v>
      </c>
      <c r="AL235" s="24">
        <v>1</v>
      </c>
      <c r="AM235" s="24">
        <v>1</v>
      </c>
      <c r="AN235" s="24">
        <v>12</v>
      </c>
      <c r="AO235" s="22" t="s">
        <v>48</v>
      </c>
      <c r="AP235" s="22"/>
    </row>
    <row r="236" spans="1:42" ht="38.25" x14ac:dyDescent="0.2">
      <c r="A236" s="30" t="s">
        <v>86</v>
      </c>
      <c r="B236" s="30" t="s">
        <v>442</v>
      </c>
      <c r="C236" s="30"/>
      <c r="D236" s="30" t="s">
        <v>98</v>
      </c>
      <c r="E236" s="30" t="s">
        <v>443</v>
      </c>
      <c r="F236" s="72" t="s">
        <v>960</v>
      </c>
      <c r="G236" s="30"/>
      <c r="H236" s="30"/>
      <c r="I236" s="30" t="s">
        <v>444</v>
      </c>
      <c r="J236" s="30" t="s">
        <v>445</v>
      </c>
      <c r="K236" s="30" t="s">
        <v>309</v>
      </c>
      <c r="L236" s="31">
        <v>2018</v>
      </c>
      <c r="M236" s="31"/>
      <c r="N236" s="32" t="s">
        <v>446</v>
      </c>
      <c r="O236" s="33"/>
      <c r="P236" s="34">
        <v>2</v>
      </c>
      <c r="Q236" s="35">
        <v>1000</v>
      </c>
      <c r="R236" s="35">
        <f t="shared" si="25"/>
        <v>130</v>
      </c>
      <c r="S236" s="36">
        <f t="shared" si="26"/>
        <v>260</v>
      </c>
      <c r="T236" s="31"/>
      <c r="U236" s="31"/>
      <c r="V236" s="31"/>
      <c r="W236" s="31"/>
      <c r="X236" s="31"/>
      <c r="Y236" s="31"/>
      <c r="Z236" s="30">
        <v>0</v>
      </c>
      <c r="AA236" s="30"/>
      <c r="AB236" s="132">
        <f>P236*Q236*20</f>
        <v>40000</v>
      </c>
      <c r="AC236" s="30"/>
      <c r="AD236" s="30"/>
      <c r="AE236" s="30"/>
      <c r="AF236" s="30" t="s">
        <v>227</v>
      </c>
      <c r="AG236" s="72" t="s">
        <v>447</v>
      </c>
      <c r="AH236" s="31">
        <v>1</v>
      </c>
      <c r="AI236" s="31">
        <v>1</v>
      </c>
      <c r="AJ236" s="31">
        <v>3</v>
      </c>
      <c r="AK236" s="31">
        <v>1</v>
      </c>
      <c r="AL236" s="31">
        <v>2</v>
      </c>
      <c r="AM236" s="31">
        <v>2</v>
      </c>
      <c r="AN236" s="31">
        <v>12</v>
      </c>
      <c r="AO236" s="30" t="s">
        <v>48</v>
      </c>
      <c r="AP236" s="30"/>
    </row>
    <row r="237" spans="1:42" ht="38.25" x14ac:dyDescent="0.2">
      <c r="A237" s="30" t="s">
        <v>58</v>
      </c>
      <c r="B237" s="30" t="s">
        <v>473</v>
      </c>
      <c r="C237" s="30"/>
      <c r="D237" s="30" t="s">
        <v>98</v>
      </c>
      <c r="E237" s="30" t="s">
        <v>443</v>
      </c>
      <c r="F237" s="72" t="s">
        <v>960</v>
      </c>
      <c r="G237" s="30"/>
      <c r="H237" s="30"/>
      <c r="I237" s="30" t="s">
        <v>474</v>
      </c>
      <c r="J237" s="30" t="s">
        <v>475</v>
      </c>
      <c r="K237" s="30" t="s">
        <v>201</v>
      </c>
      <c r="L237" s="31">
        <v>2018</v>
      </c>
      <c r="M237" s="31"/>
      <c r="N237" s="32">
        <f>8500000/100000*5</f>
        <v>425</v>
      </c>
      <c r="O237" s="33"/>
      <c r="P237" s="34">
        <f t="shared" si="24"/>
        <v>0</v>
      </c>
      <c r="Q237" s="35"/>
      <c r="R237" s="35">
        <f t="shared" si="25"/>
        <v>4</v>
      </c>
      <c r="S237" s="36">
        <f t="shared" si="26"/>
        <v>0</v>
      </c>
      <c r="T237" s="31"/>
      <c r="U237" s="31"/>
      <c r="V237" s="31"/>
      <c r="W237" s="31"/>
      <c r="X237" s="31"/>
      <c r="Y237" s="31"/>
      <c r="Z237" s="30">
        <v>0</v>
      </c>
      <c r="AA237" s="30"/>
      <c r="AB237" s="30"/>
      <c r="AC237" s="30"/>
      <c r="AD237" s="30" t="s">
        <v>42</v>
      </c>
      <c r="AE237" s="30"/>
      <c r="AF237" s="30" t="s">
        <v>227</v>
      </c>
      <c r="AG237" s="72" t="s">
        <v>1132</v>
      </c>
      <c r="AH237" s="31">
        <v>1</v>
      </c>
      <c r="AI237" s="31">
        <v>1</v>
      </c>
      <c r="AJ237" s="31">
        <v>2</v>
      </c>
      <c r="AK237" s="31">
        <v>3</v>
      </c>
      <c r="AL237" s="31">
        <v>1</v>
      </c>
      <c r="AM237" s="31">
        <v>2</v>
      </c>
      <c r="AN237" s="31">
        <v>12</v>
      </c>
      <c r="AO237" s="30" t="s">
        <v>48</v>
      </c>
      <c r="AP237" s="30"/>
    </row>
    <row r="238" spans="1:42" ht="38.25" x14ac:dyDescent="0.2">
      <c r="A238" s="22" t="s">
        <v>86</v>
      </c>
      <c r="B238" s="22" t="s">
        <v>560</v>
      </c>
      <c r="C238" s="22"/>
      <c r="D238" s="22" t="s">
        <v>98</v>
      </c>
      <c r="E238" s="22" t="s">
        <v>443</v>
      </c>
      <c r="F238" s="71" t="s">
        <v>960</v>
      </c>
      <c r="G238" s="22"/>
      <c r="H238" s="22"/>
      <c r="I238" s="22" t="s">
        <v>561</v>
      </c>
      <c r="J238" s="22"/>
      <c r="K238" s="22" t="s">
        <v>42</v>
      </c>
      <c r="L238" s="24">
        <v>2022</v>
      </c>
      <c r="M238" s="24"/>
      <c r="N238" s="52">
        <f>8500000/1000</f>
        <v>8500</v>
      </c>
      <c r="O238" s="39"/>
      <c r="P238" s="27">
        <f t="shared" si="24"/>
        <v>0</v>
      </c>
      <c r="Q238" s="28"/>
      <c r="R238" s="28">
        <f t="shared" si="25"/>
        <v>4</v>
      </c>
      <c r="S238" s="29">
        <f t="shared" si="26"/>
        <v>0</v>
      </c>
      <c r="T238" s="24"/>
      <c r="U238" s="24"/>
      <c r="V238" s="24"/>
      <c r="W238" s="24"/>
      <c r="X238" s="24"/>
      <c r="Y238" s="24"/>
      <c r="Z238" s="22">
        <v>0</v>
      </c>
      <c r="AA238" s="22"/>
      <c r="AB238" s="22"/>
      <c r="AC238" s="22"/>
      <c r="AD238" s="22" t="s">
        <v>42</v>
      </c>
      <c r="AE238" s="22"/>
      <c r="AF238" s="22"/>
      <c r="AG238" s="71" t="s">
        <v>562</v>
      </c>
      <c r="AH238" s="24">
        <v>1</v>
      </c>
      <c r="AI238" s="24">
        <v>3</v>
      </c>
      <c r="AJ238" s="24">
        <v>3</v>
      </c>
      <c r="AK238" s="24">
        <v>3</v>
      </c>
      <c r="AL238" s="24">
        <v>1</v>
      </c>
      <c r="AM238" s="24">
        <v>2</v>
      </c>
      <c r="AN238" s="24">
        <v>54</v>
      </c>
      <c r="AO238" s="22" t="s">
        <v>48</v>
      </c>
      <c r="AP238" s="22"/>
    </row>
    <row r="239" spans="1:42" s="133" customFormat="1" ht="38.25" x14ac:dyDescent="0.2">
      <c r="A239" s="30" t="s">
        <v>58</v>
      </c>
      <c r="B239" s="30" t="s">
        <v>794</v>
      </c>
      <c r="C239" s="30"/>
      <c r="D239" s="30" t="s">
        <v>60</v>
      </c>
      <c r="E239" s="30" t="s">
        <v>443</v>
      </c>
      <c r="F239" s="72" t="s">
        <v>960</v>
      </c>
      <c r="G239" s="30"/>
      <c r="H239" s="30"/>
      <c r="I239" s="30" t="s">
        <v>795</v>
      </c>
      <c r="J239" s="30" t="s">
        <v>796</v>
      </c>
      <c r="K239" s="30" t="s">
        <v>315</v>
      </c>
      <c r="L239" s="31">
        <v>2019</v>
      </c>
      <c r="M239" s="31"/>
      <c r="N239" s="32">
        <f>0.01*8500000</f>
        <v>85000</v>
      </c>
      <c r="O239" s="33"/>
      <c r="P239" s="34">
        <f t="shared" si="24"/>
        <v>0</v>
      </c>
      <c r="Q239" s="35"/>
      <c r="R239" s="35">
        <f t="shared" si="25"/>
        <v>4</v>
      </c>
      <c r="S239" s="36">
        <f t="shared" si="26"/>
        <v>0</v>
      </c>
      <c r="T239" s="31"/>
      <c r="U239" s="31"/>
      <c r="V239" s="31"/>
      <c r="W239" s="31"/>
      <c r="X239" s="31"/>
      <c r="Y239" s="31"/>
      <c r="Z239" s="30">
        <v>0</v>
      </c>
      <c r="AA239" s="30"/>
      <c r="AB239" s="30"/>
      <c r="AC239" s="30"/>
      <c r="AD239" s="30" t="s">
        <v>42</v>
      </c>
      <c r="AE239" s="30"/>
      <c r="AF239" s="30"/>
      <c r="AG239" s="72" t="s">
        <v>562</v>
      </c>
      <c r="AH239" s="31">
        <v>1</v>
      </c>
      <c r="AI239" s="31">
        <v>1</v>
      </c>
      <c r="AJ239" s="31">
        <v>3</v>
      </c>
      <c r="AK239" s="31">
        <v>3</v>
      </c>
      <c r="AL239" s="31">
        <v>3</v>
      </c>
      <c r="AM239" s="31">
        <v>2</v>
      </c>
      <c r="AN239" s="31">
        <v>54</v>
      </c>
      <c r="AO239" s="30" t="s">
        <v>48</v>
      </c>
      <c r="AP239" s="30"/>
    </row>
    <row r="240" spans="1:42" ht="38.25" x14ac:dyDescent="0.2">
      <c r="A240" s="22" t="s">
        <v>58</v>
      </c>
      <c r="B240" s="23" t="s">
        <v>380</v>
      </c>
      <c r="C240" s="22"/>
      <c r="D240" s="22" t="s">
        <v>60</v>
      </c>
      <c r="E240" s="22" t="s">
        <v>381</v>
      </c>
      <c r="F240" s="65" t="s">
        <v>955</v>
      </c>
      <c r="G240" s="22"/>
      <c r="H240" s="22"/>
      <c r="I240" s="22" t="s">
        <v>382</v>
      </c>
      <c r="J240" s="22"/>
      <c r="K240" s="22" t="s">
        <v>201</v>
      </c>
      <c r="L240" s="24">
        <v>2019</v>
      </c>
      <c r="M240" s="24"/>
      <c r="N240" s="38">
        <f>8500000/50000*2</f>
        <v>340</v>
      </c>
      <c r="O240" s="39"/>
      <c r="P240" s="27">
        <f t="shared" si="24"/>
        <v>0</v>
      </c>
      <c r="Q240" s="28"/>
      <c r="R240" s="28">
        <f t="shared" si="25"/>
        <v>4</v>
      </c>
      <c r="S240" s="29">
        <f t="shared" si="26"/>
        <v>0</v>
      </c>
      <c r="T240" s="24"/>
      <c r="U240" s="24"/>
      <c r="V240" s="24"/>
      <c r="W240" s="24"/>
      <c r="X240" s="24"/>
      <c r="Y240" s="24"/>
      <c r="Z240" s="22">
        <v>5000</v>
      </c>
      <c r="AA240" s="22"/>
      <c r="AB240" s="22"/>
      <c r="AC240" s="22"/>
      <c r="AD240" s="22" t="s">
        <v>64</v>
      </c>
      <c r="AE240" s="22"/>
      <c r="AF240" s="22" t="s">
        <v>76</v>
      </c>
      <c r="AG240" s="71" t="s">
        <v>383</v>
      </c>
      <c r="AH240" s="24">
        <v>2</v>
      </c>
      <c r="AI240" s="24">
        <v>1</v>
      </c>
      <c r="AJ240" s="24">
        <v>2</v>
      </c>
      <c r="AK240" s="24">
        <v>3</v>
      </c>
      <c r="AL240" s="24">
        <v>2</v>
      </c>
      <c r="AM240" s="24">
        <v>2</v>
      </c>
      <c r="AN240" s="24">
        <v>48</v>
      </c>
      <c r="AO240" s="22" t="s">
        <v>45</v>
      </c>
      <c r="AP240" s="22"/>
    </row>
    <row r="241" spans="1:42" x14ac:dyDescent="0.2">
      <c r="A241" s="22" t="s">
        <v>58</v>
      </c>
      <c r="B241" s="23" t="s">
        <v>296</v>
      </c>
      <c r="C241" s="22"/>
      <c r="D241" s="22" t="s">
        <v>60</v>
      </c>
      <c r="E241" s="22" t="s">
        <v>381</v>
      </c>
      <c r="F241" s="65"/>
      <c r="G241" s="22"/>
      <c r="H241" s="22"/>
      <c r="I241" s="22" t="s">
        <v>1153</v>
      </c>
      <c r="J241" s="22"/>
      <c r="K241" s="22"/>
      <c r="L241" s="24"/>
      <c r="M241" s="24"/>
      <c r="N241" s="38"/>
      <c r="O241" s="39"/>
      <c r="P241" s="27">
        <v>20</v>
      </c>
      <c r="Q241" s="28">
        <v>1200</v>
      </c>
      <c r="R241" s="28"/>
      <c r="S241" s="29"/>
      <c r="T241" s="24"/>
      <c r="U241" s="24"/>
      <c r="V241" s="24"/>
      <c r="W241" s="24"/>
      <c r="X241" s="24"/>
      <c r="Y241" s="24"/>
      <c r="Z241" s="22"/>
      <c r="AA241" s="22"/>
      <c r="AB241" s="113">
        <f>P241*Q241*4</f>
        <v>96000</v>
      </c>
      <c r="AC241" s="22"/>
      <c r="AD241" s="22" t="s">
        <v>42</v>
      </c>
      <c r="AE241" s="22"/>
      <c r="AF241" s="22"/>
      <c r="AG241" s="71"/>
      <c r="AH241" s="24">
        <v>3</v>
      </c>
      <c r="AI241" s="24">
        <v>2</v>
      </c>
      <c r="AJ241" s="24">
        <v>3</v>
      </c>
      <c r="AK241" s="24">
        <v>1</v>
      </c>
      <c r="AL241" s="24">
        <v>3</v>
      </c>
      <c r="AM241" s="24">
        <v>2</v>
      </c>
      <c r="AN241" s="24">
        <f>AM241*AL241*AK241*AJ241*AI241*AH241</f>
        <v>108</v>
      </c>
      <c r="AO241" s="22" t="s">
        <v>45</v>
      </c>
      <c r="AP241" s="40">
        <v>44621</v>
      </c>
    </row>
    <row r="242" spans="1:42" ht="38.25" x14ac:dyDescent="0.2">
      <c r="A242" s="22" t="s">
        <v>35</v>
      </c>
      <c r="B242" s="22" t="s">
        <v>268</v>
      </c>
      <c r="C242" s="22"/>
      <c r="D242" s="65" t="s">
        <v>37</v>
      </c>
      <c r="E242" s="88" t="s">
        <v>875</v>
      </c>
      <c r="F242" s="88"/>
      <c r="G242" s="88"/>
      <c r="H242" s="80" t="s">
        <v>898</v>
      </c>
      <c r="I242" s="65" t="s">
        <v>876</v>
      </c>
      <c r="J242" s="22"/>
      <c r="K242" s="22" t="s">
        <v>42</v>
      </c>
      <c r="L242" s="24">
        <v>2022</v>
      </c>
      <c r="M242" s="24"/>
      <c r="N242" s="38"/>
      <c r="O242" s="39"/>
      <c r="P242" s="27"/>
      <c r="Q242" s="28"/>
      <c r="R242" s="28"/>
      <c r="S242" s="29"/>
      <c r="T242" s="24"/>
      <c r="U242" s="24"/>
      <c r="V242" s="24"/>
      <c r="W242" s="24"/>
      <c r="X242" s="24"/>
      <c r="Y242" s="24"/>
      <c r="Z242" s="22"/>
      <c r="AA242" s="22"/>
      <c r="AB242" s="22"/>
      <c r="AC242" s="22"/>
      <c r="AD242" s="22" t="s">
        <v>42</v>
      </c>
      <c r="AE242" s="22"/>
      <c r="AF242" s="41"/>
      <c r="AG242" s="67"/>
      <c r="AH242" s="24"/>
      <c r="AI242" s="24"/>
      <c r="AJ242" s="24"/>
      <c r="AK242" s="24"/>
      <c r="AL242" s="24"/>
      <c r="AM242" s="24"/>
      <c r="AN242" s="24">
        <v>0</v>
      </c>
      <c r="AO242" s="22"/>
      <c r="AP242" s="69"/>
    </row>
    <row r="243" spans="1:42" ht="38.25" x14ac:dyDescent="0.2">
      <c r="A243" s="30" t="s">
        <v>72</v>
      </c>
      <c r="B243" s="30" t="s">
        <v>229</v>
      </c>
      <c r="C243" s="30"/>
      <c r="D243" s="30" t="s">
        <v>98</v>
      </c>
      <c r="E243" s="30" t="s">
        <v>230</v>
      </c>
      <c r="F243" s="72" t="s">
        <v>938</v>
      </c>
      <c r="G243" s="30"/>
      <c r="H243" s="30"/>
      <c r="I243" s="30" t="s">
        <v>231</v>
      </c>
      <c r="J243" s="30" t="s">
        <v>232</v>
      </c>
      <c r="K243" s="30" t="s">
        <v>201</v>
      </c>
      <c r="L243" s="31">
        <v>2019</v>
      </c>
      <c r="M243" s="31"/>
      <c r="N243" s="32">
        <v>15000</v>
      </c>
      <c r="O243" s="33"/>
      <c r="P243" s="34">
        <f>N243*O243</f>
        <v>0</v>
      </c>
      <c r="Q243" s="35"/>
      <c r="R243" s="35">
        <f>IF(Q243&lt;4.99,(Q243*12%+4),IF(Q243&lt;10.99,(Q243*12%+8),IF(Q243&lt;14.99,(Q243*12%+12),IF(Q243&lt;879.99,(Q243*12%+16),IF(Q243&lt;2569.99,(Q243*7%+60),240)))))</f>
        <v>4</v>
      </c>
      <c r="S243" s="36">
        <f>R243*P243</f>
        <v>0</v>
      </c>
      <c r="T243" s="31"/>
      <c r="U243" s="31"/>
      <c r="V243" s="31"/>
      <c r="W243" s="31"/>
      <c r="X243" s="31"/>
      <c r="Y243" s="31"/>
      <c r="Z243" s="30"/>
      <c r="AA243" s="30"/>
      <c r="AB243" s="30"/>
      <c r="AC243" s="30"/>
      <c r="AD243" s="30" t="s">
        <v>201</v>
      </c>
      <c r="AE243" s="30"/>
      <c r="AF243" s="30" t="s">
        <v>95</v>
      </c>
      <c r="AG243" s="72" t="s">
        <v>233</v>
      </c>
      <c r="AH243" s="31">
        <v>2</v>
      </c>
      <c r="AI243" s="31">
        <v>1</v>
      </c>
      <c r="AJ243" s="31">
        <v>2</v>
      </c>
      <c r="AK243" s="31">
        <v>1</v>
      </c>
      <c r="AL243" s="31">
        <v>3</v>
      </c>
      <c r="AM243" s="31">
        <v>2</v>
      </c>
      <c r="AN243" s="31">
        <v>24</v>
      </c>
      <c r="AO243" s="30" t="s">
        <v>45</v>
      </c>
      <c r="AP243" s="37">
        <v>43525</v>
      </c>
    </row>
    <row r="244" spans="1:42" ht="38.25" x14ac:dyDescent="0.2">
      <c r="A244" s="22" t="s">
        <v>58</v>
      </c>
      <c r="B244" s="22" t="s">
        <v>368</v>
      </c>
      <c r="C244" s="22"/>
      <c r="D244" s="22" t="s">
        <v>98</v>
      </c>
      <c r="E244" s="22" t="s">
        <v>369</v>
      </c>
      <c r="F244" s="22"/>
      <c r="G244" s="22"/>
      <c r="H244" s="110" t="s">
        <v>954</v>
      </c>
      <c r="I244" s="22" t="s">
        <v>370</v>
      </c>
      <c r="J244" s="22"/>
      <c r="K244" s="22" t="s">
        <v>42</v>
      </c>
      <c r="L244" s="24">
        <v>2021</v>
      </c>
      <c r="M244" s="24"/>
      <c r="N244" s="38">
        <f>8000000/454000</f>
        <v>17.621145374449338</v>
      </c>
      <c r="O244" s="39"/>
      <c r="P244" s="27">
        <f>N244*O244</f>
        <v>0</v>
      </c>
      <c r="Q244" s="28"/>
      <c r="R244" s="28">
        <f>IF(Q244&lt;4.99,(Q244*12%+4),IF(Q244&lt;10.99,(Q244*12%+8),IF(Q244&lt;14.99,(Q244*12%+12),IF(Q244&lt;879.99,(Q244*12%+16),IF(Q244&lt;2569.99,(Q244*7%+60),240)))))</f>
        <v>4</v>
      </c>
      <c r="S244" s="29">
        <f>R244*P244</f>
        <v>0</v>
      </c>
      <c r="T244" s="24"/>
      <c r="U244" s="24"/>
      <c r="V244" s="24"/>
      <c r="W244" s="24"/>
      <c r="X244" s="24"/>
      <c r="Y244" s="24"/>
      <c r="Z244" s="22">
        <v>0</v>
      </c>
      <c r="AA244" s="22"/>
      <c r="AB244" s="22"/>
      <c r="AC244" s="22"/>
      <c r="AD244" s="22" t="s">
        <v>42</v>
      </c>
      <c r="AE244" s="22"/>
      <c r="AF244" s="22"/>
      <c r="AG244" s="71"/>
      <c r="AH244" s="24">
        <v>1</v>
      </c>
      <c r="AI244" s="24">
        <v>1</v>
      </c>
      <c r="AJ244" s="24">
        <v>2</v>
      </c>
      <c r="AK244" s="24">
        <v>3</v>
      </c>
      <c r="AL244" s="24">
        <v>3</v>
      </c>
      <c r="AM244" s="24">
        <v>1</v>
      </c>
      <c r="AN244" s="24">
        <v>18</v>
      </c>
      <c r="AO244" s="22" t="s">
        <v>48</v>
      </c>
      <c r="AP244" s="22"/>
    </row>
    <row r="245" spans="1:42" ht="38.25" x14ac:dyDescent="0.2">
      <c r="A245" s="22" t="s">
        <v>35</v>
      </c>
      <c r="B245" s="22" t="s">
        <v>223</v>
      </c>
      <c r="C245" s="22"/>
      <c r="D245" s="22" t="s">
        <v>60</v>
      </c>
      <c r="E245" s="22" t="s">
        <v>578</v>
      </c>
      <c r="F245" s="65" t="s">
        <v>978</v>
      </c>
      <c r="G245" s="22"/>
      <c r="H245" s="95"/>
      <c r="I245" s="23" t="s">
        <v>579</v>
      </c>
      <c r="J245" s="22" t="s">
        <v>580</v>
      </c>
      <c r="K245" s="23" t="s">
        <v>315</v>
      </c>
      <c r="L245" s="24"/>
      <c r="M245" s="24"/>
      <c r="N245" s="51">
        <v>6100</v>
      </c>
      <c r="O245" s="39"/>
      <c r="P245" s="27">
        <f>N245*O245</f>
        <v>0</v>
      </c>
      <c r="Q245" s="28"/>
      <c r="R245" s="28">
        <f>IF(Q245&lt;4.99,(Q245*12%+4),IF(Q245&lt;10.99,(Q245*12%+8),IF(Q245&lt;14.99,(Q245*12%+12),IF(Q245&lt;879.99,(Q245*12%+16),IF(Q245&lt;2569.99,(Q245*7%+60),240)))))</f>
        <v>4</v>
      </c>
      <c r="S245" s="29">
        <f>R245*P245</f>
        <v>0</v>
      </c>
      <c r="T245" s="24"/>
      <c r="U245" s="24"/>
      <c r="V245" s="24"/>
      <c r="W245" s="24"/>
      <c r="X245" s="24"/>
      <c r="Y245" s="24"/>
      <c r="Z245" s="22"/>
      <c r="AA245" s="22"/>
      <c r="AB245" s="22"/>
      <c r="AC245" s="22"/>
      <c r="AD245" s="22" t="s">
        <v>42</v>
      </c>
      <c r="AE245" s="22"/>
      <c r="AF245" s="22"/>
      <c r="AG245" s="71"/>
      <c r="AH245" s="24">
        <v>1</v>
      </c>
      <c r="AI245" s="24">
        <v>2</v>
      </c>
      <c r="AJ245" s="24">
        <v>1</v>
      </c>
      <c r="AK245" s="24">
        <v>3</v>
      </c>
      <c r="AL245" s="24">
        <v>1</v>
      </c>
      <c r="AM245" s="24">
        <v>1</v>
      </c>
      <c r="AN245" s="24">
        <v>6</v>
      </c>
      <c r="AO245" s="22" t="s">
        <v>48</v>
      </c>
      <c r="AP245" s="22"/>
    </row>
    <row r="246" spans="1:42" s="133" customFormat="1" ht="38.25" x14ac:dyDescent="0.2">
      <c r="A246" s="30" t="s">
        <v>58</v>
      </c>
      <c r="B246" s="30" t="s">
        <v>880</v>
      </c>
      <c r="C246" s="30"/>
      <c r="D246" s="139" t="s">
        <v>37</v>
      </c>
      <c r="E246" s="139" t="s">
        <v>276</v>
      </c>
      <c r="F246" s="139" t="s">
        <v>897</v>
      </c>
      <c r="G246" s="139"/>
      <c r="H246" s="139"/>
      <c r="I246" s="139" t="s">
        <v>881</v>
      </c>
      <c r="J246" s="30" t="s">
        <v>1134</v>
      </c>
      <c r="K246" s="30" t="s">
        <v>42</v>
      </c>
      <c r="L246" s="31">
        <v>2022</v>
      </c>
      <c r="M246" s="31"/>
      <c r="N246" s="32"/>
      <c r="O246" s="33"/>
      <c r="P246" s="34"/>
      <c r="Q246" s="35"/>
      <c r="R246" s="35"/>
      <c r="S246" s="36"/>
      <c r="T246" s="31"/>
      <c r="U246" s="31"/>
      <c r="V246" s="31"/>
      <c r="W246" s="31"/>
      <c r="X246" s="31"/>
      <c r="Y246" s="31"/>
      <c r="Z246" s="30">
        <v>0</v>
      </c>
      <c r="AA246" s="30">
        <v>0</v>
      </c>
      <c r="AB246" s="30"/>
      <c r="AC246" s="30"/>
      <c r="AD246" s="30" t="s">
        <v>42</v>
      </c>
      <c r="AE246" s="30"/>
      <c r="AF246" s="50"/>
      <c r="AG246" s="141"/>
      <c r="AH246" s="31"/>
      <c r="AI246" s="31"/>
      <c r="AJ246" s="31"/>
      <c r="AK246" s="31"/>
      <c r="AL246" s="31"/>
      <c r="AM246" s="31"/>
      <c r="AN246" s="31">
        <v>0</v>
      </c>
      <c r="AO246" s="30"/>
      <c r="AP246" s="142"/>
    </row>
    <row r="247" spans="1:42" ht="38.25" x14ac:dyDescent="0.2">
      <c r="A247" s="22" t="s">
        <v>35</v>
      </c>
      <c r="B247" s="22" t="s">
        <v>268</v>
      </c>
      <c r="C247" s="22"/>
      <c r="D247" s="65" t="s">
        <v>37</v>
      </c>
      <c r="E247" s="88" t="s">
        <v>276</v>
      </c>
      <c r="F247" s="88" t="s">
        <v>897</v>
      </c>
      <c r="G247" s="88"/>
      <c r="H247" s="88"/>
      <c r="I247" s="65" t="s">
        <v>879</v>
      </c>
      <c r="J247" s="22" t="s">
        <v>1133</v>
      </c>
      <c r="K247" s="22" t="s">
        <v>42</v>
      </c>
      <c r="L247" s="24">
        <v>2021</v>
      </c>
      <c r="M247" s="24"/>
      <c r="N247" s="38">
        <v>3300</v>
      </c>
      <c r="O247" s="39"/>
      <c r="P247" s="27">
        <v>20</v>
      </c>
      <c r="Q247" s="28">
        <v>5000</v>
      </c>
      <c r="R247" s="28">
        <v>240</v>
      </c>
      <c r="S247" s="29">
        <f>P247*R247</f>
        <v>4800</v>
      </c>
      <c r="T247" s="24"/>
      <c r="U247" s="24"/>
      <c r="V247" s="24"/>
      <c r="W247" s="24"/>
      <c r="X247" s="24"/>
      <c r="Y247" s="24"/>
      <c r="Z247" s="113">
        <f>Q247*P247</f>
        <v>100000</v>
      </c>
      <c r="AA247" s="22"/>
      <c r="AB247" s="22"/>
      <c r="AC247" s="22"/>
      <c r="AD247" s="22" t="s">
        <v>42</v>
      </c>
      <c r="AE247" s="22"/>
      <c r="AF247" s="41"/>
      <c r="AG247" s="67"/>
      <c r="AH247" s="24"/>
      <c r="AI247" s="24"/>
      <c r="AJ247" s="24"/>
      <c r="AK247" s="24"/>
      <c r="AL247" s="24"/>
      <c r="AM247" s="24"/>
      <c r="AN247" s="24">
        <v>0</v>
      </c>
      <c r="AO247" s="22"/>
      <c r="AP247" s="69"/>
    </row>
    <row r="248" spans="1:42" ht="51" x14ac:dyDescent="0.2">
      <c r="A248" s="22" t="s">
        <v>35</v>
      </c>
      <c r="B248" s="22" t="s">
        <v>268</v>
      </c>
      <c r="C248" s="22"/>
      <c r="D248" s="22" t="s">
        <v>37</v>
      </c>
      <c r="E248" s="22" t="s">
        <v>276</v>
      </c>
      <c r="F248" s="71" t="s">
        <v>897</v>
      </c>
      <c r="G248" s="95"/>
      <c r="H248" s="22"/>
      <c r="I248" s="22" t="s">
        <v>277</v>
      </c>
      <c r="J248" s="22" t="s">
        <v>278</v>
      </c>
      <c r="K248" s="22" t="s">
        <v>279</v>
      </c>
      <c r="L248" s="24">
        <v>2021</v>
      </c>
      <c r="M248" s="24"/>
      <c r="N248" s="51">
        <f>0.75*4400</f>
        <v>3300</v>
      </c>
      <c r="O248" s="39"/>
      <c r="P248" s="27">
        <f>N248*O248</f>
        <v>0</v>
      </c>
      <c r="Q248" s="28"/>
      <c r="R248" s="28">
        <f>IF(Q248&lt;4.99,(Q248*12%+4),IF(Q248&lt;10.99,(Q248*12%+8),IF(Q248&lt;14.99,(Q248*12%+12),IF(Q248&lt;879.99,(Q248*12%+16),IF(Q248&lt;2569.99,(Q248*7%+60),240)))))</f>
        <v>4</v>
      </c>
      <c r="S248" s="29">
        <f>R248*P248</f>
        <v>0</v>
      </c>
      <c r="T248" s="24"/>
      <c r="U248" s="24"/>
      <c r="V248" s="24"/>
      <c r="W248" s="24"/>
      <c r="X248" s="24"/>
      <c r="Y248" s="24"/>
      <c r="Z248" s="22">
        <v>3000</v>
      </c>
      <c r="AA248" s="22"/>
      <c r="AB248" s="22"/>
      <c r="AC248" s="22"/>
      <c r="AD248" s="22" t="s">
        <v>42</v>
      </c>
      <c r="AE248" s="22"/>
      <c r="AF248" s="22" t="s">
        <v>95</v>
      </c>
      <c r="AG248" s="71" t="s">
        <v>280</v>
      </c>
      <c r="AH248" s="24">
        <v>3</v>
      </c>
      <c r="AI248" s="24">
        <v>2</v>
      </c>
      <c r="AJ248" s="24">
        <v>1</v>
      </c>
      <c r="AK248" s="24">
        <v>3</v>
      </c>
      <c r="AL248" s="24">
        <v>2</v>
      </c>
      <c r="AM248" s="24">
        <v>2</v>
      </c>
      <c r="AN248" s="24">
        <v>72</v>
      </c>
      <c r="AO248" s="22" t="s">
        <v>45</v>
      </c>
      <c r="AP248" s="22"/>
    </row>
    <row r="249" spans="1:42" ht="38.25" x14ac:dyDescent="0.2">
      <c r="A249" s="22" t="s">
        <v>58</v>
      </c>
      <c r="B249" s="23" t="s">
        <v>328</v>
      </c>
      <c r="C249" s="22"/>
      <c r="D249" s="22" t="s">
        <v>329</v>
      </c>
      <c r="E249" s="22" t="s">
        <v>276</v>
      </c>
      <c r="F249" s="71" t="s">
        <v>897</v>
      </c>
      <c r="G249" s="95"/>
      <c r="H249" s="22"/>
      <c r="I249" s="22" t="s">
        <v>330</v>
      </c>
      <c r="J249" s="22"/>
      <c r="K249" s="22" t="s">
        <v>331</v>
      </c>
      <c r="L249" s="24">
        <v>2018</v>
      </c>
      <c r="M249" s="24"/>
      <c r="N249" s="38">
        <f>0.12*8500</f>
        <v>1020</v>
      </c>
      <c r="O249" s="39"/>
      <c r="P249" s="27">
        <f>N249*O249</f>
        <v>0</v>
      </c>
      <c r="Q249" s="28"/>
      <c r="R249" s="28">
        <f>IF(Q249&lt;4.99,(Q249*12%+4),IF(Q249&lt;10.99,(Q249*12%+8),IF(Q249&lt;14.99,(Q249*12%+12),IF(Q249&lt;879.99,(Q249*12%+16),IF(Q249&lt;2569.99,(Q249*7%+60),240)))))</f>
        <v>4</v>
      </c>
      <c r="S249" s="29">
        <f>R249*P249</f>
        <v>0</v>
      </c>
      <c r="T249" s="24"/>
      <c r="U249" s="24"/>
      <c r="V249" s="24"/>
      <c r="W249" s="24"/>
      <c r="X249" s="24"/>
      <c r="Y249" s="24"/>
      <c r="Z249" s="22"/>
      <c r="AA249" s="22"/>
      <c r="AB249" s="22"/>
      <c r="AC249" s="22"/>
      <c r="AD249" s="22" t="s">
        <v>42</v>
      </c>
      <c r="AE249" s="22"/>
      <c r="AF249" s="41" t="s">
        <v>56</v>
      </c>
      <c r="AG249" s="71" t="s">
        <v>332</v>
      </c>
      <c r="AH249" s="24">
        <v>2</v>
      </c>
      <c r="AI249" s="24">
        <v>2</v>
      </c>
      <c r="AJ249" s="24">
        <v>3</v>
      </c>
      <c r="AK249" s="24">
        <v>3</v>
      </c>
      <c r="AL249" s="24">
        <v>1</v>
      </c>
      <c r="AM249" s="24">
        <v>1</v>
      </c>
      <c r="AN249" s="24">
        <v>36</v>
      </c>
      <c r="AO249" s="22" t="s">
        <v>45</v>
      </c>
      <c r="AP249" s="22"/>
    </row>
    <row r="250" spans="1:42" ht="38.25" x14ac:dyDescent="0.2">
      <c r="A250" s="22" t="s">
        <v>35</v>
      </c>
      <c r="B250" s="22" t="s">
        <v>682</v>
      </c>
      <c r="C250" s="22"/>
      <c r="D250" s="22" t="s">
        <v>37</v>
      </c>
      <c r="E250" s="22" t="s">
        <v>276</v>
      </c>
      <c r="F250" s="71" t="s">
        <v>897</v>
      </c>
      <c r="G250" s="22"/>
      <c r="H250" s="22"/>
      <c r="I250" s="22" t="s">
        <v>683</v>
      </c>
      <c r="J250" s="22"/>
      <c r="K250" s="22" t="s">
        <v>64</v>
      </c>
      <c r="L250" s="24">
        <v>2021</v>
      </c>
      <c r="M250" s="24"/>
      <c r="N250" s="38">
        <v>76000</v>
      </c>
      <c r="O250" s="39"/>
      <c r="P250" s="27">
        <f>N250*O250</f>
        <v>0</v>
      </c>
      <c r="Q250" s="28"/>
      <c r="R250" s="28">
        <f>IF(Q250&lt;4.99,(Q250*12%+4),IF(Q250&lt;10.99,(Q250*12%+8),IF(Q250&lt;14.99,(Q250*12%+12),IF(Q250&lt;879.99,(Q250*12%+16),IF(Q250&lt;2569.99,(Q250*7%+60),240)))))</f>
        <v>4</v>
      </c>
      <c r="S250" s="29">
        <f>R250*P250</f>
        <v>0</v>
      </c>
      <c r="T250" s="24"/>
      <c r="U250" s="24"/>
      <c r="V250" s="24"/>
      <c r="W250" s="24"/>
      <c r="X250" s="24"/>
      <c r="Y250" s="24"/>
      <c r="Z250" s="22"/>
      <c r="AA250" s="22"/>
      <c r="AB250" s="22"/>
      <c r="AC250" s="22"/>
      <c r="AD250" s="22" t="s">
        <v>64</v>
      </c>
      <c r="AE250" s="22"/>
      <c r="AF250" s="41" t="s">
        <v>56</v>
      </c>
      <c r="AG250" s="71" t="s">
        <v>684</v>
      </c>
      <c r="AH250" s="24">
        <v>2</v>
      </c>
      <c r="AI250" s="24">
        <v>3</v>
      </c>
      <c r="AJ250" s="24">
        <v>3</v>
      </c>
      <c r="AK250" s="24">
        <v>3</v>
      </c>
      <c r="AL250" s="24">
        <v>1</v>
      </c>
      <c r="AM250" s="24">
        <v>2</v>
      </c>
      <c r="AN250" s="24">
        <v>108</v>
      </c>
      <c r="AO250" s="22" t="s">
        <v>45</v>
      </c>
      <c r="AP250" s="22"/>
    </row>
    <row r="251" spans="1:42" ht="38.25" x14ac:dyDescent="0.2">
      <c r="A251" s="22" t="s">
        <v>86</v>
      </c>
      <c r="B251" s="22" t="s">
        <v>442</v>
      </c>
      <c r="C251" s="22"/>
      <c r="D251" s="65" t="s">
        <v>98</v>
      </c>
      <c r="E251" s="88" t="s">
        <v>877</v>
      </c>
      <c r="F251" s="88" t="s">
        <v>897</v>
      </c>
      <c r="G251" s="77"/>
      <c r="H251" s="88"/>
      <c r="I251" s="65" t="s">
        <v>444</v>
      </c>
      <c r="J251" s="22" t="s">
        <v>445</v>
      </c>
      <c r="K251" s="22" t="s">
        <v>309</v>
      </c>
      <c r="L251" s="24">
        <v>2018</v>
      </c>
      <c r="M251" s="24"/>
      <c r="N251" s="38"/>
      <c r="O251" s="39"/>
      <c r="P251" s="27">
        <v>2</v>
      </c>
      <c r="Q251" s="28"/>
      <c r="R251" s="28"/>
      <c r="S251" s="29"/>
      <c r="T251" s="24"/>
      <c r="U251" s="24"/>
      <c r="V251" s="24"/>
      <c r="W251" s="24"/>
      <c r="X251" s="24"/>
      <c r="Y251" s="24"/>
      <c r="Z251" s="22"/>
      <c r="AA251" s="22"/>
      <c r="AB251" s="22"/>
      <c r="AC251" s="22"/>
      <c r="AD251" s="22"/>
      <c r="AE251" s="22"/>
      <c r="AF251" s="41"/>
      <c r="AG251" s="67" t="s">
        <v>878</v>
      </c>
      <c r="AH251" s="24">
        <v>1</v>
      </c>
      <c r="AI251" s="24">
        <v>1</v>
      </c>
      <c r="AJ251" s="24">
        <v>3</v>
      </c>
      <c r="AK251" s="24">
        <v>1</v>
      </c>
      <c r="AL251" s="24">
        <v>2</v>
      </c>
      <c r="AM251" s="24">
        <v>2</v>
      </c>
      <c r="AN251" s="24">
        <v>12</v>
      </c>
      <c r="AO251" s="22" t="s">
        <v>48</v>
      </c>
      <c r="AP251" s="69"/>
    </row>
    <row r="252" spans="1:42" ht="38.25" x14ac:dyDescent="0.2">
      <c r="A252" s="22" t="s">
        <v>58</v>
      </c>
      <c r="B252" s="23" t="s">
        <v>349</v>
      </c>
      <c r="C252" s="22"/>
      <c r="D252" s="22" t="s">
        <v>37</v>
      </c>
      <c r="E252" s="22" t="s">
        <v>350</v>
      </c>
      <c r="F252" s="71" t="s">
        <v>951</v>
      </c>
      <c r="G252" s="22"/>
      <c r="H252" s="22"/>
      <c r="I252" s="22" t="s">
        <v>351</v>
      </c>
      <c r="J252" s="22" t="s">
        <v>352</v>
      </c>
      <c r="K252" s="22" t="s">
        <v>63</v>
      </c>
      <c r="L252" s="24">
        <v>2018</v>
      </c>
      <c r="M252" s="24"/>
      <c r="N252" s="38">
        <v>400</v>
      </c>
      <c r="O252" s="39"/>
      <c r="P252" s="27">
        <f>N252*O252</f>
        <v>0</v>
      </c>
      <c r="Q252" s="28"/>
      <c r="R252" s="28">
        <f>IF(Q252&lt;4.99,(Q252*12%+4),IF(Q252&lt;10.99,(Q252*12%+8),IF(Q252&lt;14.99,(Q252*12%+12),IF(Q252&lt;879.99,(Q252*12%+16),IF(Q252&lt;2569.99,(Q252*7%+60),240)))))</f>
        <v>4</v>
      </c>
      <c r="S252" s="29">
        <f>R252*P252</f>
        <v>0</v>
      </c>
      <c r="T252" s="24"/>
      <c r="U252" s="24"/>
      <c r="V252" s="24"/>
      <c r="W252" s="24"/>
      <c r="X252" s="24"/>
      <c r="Y252" s="24"/>
      <c r="Z252" s="22">
        <v>0</v>
      </c>
      <c r="AA252" s="22"/>
      <c r="AB252" s="22"/>
      <c r="AC252" s="22"/>
      <c r="AD252" s="22" t="s">
        <v>42</v>
      </c>
      <c r="AE252" s="22"/>
      <c r="AF252" s="22" t="s">
        <v>213</v>
      </c>
      <c r="AG252" s="71" t="s">
        <v>353</v>
      </c>
      <c r="AH252" s="24">
        <v>3</v>
      </c>
      <c r="AI252" s="24">
        <v>1</v>
      </c>
      <c r="AJ252" s="24">
        <v>3</v>
      </c>
      <c r="AK252" s="24">
        <v>3</v>
      </c>
      <c r="AL252" s="24">
        <v>1</v>
      </c>
      <c r="AM252" s="24">
        <v>1</v>
      </c>
      <c r="AN252" s="24">
        <v>27</v>
      </c>
      <c r="AO252" s="22" t="s">
        <v>48</v>
      </c>
      <c r="AP252" s="22"/>
    </row>
    <row r="253" spans="1:42" ht="38.25" x14ac:dyDescent="0.2">
      <c r="A253" s="30" t="s">
        <v>72</v>
      </c>
      <c r="B253" s="30" t="s">
        <v>153</v>
      </c>
      <c r="C253" s="30"/>
      <c r="D253" s="30" t="s">
        <v>98</v>
      </c>
      <c r="E253" s="30" t="s">
        <v>350</v>
      </c>
      <c r="F253" s="72" t="s">
        <v>951</v>
      </c>
      <c r="G253" s="30"/>
      <c r="H253" s="30"/>
      <c r="I253" s="30" t="s">
        <v>425</v>
      </c>
      <c r="J253" s="30" t="s">
        <v>426</v>
      </c>
      <c r="K253" s="30" t="s">
        <v>201</v>
      </c>
      <c r="L253" s="31">
        <v>2019</v>
      </c>
      <c r="M253" s="31"/>
      <c r="N253" s="32">
        <v>1000000</v>
      </c>
      <c r="O253" s="33"/>
      <c r="P253" s="34">
        <f>N253*O253</f>
        <v>0</v>
      </c>
      <c r="Q253" s="35"/>
      <c r="R253" s="35">
        <f>IF(Q253&lt;4.99,(Q253*12%+4),IF(Q253&lt;10.99,(Q253*12%+8),IF(Q253&lt;14.99,(Q253*12%+12),IF(Q253&lt;879.99,(Q253*12%+16),IF(Q253&lt;2569.99,(Q253*7%+60),240)))))</f>
        <v>4</v>
      </c>
      <c r="S253" s="36">
        <f>R253*P253</f>
        <v>0</v>
      </c>
      <c r="T253" s="31"/>
      <c r="U253" s="31"/>
      <c r="V253" s="31"/>
      <c r="W253" s="31"/>
      <c r="X253" s="31"/>
      <c r="Y253" s="31"/>
      <c r="Z253" s="30">
        <v>10000</v>
      </c>
      <c r="AA253" s="30"/>
      <c r="AB253" s="30"/>
      <c r="AC253" s="30"/>
      <c r="AD253" s="30" t="s">
        <v>42</v>
      </c>
      <c r="AE253" s="30"/>
      <c r="AF253" s="30" t="s">
        <v>44</v>
      </c>
      <c r="AG253" s="72" t="s">
        <v>427</v>
      </c>
      <c r="AH253" s="31">
        <v>2</v>
      </c>
      <c r="AI253" s="31">
        <v>2</v>
      </c>
      <c r="AJ253" s="31">
        <v>2</v>
      </c>
      <c r="AK253" s="31">
        <v>1</v>
      </c>
      <c r="AL253" s="31">
        <v>3</v>
      </c>
      <c r="AM253" s="31">
        <v>2</v>
      </c>
      <c r="AN253" s="31">
        <v>48</v>
      </c>
      <c r="AO253" s="30" t="s">
        <v>45</v>
      </c>
      <c r="AP253" s="30"/>
    </row>
    <row r="254" spans="1:42" ht="38.25" x14ac:dyDescent="0.2">
      <c r="A254" s="30" t="s">
        <v>249</v>
      </c>
      <c r="B254" s="30" t="s">
        <v>631</v>
      </c>
      <c r="C254" s="30"/>
      <c r="D254" s="30" t="s">
        <v>422</v>
      </c>
      <c r="E254" s="30" t="s">
        <v>350</v>
      </c>
      <c r="F254" s="72" t="s">
        <v>951</v>
      </c>
      <c r="G254" s="30"/>
      <c r="H254" s="30"/>
      <c r="I254" s="30" t="s">
        <v>632</v>
      </c>
      <c r="J254" s="30" t="s">
        <v>633</v>
      </c>
      <c r="K254" s="30" t="s">
        <v>634</v>
      </c>
      <c r="L254" s="31">
        <v>2018</v>
      </c>
      <c r="M254" s="31"/>
      <c r="N254" s="32">
        <f>0.08*8500000*0.05</f>
        <v>34000</v>
      </c>
      <c r="O254" s="33"/>
      <c r="P254" s="34">
        <f>N254*O254</f>
        <v>0</v>
      </c>
      <c r="Q254" s="35"/>
      <c r="R254" s="35">
        <f>IF(Q254&lt;4.99,(Q254*12%+4),IF(Q254&lt;10.99,(Q254*12%+8),IF(Q254&lt;14.99,(Q254*12%+12),IF(Q254&lt;879.99,(Q254*12%+16),IF(Q254&lt;2569.99,(Q254*7%+60),240)))))</f>
        <v>4</v>
      </c>
      <c r="S254" s="36">
        <f>R254*P254</f>
        <v>0</v>
      </c>
      <c r="T254" s="31"/>
      <c r="U254" s="31"/>
      <c r="V254" s="31"/>
      <c r="W254" s="31"/>
      <c r="X254" s="31"/>
      <c r="Y254" s="31"/>
      <c r="Z254" s="30">
        <v>5000</v>
      </c>
      <c r="AA254" s="30"/>
      <c r="AB254" s="30"/>
      <c r="AC254" s="30"/>
      <c r="AD254" s="30" t="s">
        <v>128</v>
      </c>
      <c r="AE254" s="30" t="s">
        <v>635</v>
      </c>
      <c r="AF254" s="30" t="s">
        <v>76</v>
      </c>
      <c r="AG254" s="72" t="s">
        <v>636</v>
      </c>
      <c r="AH254" s="31">
        <v>2</v>
      </c>
      <c r="AI254" s="31">
        <v>2</v>
      </c>
      <c r="AJ254" s="31">
        <v>1</v>
      </c>
      <c r="AK254" s="31">
        <v>1</v>
      </c>
      <c r="AL254" s="31">
        <v>2</v>
      </c>
      <c r="AM254" s="31">
        <v>2</v>
      </c>
      <c r="AN254" s="31">
        <v>16</v>
      </c>
      <c r="AO254" s="30" t="s">
        <v>48</v>
      </c>
      <c r="AP254" s="30"/>
    </row>
    <row r="255" spans="1:42" ht="38.25" x14ac:dyDescent="0.2">
      <c r="A255" s="22" t="s">
        <v>35</v>
      </c>
      <c r="B255" s="22" t="s">
        <v>883</v>
      </c>
      <c r="C255" s="22"/>
      <c r="D255" s="65" t="s">
        <v>37</v>
      </c>
      <c r="E255" s="88" t="s">
        <v>768</v>
      </c>
      <c r="F255" s="88"/>
      <c r="G255" s="88"/>
      <c r="H255" s="79" t="s">
        <v>896</v>
      </c>
      <c r="I255" s="65" t="s">
        <v>882</v>
      </c>
      <c r="J255" s="22"/>
      <c r="K255" s="22" t="s">
        <v>42</v>
      </c>
      <c r="L255" s="24">
        <v>2022</v>
      </c>
      <c r="M255" s="24"/>
      <c r="N255" s="38"/>
      <c r="O255" s="39"/>
      <c r="P255" s="27"/>
      <c r="Q255" s="28"/>
      <c r="R255" s="28"/>
      <c r="S255" s="29"/>
      <c r="T255" s="24"/>
      <c r="U255" s="24"/>
      <c r="V255" s="24"/>
      <c r="W255" s="24"/>
      <c r="X255" s="24"/>
      <c r="Y255" s="24"/>
      <c r="Z255" s="22"/>
      <c r="AA255" s="22"/>
      <c r="AB255" s="22"/>
      <c r="AC255" s="22"/>
      <c r="AD255" s="22" t="s">
        <v>42</v>
      </c>
      <c r="AE255" s="22"/>
      <c r="AF255" s="41"/>
      <c r="AG255" s="67"/>
      <c r="AH255" s="24"/>
      <c r="AI255" s="24"/>
      <c r="AJ255" s="24"/>
      <c r="AK255" s="24"/>
      <c r="AL255" s="24"/>
      <c r="AM255" s="24"/>
      <c r="AN255" s="24">
        <v>0</v>
      </c>
      <c r="AO255" s="22"/>
      <c r="AP255" s="69"/>
    </row>
    <row r="256" spans="1:42" ht="38.25" x14ac:dyDescent="0.2">
      <c r="A256" s="22" t="s">
        <v>35</v>
      </c>
      <c r="B256" s="22" t="s">
        <v>358</v>
      </c>
      <c r="C256" s="22"/>
      <c r="D256" s="22" t="s">
        <v>60</v>
      </c>
      <c r="E256" s="22" t="s">
        <v>768</v>
      </c>
      <c r="F256" s="22"/>
      <c r="G256" s="22"/>
      <c r="H256" s="97" t="s">
        <v>896</v>
      </c>
      <c r="I256" s="22" t="s">
        <v>769</v>
      </c>
      <c r="J256" s="22"/>
      <c r="K256" s="22" t="s">
        <v>42</v>
      </c>
      <c r="L256" s="24">
        <v>2021</v>
      </c>
      <c r="M256" s="24"/>
      <c r="N256" s="38">
        <f>4*85*20</f>
        <v>6800</v>
      </c>
      <c r="O256" s="39"/>
      <c r="P256" s="27">
        <f>N256*O256</f>
        <v>0</v>
      </c>
      <c r="Q256" s="28"/>
      <c r="R256" s="28">
        <f>IF(Q256&lt;4.99,(Q256*12%+4),IF(Q256&lt;10.99,(Q256*12%+8),IF(Q256&lt;14.99,(Q256*12%+12),IF(Q256&lt;879.99,(Q256*12%+16),IF(Q256&lt;2569.99,(Q256*7%+60),240)))))</f>
        <v>4</v>
      </c>
      <c r="S256" s="29">
        <f>R256*P256</f>
        <v>0</v>
      </c>
      <c r="T256" s="24"/>
      <c r="U256" s="24"/>
      <c r="V256" s="24"/>
      <c r="W256" s="24"/>
      <c r="X256" s="24"/>
      <c r="Y256" s="24"/>
      <c r="Z256" s="22">
        <v>0</v>
      </c>
      <c r="AA256" s="22"/>
      <c r="AB256" s="22"/>
      <c r="AC256" s="22"/>
      <c r="AD256" s="22" t="s">
        <v>42</v>
      </c>
      <c r="AE256" s="22"/>
      <c r="AF256" s="22"/>
      <c r="AG256" s="71"/>
      <c r="AH256" s="24">
        <v>1</v>
      </c>
      <c r="AI256" s="24">
        <v>2</v>
      </c>
      <c r="AJ256" s="24">
        <v>1</v>
      </c>
      <c r="AK256" s="24">
        <v>3</v>
      </c>
      <c r="AL256" s="24">
        <v>0</v>
      </c>
      <c r="AM256" s="24">
        <v>1</v>
      </c>
      <c r="AN256" s="24">
        <v>0</v>
      </c>
      <c r="AO256" s="22" t="s">
        <v>48</v>
      </c>
      <c r="AP256" s="22"/>
    </row>
    <row r="257" spans="1:42" ht="38.25" x14ac:dyDescent="0.2">
      <c r="A257" s="22" t="s">
        <v>58</v>
      </c>
      <c r="B257" s="22" t="s">
        <v>752</v>
      </c>
      <c r="C257" s="22"/>
      <c r="D257" s="22" t="s">
        <v>60</v>
      </c>
      <c r="E257" s="22" t="s">
        <v>753</v>
      </c>
      <c r="F257" s="71" t="s">
        <v>900</v>
      </c>
      <c r="G257" s="22"/>
      <c r="H257" s="22"/>
      <c r="I257" s="22" t="s">
        <v>754</v>
      </c>
      <c r="J257" s="22"/>
      <c r="K257" s="22" t="s">
        <v>128</v>
      </c>
      <c r="L257" s="24">
        <v>2020</v>
      </c>
      <c r="M257" s="24"/>
      <c r="N257" s="38">
        <f>4.5*80</f>
        <v>360</v>
      </c>
      <c r="O257" s="39"/>
      <c r="P257" s="27">
        <f>N257*O257</f>
        <v>0</v>
      </c>
      <c r="Q257" s="28"/>
      <c r="R257" s="28">
        <f>IF(Q257&lt;4.99,(Q257*12%+4),IF(Q257&lt;10.99,(Q257*12%+8),IF(Q257&lt;14.99,(Q257*12%+12),IF(Q257&lt;879.99,(Q257*12%+16),IF(Q257&lt;2569.99,(Q257*7%+60),240)))))</f>
        <v>4</v>
      </c>
      <c r="S257" s="29">
        <f>R257*P257</f>
        <v>0</v>
      </c>
      <c r="T257" s="24"/>
      <c r="U257" s="24"/>
      <c r="V257" s="24"/>
      <c r="W257" s="24"/>
      <c r="X257" s="24"/>
      <c r="Y257" s="24"/>
      <c r="Z257" s="22"/>
      <c r="AA257" s="22"/>
      <c r="AB257" s="22"/>
      <c r="AC257" s="22"/>
      <c r="AD257" s="22" t="s">
        <v>677</v>
      </c>
      <c r="AE257" s="22"/>
      <c r="AF257" s="22" t="s">
        <v>56</v>
      </c>
      <c r="AG257" s="71" t="s">
        <v>755</v>
      </c>
      <c r="AH257" s="24">
        <v>1</v>
      </c>
      <c r="AI257" s="24">
        <v>1</v>
      </c>
      <c r="AJ257" s="24">
        <v>1</v>
      </c>
      <c r="AK257" s="24">
        <v>3</v>
      </c>
      <c r="AL257" s="24">
        <v>1</v>
      </c>
      <c r="AM257" s="24">
        <v>1</v>
      </c>
      <c r="AN257" s="24">
        <v>3</v>
      </c>
      <c r="AO257" s="22" t="s">
        <v>48</v>
      </c>
      <c r="AP257" s="22"/>
    </row>
    <row r="258" spans="1:42" ht="38.25" x14ac:dyDescent="0.2">
      <c r="A258" s="22" t="s">
        <v>58</v>
      </c>
      <c r="B258" s="22" t="s">
        <v>620</v>
      </c>
      <c r="C258" s="22"/>
      <c r="D258" s="65" t="s">
        <v>98</v>
      </c>
      <c r="E258" s="88" t="s">
        <v>142</v>
      </c>
      <c r="F258" s="65" t="s">
        <v>895</v>
      </c>
      <c r="G258" s="88"/>
      <c r="H258" s="88"/>
      <c r="I258" s="65" t="s">
        <v>884</v>
      </c>
      <c r="J258" s="22"/>
      <c r="K258" s="71" t="s">
        <v>623</v>
      </c>
      <c r="L258" s="24">
        <v>2019</v>
      </c>
      <c r="M258" s="24"/>
      <c r="N258" s="38"/>
      <c r="O258" s="39"/>
      <c r="P258" s="27"/>
      <c r="Q258" s="28"/>
      <c r="R258" s="28"/>
      <c r="S258" s="29"/>
      <c r="T258" s="24"/>
      <c r="U258" s="24"/>
      <c r="V258" s="24"/>
      <c r="W258" s="24"/>
      <c r="X258" s="24"/>
      <c r="Y258" s="24"/>
      <c r="Z258" s="22"/>
      <c r="AA258" s="22"/>
      <c r="AB258" s="22"/>
      <c r="AC258" s="22"/>
      <c r="AD258" s="22" t="s">
        <v>64</v>
      </c>
      <c r="AE258" s="22"/>
      <c r="AF258" s="41"/>
      <c r="AG258" s="67" t="s">
        <v>624</v>
      </c>
      <c r="AH258" s="24">
        <v>1</v>
      </c>
      <c r="AI258" s="24">
        <v>1</v>
      </c>
      <c r="AJ258" s="24">
        <v>1</v>
      </c>
      <c r="AK258" s="24">
        <v>3</v>
      </c>
      <c r="AL258" s="24">
        <v>1</v>
      </c>
      <c r="AM258" s="24">
        <v>2</v>
      </c>
      <c r="AN258" s="24">
        <v>6</v>
      </c>
      <c r="AO258" s="22" t="s">
        <v>48</v>
      </c>
      <c r="AP258" s="69"/>
    </row>
    <row r="259" spans="1:42" ht="38.25" x14ac:dyDescent="0.2">
      <c r="A259" s="13" t="s">
        <v>86</v>
      </c>
      <c r="B259" s="13" t="s">
        <v>141</v>
      </c>
      <c r="C259" s="13"/>
      <c r="D259" s="13" t="s">
        <v>98</v>
      </c>
      <c r="E259" s="13" t="s">
        <v>142</v>
      </c>
      <c r="F259" s="70" t="s">
        <v>895</v>
      </c>
      <c r="G259" s="13"/>
      <c r="H259" s="13"/>
      <c r="I259" s="13" t="s">
        <v>143</v>
      </c>
      <c r="J259" s="13" t="s">
        <v>144</v>
      </c>
      <c r="K259" s="13" t="s">
        <v>42</v>
      </c>
      <c r="L259" s="14">
        <v>2020</v>
      </c>
      <c r="M259" s="14"/>
      <c r="N259" s="15">
        <v>400000</v>
      </c>
      <c r="O259" s="16"/>
      <c r="P259" s="17">
        <f>N259*O259</f>
        <v>0</v>
      </c>
      <c r="Q259" s="18"/>
      <c r="R259" s="18">
        <f>IF(Q259&lt;4.99,(Q259*12%+4),IF(Q259&lt;10.99,(Q259*12%+8),IF(Q259&lt;14.99,(Q259*12%+12),IF(Q259&lt;879.99,(Q259*12%+16),IF(Q259&lt;2569.99,(Q259*7%+60),240)))))</f>
        <v>4</v>
      </c>
      <c r="S259" s="19">
        <f>R259*P259</f>
        <v>0</v>
      </c>
      <c r="T259" s="14"/>
      <c r="U259" s="14"/>
      <c r="V259" s="14"/>
      <c r="W259" s="14"/>
      <c r="X259" s="14"/>
      <c r="Y259" s="14"/>
      <c r="Z259" s="13">
        <v>20000</v>
      </c>
      <c r="AA259" s="13"/>
      <c r="AB259" s="13"/>
      <c r="AC259" s="13"/>
      <c r="AD259" s="13" t="s">
        <v>42</v>
      </c>
      <c r="AE259" s="13" t="s">
        <v>145</v>
      </c>
      <c r="AF259" s="13" t="s">
        <v>95</v>
      </c>
      <c r="AG259" s="70" t="s">
        <v>146</v>
      </c>
      <c r="AH259" s="14">
        <v>2</v>
      </c>
      <c r="AI259" s="14">
        <v>3</v>
      </c>
      <c r="AJ259" s="14">
        <v>3</v>
      </c>
      <c r="AK259" s="14">
        <v>1</v>
      </c>
      <c r="AL259" s="14">
        <v>3</v>
      </c>
      <c r="AM259" s="14">
        <v>2</v>
      </c>
      <c r="AN259" s="14">
        <v>108</v>
      </c>
      <c r="AO259" s="13" t="s">
        <v>45</v>
      </c>
      <c r="AP259" s="13"/>
    </row>
    <row r="260" spans="1:42" ht="38.25" x14ac:dyDescent="0.2">
      <c r="A260" s="22" t="s">
        <v>86</v>
      </c>
      <c r="B260" s="22" t="s">
        <v>259</v>
      </c>
      <c r="C260" s="22"/>
      <c r="D260" s="22" t="s">
        <v>98</v>
      </c>
      <c r="E260" s="22" t="s">
        <v>142</v>
      </c>
      <c r="F260" s="71" t="s">
        <v>895</v>
      </c>
      <c r="G260" s="22"/>
      <c r="H260" s="22"/>
      <c r="I260" s="22" t="s">
        <v>260</v>
      </c>
      <c r="J260" s="22" t="s">
        <v>1061</v>
      </c>
      <c r="K260" s="22" t="s">
        <v>42</v>
      </c>
      <c r="L260" s="24">
        <v>2022</v>
      </c>
      <c r="M260" s="24"/>
      <c r="N260" s="38">
        <v>70000</v>
      </c>
      <c r="O260" s="39"/>
      <c r="P260" s="27">
        <v>10</v>
      </c>
      <c r="Q260" s="28">
        <v>1500</v>
      </c>
      <c r="R260" s="28">
        <f>IF(Q260&lt;4.99,(Q260*12%+4),IF(Q260&lt;10.99,(Q260*12%+8),IF(Q260&lt;14.99,(Q260*12%+12),IF(Q260&lt;879.99,(Q260*12%+16),IF(Q260&lt;2569.99,(Q260*7%+60),240)))))</f>
        <v>165</v>
      </c>
      <c r="S260" s="29">
        <f>R260*P260</f>
        <v>1650</v>
      </c>
      <c r="T260" s="24"/>
      <c r="U260" s="24"/>
      <c r="V260" s="24"/>
      <c r="W260" s="24"/>
      <c r="X260" s="24"/>
      <c r="Y260" s="24"/>
      <c r="Z260" s="113">
        <f>Q260*P260*5</f>
        <v>75000</v>
      </c>
      <c r="AA260" s="22">
        <v>0</v>
      </c>
      <c r="AB260" s="22"/>
      <c r="AC260" s="22"/>
      <c r="AD260" s="22" t="s">
        <v>64</v>
      </c>
      <c r="AE260" s="22" t="s">
        <v>261</v>
      </c>
      <c r="AF260" s="22" t="s">
        <v>132</v>
      </c>
      <c r="AG260" s="71" t="s">
        <v>262</v>
      </c>
      <c r="AH260" s="24">
        <v>1</v>
      </c>
      <c r="AI260" s="24">
        <v>3</v>
      </c>
      <c r="AJ260" s="24">
        <v>1</v>
      </c>
      <c r="AK260" s="24">
        <v>1</v>
      </c>
      <c r="AL260" s="24">
        <v>3</v>
      </c>
      <c r="AM260" s="24">
        <v>1</v>
      </c>
      <c r="AN260" s="24">
        <v>9</v>
      </c>
      <c r="AO260" s="22" t="s">
        <v>48</v>
      </c>
      <c r="AP260" s="22"/>
    </row>
    <row r="261" spans="1:42" ht="38.25" x14ac:dyDescent="0.2">
      <c r="A261" s="22" t="s">
        <v>35</v>
      </c>
      <c r="B261" s="22" t="s">
        <v>358</v>
      </c>
      <c r="C261" s="22"/>
      <c r="D261" s="22" t="s">
        <v>37</v>
      </c>
      <c r="E261" s="22" t="s">
        <v>359</v>
      </c>
      <c r="F261" s="22"/>
      <c r="G261" s="97" t="s">
        <v>952</v>
      </c>
      <c r="H261" s="22"/>
      <c r="I261" s="22" t="s">
        <v>360</v>
      </c>
      <c r="J261" s="22" t="s">
        <v>361</v>
      </c>
      <c r="K261" s="22" t="s">
        <v>63</v>
      </c>
      <c r="L261" s="24">
        <v>2019</v>
      </c>
      <c r="M261" s="24"/>
      <c r="N261" s="38">
        <f>4*85*20</f>
        <v>6800</v>
      </c>
      <c r="O261" s="39"/>
      <c r="P261" s="27">
        <f>N261*O261</f>
        <v>0</v>
      </c>
      <c r="Q261" s="28"/>
      <c r="R261" s="28">
        <f>IF(Q261&lt;4.99,(Q261*12%+4),IF(Q261&lt;10.99,(Q261*12%+8),IF(Q261&lt;14.99,(Q261*12%+12),IF(Q261&lt;879.99,(Q261*12%+16),IF(Q261&lt;2569.99,(Q261*7%+60),240)))))</f>
        <v>4</v>
      </c>
      <c r="S261" s="29">
        <f>R261*P261</f>
        <v>0</v>
      </c>
      <c r="T261" s="24"/>
      <c r="U261" s="24"/>
      <c r="V261" s="24"/>
      <c r="W261" s="24"/>
      <c r="X261" s="24"/>
      <c r="Y261" s="24"/>
      <c r="Z261" s="22">
        <v>0</v>
      </c>
      <c r="AA261" s="22"/>
      <c r="AB261" s="22"/>
      <c r="AC261" s="22"/>
      <c r="AD261" s="22" t="s">
        <v>42</v>
      </c>
      <c r="AE261" s="22"/>
      <c r="AF261" s="22"/>
      <c r="AG261" s="71" t="s">
        <v>362</v>
      </c>
      <c r="AH261" s="24">
        <v>1</v>
      </c>
      <c r="AI261" s="24">
        <v>2</v>
      </c>
      <c r="AJ261" s="24">
        <v>1</v>
      </c>
      <c r="AK261" s="24">
        <v>3</v>
      </c>
      <c r="AL261" s="24">
        <v>1</v>
      </c>
      <c r="AM261" s="24">
        <v>1</v>
      </c>
      <c r="AN261" s="24">
        <v>6</v>
      </c>
      <c r="AO261" s="22" t="s">
        <v>48</v>
      </c>
      <c r="AP261" s="22"/>
    </row>
    <row r="262" spans="1:42" ht="38.25" x14ac:dyDescent="0.2">
      <c r="A262" s="13" t="s">
        <v>58</v>
      </c>
      <c r="B262" s="13" t="s">
        <v>158</v>
      </c>
      <c r="C262" s="13"/>
      <c r="D262" s="13" t="s">
        <v>37</v>
      </c>
      <c r="E262" s="13" t="s">
        <v>159</v>
      </c>
      <c r="F262" s="70" t="s">
        <v>932</v>
      </c>
      <c r="G262" s="13"/>
      <c r="H262" s="13"/>
      <c r="I262" s="13" t="s">
        <v>160</v>
      </c>
      <c r="J262" s="13" t="s">
        <v>161</v>
      </c>
      <c r="K262" s="13" t="s">
        <v>42</v>
      </c>
      <c r="L262" s="14">
        <v>2020</v>
      </c>
      <c r="M262" s="14"/>
      <c r="N262" s="15">
        <v>1000</v>
      </c>
      <c r="O262" s="16"/>
      <c r="P262" s="17">
        <f>N262*O262</f>
        <v>0</v>
      </c>
      <c r="Q262" s="18"/>
      <c r="R262" s="18">
        <f>IF(Q262&lt;4.99,(Q262*12%+4),IF(Q262&lt;10.99,(Q262*12%+8),IF(Q262&lt;14.99,(Q262*12%+12),IF(Q262&lt;879.99,(Q262*12%+16),IF(Q262&lt;2569.99,(Q262*7%+60),240)))))</f>
        <v>4</v>
      </c>
      <c r="S262" s="19">
        <f>R262*P262</f>
        <v>0</v>
      </c>
      <c r="T262" s="14"/>
      <c r="U262" s="14"/>
      <c r="V262" s="14"/>
      <c r="W262" s="14"/>
      <c r="X262" s="14"/>
      <c r="Y262" s="14"/>
      <c r="Z262" s="13"/>
      <c r="AA262" s="13"/>
      <c r="AB262" s="13"/>
      <c r="AC262" s="13"/>
      <c r="AD262" s="13" t="s">
        <v>42</v>
      </c>
      <c r="AE262" s="13"/>
      <c r="AF262" s="20"/>
      <c r="AG262" s="70"/>
      <c r="AH262" s="14">
        <v>3</v>
      </c>
      <c r="AI262" s="14">
        <v>2</v>
      </c>
      <c r="AJ262" s="14">
        <v>2</v>
      </c>
      <c r="AK262" s="14">
        <v>3</v>
      </c>
      <c r="AL262" s="14">
        <v>3</v>
      </c>
      <c r="AM262" s="14">
        <v>2</v>
      </c>
      <c r="AN262" s="14">
        <v>216</v>
      </c>
      <c r="AO262" s="13" t="s">
        <v>45</v>
      </c>
      <c r="AP262" s="20">
        <v>43525</v>
      </c>
    </row>
    <row r="263" spans="1:42" ht="38.25" x14ac:dyDescent="0.2">
      <c r="A263" s="30" t="s">
        <v>58</v>
      </c>
      <c r="B263" s="30" t="s">
        <v>158</v>
      </c>
      <c r="C263" s="30"/>
      <c r="D263" s="30" t="s">
        <v>37</v>
      </c>
      <c r="E263" s="30" t="s">
        <v>159</v>
      </c>
      <c r="F263" s="72" t="s">
        <v>942</v>
      </c>
      <c r="G263" s="30"/>
      <c r="H263" s="30"/>
      <c r="I263" s="30" t="s">
        <v>470</v>
      </c>
      <c r="J263" s="30" t="s">
        <v>471</v>
      </c>
      <c r="K263" s="30" t="s">
        <v>201</v>
      </c>
      <c r="L263" s="31">
        <v>2019</v>
      </c>
      <c r="M263" s="31"/>
      <c r="N263" s="32">
        <v>1000</v>
      </c>
      <c r="O263" s="33"/>
      <c r="P263" s="34">
        <f>N263*O263</f>
        <v>0</v>
      </c>
      <c r="Q263" s="35"/>
      <c r="R263" s="35">
        <f>IF(Q263&lt;4.99,(Q263*12%+4),IF(Q263&lt;10.99,(Q263*12%+8),IF(Q263&lt;14.99,(Q263*12%+12),IF(Q263&lt;879.99,(Q263*12%+16),IF(Q263&lt;2569.99,(Q263*7%+60),240)))))</f>
        <v>4</v>
      </c>
      <c r="S263" s="36">
        <f>R263*P263</f>
        <v>0</v>
      </c>
      <c r="T263" s="31"/>
      <c r="U263" s="31"/>
      <c r="V263" s="31"/>
      <c r="W263" s="31"/>
      <c r="X263" s="31"/>
      <c r="Y263" s="31"/>
      <c r="Z263" s="30">
        <v>0</v>
      </c>
      <c r="AA263" s="30"/>
      <c r="AB263" s="30"/>
      <c r="AC263" s="30"/>
      <c r="AD263" s="30" t="s">
        <v>42</v>
      </c>
      <c r="AE263" s="30" t="s">
        <v>43</v>
      </c>
      <c r="AF263" s="37" t="s">
        <v>95</v>
      </c>
      <c r="AG263" s="72" t="s">
        <v>472</v>
      </c>
      <c r="AH263" s="31">
        <v>3</v>
      </c>
      <c r="AI263" s="31">
        <v>1</v>
      </c>
      <c r="AJ263" s="31">
        <v>2</v>
      </c>
      <c r="AK263" s="31">
        <v>3</v>
      </c>
      <c r="AL263" s="31">
        <v>3</v>
      </c>
      <c r="AM263" s="31">
        <v>2</v>
      </c>
      <c r="AN263" s="31">
        <v>108</v>
      </c>
      <c r="AO263" s="30" t="s">
        <v>45</v>
      </c>
      <c r="AP263" s="30"/>
    </row>
    <row r="264" spans="1:42" ht="38.25" x14ac:dyDescent="0.2">
      <c r="A264" s="22" t="s">
        <v>47</v>
      </c>
      <c r="B264" s="22" t="s">
        <v>885</v>
      </c>
      <c r="C264" s="22"/>
      <c r="D264" s="65" t="s">
        <v>37</v>
      </c>
      <c r="E264" s="88" t="s">
        <v>886</v>
      </c>
      <c r="F264" s="78" t="s">
        <v>894</v>
      </c>
      <c r="G264" s="88"/>
      <c r="H264" s="88"/>
      <c r="I264" s="65" t="s">
        <v>887</v>
      </c>
      <c r="J264" s="22" t="s">
        <v>888</v>
      </c>
      <c r="K264" s="22" t="s">
        <v>42</v>
      </c>
      <c r="L264" s="24">
        <v>2021</v>
      </c>
      <c r="M264" s="24"/>
      <c r="N264" s="38"/>
      <c r="O264" s="39"/>
      <c r="P264" s="27"/>
      <c r="Q264" s="28"/>
      <c r="R264" s="28"/>
      <c r="S264" s="29"/>
      <c r="T264" s="24"/>
      <c r="U264" s="24"/>
      <c r="V264" s="24"/>
      <c r="W264" s="24"/>
      <c r="X264" s="24"/>
      <c r="Y264" s="24"/>
      <c r="Z264" s="22"/>
      <c r="AA264" s="22"/>
      <c r="AB264" s="22"/>
      <c r="AC264" s="22"/>
      <c r="AD264" s="22" t="s">
        <v>42</v>
      </c>
      <c r="AE264" s="22"/>
      <c r="AF264" s="41"/>
      <c r="AG264" s="67"/>
      <c r="AH264" s="24"/>
      <c r="AI264" s="24"/>
      <c r="AJ264" s="24"/>
      <c r="AK264" s="24"/>
      <c r="AL264" s="24"/>
      <c r="AM264" s="24"/>
      <c r="AN264" s="24">
        <v>0</v>
      </c>
      <c r="AO264" s="22"/>
      <c r="AP264" s="69"/>
    </row>
    <row r="265" spans="1:42" ht="38.25" x14ac:dyDescent="0.2">
      <c r="A265" s="22" t="s">
        <v>47</v>
      </c>
      <c r="B265" s="22" t="s">
        <v>885</v>
      </c>
      <c r="C265" s="22"/>
      <c r="D265" s="65" t="s">
        <v>98</v>
      </c>
      <c r="E265" s="88" t="s">
        <v>886</v>
      </c>
      <c r="F265" s="78" t="s">
        <v>894</v>
      </c>
      <c r="G265" s="88"/>
      <c r="H265" s="88"/>
      <c r="I265" s="65" t="s">
        <v>887</v>
      </c>
      <c r="J265" s="22" t="s">
        <v>889</v>
      </c>
      <c r="K265" s="22" t="s">
        <v>42</v>
      </c>
      <c r="L265" s="24">
        <v>2021</v>
      </c>
      <c r="M265" s="24"/>
      <c r="N265" s="38"/>
      <c r="O265" s="39"/>
      <c r="P265" s="27"/>
      <c r="Q265" s="28"/>
      <c r="R265" s="28"/>
      <c r="S265" s="29"/>
      <c r="T265" s="24"/>
      <c r="U265" s="24"/>
      <c r="V265" s="24"/>
      <c r="W265" s="24"/>
      <c r="X265" s="24"/>
      <c r="Y265" s="24"/>
      <c r="Z265" s="22"/>
      <c r="AA265" s="22"/>
      <c r="AB265" s="22"/>
      <c r="AC265" s="22"/>
      <c r="AD265" s="22" t="s">
        <v>42</v>
      </c>
      <c r="AE265" s="22"/>
      <c r="AF265" s="41"/>
      <c r="AG265" s="67" t="s">
        <v>890</v>
      </c>
      <c r="AH265" s="24"/>
      <c r="AI265" s="24"/>
      <c r="AJ265" s="24"/>
      <c r="AK265" s="24"/>
      <c r="AL265" s="24"/>
      <c r="AM265" s="24"/>
      <c r="AN265" s="24">
        <v>0</v>
      </c>
      <c r="AO265" s="22"/>
      <c r="AP265" s="69"/>
    </row>
    <row r="266" spans="1:42" ht="38.25" x14ac:dyDescent="0.2">
      <c r="A266" s="22" t="s">
        <v>86</v>
      </c>
      <c r="B266" s="22" t="s">
        <v>259</v>
      </c>
      <c r="C266" s="22"/>
      <c r="D266" s="22" t="s">
        <v>98</v>
      </c>
      <c r="E266" s="22" t="s">
        <v>321</v>
      </c>
      <c r="F266" s="71" t="s">
        <v>949</v>
      </c>
      <c r="G266" s="22"/>
      <c r="H266" s="22"/>
      <c r="I266" s="22" t="s">
        <v>322</v>
      </c>
      <c r="J266" s="22"/>
      <c r="K266" s="22" t="s">
        <v>64</v>
      </c>
      <c r="L266" s="24">
        <v>2020</v>
      </c>
      <c r="M266" s="24"/>
      <c r="N266" s="38">
        <v>70000</v>
      </c>
      <c r="O266" s="39"/>
      <c r="P266" s="27">
        <f>N266*O266</f>
        <v>0</v>
      </c>
      <c r="Q266" s="28"/>
      <c r="R266" s="28">
        <f>IF(Q266&lt;4.99,(Q266*12%+4),IF(Q266&lt;10.99,(Q266*12%+8),IF(Q266&lt;14.99,(Q266*12%+12),IF(Q266&lt;879.99,(Q266*12%+16),IF(Q266&lt;2569.99,(Q266*7%+60),240)))))</f>
        <v>4</v>
      </c>
      <c r="S266" s="29">
        <f>R266*P266</f>
        <v>0</v>
      </c>
      <c r="T266" s="24"/>
      <c r="U266" s="24"/>
      <c r="V266" s="24"/>
      <c r="W266" s="24"/>
      <c r="X266" s="24"/>
      <c r="Y266" s="24"/>
      <c r="Z266" s="22"/>
      <c r="AA266" s="22"/>
      <c r="AB266" s="22"/>
      <c r="AC266" s="22"/>
      <c r="AD266" s="22" t="s">
        <v>64</v>
      </c>
      <c r="AE266" s="22"/>
      <c r="AF266" s="40"/>
      <c r="AG266" s="71"/>
      <c r="AH266" s="24">
        <v>1</v>
      </c>
      <c r="AI266" s="24">
        <v>3</v>
      </c>
      <c r="AJ266" s="24">
        <v>1</v>
      </c>
      <c r="AK266" s="24">
        <v>1</v>
      </c>
      <c r="AL266" s="24">
        <v>3</v>
      </c>
      <c r="AM266" s="24">
        <v>1</v>
      </c>
      <c r="AN266" s="24">
        <v>9</v>
      </c>
      <c r="AO266" s="22" t="s">
        <v>48</v>
      </c>
      <c r="AP266" s="22"/>
    </row>
    <row r="267" spans="1:42" ht="38.25" x14ac:dyDescent="0.2">
      <c r="A267" s="22" t="s">
        <v>35</v>
      </c>
      <c r="B267" s="22" t="s">
        <v>255</v>
      </c>
      <c r="C267" s="22"/>
      <c r="D267" s="22" t="s">
        <v>98</v>
      </c>
      <c r="E267" s="22" t="s">
        <v>256</v>
      </c>
      <c r="F267" s="71" t="s">
        <v>943</v>
      </c>
      <c r="G267" s="22"/>
      <c r="H267" s="22"/>
      <c r="I267" s="22" t="s">
        <v>257</v>
      </c>
      <c r="J267" s="22"/>
      <c r="K267" s="22" t="s">
        <v>42</v>
      </c>
      <c r="L267" s="24">
        <v>2022</v>
      </c>
      <c r="M267" s="24"/>
      <c r="N267" s="51">
        <v>4400</v>
      </c>
      <c r="O267" s="39"/>
      <c r="P267" s="27">
        <f>N267*O267</f>
        <v>0</v>
      </c>
      <c r="Q267" s="28"/>
      <c r="R267" s="28">
        <f>IF(Q267&lt;4.99,(Q267*12%+4),IF(Q267&lt;10.99,(Q267*12%+8),IF(Q267&lt;14.99,(Q267*12%+12),IF(Q267&lt;879.99,(Q267*12%+16),IF(Q267&lt;2569.99,(Q267*7%+60),240)))))</f>
        <v>4</v>
      </c>
      <c r="S267" s="29">
        <f>R267*P267</f>
        <v>0</v>
      </c>
      <c r="T267" s="24"/>
      <c r="U267" s="24"/>
      <c r="V267" s="24"/>
      <c r="W267" s="24"/>
      <c r="X267" s="24"/>
      <c r="Y267" s="24"/>
      <c r="Z267" s="22"/>
      <c r="AA267" s="22"/>
      <c r="AB267" s="22"/>
      <c r="AC267" s="22"/>
      <c r="AD267" s="22" t="s">
        <v>42</v>
      </c>
      <c r="AE267" s="22"/>
      <c r="AF267" s="22"/>
      <c r="AG267" s="71" t="s">
        <v>258</v>
      </c>
      <c r="AH267" s="24">
        <v>1</v>
      </c>
      <c r="AI267" s="24">
        <v>2</v>
      </c>
      <c r="AJ267" s="24">
        <v>1</v>
      </c>
      <c r="AK267" s="24">
        <v>3</v>
      </c>
      <c r="AL267" s="24">
        <v>2</v>
      </c>
      <c r="AM267" s="24">
        <v>2</v>
      </c>
      <c r="AN267" s="24">
        <v>24</v>
      </c>
      <c r="AO267" s="22" t="s">
        <v>48</v>
      </c>
      <c r="AP267" s="22"/>
    </row>
    <row r="268" spans="1:42" x14ac:dyDescent="0.2">
      <c r="A268" s="22" t="s">
        <v>72</v>
      </c>
      <c r="B268" s="22" t="s">
        <v>1054</v>
      </c>
      <c r="C268" s="22"/>
      <c r="D268" s="22" t="s">
        <v>37</v>
      </c>
      <c r="E268" s="22" t="s">
        <v>1055</v>
      </c>
      <c r="F268" s="22"/>
      <c r="G268" s="22"/>
      <c r="H268" s="22"/>
      <c r="I268" s="22" t="s">
        <v>1056</v>
      </c>
      <c r="J268" s="22" t="s">
        <v>1057</v>
      </c>
      <c r="K268" s="22" t="s">
        <v>834</v>
      </c>
      <c r="L268" s="24">
        <v>2022</v>
      </c>
      <c r="M268" s="24"/>
      <c r="N268" s="38">
        <v>20</v>
      </c>
      <c r="O268" s="39"/>
      <c r="P268" s="24">
        <v>5</v>
      </c>
      <c r="Q268" s="28">
        <v>2500</v>
      </c>
      <c r="R268" s="24">
        <v>240</v>
      </c>
      <c r="S268" s="24"/>
      <c r="T268" s="24"/>
      <c r="U268" s="24"/>
      <c r="V268" s="24"/>
      <c r="W268" s="24"/>
      <c r="X268" s="24"/>
      <c r="Y268" s="24"/>
      <c r="Z268" s="113">
        <f>Q268*P268*5</f>
        <v>62500</v>
      </c>
      <c r="AA268" s="22"/>
      <c r="AB268" s="22"/>
      <c r="AC268" s="22"/>
      <c r="AD268" s="22"/>
      <c r="AE268" s="22"/>
      <c r="AF268" s="22"/>
      <c r="AG268" s="71"/>
      <c r="AH268" s="24"/>
      <c r="AI268" s="24"/>
      <c r="AJ268" s="24"/>
      <c r="AK268" s="24"/>
      <c r="AL268" s="24"/>
      <c r="AM268" s="24"/>
      <c r="AN268" s="24"/>
      <c r="AO268" s="22"/>
      <c r="AP268" s="22"/>
    </row>
  </sheetData>
  <autoFilter ref="A1:AP1">
    <sortState ref="A2:AN229">
      <sortCondition ref="E1"/>
    </sortState>
  </autoFilter>
  <conditionalFormatting sqref="M267:M1048576 M1 M51:M60 M160:M265 M81:M158 M64:M79">
    <cfRule type="cellIs" dxfId="317" priority="146" operator="equal">
      <formula>1</formula>
    </cfRule>
  </conditionalFormatting>
  <conditionalFormatting sqref="D267:D1048576 D1 D51:D60 D160:D265 D81:D158 D64:D79">
    <cfRule type="cellIs" dxfId="316" priority="144" operator="equal">
      <formula>"s.c."</formula>
    </cfRule>
    <cfRule type="cellIs" dxfId="315" priority="145" operator="equal">
      <formula>"i.v."</formula>
    </cfRule>
  </conditionalFormatting>
  <conditionalFormatting sqref="M266">
    <cfRule type="cellIs" dxfId="314" priority="143" operator="equal">
      <formula>1</formula>
    </cfRule>
  </conditionalFormatting>
  <conditionalFormatting sqref="D266">
    <cfRule type="cellIs" dxfId="313" priority="141" operator="equal">
      <formula>"s.c."</formula>
    </cfRule>
    <cfRule type="cellIs" dxfId="312" priority="142" operator="equal">
      <formula>"i.v."</formula>
    </cfRule>
  </conditionalFormatting>
  <conditionalFormatting sqref="M49:M50">
    <cfRule type="cellIs" dxfId="311" priority="140" operator="equal">
      <formula>1</formula>
    </cfRule>
  </conditionalFormatting>
  <conditionalFormatting sqref="D49:D50">
    <cfRule type="cellIs" dxfId="310" priority="138" operator="equal">
      <formula>"s.c."</formula>
    </cfRule>
    <cfRule type="cellIs" dxfId="309" priority="139" operator="equal">
      <formula>"i.v."</formula>
    </cfRule>
  </conditionalFormatting>
  <conditionalFormatting sqref="M47:M48">
    <cfRule type="cellIs" dxfId="308" priority="137" operator="equal">
      <formula>1</formula>
    </cfRule>
  </conditionalFormatting>
  <conditionalFormatting sqref="D47:D48">
    <cfRule type="cellIs" dxfId="307" priority="135" operator="equal">
      <formula>"s.c."</formula>
    </cfRule>
    <cfRule type="cellIs" dxfId="306" priority="136" operator="equal">
      <formula>"i.v."</formula>
    </cfRule>
  </conditionalFormatting>
  <conditionalFormatting sqref="M46">
    <cfRule type="cellIs" dxfId="305" priority="134" operator="equal">
      <formula>1</formula>
    </cfRule>
  </conditionalFormatting>
  <conditionalFormatting sqref="D46">
    <cfRule type="cellIs" dxfId="304" priority="132" operator="equal">
      <formula>"s.c."</formula>
    </cfRule>
    <cfRule type="cellIs" dxfId="303" priority="133" operator="equal">
      <formula>"i.v."</formula>
    </cfRule>
  </conditionalFormatting>
  <conditionalFormatting sqref="M45">
    <cfRule type="cellIs" dxfId="302" priority="131" operator="equal">
      <formula>1</formula>
    </cfRule>
  </conditionalFormatting>
  <conditionalFormatting sqref="D45">
    <cfRule type="cellIs" dxfId="301" priority="129" operator="equal">
      <formula>"s.c."</formula>
    </cfRule>
    <cfRule type="cellIs" dxfId="300" priority="130" operator="equal">
      <formula>"i.v."</formula>
    </cfRule>
  </conditionalFormatting>
  <conditionalFormatting sqref="M42:M43">
    <cfRule type="cellIs" dxfId="299" priority="125" operator="equal">
      <formula>1</formula>
    </cfRule>
  </conditionalFormatting>
  <conditionalFormatting sqref="D42:D43">
    <cfRule type="cellIs" dxfId="298" priority="123" operator="equal">
      <formula>"s.c."</formula>
    </cfRule>
    <cfRule type="cellIs" dxfId="297" priority="124" operator="equal">
      <formula>"i.v."</formula>
    </cfRule>
  </conditionalFormatting>
  <conditionalFormatting sqref="M41">
    <cfRule type="cellIs" dxfId="296" priority="122" operator="equal">
      <formula>1</formula>
    </cfRule>
  </conditionalFormatting>
  <conditionalFormatting sqref="D41">
    <cfRule type="cellIs" dxfId="295" priority="120" operator="equal">
      <formula>"s.c."</formula>
    </cfRule>
    <cfRule type="cellIs" dxfId="294" priority="121" operator="equal">
      <formula>"i.v."</formula>
    </cfRule>
  </conditionalFormatting>
  <conditionalFormatting sqref="M40">
    <cfRule type="cellIs" dxfId="293" priority="119" operator="equal">
      <formula>1</formula>
    </cfRule>
  </conditionalFormatting>
  <conditionalFormatting sqref="D40">
    <cfRule type="cellIs" dxfId="292" priority="117" operator="equal">
      <formula>"s.c."</formula>
    </cfRule>
    <cfRule type="cellIs" dxfId="291" priority="118" operator="equal">
      <formula>"i.v."</formula>
    </cfRule>
  </conditionalFormatting>
  <conditionalFormatting sqref="M39">
    <cfRule type="cellIs" dxfId="290" priority="116" operator="equal">
      <formula>1</formula>
    </cfRule>
  </conditionalFormatting>
  <conditionalFormatting sqref="D39">
    <cfRule type="cellIs" dxfId="289" priority="114" operator="equal">
      <formula>"s.c."</formula>
    </cfRule>
    <cfRule type="cellIs" dxfId="288" priority="115" operator="equal">
      <formula>"i.v."</formula>
    </cfRule>
  </conditionalFormatting>
  <conditionalFormatting sqref="M38">
    <cfRule type="cellIs" dxfId="287" priority="113" operator="equal">
      <formula>1</formula>
    </cfRule>
  </conditionalFormatting>
  <conditionalFormatting sqref="D38">
    <cfRule type="cellIs" dxfId="286" priority="111" operator="equal">
      <formula>"s.c."</formula>
    </cfRule>
    <cfRule type="cellIs" dxfId="285" priority="112" operator="equal">
      <formula>"i.v."</formula>
    </cfRule>
  </conditionalFormatting>
  <conditionalFormatting sqref="M44">
    <cfRule type="cellIs" dxfId="284" priority="107" operator="equal">
      <formula>1</formula>
    </cfRule>
  </conditionalFormatting>
  <conditionalFormatting sqref="D44">
    <cfRule type="cellIs" dxfId="283" priority="105" operator="equal">
      <formula>"s.c."</formula>
    </cfRule>
    <cfRule type="cellIs" dxfId="282" priority="106" operator="equal">
      <formula>"i.v."</formula>
    </cfRule>
  </conditionalFormatting>
  <conditionalFormatting sqref="M37">
    <cfRule type="cellIs" dxfId="281" priority="102" operator="equal">
      <formula>1</formula>
    </cfRule>
  </conditionalFormatting>
  <conditionalFormatting sqref="D37">
    <cfRule type="cellIs" dxfId="280" priority="100" operator="equal">
      <formula>"s.c."</formula>
    </cfRule>
    <cfRule type="cellIs" dxfId="279" priority="101" operator="equal">
      <formula>"i.v."</formula>
    </cfRule>
  </conditionalFormatting>
  <conditionalFormatting sqref="M36">
    <cfRule type="cellIs" dxfId="278" priority="99" operator="equal">
      <formula>1</formula>
    </cfRule>
  </conditionalFormatting>
  <conditionalFormatting sqref="D36">
    <cfRule type="cellIs" dxfId="277" priority="97" operator="equal">
      <formula>"s.c."</formula>
    </cfRule>
    <cfRule type="cellIs" dxfId="276" priority="98" operator="equal">
      <formula>"i.v."</formula>
    </cfRule>
  </conditionalFormatting>
  <conditionalFormatting sqref="M35">
    <cfRule type="cellIs" dxfId="275" priority="96" operator="equal">
      <formula>1</formula>
    </cfRule>
  </conditionalFormatting>
  <conditionalFormatting sqref="D35">
    <cfRule type="cellIs" dxfId="274" priority="94" operator="equal">
      <formula>"s.c."</formula>
    </cfRule>
    <cfRule type="cellIs" dxfId="273" priority="95" operator="equal">
      <formula>"i.v."</formula>
    </cfRule>
  </conditionalFormatting>
  <conditionalFormatting sqref="M34">
    <cfRule type="cellIs" dxfId="272" priority="93" operator="equal">
      <formula>1</formula>
    </cfRule>
  </conditionalFormatting>
  <conditionalFormatting sqref="D34">
    <cfRule type="cellIs" dxfId="271" priority="91" operator="equal">
      <formula>"s.c."</formula>
    </cfRule>
    <cfRule type="cellIs" dxfId="270" priority="92" operator="equal">
      <formula>"i.v."</formula>
    </cfRule>
  </conditionalFormatting>
  <conditionalFormatting sqref="M33">
    <cfRule type="cellIs" dxfId="269" priority="90" operator="equal">
      <formula>1</formula>
    </cfRule>
  </conditionalFormatting>
  <conditionalFormatting sqref="D33">
    <cfRule type="cellIs" dxfId="268" priority="88" operator="equal">
      <formula>"s.c."</formula>
    </cfRule>
    <cfRule type="cellIs" dxfId="267" priority="89" operator="equal">
      <formula>"i.v."</formula>
    </cfRule>
  </conditionalFormatting>
  <conditionalFormatting sqref="M32">
    <cfRule type="cellIs" dxfId="266" priority="87" operator="equal">
      <formula>1</formula>
    </cfRule>
  </conditionalFormatting>
  <conditionalFormatting sqref="D32">
    <cfRule type="cellIs" dxfId="265" priority="85" operator="equal">
      <formula>"s.c."</formula>
    </cfRule>
    <cfRule type="cellIs" dxfId="264" priority="86" operator="equal">
      <formula>"i.v."</formula>
    </cfRule>
  </conditionalFormatting>
  <conditionalFormatting sqref="M31">
    <cfRule type="cellIs" dxfId="263" priority="84" operator="equal">
      <formula>1</formula>
    </cfRule>
  </conditionalFormatting>
  <conditionalFormatting sqref="D31">
    <cfRule type="cellIs" dxfId="262" priority="82" operator="equal">
      <formula>"s.c."</formula>
    </cfRule>
    <cfRule type="cellIs" dxfId="261" priority="83" operator="equal">
      <formula>"i.v."</formula>
    </cfRule>
  </conditionalFormatting>
  <conditionalFormatting sqref="M29:M30">
    <cfRule type="cellIs" dxfId="260" priority="81" operator="equal">
      <formula>1</formula>
    </cfRule>
  </conditionalFormatting>
  <conditionalFormatting sqref="D29:D30">
    <cfRule type="cellIs" dxfId="259" priority="79" operator="equal">
      <formula>"s.c."</formula>
    </cfRule>
    <cfRule type="cellIs" dxfId="258" priority="80" operator="equal">
      <formula>"i.v."</formula>
    </cfRule>
  </conditionalFormatting>
  <conditionalFormatting sqref="M28">
    <cfRule type="cellIs" dxfId="257" priority="78" operator="equal">
      <formula>1</formula>
    </cfRule>
  </conditionalFormatting>
  <conditionalFormatting sqref="D28">
    <cfRule type="cellIs" dxfId="256" priority="76" operator="equal">
      <formula>"s.c."</formula>
    </cfRule>
    <cfRule type="cellIs" dxfId="255" priority="77" operator="equal">
      <formula>"i.v."</formula>
    </cfRule>
  </conditionalFormatting>
  <conditionalFormatting sqref="M27">
    <cfRule type="cellIs" dxfId="254" priority="75" operator="equal">
      <formula>1</formula>
    </cfRule>
  </conditionalFormatting>
  <conditionalFormatting sqref="D27">
    <cfRule type="cellIs" dxfId="253" priority="73" operator="equal">
      <formula>"s.c."</formula>
    </cfRule>
    <cfRule type="cellIs" dxfId="252" priority="74" operator="equal">
      <formula>"i.v."</formula>
    </cfRule>
  </conditionalFormatting>
  <conditionalFormatting sqref="M26">
    <cfRule type="cellIs" dxfId="251" priority="72" operator="equal">
      <formula>1</formula>
    </cfRule>
  </conditionalFormatting>
  <conditionalFormatting sqref="D26">
    <cfRule type="cellIs" dxfId="250" priority="70" operator="equal">
      <formula>"s.c."</formula>
    </cfRule>
    <cfRule type="cellIs" dxfId="249" priority="71" operator="equal">
      <formula>"i.v."</formula>
    </cfRule>
  </conditionalFormatting>
  <conditionalFormatting sqref="M22:M25">
    <cfRule type="cellIs" dxfId="248" priority="69" operator="equal">
      <formula>1</formula>
    </cfRule>
  </conditionalFormatting>
  <conditionalFormatting sqref="D22:D25">
    <cfRule type="cellIs" dxfId="247" priority="67" operator="equal">
      <formula>"s.c."</formula>
    </cfRule>
    <cfRule type="cellIs" dxfId="246" priority="68" operator="equal">
      <formula>"i.v."</formula>
    </cfRule>
  </conditionalFormatting>
  <conditionalFormatting sqref="M21">
    <cfRule type="cellIs" dxfId="245" priority="66" operator="equal">
      <formula>1</formula>
    </cfRule>
  </conditionalFormatting>
  <conditionalFormatting sqref="D21">
    <cfRule type="cellIs" dxfId="244" priority="64" operator="equal">
      <formula>"s.c."</formula>
    </cfRule>
    <cfRule type="cellIs" dxfId="243" priority="65" operator="equal">
      <formula>"i.v."</formula>
    </cfRule>
  </conditionalFormatting>
  <conditionalFormatting sqref="M20">
    <cfRule type="cellIs" dxfId="242" priority="63" operator="equal">
      <formula>1</formula>
    </cfRule>
  </conditionalFormatting>
  <conditionalFormatting sqref="D20">
    <cfRule type="cellIs" dxfId="241" priority="61" operator="equal">
      <formula>"s.c."</formula>
    </cfRule>
    <cfRule type="cellIs" dxfId="240" priority="62" operator="equal">
      <formula>"i.v."</formula>
    </cfRule>
  </conditionalFormatting>
  <conditionalFormatting sqref="M19">
    <cfRule type="cellIs" dxfId="239" priority="60" operator="equal">
      <formula>1</formula>
    </cfRule>
  </conditionalFormatting>
  <conditionalFormatting sqref="D19">
    <cfRule type="cellIs" dxfId="238" priority="58" operator="equal">
      <formula>"s.c."</formula>
    </cfRule>
    <cfRule type="cellIs" dxfId="237" priority="59" operator="equal">
      <formula>"i.v."</formula>
    </cfRule>
  </conditionalFormatting>
  <conditionalFormatting sqref="M18">
    <cfRule type="cellIs" dxfId="236" priority="57" operator="equal">
      <formula>1</formula>
    </cfRule>
  </conditionalFormatting>
  <conditionalFormatting sqref="D18">
    <cfRule type="cellIs" dxfId="235" priority="55" operator="equal">
      <formula>"s.c."</formula>
    </cfRule>
    <cfRule type="cellIs" dxfId="234" priority="56" operator="equal">
      <formula>"i.v."</formula>
    </cfRule>
  </conditionalFormatting>
  <conditionalFormatting sqref="M16">
    <cfRule type="cellIs" dxfId="233" priority="51" operator="equal">
      <formula>1</formula>
    </cfRule>
  </conditionalFormatting>
  <conditionalFormatting sqref="D16">
    <cfRule type="cellIs" dxfId="232" priority="49" operator="equal">
      <formula>"s.c."</formula>
    </cfRule>
    <cfRule type="cellIs" dxfId="231" priority="50" operator="equal">
      <formula>"i.v."</formula>
    </cfRule>
  </conditionalFormatting>
  <conditionalFormatting sqref="M17">
    <cfRule type="cellIs" dxfId="230" priority="48" operator="equal">
      <formula>1</formula>
    </cfRule>
  </conditionalFormatting>
  <conditionalFormatting sqref="D17">
    <cfRule type="cellIs" dxfId="229" priority="46" operator="equal">
      <formula>"s.c."</formula>
    </cfRule>
    <cfRule type="cellIs" dxfId="228" priority="47" operator="equal">
      <formula>"i.v."</formula>
    </cfRule>
  </conditionalFormatting>
  <conditionalFormatting sqref="M15">
    <cfRule type="cellIs" dxfId="227" priority="45" operator="equal">
      <formula>1</formula>
    </cfRule>
  </conditionalFormatting>
  <conditionalFormatting sqref="D15">
    <cfRule type="cellIs" dxfId="226" priority="43" operator="equal">
      <formula>"s.c."</formula>
    </cfRule>
    <cfRule type="cellIs" dxfId="225" priority="44" operator="equal">
      <formula>"i.v."</formula>
    </cfRule>
  </conditionalFormatting>
  <conditionalFormatting sqref="M13:M14">
    <cfRule type="cellIs" dxfId="224" priority="42" operator="equal">
      <formula>1</formula>
    </cfRule>
  </conditionalFormatting>
  <conditionalFormatting sqref="D13:D14">
    <cfRule type="cellIs" dxfId="223" priority="40" operator="equal">
      <formula>"s.c."</formula>
    </cfRule>
    <cfRule type="cellIs" dxfId="222" priority="41" operator="equal">
      <formula>"i.v."</formula>
    </cfRule>
  </conditionalFormatting>
  <conditionalFormatting sqref="M12">
    <cfRule type="cellIs" dxfId="221" priority="36" operator="equal">
      <formula>1</formula>
    </cfRule>
  </conditionalFormatting>
  <conditionalFormatting sqref="D12">
    <cfRule type="cellIs" dxfId="220" priority="34" operator="equal">
      <formula>"s.c."</formula>
    </cfRule>
    <cfRule type="cellIs" dxfId="219" priority="35" operator="equal">
      <formula>"i.v."</formula>
    </cfRule>
  </conditionalFormatting>
  <conditionalFormatting sqref="M10:M11">
    <cfRule type="cellIs" dxfId="218" priority="33" operator="equal">
      <formula>1</formula>
    </cfRule>
  </conditionalFormatting>
  <conditionalFormatting sqref="D10:D11">
    <cfRule type="cellIs" dxfId="217" priority="31" operator="equal">
      <formula>"s.c."</formula>
    </cfRule>
    <cfRule type="cellIs" dxfId="216" priority="32" operator="equal">
      <formula>"i.v."</formula>
    </cfRule>
  </conditionalFormatting>
  <conditionalFormatting sqref="M9">
    <cfRule type="cellIs" dxfId="215" priority="30" operator="equal">
      <formula>1</formula>
    </cfRule>
  </conditionalFormatting>
  <conditionalFormatting sqref="D9">
    <cfRule type="cellIs" dxfId="214" priority="28" operator="equal">
      <formula>"s.c."</formula>
    </cfRule>
    <cfRule type="cellIs" dxfId="213" priority="29" operator="equal">
      <formula>"i.v."</formula>
    </cfRule>
  </conditionalFormatting>
  <conditionalFormatting sqref="M8">
    <cfRule type="cellIs" dxfId="212" priority="27" operator="equal">
      <formula>1</formula>
    </cfRule>
  </conditionalFormatting>
  <conditionalFormatting sqref="D8">
    <cfRule type="cellIs" dxfId="211" priority="25" operator="equal">
      <formula>"s.c."</formula>
    </cfRule>
    <cfRule type="cellIs" dxfId="210" priority="26" operator="equal">
      <formula>"i.v."</formula>
    </cfRule>
  </conditionalFormatting>
  <conditionalFormatting sqref="M5">
    <cfRule type="cellIs" dxfId="209" priority="21" operator="equal">
      <formula>1</formula>
    </cfRule>
  </conditionalFormatting>
  <conditionalFormatting sqref="D5">
    <cfRule type="cellIs" dxfId="208" priority="19" operator="equal">
      <formula>"s.c."</formula>
    </cfRule>
    <cfRule type="cellIs" dxfId="207" priority="20" operator="equal">
      <formula>"i.v."</formula>
    </cfRule>
  </conditionalFormatting>
  <conditionalFormatting sqref="M6:M7">
    <cfRule type="cellIs" dxfId="206" priority="24" operator="equal">
      <formula>1</formula>
    </cfRule>
  </conditionalFormatting>
  <conditionalFormatting sqref="D6:D7">
    <cfRule type="cellIs" dxfId="205" priority="22" operator="equal">
      <formula>"s.c."</formula>
    </cfRule>
    <cfRule type="cellIs" dxfId="204" priority="23" operator="equal">
      <formula>"i.v."</formula>
    </cfRule>
  </conditionalFormatting>
  <conditionalFormatting sqref="M4">
    <cfRule type="cellIs" dxfId="203" priority="18" operator="equal">
      <formula>1</formula>
    </cfRule>
  </conditionalFormatting>
  <conditionalFormatting sqref="D4">
    <cfRule type="cellIs" dxfId="202" priority="16" operator="equal">
      <formula>"s.c."</formula>
    </cfRule>
    <cfRule type="cellIs" dxfId="201" priority="17" operator="equal">
      <formula>"i.v."</formula>
    </cfRule>
  </conditionalFormatting>
  <conditionalFormatting sqref="M3">
    <cfRule type="cellIs" dxfId="200" priority="15" operator="equal">
      <formula>1</formula>
    </cfRule>
  </conditionalFormatting>
  <conditionalFormatting sqref="D3">
    <cfRule type="cellIs" dxfId="199" priority="13" operator="equal">
      <formula>"s.c."</formula>
    </cfRule>
    <cfRule type="cellIs" dxfId="198" priority="14" operator="equal">
      <formula>"i.v."</formula>
    </cfRule>
  </conditionalFormatting>
  <conditionalFormatting sqref="M159">
    <cfRule type="cellIs" dxfId="197" priority="12" operator="equal">
      <formula>1</formula>
    </cfRule>
  </conditionalFormatting>
  <conditionalFormatting sqref="D159">
    <cfRule type="cellIs" dxfId="196" priority="10" operator="equal">
      <formula>"s.c."</formula>
    </cfRule>
    <cfRule type="cellIs" dxfId="195" priority="11" operator="equal">
      <formula>"i.v."</formula>
    </cfRule>
  </conditionalFormatting>
  <conditionalFormatting sqref="M80">
    <cfRule type="cellIs" dxfId="194" priority="9" operator="equal">
      <formula>1</formula>
    </cfRule>
  </conditionalFormatting>
  <conditionalFormatting sqref="D80">
    <cfRule type="cellIs" dxfId="193" priority="7" operator="equal">
      <formula>"s.c."</formula>
    </cfRule>
    <cfRule type="cellIs" dxfId="192" priority="8" operator="equal">
      <formula>"i.v."</formula>
    </cfRule>
  </conditionalFormatting>
  <conditionalFormatting sqref="M2">
    <cfRule type="cellIs" dxfId="191" priority="6" operator="equal">
      <formula>1</formula>
    </cfRule>
  </conditionalFormatting>
  <conditionalFormatting sqref="D2">
    <cfRule type="cellIs" dxfId="190" priority="4" operator="equal">
      <formula>"s.c."</formula>
    </cfRule>
    <cfRule type="cellIs" dxfId="189" priority="5" operator="equal">
      <formula>"i.v."</formula>
    </cfRule>
  </conditionalFormatting>
  <conditionalFormatting sqref="M61:M63">
    <cfRule type="cellIs" dxfId="188" priority="3" operator="equal">
      <formula>1</formula>
    </cfRule>
  </conditionalFormatting>
  <conditionalFormatting sqref="D61:D63">
    <cfRule type="cellIs" dxfId="187" priority="1" operator="equal">
      <formula>"s.c."</formula>
    </cfRule>
    <cfRule type="cellIs" dxfId="186" priority="2" operator="equal">
      <formula>"i.v."</formula>
    </cfRule>
  </conditionalFormatting>
  <hyperlinks>
    <hyperlink ref="Y9" r:id="rId1"/>
    <hyperlink ref="Y10" r:id="rId2"/>
  </hyperlinks>
  <pageMargins left="0.7" right="0.7" top="0.78740157499999996" bottom="0.78740157499999996" header="0.3" footer="0.3"/>
  <pageSetup paperSize="8" scale="32" fitToHeight="0" orientation="landscape" r:id="rId3"/>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1:XFB266"/>
  <sheetViews>
    <sheetView topLeftCell="C1" workbookViewId="0">
      <pane ySplit="1" topLeftCell="A14" activePane="bottomLeft" state="frozen"/>
      <selection activeCell="AJ1" sqref="AJ1"/>
      <selection pane="bottomLeft" activeCell="F239" sqref="F239"/>
    </sheetView>
  </sheetViews>
  <sheetFormatPr baseColWidth="10" defaultColWidth="11.42578125" defaultRowHeight="12.75" x14ac:dyDescent="0.2"/>
  <cols>
    <col min="1" max="1" width="17.140625" style="1" bestFit="1" customWidth="1"/>
    <col min="2" max="2" width="52.28515625" style="1" customWidth="1"/>
    <col min="3" max="3" width="16.28515625" style="1" customWidth="1"/>
    <col min="4" max="4" width="16.7109375" style="1" bestFit="1" customWidth="1"/>
    <col min="5" max="5" width="34.28515625" style="1" bestFit="1" customWidth="1"/>
    <col min="6" max="6" width="35.140625" style="1" customWidth="1"/>
    <col min="7" max="7" width="36.140625" style="1" customWidth="1"/>
    <col min="8" max="8" width="32.7109375" style="1" customWidth="1"/>
    <col min="9" max="9" width="28.7109375" style="1" bestFit="1" customWidth="1"/>
    <col min="10" max="10" width="22.5703125" style="1" customWidth="1"/>
    <col min="11" max="11" width="23.85546875" style="1" customWidth="1"/>
    <col min="12" max="12" width="15" style="2" customWidth="1"/>
    <col min="13" max="13" width="4.5703125" style="2" customWidth="1"/>
    <col min="14" max="14" width="17.28515625" style="4" customWidth="1"/>
    <col min="15" max="15" width="17.28515625" style="5" customWidth="1"/>
    <col min="16" max="16" width="14.28515625" style="2" customWidth="1"/>
    <col min="17" max="17" width="14.28515625" style="3" customWidth="1"/>
    <col min="18" max="24" width="14.28515625" style="2" customWidth="1"/>
    <col min="25" max="25" width="27.7109375" style="2" customWidth="1"/>
    <col min="26" max="28" width="25.140625" style="1" customWidth="1"/>
    <col min="29" max="29" width="29.7109375" style="1" bestFit="1" customWidth="1"/>
    <col min="30" max="30" width="13.42578125" style="1" hidden="1" customWidth="1"/>
    <col min="31" max="31" width="20.7109375" style="1" hidden="1" customWidth="1"/>
    <col min="32" max="32" width="63.5703125" style="76" customWidth="1"/>
    <col min="33" max="38" width="10.7109375" style="2" customWidth="1"/>
    <col min="39" max="39" width="15.28515625" style="2" customWidth="1"/>
    <col min="40" max="40" width="28.5703125" style="1" customWidth="1"/>
    <col min="41" max="41" width="30" style="1" customWidth="1"/>
  </cols>
  <sheetData>
    <row r="1" spans="1:41" ht="102" x14ac:dyDescent="0.2">
      <c r="A1" s="6" t="s">
        <v>0</v>
      </c>
      <c r="B1" s="6" t="s">
        <v>1</v>
      </c>
      <c r="C1" s="6" t="s">
        <v>2</v>
      </c>
      <c r="D1" s="6" t="s">
        <v>3</v>
      </c>
      <c r="E1" s="6" t="s">
        <v>4</v>
      </c>
      <c r="F1" s="6" t="s">
        <v>892</v>
      </c>
      <c r="G1" s="6" t="s">
        <v>891</v>
      </c>
      <c r="H1" s="6" t="s">
        <v>893</v>
      </c>
      <c r="I1" s="6" t="s">
        <v>5</v>
      </c>
      <c r="J1" s="6" t="s">
        <v>6</v>
      </c>
      <c r="K1" s="6" t="s">
        <v>7</v>
      </c>
      <c r="L1" s="7" t="s">
        <v>8</v>
      </c>
      <c r="M1" s="7" t="s">
        <v>9</v>
      </c>
      <c r="N1" s="8" t="s">
        <v>10</v>
      </c>
      <c r="O1" s="9" t="s">
        <v>11</v>
      </c>
      <c r="P1" s="7" t="s">
        <v>12</v>
      </c>
      <c r="Q1" s="10" t="s">
        <v>13</v>
      </c>
      <c r="R1" s="7" t="s">
        <v>14</v>
      </c>
      <c r="S1" s="7" t="s">
        <v>15</v>
      </c>
      <c r="T1" s="7" t="s">
        <v>16</v>
      </c>
      <c r="U1" s="7" t="s">
        <v>17</v>
      </c>
      <c r="V1" s="7" t="s">
        <v>18</v>
      </c>
      <c r="W1" s="7" t="s">
        <v>19</v>
      </c>
      <c r="X1" s="7" t="s">
        <v>20</v>
      </c>
      <c r="Y1" s="7" t="s">
        <v>21</v>
      </c>
      <c r="Z1" s="11" t="s">
        <v>1210</v>
      </c>
      <c r="AA1" s="11" t="s">
        <v>1211</v>
      </c>
      <c r="AB1" s="11" t="s">
        <v>1284</v>
      </c>
      <c r="AC1" s="11" t="s">
        <v>22</v>
      </c>
      <c r="AD1" s="11" t="s">
        <v>23</v>
      </c>
      <c r="AE1" s="11" t="s">
        <v>24</v>
      </c>
      <c r="AF1" s="11" t="s">
        <v>25</v>
      </c>
      <c r="AG1" s="12" t="s">
        <v>26</v>
      </c>
      <c r="AH1" s="12" t="s">
        <v>27</v>
      </c>
      <c r="AI1" s="12" t="s">
        <v>28</v>
      </c>
      <c r="AJ1" s="12" t="s">
        <v>29</v>
      </c>
      <c r="AK1" s="12" t="s">
        <v>30</v>
      </c>
      <c r="AL1" s="12" t="s">
        <v>31</v>
      </c>
      <c r="AM1" s="12" t="s">
        <v>32</v>
      </c>
      <c r="AN1" s="11" t="s">
        <v>33</v>
      </c>
      <c r="AO1" s="11" t="s">
        <v>34</v>
      </c>
    </row>
    <row r="2" spans="1:41" s="129" customFormat="1" x14ac:dyDescent="0.2">
      <c r="A2" s="13" t="s">
        <v>72</v>
      </c>
      <c r="B2" s="13" t="s">
        <v>184</v>
      </c>
      <c r="C2" s="13"/>
      <c r="D2" s="13" t="s">
        <v>60</v>
      </c>
      <c r="E2" s="91" t="s">
        <v>1328</v>
      </c>
      <c r="F2" s="101"/>
      <c r="G2" s="108"/>
      <c r="H2" s="108"/>
      <c r="I2" s="13" t="s">
        <v>1204</v>
      </c>
      <c r="J2" s="13" t="s">
        <v>1273</v>
      </c>
      <c r="K2" s="13" t="s">
        <v>42</v>
      </c>
      <c r="L2" s="14">
        <v>2023</v>
      </c>
      <c r="M2" s="14"/>
      <c r="N2" s="15">
        <v>100000</v>
      </c>
      <c r="O2" s="16"/>
      <c r="P2" s="17">
        <v>100</v>
      </c>
      <c r="Q2" s="18">
        <v>4500</v>
      </c>
      <c r="R2" s="18">
        <v>240</v>
      </c>
      <c r="S2" s="19">
        <f>R2*P2</f>
        <v>24000</v>
      </c>
      <c r="T2" s="14"/>
      <c r="U2" s="14"/>
      <c r="V2" s="14"/>
      <c r="W2" s="14"/>
      <c r="X2" s="14"/>
      <c r="Y2" s="14"/>
      <c r="Z2" s="126">
        <v>100000</v>
      </c>
      <c r="AA2" s="13"/>
      <c r="AB2" s="13"/>
      <c r="AC2" s="13" t="s">
        <v>42</v>
      </c>
      <c r="AD2" s="13"/>
      <c r="AE2" s="13"/>
      <c r="AF2" s="70" t="s">
        <v>1252</v>
      </c>
      <c r="AG2" s="14">
        <v>3</v>
      </c>
      <c r="AH2" s="14">
        <v>3</v>
      </c>
      <c r="AI2" s="14">
        <v>2</v>
      </c>
      <c r="AJ2" s="14">
        <v>3</v>
      </c>
      <c r="AK2" s="14">
        <v>2</v>
      </c>
      <c r="AL2" s="14">
        <v>3</v>
      </c>
      <c r="AM2" s="14">
        <f>AL2*AK2*AJ2*AI2*AH2*AG2</f>
        <v>324</v>
      </c>
      <c r="AN2" s="13" t="s">
        <v>45</v>
      </c>
      <c r="AO2" s="20">
        <v>44743</v>
      </c>
    </row>
    <row r="3" spans="1:41" hidden="1" x14ac:dyDescent="0.2">
      <c r="A3" s="30" t="s">
        <v>72</v>
      </c>
      <c r="B3" s="30" t="s">
        <v>363</v>
      </c>
      <c r="C3" s="30"/>
      <c r="D3" s="30" t="s">
        <v>37</v>
      </c>
      <c r="E3" s="89" t="s">
        <v>1077</v>
      </c>
      <c r="F3" s="131"/>
      <c r="G3" s="106"/>
      <c r="H3" s="106"/>
      <c r="I3" s="30" t="s">
        <v>1078</v>
      </c>
      <c r="J3" s="30" t="s">
        <v>1255</v>
      </c>
      <c r="K3" s="30" t="s">
        <v>1189</v>
      </c>
      <c r="L3" s="31"/>
      <c r="M3" s="31"/>
      <c r="N3" s="32">
        <v>360</v>
      </c>
      <c r="O3" s="33"/>
      <c r="P3" s="34">
        <v>20</v>
      </c>
      <c r="Q3" s="35">
        <v>10000</v>
      </c>
      <c r="R3" s="35"/>
      <c r="S3" s="36"/>
      <c r="T3" s="31"/>
      <c r="U3" s="31"/>
      <c r="V3" s="31"/>
      <c r="W3" s="31"/>
      <c r="X3" s="31"/>
      <c r="Y3" s="31"/>
      <c r="Z3" s="132" t="e">
        <f>#REF!</f>
        <v>#REF!</v>
      </c>
      <c r="AA3" s="30"/>
      <c r="AB3" s="30"/>
      <c r="AC3" s="30" t="s">
        <v>42</v>
      </c>
      <c r="AD3" s="30"/>
      <c r="AE3" s="30"/>
      <c r="AF3" s="72" t="s">
        <v>1253</v>
      </c>
      <c r="AG3" s="31">
        <v>1</v>
      </c>
      <c r="AH3" s="31">
        <v>1</v>
      </c>
      <c r="AI3" s="31">
        <v>2</v>
      </c>
      <c r="AJ3" s="31">
        <v>3</v>
      </c>
      <c r="AK3" s="31">
        <v>1</v>
      </c>
      <c r="AL3" s="31">
        <v>2</v>
      </c>
      <c r="AM3" s="31">
        <f>AG3*AH3*AI3*AJ3*AK3*AL3</f>
        <v>12</v>
      </c>
      <c r="AN3" s="30"/>
      <c r="AO3" s="37">
        <v>44621</v>
      </c>
    </row>
    <row r="4" spans="1:41" ht="25.5" hidden="1" x14ac:dyDescent="0.2">
      <c r="A4" s="30" t="s">
        <v>58</v>
      </c>
      <c r="B4" s="30" t="s">
        <v>1149</v>
      </c>
      <c r="C4" s="30"/>
      <c r="D4" s="30" t="s">
        <v>37</v>
      </c>
      <c r="E4" s="89" t="s">
        <v>101</v>
      </c>
      <c r="F4" s="96"/>
      <c r="G4" s="106"/>
      <c r="H4" s="106"/>
      <c r="I4" s="30" t="s">
        <v>1150</v>
      </c>
      <c r="J4" s="30" t="s">
        <v>1151</v>
      </c>
      <c r="K4" s="30"/>
      <c r="L4" s="31"/>
      <c r="M4" s="31"/>
      <c r="N4" s="32">
        <v>425</v>
      </c>
      <c r="O4" s="33"/>
      <c r="P4" s="34"/>
      <c r="Q4" s="35">
        <v>15000</v>
      </c>
      <c r="R4" s="35"/>
      <c r="S4" s="36"/>
      <c r="T4" s="31"/>
      <c r="U4" s="31"/>
      <c r="V4" s="31"/>
      <c r="W4" s="31"/>
      <c r="X4" s="31"/>
      <c r="Y4" s="31"/>
      <c r="Z4" s="132" t="e">
        <f>#REF!</f>
        <v>#REF!</v>
      </c>
      <c r="AA4" s="30"/>
      <c r="AB4" s="30"/>
      <c r="AC4" s="30" t="s">
        <v>42</v>
      </c>
      <c r="AD4" s="30"/>
      <c r="AE4" s="30"/>
      <c r="AF4" s="72" t="s">
        <v>1152</v>
      </c>
      <c r="AG4" s="31">
        <v>3</v>
      </c>
      <c r="AH4" s="31">
        <v>2</v>
      </c>
      <c r="AI4" s="31">
        <v>3</v>
      </c>
      <c r="AJ4" s="31">
        <v>3</v>
      </c>
      <c r="AK4" s="31">
        <v>2</v>
      </c>
      <c r="AL4" s="31">
        <v>3</v>
      </c>
      <c r="AM4" s="31">
        <f>AG4*AL4*AK4*AJ4*AI4*AH4</f>
        <v>324</v>
      </c>
      <c r="AN4" s="30" t="s">
        <v>45</v>
      </c>
      <c r="AO4" s="37">
        <v>44621</v>
      </c>
    </row>
    <row r="5" spans="1:41" s="133" customFormat="1" hidden="1" x14ac:dyDescent="0.2">
      <c r="A5" s="30" t="s">
        <v>58</v>
      </c>
      <c r="B5" s="30" t="s">
        <v>1031</v>
      </c>
      <c r="C5" s="30" t="s">
        <v>48</v>
      </c>
      <c r="D5" s="30" t="s">
        <v>37</v>
      </c>
      <c r="E5" s="89" t="s">
        <v>1028</v>
      </c>
      <c r="F5" s="96"/>
      <c r="G5" s="106"/>
      <c r="H5" s="106"/>
      <c r="I5" s="30" t="s">
        <v>1029</v>
      </c>
      <c r="J5" s="30" t="s">
        <v>1030</v>
      </c>
      <c r="K5" s="30" t="s">
        <v>63</v>
      </c>
      <c r="L5" s="31">
        <v>2022</v>
      </c>
      <c r="M5" s="31"/>
      <c r="N5" s="32">
        <v>90</v>
      </c>
      <c r="O5" s="33"/>
      <c r="P5" s="34">
        <v>20</v>
      </c>
      <c r="Q5" s="35">
        <v>5000</v>
      </c>
      <c r="R5" s="35">
        <v>240</v>
      </c>
      <c r="S5" s="36"/>
      <c r="T5" s="31"/>
      <c r="U5" s="31"/>
      <c r="V5" s="31"/>
      <c r="W5" s="31"/>
      <c r="X5" s="31"/>
      <c r="Y5" s="31"/>
      <c r="Z5" s="132" t="e">
        <f>#REF!*2</f>
        <v>#REF!</v>
      </c>
      <c r="AA5" s="30"/>
      <c r="AB5" s="30"/>
      <c r="AC5" s="30" t="s">
        <v>201</v>
      </c>
      <c r="AD5" s="30"/>
      <c r="AE5" s="30"/>
      <c r="AF5" s="72" t="s">
        <v>1111</v>
      </c>
      <c r="AG5" s="31"/>
      <c r="AH5" s="31"/>
      <c r="AI5" s="31"/>
      <c r="AJ5" s="31"/>
      <c r="AK5" s="31"/>
      <c r="AL5" s="31"/>
      <c r="AM5" s="31"/>
      <c r="AN5" s="30"/>
      <c r="AO5" s="30"/>
    </row>
    <row r="6" spans="1:41" x14ac:dyDescent="0.2">
      <c r="A6" s="13" t="s">
        <v>35</v>
      </c>
      <c r="B6" s="13" t="s">
        <v>1114</v>
      </c>
      <c r="C6" s="13"/>
      <c r="D6" s="13" t="s">
        <v>60</v>
      </c>
      <c r="E6" s="91" t="s">
        <v>1115</v>
      </c>
      <c r="F6" s="101"/>
      <c r="G6" s="108"/>
      <c r="H6" s="108"/>
      <c r="I6" s="13" t="s">
        <v>1116</v>
      </c>
      <c r="J6" s="13" t="s">
        <v>1126</v>
      </c>
      <c r="K6" s="13" t="s">
        <v>63</v>
      </c>
      <c r="L6" s="14">
        <v>2023</v>
      </c>
      <c r="M6" s="14"/>
      <c r="N6" s="15"/>
      <c r="O6" s="16"/>
      <c r="P6" s="17">
        <v>20</v>
      </c>
      <c r="Q6" s="18">
        <v>15000</v>
      </c>
      <c r="R6" s="18">
        <v>240</v>
      </c>
      <c r="S6" s="19"/>
      <c r="T6" s="14"/>
      <c r="U6" s="14"/>
      <c r="V6" s="14"/>
      <c r="W6" s="14"/>
      <c r="X6" s="14"/>
      <c r="Y6" s="14"/>
      <c r="Z6" s="135" t="e">
        <f>#REF!</f>
        <v>#REF!</v>
      </c>
      <c r="AA6" s="13"/>
      <c r="AB6" s="13"/>
      <c r="AC6" s="13" t="s">
        <v>42</v>
      </c>
      <c r="AD6" s="13"/>
      <c r="AE6" s="20"/>
      <c r="AF6" s="70" t="s">
        <v>1122</v>
      </c>
      <c r="AG6" s="14">
        <v>2</v>
      </c>
      <c r="AH6" s="14">
        <v>2</v>
      </c>
      <c r="AI6" s="14">
        <v>1</v>
      </c>
      <c r="AJ6" s="14">
        <v>3</v>
      </c>
      <c r="AK6" s="14">
        <v>1</v>
      </c>
      <c r="AL6" s="14">
        <v>2</v>
      </c>
      <c r="AM6" s="14">
        <f>AL6*AK6*AJ6*AI6*AH6*AG6</f>
        <v>24</v>
      </c>
      <c r="AN6" s="13" t="s">
        <v>45</v>
      </c>
      <c r="AO6" s="20">
        <v>44621</v>
      </c>
    </row>
    <row r="7" spans="1:41" s="129" customFormat="1" x14ac:dyDescent="0.2">
      <c r="A7" s="13" t="s">
        <v>58</v>
      </c>
      <c r="B7" s="13" t="s">
        <v>1047</v>
      </c>
      <c r="C7" s="13"/>
      <c r="D7" s="13" t="s">
        <v>98</v>
      </c>
      <c r="E7" s="91" t="s">
        <v>381</v>
      </c>
      <c r="F7" s="108"/>
      <c r="G7" s="101"/>
      <c r="H7" s="108"/>
      <c r="I7" s="13" t="s">
        <v>1048</v>
      </c>
      <c r="J7" s="13" t="s">
        <v>1212</v>
      </c>
      <c r="K7" s="13" t="s">
        <v>1017</v>
      </c>
      <c r="L7" s="14">
        <v>2023</v>
      </c>
      <c r="M7" s="14"/>
      <c r="N7" s="15">
        <v>10</v>
      </c>
      <c r="O7" s="16"/>
      <c r="P7" s="17">
        <v>2</v>
      </c>
      <c r="Q7" s="18">
        <v>29000</v>
      </c>
      <c r="R7" s="18">
        <v>240</v>
      </c>
      <c r="S7" s="19"/>
      <c r="T7" s="14"/>
      <c r="U7" s="14"/>
      <c r="V7" s="14"/>
      <c r="W7" s="14"/>
      <c r="X7" s="14"/>
      <c r="Y7" s="14"/>
      <c r="Z7" s="135" t="e">
        <f>#REF!</f>
        <v>#REF!</v>
      </c>
      <c r="AA7" s="13"/>
      <c r="AB7" s="13"/>
      <c r="AC7" s="13"/>
      <c r="AD7" s="13"/>
      <c r="AE7" s="13"/>
      <c r="AF7" s="70"/>
      <c r="AG7" s="14"/>
      <c r="AH7" s="14"/>
      <c r="AI7" s="14"/>
      <c r="AJ7" s="14"/>
      <c r="AK7" s="14"/>
      <c r="AL7" s="14"/>
      <c r="AM7" s="14"/>
      <c r="AN7" s="13"/>
      <c r="AO7" s="13"/>
    </row>
    <row r="8" spans="1:41" s="133" customFormat="1" x14ac:dyDescent="0.2">
      <c r="A8" s="30" t="s">
        <v>58</v>
      </c>
      <c r="B8" s="30" t="s">
        <v>59</v>
      </c>
      <c r="C8" s="30"/>
      <c r="D8" s="30" t="s">
        <v>37</v>
      </c>
      <c r="E8" s="89" t="s">
        <v>1377</v>
      </c>
      <c r="F8" s="72"/>
      <c r="G8" s="106"/>
      <c r="H8" s="106"/>
      <c r="I8" s="30" t="s">
        <v>1036</v>
      </c>
      <c r="J8" s="30" t="s">
        <v>1037</v>
      </c>
      <c r="K8" s="30" t="s">
        <v>63</v>
      </c>
      <c r="L8" s="31">
        <v>2023</v>
      </c>
      <c r="M8" s="31"/>
      <c r="N8" s="32">
        <v>220</v>
      </c>
      <c r="O8" s="33"/>
      <c r="P8" s="34">
        <v>40</v>
      </c>
      <c r="Q8" s="35">
        <v>5000</v>
      </c>
      <c r="R8" s="35">
        <v>240</v>
      </c>
      <c r="S8" s="36"/>
      <c r="T8" s="31"/>
      <c r="U8" s="31"/>
      <c r="V8" s="31"/>
      <c r="W8" s="31"/>
      <c r="X8" s="31"/>
      <c r="Y8" s="31"/>
      <c r="Z8" s="132" t="e">
        <f>#REF!</f>
        <v>#REF!</v>
      </c>
      <c r="AA8" s="30"/>
      <c r="AB8" s="30"/>
      <c r="AC8" s="30"/>
      <c r="AD8" s="117"/>
      <c r="AE8" s="127"/>
      <c r="AF8" s="72"/>
      <c r="AG8" s="31"/>
      <c r="AH8" s="31"/>
      <c r="AI8" s="31"/>
      <c r="AJ8" s="31"/>
      <c r="AK8" s="31"/>
      <c r="AL8" s="31"/>
      <c r="AM8" s="31"/>
      <c r="AN8" s="30"/>
      <c r="AO8" s="30"/>
    </row>
    <row r="9" spans="1:41" ht="38.25" hidden="1" x14ac:dyDescent="0.2">
      <c r="A9" s="22" t="s">
        <v>35</v>
      </c>
      <c r="B9" s="23" t="s">
        <v>704</v>
      </c>
      <c r="C9" s="22"/>
      <c r="D9" s="23" t="s">
        <v>37</v>
      </c>
      <c r="E9" s="87" t="s">
        <v>535</v>
      </c>
      <c r="F9" s="71" t="s">
        <v>920</v>
      </c>
      <c r="G9" s="95"/>
      <c r="H9" s="95"/>
      <c r="I9" s="23" t="s">
        <v>705</v>
      </c>
      <c r="J9" s="22" t="s">
        <v>1093</v>
      </c>
      <c r="K9" s="22"/>
      <c r="L9" s="24">
        <v>2022</v>
      </c>
      <c r="M9" s="24"/>
      <c r="N9" s="52">
        <f>8500000/100000*35</f>
        <v>2975</v>
      </c>
      <c r="O9" s="39"/>
      <c r="P9" s="27">
        <v>3</v>
      </c>
      <c r="Q9" s="28">
        <v>10000</v>
      </c>
      <c r="R9" s="28">
        <f>IF(Q9&lt;4.99,(Q9*12%+4),IF(Q9&lt;10.99,(Q9*12%+8),IF(Q9&lt;14.99,(Q9*12%+12),IF(Q9&lt;879.99,(Q9*12%+16),IF(Q9&lt;2569.99,(Q9*7%+60),240)))))</f>
        <v>240</v>
      </c>
      <c r="S9" s="29">
        <f>R9*P9</f>
        <v>720</v>
      </c>
      <c r="T9" s="24"/>
      <c r="U9" s="24"/>
      <c r="V9" s="24"/>
      <c r="W9" s="24"/>
      <c r="X9" s="24"/>
      <c r="Y9" s="24"/>
      <c r="Z9" s="113" t="e">
        <f>#REF!</f>
        <v>#REF!</v>
      </c>
      <c r="AA9" s="22"/>
      <c r="AB9" s="22"/>
      <c r="AC9" s="22"/>
      <c r="AD9" s="22" t="s">
        <v>182</v>
      </c>
      <c r="AE9" s="41" t="s">
        <v>538</v>
      </c>
      <c r="AF9" s="71" t="s">
        <v>1094</v>
      </c>
      <c r="AG9" s="24">
        <v>1</v>
      </c>
      <c r="AH9" s="24">
        <v>2</v>
      </c>
      <c r="AI9" s="24">
        <v>3</v>
      </c>
      <c r="AJ9" s="24">
        <v>3</v>
      </c>
      <c r="AK9" s="24">
        <v>1</v>
      </c>
      <c r="AL9" s="24">
        <v>1</v>
      </c>
      <c r="AM9" s="24">
        <v>18</v>
      </c>
      <c r="AN9" s="22" t="s">
        <v>48</v>
      </c>
      <c r="AO9" s="22"/>
    </row>
    <row r="10" spans="1:41" s="156" customFormat="1" ht="38.25" x14ac:dyDescent="0.2">
      <c r="A10" s="13" t="s">
        <v>58</v>
      </c>
      <c r="B10" s="13" t="s">
        <v>867</v>
      </c>
      <c r="C10" s="13"/>
      <c r="D10" s="136" t="s">
        <v>60</v>
      </c>
      <c r="E10" s="169" t="s">
        <v>101</v>
      </c>
      <c r="F10" s="143" t="s">
        <v>900</v>
      </c>
      <c r="G10" s="140"/>
      <c r="H10" s="136"/>
      <c r="I10" s="136" t="s">
        <v>868</v>
      </c>
      <c r="J10" s="13" t="s">
        <v>1135</v>
      </c>
      <c r="K10" s="13" t="s">
        <v>42</v>
      </c>
      <c r="L10" s="14">
        <v>2023</v>
      </c>
      <c r="M10" s="14"/>
      <c r="N10" s="15"/>
      <c r="O10" s="16"/>
      <c r="P10" s="17">
        <v>5</v>
      </c>
      <c r="Q10" s="18">
        <v>9000</v>
      </c>
      <c r="R10" s="18"/>
      <c r="S10" s="19"/>
      <c r="T10" s="14"/>
      <c r="U10" s="14"/>
      <c r="V10" s="14"/>
      <c r="W10" s="14"/>
      <c r="X10" s="14"/>
      <c r="Y10" s="14"/>
      <c r="Z10" s="135" t="e">
        <f>#REF!</f>
        <v>#REF!</v>
      </c>
      <c r="AA10" s="13"/>
      <c r="AB10" s="13"/>
      <c r="AC10" s="13" t="s">
        <v>42</v>
      </c>
      <c r="AD10" s="13"/>
      <c r="AE10" s="21"/>
      <c r="AF10" s="137" t="s">
        <v>755</v>
      </c>
      <c r="AG10" s="14">
        <v>1</v>
      </c>
      <c r="AH10" s="14">
        <v>1</v>
      </c>
      <c r="AI10" s="14">
        <v>1</v>
      </c>
      <c r="AJ10" s="14">
        <v>3</v>
      </c>
      <c r="AK10" s="14">
        <v>1</v>
      </c>
      <c r="AL10" s="14">
        <v>1</v>
      </c>
      <c r="AM10" s="14">
        <v>3</v>
      </c>
      <c r="AN10" s="13" t="s">
        <v>48</v>
      </c>
      <c r="AO10" s="138"/>
    </row>
    <row r="11" spans="1:41" s="156" customFormat="1" ht="38.25" hidden="1" x14ac:dyDescent="0.2">
      <c r="A11" s="13" t="s">
        <v>58</v>
      </c>
      <c r="B11" s="13" t="s">
        <v>451</v>
      </c>
      <c r="C11" s="13"/>
      <c r="D11" s="13" t="s">
        <v>1190</v>
      </c>
      <c r="E11" s="91" t="s">
        <v>99</v>
      </c>
      <c r="F11" s="101" t="s">
        <v>927</v>
      </c>
      <c r="G11" s="108"/>
      <c r="H11" s="108"/>
      <c r="I11" s="13" t="s">
        <v>797</v>
      </c>
      <c r="J11" s="13" t="s">
        <v>1186</v>
      </c>
      <c r="K11" s="13" t="s">
        <v>1187</v>
      </c>
      <c r="L11" s="14">
        <v>2022</v>
      </c>
      <c r="M11" s="14"/>
      <c r="N11" s="15">
        <f>50000/7750000000*8500000</f>
        <v>54.838709677419352</v>
      </c>
      <c r="O11" s="16"/>
      <c r="P11" s="17">
        <v>5</v>
      </c>
      <c r="Q11" s="18">
        <v>50000</v>
      </c>
      <c r="R11" s="18">
        <f>IF(Q11&lt;4.99,(Q11*12%+4),IF(Q11&lt;10.99,(Q11*12%+8),IF(Q11&lt;14.99,(Q11*12%+12),IF(Q11&lt;879.99,(Q11*12%+16),IF(Q11&lt;2569.99,(Q11*7%+60),240)))))</f>
        <v>240</v>
      </c>
      <c r="S11" s="19">
        <f>R11*P11</f>
        <v>1200</v>
      </c>
      <c r="T11" s="14"/>
      <c r="U11" s="14"/>
      <c r="V11" s="14"/>
      <c r="W11" s="14"/>
      <c r="X11" s="14"/>
      <c r="Y11" s="14"/>
      <c r="Z11" s="135" t="e">
        <f>#REF!</f>
        <v>#REF!</v>
      </c>
      <c r="AA11" s="13"/>
      <c r="AB11" s="13"/>
      <c r="AC11" s="13" t="s">
        <v>42</v>
      </c>
      <c r="AD11" s="13" t="s">
        <v>43</v>
      </c>
      <c r="AE11" s="20" t="s">
        <v>1080</v>
      </c>
      <c r="AF11" s="70" t="s">
        <v>1254</v>
      </c>
      <c r="AG11" s="14">
        <v>3</v>
      </c>
      <c r="AH11" s="14">
        <v>2</v>
      </c>
      <c r="AI11" s="14">
        <v>3</v>
      </c>
      <c r="AJ11" s="14">
        <v>2</v>
      </c>
      <c r="AK11" s="14">
        <v>1</v>
      </c>
      <c r="AL11" s="14">
        <v>2</v>
      </c>
      <c r="AM11" s="14">
        <v>72</v>
      </c>
      <c r="AN11" s="13" t="s">
        <v>45</v>
      </c>
      <c r="AO11" s="13"/>
    </row>
    <row r="12" spans="1:41" s="156" customFormat="1" hidden="1" x14ac:dyDescent="0.2">
      <c r="A12" s="13"/>
      <c r="B12" s="13"/>
      <c r="C12" s="13"/>
      <c r="D12" s="13" t="s">
        <v>98</v>
      </c>
      <c r="E12" s="91" t="s">
        <v>99</v>
      </c>
      <c r="F12" s="101"/>
      <c r="G12" s="108"/>
      <c r="H12" s="108"/>
      <c r="I12" s="13" t="s">
        <v>1375</v>
      </c>
      <c r="J12" s="13"/>
      <c r="K12" s="13"/>
      <c r="L12" s="14"/>
      <c r="M12" s="14"/>
      <c r="N12" s="15"/>
      <c r="O12" s="16"/>
      <c r="P12" s="17"/>
      <c r="Q12" s="18"/>
      <c r="R12" s="18"/>
      <c r="S12" s="19"/>
      <c r="T12" s="14"/>
      <c r="U12" s="14"/>
      <c r="V12" s="14"/>
      <c r="W12" s="14"/>
      <c r="X12" s="14"/>
      <c r="Y12" s="14"/>
      <c r="Z12" s="135"/>
      <c r="AA12" s="13"/>
      <c r="AB12" s="13"/>
      <c r="AC12" s="13"/>
      <c r="AD12" s="13"/>
      <c r="AE12" s="20"/>
      <c r="AF12" s="70" t="s">
        <v>1376</v>
      </c>
      <c r="AG12" s="14"/>
      <c r="AH12" s="14"/>
      <c r="AI12" s="14"/>
      <c r="AJ12" s="14"/>
      <c r="AK12" s="14"/>
      <c r="AL12" s="14"/>
      <c r="AM12" s="14"/>
      <c r="AN12" s="13"/>
      <c r="AO12" s="13"/>
    </row>
    <row r="13" spans="1:41" s="129" customFormat="1" x14ac:dyDescent="0.2">
      <c r="A13" s="13" t="s">
        <v>58</v>
      </c>
      <c r="B13" s="13" t="s">
        <v>1194</v>
      </c>
      <c r="C13" s="13"/>
      <c r="D13" s="13" t="s">
        <v>37</v>
      </c>
      <c r="E13" s="91" t="s">
        <v>101</v>
      </c>
      <c r="F13" s="101"/>
      <c r="G13" s="108"/>
      <c r="H13" s="108"/>
      <c r="I13" s="13" t="s">
        <v>1146</v>
      </c>
      <c r="J13" s="13" t="s">
        <v>1147</v>
      </c>
      <c r="K13" s="13" t="s">
        <v>1193</v>
      </c>
      <c r="L13" s="14">
        <v>2023</v>
      </c>
      <c r="M13" s="14"/>
      <c r="N13" s="15">
        <v>30</v>
      </c>
      <c r="O13" s="16"/>
      <c r="P13" s="17">
        <v>10</v>
      </c>
      <c r="Q13" s="18">
        <v>2100</v>
      </c>
      <c r="R13" s="18"/>
      <c r="S13" s="19"/>
      <c r="T13" s="14"/>
      <c r="U13" s="14"/>
      <c r="V13" s="14"/>
      <c r="W13" s="14"/>
      <c r="X13" s="14"/>
      <c r="Y13" s="14"/>
      <c r="Z13" s="13"/>
      <c r="AA13" s="13"/>
      <c r="AB13" s="13"/>
      <c r="AC13" s="13" t="s">
        <v>42</v>
      </c>
      <c r="AD13" s="13"/>
      <c r="AE13" s="13"/>
      <c r="AF13" s="70" t="s">
        <v>1148</v>
      </c>
      <c r="AG13" s="14">
        <v>3</v>
      </c>
      <c r="AH13" s="14">
        <v>1</v>
      </c>
      <c r="AI13" s="14">
        <v>3</v>
      </c>
      <c r="AJ13" s="14">
        <v>3</v>
      </c>
      <c r="AK13" s="14">
        <v>3</v>
      </c>
      <c r="AL13" s="14">
        <v>1</v>
      </c>
      <c r="AM13" s="14">
        <f>AL13*AK13*AJ13*AI13*AH13*AG13</f>
        <v>81</v>
      </c>
      <c r="AN13" s="13" t="s">
        <v>45</v>
      </c>
      <c r="AO13" s="20">
        <v>44621</v>
      </c>
    </row>
    <row r="14" spans="1:41" s="133" customFormat="1" x14ac:dyDescent="0.2">
      <c r="A14" s="133" t="s">
        <v>58</v>
      </c>
      <c r="B14" s="133" t="s">
        <v>625</v>
      </c>
      <c r="D14" s="133" t="s">
        <v>1171</v>
      </c>
      <c r="E14" s="133" t="s">
        <v>1172</v>
      </c>
      <c r="I14" s="133" t="s">
        <v>1173</v>
      </c>
      <c r="J14" s="133" t="s">
        <v>1174</v>
      </c>
      <c r="K14" s="133" t="s">
        <v>1017</v>
      </c>
      <c r="L14" s="133">
        <v>2023</v>
      </c>
      <c r="N14" s="133">
        <v>5</v>
      </c>
      <c r="P14" s="133">
        <v>5</v>
      </c>
      <c r="Q14" s="133">
        <v>10000</v>
      </c>
      <c r="R14" s="133">
        <v>240</v>
      </c>
      <c r="AC14" s="220" t="s">
        <v>42</v>
      </c>
      <c r="AE14" s="133" t="s">
        <v>1175</v>
      </c>
      <c r="AF14" s="221" t="s">
        <v>1176</v>
      </c>
      <c r="AG14" s="222">
        <v>2</v>
      </c>
      <c r="AH14" s="222">
        <v>1</v>
      </c>
      <c r="AI14" s="222">
        <v>2</v>
      </c>
      <c r="AJ14" s="222">
        <v>1</v>
      </c>
      <c r="AK14" s="222">
        <v>3</v>
      </c>
      <c r="AL14" s="222">
        <v>2</v>
      </c>
      <c r="AM14" s="133">
        <f>AG14*AH14*AI14*AJ14*AK14*AL14</f>
        <v>24</v>
      </c>
      <c r="AN14" s="220" t="s">
        <v>45</v>
      </c>
      <c r="AO14" s="223">
        <v>44682</v>
      </c>
    </row>
    <row r="15" spans="1:41" hidden="1" x14ac:dyDescent="0.2">
      <c r="A15" s="22" t="s">
        <v>86</v>
      </c>
      <c r="B15" s="23" t="s">
        <v>1014</v>
      </c>
      <c r="C15" s="22" t="s">
        <v>48</v>
      </c>
      <c r="D15" s="22" t="s">
        <v>37</v>
      </c>
      <c r="E15" s="87" t="s">
        <v>1013</v>
      </c>
      <c r="F15" s="98"/>
      <c r="G15" s="95"/>
      <c r="H15" s="95"/>
      <c r="I15" s="22" t="s">
        <v>1015</v>
      </c>
      <c r="J15" s="22" t="s">
        <v>1016</v>
      </c>
      <c r="K15" s="22" t="s">
        <v>1017</v>
      </c>
      <c r="L15" s="24">
        <v>2022</v>
      </c>
      <c r="M15" s="24"/>
      <c r="N15" s="38">
        <v>400</v>
      </c>
      <c r="O15" s="39">
        <v>0.1</v>
      </c>
      <c r="P15" s="27">
        <v>40</v>
      </c>
      <c r="Q15" s="28">
        <v>1400</v>
      </c>
      <c r="R15" s="28">
        <v>170</v>
      </c>
      <c r="S15" s="29">
        <f>P15*Q15*12</f>
        <v>672000</v>
      </c>
      <c r="T15" s="24"/>
      <c r="U15" s="24"/>
      <c r="V15" s="24"/>
      <c r="W15" s="24"/>
      <c r="X15" s="24"/>
      <c r="Y15" s="24"/>
      <c r="Z15" s="113" t="e">
        <f>#REF!</f>
        <v>#REF!</v>
      </c>
      <c r="AA15" s="22"/>
      <c r="AB15" s="22"/>
      <c r="AC15" s="22"/>
      <c r="AD15" s="22"/>
      <c r="AE15" s="41"/>
      <c r="AF15" s="71"/>
      <c r="AG15" s="24"/>
      <c r="AH15" s="24"/>
      <c r="AI15" s="24"/>
      <c r="AJ15" s="24"/>
      <c r="AK15" s="24"/>
      <c r="AL15" s="24"/>
      <c r="AM15" s="24"/>
      <c r="AN15" s="22"/>
      <c r="AO15" s="22"/>
    </row>
    <row r="16" spans="1:41" s="133" customFormat="1" x14ac:dyDescent="0.2">
      <c r="A16" s="30" t="s">
        <v>47</v>
      </c>
      <c r="B16" s="30" t="s">
        <v>1097</v>
      </c>
      <c r="C16" s="30"/>
      <c r="D16" s="30" t="s">
        <v>37</v>
      </c>
      <c r="E16" s="89" t="s">
        <v>1087</v>
      </c>
      <c r="F16" s="96"/>
      <c r="G16" s="106"/>
      <c r="H16" s="106"/>
      <c r="I16" s="30" t="s">
        <v>1096</v>
      </c>
      <c r="J16" s="30"/>
      <c r="K16" s="30"/>
      <c r="L16" s="31">
        <v>2023</v>
      </c>
      <c r="M16" s="31"/>
      <c r="N16" s="32">
        <v>16000</v>
      </c>
      <c r="O16" s="33" t="s">
        <v>1012</v>
      </c>
      <c r="P16" s="31">
        <v>100</v>
      </c>
      <c r="Q16" s="35">
        <v>5000</v>
      </c>
      <c r="R16" s="31"/>
      <c r="S16" s="31"/>
      <c r="T16" s="31"/>
      <c r="U16" s="31"/>
      <c r="V16" s="31"/>
      <c r="W16" s="31"/>
      <c r="X16" s="31"/>
      <c r="Y16" s="31"/>
      <c r="Z16" s="132" t="e">
        <f>#REF!*2</f>
        <v>#REF!</v>
      </c>
      <c r="AA16" s="30"/>
      <c r="AB16" s="30"/>
      <c r="AC16" s="30" t="s">
        <v>42</v>
      </c>
      <c r="AD16" s="30"/>
      <c r="AE16" s="30"/>
      <c r="AF16" s="72" t="s">
        <v>1098</v>
      </c>
      <c r="AG16" s="31">
        <v>3</v>
      </c>
      <c r="AH16" s="31">
        <v>3</v>
      </c>
      <c r="AI16" s="31">
        <v>2</v>
      </c>
      <c r="AJ16" s="31">
        <v>3</v>
      </c>
      <c r="AK16" s="31">
        <v>2</v>
      </c>
      <c r="AL16" s="31">
        <v>3</v>
      </c>
      <c r="AM16" s="31">
        <f>AL16*AK16*AJ16*AI16*AH16*AG16</f>
        <v>324</v>
      </c>
      <c r="AN16" s="30" t="s">
        <v>45</v>
      </c>
      <c r="AO16" s="37">
        <v>44621</v>
      </c>
    </row>
    <row r="17" spans="1:41" s="133" customFormat="1" ht="25.5" x14ac:dyDescent="0.2">
      <c r="A17" s="30" t="s">
        <v>58</v>
      </c>
      <c r="B17" s="30" t="s">
        <v>296</v>
      </c>
      <c r="C17" s="30"/>
      <c r="D17" s="30" t="s">
        <v>60</v>
      </c>
      <c r="E17" s="89" t="s">
        <v>381</v>
      </c>
      <c r="F17" s="131"/>
      <c r="G17" s="106"/>
      <c r="H17" s="106"/>
      <c r="I17" s="30" t="s">
        <v>1153</v>
      </c>
      <c r="J17" s="30" t="s">
        <v>1292</v>
      </c>
      <c r="K17" s="30" t="s">
        <v>63</v>
      </c>
      <c r="L17" s="31">
        <v>2024</v>
      </c>
      <c r="M17" s="31"/>
      <c r="N17" s="32"/>
      <c r="O17" s="33"/>
      <c r="P17" s="34">
        <v>20</v>
      </c>
      <c r="Q17" s="35">
        <v>1200</v>
      </c>
      <c r="R17" s="35"/>
      <c r="S17" s="36"/>
      <c r="T17" s="31"/>
      <c r="U17" s="31"/>
      <c r="V17" s="31"/>
      <c r="W17" s="31"/>
      <c r="X17" s="31"/>
      <c r="Y17" s="31"/>
      <c r="Z17" s="30"/>
      <c r="AA17" s="30"/>
      <c r="AB17" s="30"/>
      <c r="AC17" s="30" t="s">
        <v>42</v>
      </c>
      <c r="AD17" s="30"/>
      <c r="AE17" s="30"/>
      <c r="AF17" s="72" t="s">
        <v>1293</v>
      </c>
      <c r="AG17" s="31">
        <v>3</v>
      </c>
      <c r="AH17" s="31">
        <v>2</v>
      </c>
      <c r="AI17" s="31">
        <v>3</v>
      </c>
      <c r="AJ17" s="31">
        <v>1</v>
      </c>
      <c r="AK17" s="31">
        <v>3</v>
      </c>
      <c r="AL17" s="31">
        <v>2</v>
      </c>
      <c r="AM17" s="31">
        <f>AL17*AK17*AJ17*AI17*AH17*AG17</f>
        <v>108</v>
      </c>
      <c r="AN17" s="30" t="s">
        <v>45</v>
      </c>
      <c r="AO17" s="37">
        <v>44621</v>
      </c>
    </row>
    <row r="18" spans="1:41" hidden="1" x14ac:dyDescent="0.2">
      <c r="A18" s="22" t="s">
        <v>58</v>
      </c>
      <c r="B18" s="22" t="s">
        <v>1066</v>
      </c>
      <c r="C18" s="22"/>
      <c r="D18" s="22" t="s">
        <v>98</v>
      </c>
      <c r="E18" s="87" t="s">
        <v>306</v>
      </c>
      <c r="F18" s="95"/>
      <c r="G18" s="95"/>
      <c r="H18" s="98"/>
      <c r="I18" s="22" t="s">
        <v>1067</v>
      </c>
      <c r="J18" s="22" t="s">
        <v>1068</v>
      </c>
      <c r="K18" s="22" t="s">
        <v>315</v>
      </c>
      <c r="L18" s="24">
        <v>2022</v>
      </c>
      <c r="M18" s="24"/>
      <c r="N18" s="38">
        <v>5</v>
      </c>
      <c r="O18" s="39"/>
      <c r="P18" s="27">
        <v>5</v>
      </c>
      <c r="Q18" s="28">
        <v>9000</v>
      </c>
      <c r="R18" s="28">
        <v>200</v>
      </c>
      <c r="S18" s="29"/>
      <c r="T18" s="24"/>
      <c r="U18" s="24"/>
      <c r="V18" s="24"/>
      <c r="W18" s="24"/>
      <c r="X18" s="24"/>
      <c r="Y18" s="24"/>
      <c r="Z18" s="22"/>
      <c r="AA18" s="22"/>
      <c r="AB18" s="22"/>
      <c r="AC18" s="22"/>
      <c r="AD18" s="22"/>
      <c r="AE18" s="22"/>
      <c r="AF18" s="71"/>
      <c r="AG18" s="24"/>
      <c r="AH18" s="24"/>
      <c r="AI18" s="24"/>
      <c r="AJ18" s="24"/>
      <c r="AK18" s="24"/>
      <c r="AL18" s="24"/>
      <c r="AM18" s="24"/>
      <c r="AN18" s="22"/>
      <c r="AO18" s="22"/>
    </row>
    <row r="19" spans="1:41" ht="51" hidden="1" x14ac:dyDescent="0.2">
      <c r="A19" s="13" t="s">
        <v>846</v>
      </c>
      <c r="B19" s="13" t="s">
        <v>816</v>
      </c>
      <c r="C19" s="13"/>
      <c r="D19" s="136" t="s">
        <v>60</v>
      </c>
      <c r="E19" s="169" t="s">
        <v>52</v>
      </c>
      <c r="F19" s="180" t="s">
        <v>908</v>
      </c>
      <c r="G19" s="140"/>
      <c r="H19" s="140"/>
      <c r="I19" s="136" t="s">
        <v>847</v>
      </c>
      <c r="J19" s="13" t="s">
        <v>848</v>
      </c>
      <c r="K19" s="13" t="s">
        <v>834</v>
      </c>
      <c r="L19" s="14">
        <v>2021</v>
      </c>
      <c r="M19" s="14"/>
      <c r="N19" s="15"/>
      <c r="O19" s="16"/>
      <c r="P19" s="17">
        <v>15</v>
      </c>
      <c r="Q19" s="18">
        <v>2600</v>
      </c>
      <c r="R19" s="18"/>
      <c r="S19" s="19"/>
      <c r="T19" s="14"/>
      <c r="U19" s="14"/>
      <c r="V19" s="14"/>
      <c r="W19" s="14"/>
      <c r="X19" s="14"/>
      <c r="Y19" s="14"/>
      <c r="Z19" s="13"/>
      <c r="AA19" s="17">
        <f>P19*Q19*3</f>
        <v>117000</v>
      </c>
      <c r="AB19" s="17"/>
      <c r="AC19" s="13" t="s">
        <v>1082</v>
      </c>
      <c r="AD19" s="13" t="s">
        <v>43</v>
      </c>
      <c r="AE19" s="21" t="s">
        <v>1083</v>
      </c>
      <c r="AF19" s="137" t="s">
        <v>1084</v>
      </c>
      <c r="AG19" s="14">
        <v>3</v>
      </c>
      <c r="AH19" s="14">
        <v>2</v>
      </c>
      <c r="AI19" s="14">
        <v>3</v>
      </c>
      <c r="AJ19" s="14">
        <v>2</v>
      </c>
      <c r="AK19" s="14">
        <v>1</v>
      </c>
      <c r="AL19" s="14">
        <v>3</v>
      </c>
      <c r="AM19" s="14">
        <v>108</v>
      </c>
      <c r="AN19" s="13" t="s">
        <v>45</v>
      </c>
      <c r="AO19" s="138"/>
    </row>
    <row r="20" spans="1:41" s="133" customFormat="1" ht="38.25" hidden="1" x14ac:dyDescent="0.2">
      <c r="A20" s="22" t="s">
        <v>86</v>
      </c>
      <c r="B20" s="22" t="s">
        <v>105</v>
      </c>
      <c r="C20" s="22"/>
      <c r="D20" s="65" t="s">
        <v>37</v>
      </c>
      <c r="E20" s="66" t="s">
        <v>338</v>
      </c>
      <c r="F20" s="79" t="s">
        <v>904</v>
      </c>
      <c r="G20" s="77"/>
      <c r="H20" s="77"/>
      <c r="I20" s="65" t="s">
        <v>857</v>
      </c>
      <c r="J20" s="22" t="s">
        <v>1130</v>
      </c>
      <c r="K20" s="22" t="s">
        <v>42</v>
      </c>
      <c r="L20" s="24">
        <v>2022</v>
      </c>
      <c r="M20" s="24"/>
      <c r="N20" s="38"/>
      <c r="O20" s="39"/>
      <c r="P20" s="27">
        <v>10</v>
      </c>
      <c r="Q20" s="28">
        <v>1200</v>
      </c>
      <c r="R20" s="28"/>
      <c r="S20" s="29"/>
      <c r="T20" s="24"/>
      <c r="U20" s="24"/>
      <c r="V20" s="24"/>
      <c r="W20" s="24"/>
      <c r="X20" s="24"/>
      <c r="Y20" s="24"/>
      <c r="Z20" s="22"/>
      <c r="AA20" s="22"/>
      <c r="AB20" s="22"/>
      <c r="AC20" s="22" t="s">
        <v>42</v>
      </c>
      <c r="AD20" s="22"/>
      <c r="AE20" s="41"/>
      <c r="AF20" s="67"/>
      <c r="AG20" s="24">
        <v>2</v>
      </c>
      <c r="AH20" s="24">
        <v>3</v>
      </c>
      <c r="AI20" s="24">
        <v>3</v>
      </c>
      <c r="AJ20" s="24">
        <v>1</v>
      </c>
      <c r="AK20" s="24">
        <v>1</v>
      </c>
      <c r="AL20" s="24">
        <v>2</v>
      </c>
      <c r="AM20" s="24">
        <v>36</v>
      </c>
      <c r="AN20" s="22" t="s">
        <v>48</v>
      </c>
      <c r="AO20" s="69">
        <v>44166</v>
      </c>
    </row>
    <row r="21" spans="1:41" s="133" customFormat="1" x14ac:dyDescent="0.2">
      <c r="A21" s="22" t="s">
        <v>35</v>
      </c>
      <c r="B21" s="22" t="s">
        <v>268</v>
      </c>
      <c r="C21" s="22"/>
      <c r="D21" s="68" t="s">
        <v>60</v>
      </c>
      <c r="E21" s="66" t="s">
        <v>338</v>
      </c>
      <c r="F21" s="79"/>
      <c r="G21" s="77"/>
      <c r="H21" s="77"/>
      <c r="I21" s="68" t="s">
        <v>1367</v>
      </c>
      <c r="J21" s="22"/>
      <c r="K21" s="22" t="s">
        <v>42</v>
      </c>
      <c r="L21" s="24">
        <v>2024</v>
      </c>
      <c r="M21" s="24"/>
      <c r="N21" s="38"/>
      <c r="O21" s="39"/>
      <c r="P21" s="27"/>
      <c r="Q21" s="28"/>
      <c r="R21" s="28"/>
      <c r="S21" s="29"/>
      <c r="T21" s="24"/>
      <c r="U21" s="24"/>
      <c r="V21" s="24"/>
      <c r="W21" s="24"/>
      <c r="X21" s="24"/>
      <c r="Y21" s="24"/>
      <c r="Z21" s="22"/>
      <c r="AA21" s="22"/>
      <c r="AB21" s="22"/>
      <c r="AC21" s="22"/>
      <c r="AD21" s="22"/>
      <c r="AE21" s="41"/>
      <c r="AF21" s="185" t="s">
        <v>1368</v>
      </c>
      <c r="AG21" s="24">
        <v>2</v>
      </c>
      <c r="AH21" s="24">
        <v>3</v>
      </c>
      <c r="AI21" s="24">
        <v>3</v>
      </c>
      <c r="AJ21" s="24">
        <v>3</v>
      </c>
      <c r="AK21" s="24">
        <v>1</v>
      </c>
      <c r="AL21" s="24">
        <v>3</v>
      </c>
      <c r="AM21" s="24">
        <f>AL21*AK21*AJ21*AI21*AH21*AG21</f>
        <v>162</v>
      </c>
      <c r="AN21" s="22" t="s">
        <v>45</v>
      </c>
      <c r="AO21" s="69">
        <v>45078</v>
      </c>
    </row>
    <row r="22" spans="1:41" x14ac:dyDescent="0.2">
      <c r="A22" s="30" t="s">
        <v>58</v>
      </c>
      <c r="B22" s="30" t="s">
        <v>1063</v>
      </c>
      <c r="C22" s="30" t="s">
        <v>48</v>
      </c>
      <c r="D22" s="30" t="s">
        <v>37</v>
      </c>
      <c r="E22" s="89" t="s">
        <v>1062</v>
      </c>
      <c r="F22" s="106"/>
      <c r="G22" s="106"/>
      <c r="H22" s="131"/>
      <c r="I22" s="30" t="s">
        <v>1064</v>
      </c>
      <c r="J22" s="30" t="s">
        <v>1065</v>
      </c>
      <c r="K22" s="30" t="s">
        <v>315</v>
      </c>
      <c r="L22" s="31">
        <v>2023</v>
      </c>
      <c r="M22" s="31"/>
      <c r="N22" s="32">
        <v>80</v>
      </c>
      <c r="O22" s="33"/>
      <c r="P22" s="34">
        <v>20</v>
      </c>
      <c r="Q22" s="35">
        <v>10000</v>
      </c>
      <c r="R22" s="35">
        <v>240</v>
      </c>
      <c r="S22" s="36"/>
      <c r="T22" s="31"/>
      <c r="U22" s="31"/>
      <c r="V22" s="31"/>
      <c r="W22" s="31"/>
      <c r="X22" s="31"/>
      <c r="Y22" s="31"/>
      <c r="Z22" s="30"/>
      <c r="AA22" s="30"/>
      <c r="AB22" s="30"/>
      <c r="AC22" s="30" t="s">
        <v>42</v>
      </c>
      <c r="AD22" s="30"/>
      <c r="AE22" s="30"/>
      <c r="AF22" s="72" t="s">
        <v>1274</v>
      </c>
      <c r="AG22" s="31"/>
      <c r="AH22" s="31"/>
      <c r="AI22" s="31"/>
      <c r="AJ22" s="31"/>
      <c r="AK22" s="31"/>
      <c r="AL22" s="31"/>
      <c r="AM22" s="31"/>
      <c r="AN22" s="30"/>
      <c r="AO22" s="30"/>
    </row>
    <row r="23" spans="1:41" hidden="1" x14ac:dyDescent="0.2">
      <c r="A23" s="22" t="s">
        <v>72</v>
      </c>
      <c r="B23" s="22" t="s">
        <v>1054</v>
      </c>
      <c r="C23" s="22"/>
      <c r="D23" s="22" t="s">
        <v>37</v>
      </c>
      <c r="E23" s="87" t="s">
        <v>1055</v>
      </c>
      <c r="F23" s="95"/>
      <c r="G23" s="95"/>
      <c r="H23" s="95"/>
      <c r="I23" s="22" t="s">
        <v>1056</v>
      </c>
      <c r="J23" s="22" t="s">
        <v>1057</v>
      </c>
      <c r="K23" s="22" t="s">
        <v>834</v>
      </c>
      <c r="L23" s="24">
        <v>2022</v>
      </c>
      <c r="M23" s="24"/>
      <c r="N23" s="38">
        <v>20</v>
      </c>
      <c r="O23" s="39"/>
      <c r="P23" s="24">
        <v>5</v>
      </c>
      <c r="Q23" s="28">
        <v>2500</v>
      </c>
      <c r="R23" s="24">
        <v>240</v>
      </c>
      <c r="S23" s="24"/>
      <c r="T23" s="24"/>
      <c r="U23" s="24"/>
      <c r="V23" s="24"/>
      <c r="W23" s="24"/>
      <c r="X23" s="24"/>
      <c r="Y23" s="24"/>
      <c r="Z23" s="22"/>
      <c r="AA23" s="22"/>
      <c r="AB23" s="22"/>
      <c r="AC23" s="22"/>
      <c r="AD23" s="22"/>
      <c r="AE23" s="22"/>
      <c r="AF23" s="71"/>
      <c r="AG23" s="24"/>
      <c r="AH23" s="24"/>
      <c r="AI23" s="24"/>
      <c r="AJ23" s="24"/>
      <c r="AK23" s="24"/>
      <c r="AL23" s="24"/>
      <c r="AM23" s="24"/>
      <c r="AN23" s="22"/>
      <c r="AO23" s="22"/>
    </row>
    <row r="24" spans="1:41" s="156" customFormat="1" ht="76.5" x14ac:dyDescent="0.2">
      <c r="A24" s="13" t="s">
        <v>72</v>
      </c>
      <c r="B24" s="13" t="s">
        <v>153</v>
      </c>
      <c r="C24" s="13"/>
      <c r="D24" s="13" t="s">
        <v>37</v>
      </c>
      <c r="E24" s="91" t="s">
        <v>338</v>
      </c>
      <c r="F24" s="108"/>
      <c r="G24" s="108"/>
      <c r="H24" s="101" t="s">
        <v>919</v>
      </c>
      <c r="I24" s="13" t="s">
        <v>653</v>
      </c>
      <c r="J24" s="13" t="s">
        <v>1103</v>
      </c>
      <c r="K24" s="13" t="s">
        <v>654</v>
      </c>
      <c r="L24" s="14">
        <v>2023</v>
      </c>
      <c r="M24" s="14"/>
      <c r="N24" s="15">
        <v>1000000</v>
      </c>
      <c r="O24" s="16"/>
      <c r="P24" s="17">
        <v>20</v>
      </c>
      <c r="Q24" s="18">
        <v>500</v>
      </c>
      <c r="R24" s="18">
        <f>IF(Q24&lt;4.99,(Q24*12%+4),IF(Q24&lt;10.99,(Q24*12%+8),IF(Q24&lt;14.99,(Q24*12%+12),IF(Q24&lt;879.99,(Q24*12%+16),IF(Q24&lt;2569.99,(Q24*7%+60),240)))))</f>
        <v>76</v>
      </c>
      <c r="S24" s="19">
        <f>R24*P24</f>
        <v>1520</v>
      </c>
      <c r="T24" s="14"/>
      <c r="U24" s="14"/>
      <c r="V24" s="14"/>
      <c r="W24" s="14"/>
      <c r="X24" s="14"/>
      <c r="Y24" s="14"/>
      <c r="Z24" s="135">
        <f>Q24*P24*0.3*12</f>
        <v>36000</v>
      </c>
      <c r="AA24" s="13"/>
      <c r="AB24" s="13"/>
      <c r="AC24" s="13" t="s">
        <v>42</v>
      </c>
      <c r="AD24" s="13"/>
      <c r="AE24" s="13"/>
      <c r="AF24" s="70" t="s">
        <v>1104</v>
      </c>
      <c r="AG24" s="14">
        <v>1</v>
      </c>
      <c r="AH24" s="14">
        <v>3</v>
      </c>
      <c r="AI24" s="14">
        <v>1</v>
      </c>
      <c r="AJ24" s="14">
        <v>1</v>
      </c>
      <c r="AK24" s="14">
        <v>3</v>
      </c>
      <c r="AL24" s="14">
        <v>2</v>
      </c>
      <c r="AM24" s="14">
        <v>18</v>
      </c>
      <c r="AN24" s="13" t="s">
        <v>48</v>
      </c>
      <c r="AO24" s="13"/>
    </row>
    <row r="25" spans="1:41" ht="38.25" hidden="1" x14ac:dyDescent="0.2">
      <c r="A25" s="179" t="s">
        <v>86</v>
      </c>
      <c r="B25" s="30" t="s">
        <v>442</v>
      </c>
      <c r="C25" s="30"/>
      <c r="D25" s="30" t="s">
        <v>98</v>
      </c>
      <c r="E25" s="89" t="s">
        <v>443</v>
      </c>
      <c r="F25" s="72" t="s">
        <v>960</v>
      </c>
      <c r="G25" s="106"/>
      <c r="H25" s="106"/>
      <c r="I25" s="30" t="s">
        <v>444</v>
      </c>
      <c r="J25" s="30" t="s">
        <v>445</v>
      </c>
      <c r="K25" s="30" t="s">
        <v>309</v>
      </c>
      <c r="L25" s="31">
        <v>2018</v>
      </c>
      <c r="M25" s="31"/>
      <c r="N25" s="32" t="s">
        <v>446</v>
      </c>
      <c r="O25" s="33"/>
      <c r="P25" s="34">
        <v>2</v>
      </c>
      <c r="Q25" s="35">
        <v>1000</v>
      </c>
      <c r="R25" s="35">
        <f>IF(Q25&lt;4.99,(Q25*12%+4),IF(Q25&lt;10.99,(Q25*12%+8),IF(Q25&lt;14.99,(Q25*12%+12),IF(Q25&lt;879.99,(Q25*12%+16),IF(Q25&lt;2569.99,(Q25*7%+60),240)))))</f>
        <v>130</v>
      </c>
      <c r="S25" s="36">
        <f>R25*P25</f>
        <v>260</v>
      </c>
      <c r="T25" s="31"/>
      <c r="U25" s="31"/>
      <c r="V25" s="31"/>
      <c r="W25" s="31"/>
      <c r="X25" s="31"/>
      <c r="Y25" s="31"/>
      <c r="Z25" s="132" t="e">
        <f>#REF!*3</f>
        <v>#REF!</v>
      </c>
      <c r="AA25" s="30"/>
      <c r="AB25" s="30"/>
      <c r="AC25" s="30"/>
      <c r="AD25" s="30"/>
      <c r="AE25" s="30" t="s">
        <v>227</v>
      </c>
      <c r="AF25" s="72" t="s">
        <v>447</v>
      </c>
      <c r="AG25" s="31">
        <v>1</v>
      </c>
      <c r="AH25" s="31">
        <v>1</v>
      </c>
      <c r="AI25" s="31">
        <v>3</v>
      </c>
      <c r="AJ25" s="31">
        <v>1</v>
      </c>
      <c r="AK25" s="31">
        <v>2</v>
      </c>
      <c r="AL25" s="31">
        <v>2</v>
      </c>
      <c r="AM25" s="31">
        <v>12</v>
      </c>
      <c r="AN25" s="30" t="s">
        <v>48</v>
      </c>
      <c r="AO25" s="30"/>
    </row>
    <row r="26" spans="1:41" ht="38.25" hidden="1" x14ac:dyDescent="0.2">
      <c r="A26" s="22" t="s">
        <v>86</v>
      </c>
      <c r="B26" s="22" t="s">
        <v>215</v>
      </c>
      <c r="C26" s="22"/>
      <c r="D26" s="22" t="s">
        <v>60</v>
      </c>
      <c r="E26" s="87" t="s">
        <v>216</v>
      </c>
      <c r="F26" s="97" t="s">
        <v>920</v>
      </c>
      <c r="G26" s="95"/>
      <c r="H26" s="95"/>
      <c r="I26" s="22" t="s">
        <v>217</v>
      </c>
      <c r="J26" s="22" t="s">
        <v>1092</v>
      </c>
      <c r="K26" s="22" t="s">
        <v>42</v>
      </c>
      <c r="L26" s="24">
        <v>2022</v>
      </c>
      <c r="M26" s="24"/>
      <c r="N26" s="52">
        <v>2400</v>
      </c>
      <c r="O26" s="39"/>
      <c r="P26" s="27">
        <v>3</v>
      </c>
      <c r="Q26" s="28">
        <v>1300</v>
      </c>
      <c r="R26" s="28">
        <f>IF(Q26&lt;4.99,(Q26*12%+4),IF(Q26&lt;10.99,(Q26*12%+8),IF(Q26&lt;14.99,(Q26*12%+12),IF(Q26&lt;879.99,(Q26*12%+16),IF(Q26&lt;2569.99,(Q26*7%+60),240)))))</f>
        <v>151</v>
      </c>
      <c r="S26" s="29">
        <f>R26*P26</f>
        <v>453</v>
      </c>
      <c r="T26" s="24"/>
      <c r="U26" s="24"/>
      <c r="V26" s="24"/>
      <c r="W26" s="24"/>
      <c r="X26" s="24"/>
      <c r="Y26" s="24"/>
      <c r="Z26" s="22"/>
      <c r="AA26" s="22"/>
      <c r="AB26" s="22"/>
      <c r="AC26" s="22" t="s">
        <v>42</v>
      </c>
      <c r="AD26" s="22"/>
      <c r="AE26" s="41"/>
      <c r="AF26" s="71" t="s">
        <v>218</v>
      </c>
      <c r="AG26" s="24">
        <v>1</v>
      </c>
      <c r="AH26" s="24">
        <v>3</v>
      </c>
      <c r="AI26" s="24">
        <v>3</v>
      </c>
      <c r="AJ26" s="24">
        <v>2</v>
      </c>
      <c r="AK26" s="24">
        <v>1</v>
      </c>
      <c r="AL26" s="24">
        <v>2</v>
      </c>
      <c r="AM26" s="24">
        <v>36</v>
      </c>
      <c r="AN26" s="22" t="s">
        <v>45</v>
      </c>
      <c r="AO26" s="22"/>
    </row>
    <row r="27" spans="1:41" ht="38.25" hidden="1" x14ac:dyDescent="0.2">
      <c r="A27" s="30" t="s">
        <v>72</v>
      </c>
      <c r="B27" s="30" t="s">
        <v>229</v>
      </c>
      <c r="C27" s="30"/>
      <c r="D27" s="30" t="s">
        <v>98</v>
      </c>
      <c r="E27" s="89" t="s">
        <v>230</v>
      </c>
      <c r="F27" s="96" t="s">
        <v>938</v>
      </c>
      <c r="G27" s="106"/>
      <c r="H27" s="106"/>
      <c r="I27" s="30" t="s">
        <v>231</v>
      </c>
      <c r="J27" s="30" t="s">
        <v>232</v>
      </c>
      <c r="K27" s="30" t="s">
        <v>201</v>
      </c>
      <c r="L27" s="31">
        <v>2019</v>
      </c>
      <c r="M27" s="31"/>
      <c r="N27" s="32">
        <v>15000</v>
      </c>
      <c r="O27" s="33"/>
      <c r="P27" s="34">
        <v>10</v>
      </c>
      <c r="Q27" s="35">
        <v>200</v>
      </c>
      <c r="R27" s="35">
        <f>IF(Q27&lt;4.99,(Q27*12%+4),IF(Q27&lt;10.99,(Q27*12%+8),IF(Q27&lt;14.99,(Q27*12%+12),IF(Q27&lt;879.99,(Q27*12%+16),IF(Q27&lt;2569.99,(Q27*7%+60),240)))))</f>
        <v>40</v>
      </c>
      <c r="S27" s="36">
        <f>R27*P27</f>
        <v>400</v>
      </c>
      <c r="T27" s="31"/>
      <c r="U27" s="31"/>
      <c r="V27" s="31"/>
      <c r="W27" s="31"/>
      <c r="X27" s="31"/>
      <c r="Y27" s="31"/>
      <c r="Z27" s="113">
        <f>200000</f>
        <v>200000</v>
      </c>
      <c r="AA27" s="30"/>
      <c r="AB27" s="30"/>
      <c r="AC27" s="30" t="s">
        <v>201</v>
      </c>
      <c r="AD27" s="30"/>
      <c r="AE27" s="30" t="s">
        <v>95</v>
      </c>
      <c r="AF27" s="72" t="s">
        <v>233</v>
      </c>
      <c r="AG27" s="31">
        <v>2</v>
      </c>
      <c r="AH27" s="31">
        <v>1</v>
      </c>
      <c r="AI27" s="31">
        <v>2</v>
      </c>
      <c r="AJ27" s="31">
        <v>1</v>
      </c>
      <c r="AK27" s="31">
        <v>3</v>
      </c>
      <c r="AL27" s="31">
        <v>2</v>
      </c>
      <c r="AM27" s="31">
        <v>24</v>
      </c>
      <c r="AN27" s="30" t="s">
        <v>45</v>
      </c>
      <c r="AO27" s="37">
        <v>43525</v>
      </c>
    </row>
    <row r="28" spans="1:41" hidden="1" x14ac:dyDescent="0.2">
      <c r="A28" s="22"/>
      <c r="B28" s="22"/>
      <c r="C28" s="22"/>
      <c r="D28" s="22"/>
      <c r="E28" s="92"/>
      <c r="F28" s="95"/>
      <c r="G28" s="95"/>
      <c r="H28" s="112"/>
      <c r="I28" s="22"/>
      <c r="J28" s="22"/>
      <c r="K28" s="22"/>
      <c r="L28" s="24"/>
      <c r="M28" s="24"/>
      <c r="N28" s="38"/>
      <c r="O28" s="39"/>
      <c r="P28" s="24"/>
      <c r="Q28" s="28"/>
      <c r="R28" s="24"/>
      <c r="S28" s="24"/>
      <c r="T28" s="24"/>
      <c r="U28" s="24"/>
      <c r="V28" s="24"/>
      <c r="W28" s="24"/>
      <c r="X28" s="24"/>
      <c r="Y28" s="24"/>
      <c r="Z28" s="22"/>
      <c r="AA28" s="22"/>
      <c r="AB28" s="22"/>
      <c r="AC28" s="22"/>
      <c r="AD28" s="22"/>
      <c r="AE28" s="22"/>
      <c r="AF28" s="71"/>
      <c r="AG28" s="24"/>
      <c r="AH28" s="24"/>
      <c r="AI28" s="24"/>
      <c r="AJ28" s="24"/>
      <c r="AK28" s="24"/>
      <c r="AL28" s="24"/>
      <c r="AM28" s="24"/>
      <c r="AN28" s="22"/>
      <c r="AO28" s="22"/>
    </row>
    <row r="29" spans="1:41" s="157" customFormat="1" x14ac:dyDescent="0.2">
      <c r="A29" s="42" t="s">
        <v>35</v>
      </c>
      <c r="B29" s="42" t="s">
        <v>1009</v>
      </c>
      <c r="C29" s="42"/>
      <c r="D29" s="42" t="s">
        <v>37</v>
      </c>
      <c r="E29" s="187" t="s">
        <v>1010</v>
      </c>
      <c r="F29" s="94"/>
      <c r="G29" s="109"/>
      <c r="H29" s="109"/>
      <c r="I29" s="42" t="s">
        <v>1011</v>
      </c>
      <c r="J29" s="42"/>
      <c r="K29" s="42" t="s">
        <v>42</v>
      </c>
      <c r="L29" s="43">
        <v>2024</v>
      </c>
      <c r="M29" s="43"/>
      <c r="N29" s="44">
        <v>160</v>
      </c>
      <c r="O29" s="45" t="s">
        <v>1012</v>
      </c>
      <c r="P29" s="46">
        <v>10</v>
      </c>
      <c r="Q29" s="47">
        <v>5000</v>
      </c>
      <c r="R29" s="47">
        <v>240</v>
      </c>
      <c r="S29" s="48">
        <f>P29*R29*12</f>
        <v>28800</v>
      </c>
      <c r="T29" s="43" t="s">
        <v>48</v>
      </c>
      <c r="U29" s="43" t="s">
        <v>45</v>
      </c>
      <c r="V29" s="43" t="s">
        <v>48</v>
      </c>
      <c r="W29" s="43" t="s">
        <v>45</v>
      </c>
      <c r="X29" s="43" t="s">
        <v>45</v>
      </c>
      <c r="Y29" s="43"/>
      <c r="Z29" s="42">
        <v>0</v>
      </c>
      <c r="AA29" s="42"/>
      <c r="AB29" s="42"/>
      <c r="AC29" s="42" t="s">
        <v>42</v>
      </c>
      <c r="AD29" s="42"/>
      <c r="AE29" s="60"/>
      <c r="AF29" s="73" t="s">
        <v>1213</v>
      </c>
      <c r="AG29" s="43"/>
      <c r="AH29" s="43"/>
      <c r="AI29" s="43"/>
      <c r="AJ29" s="43"/>
      <c r="AK29" s="43"/>
      <c r="AL29" s="43"/>
      <c r="AM29" s="43"/>
      <c r="AN29" s="42"/>
      <c r="AO29" s="42"/>
    </row>
    <row r="30" spans="1:41" s="129" customFormat="1" x14ac:dyDescent="0.2">
      <c r="A30" s="13" t="s">
        <v>35</v>
      </c>
      <c r="B30" s="13" t="s">
        <v>1334</v>
      </c>
      <c r="C30" s="13"/>
      <c r="D30" s="13" t="s">
        <v>60</v>
      </c>
      <c r="E30" s="91" t="s">
        <v>394</v>
      </c>
      <c r="F30" s="108"/>
      <c r="G30" s="101"/>
      <c r="H30" s="108"/>
      <c r="I30" s="13" t="s">
        <v>1033</v>
      </c>
      <c r="J30" s="13" t="s">
        <v>1335</v>
      </c>
      <c r="K30" s="13" t="s">
        <v>42</v>
      </c>
      <c r="L30" s="14">
        <v>2024</v>
      </c>
      <c r="M30" s="14"/>
      <c r="N30" s="15">
        <v>50</v>
      </c>
      <c r="O30" s="16">
        <v>0</v>
      </c>
      <c r="P30" s="17">
        <v>5</v>
      </c>
      <c r="Q30" s="18">
        <v>3000</v>
      </c>
      <c r="R30" s="18">
        <v>240</v>
      </c>
      <c r="S30" s="19"/>
      <c r="T30" s="14"/>
      <c r="U30" s="14"/>
      <c r="V30" s="14"/>
      <c r="W30" s="14"/>
      <c r="X30" s="14"/>
      <c r="Y30" s="14"/>
      <c r="Z30" s="135"/>
      <c r="AA30" s="13"/>
      <c r="AB30" s="13"/>
      <c r="AC30" s="13" t="s">
        <v>42</v>
      </c>
      <c r="AD30" s="13"/>
      <c r="AE30" s="13"/>
      <c r="AF30" s="70" t="s">
        <v>1333</v>
      </c>
      <c r="AG30" s="14">
        <v>3</v>
      </c>
      <c r="AH30" s="14">
        <v>1</v>
      </c>
      <c r="AI30" s="14">
        <v>3</v>
      </c>
      <c r="AJ30" s="14">
        <v>3</v>
      </c>
      <c r="AK30" s="14">
        <v>1</v>
      </c>
      <c r="AL30" s="14">
        <v>2</v>
      </c>
      <c r="AM30" s="14">
        <f>AL30*AK30*AJ30*AI30*AH30*AG30</f>
        <v>54</v>
      </c>
      <c r="AN30" s="13" t="s">
        <v>45</v>
      </c>
      <c r="AO30" s="13"/>
    </row>
    <row r="31" spans="1:41" s="156" customFormat="1" hidden="1" x14ac:dyDescent="0.2">
      <c r="A31" s="30" t="s">
        <v>35</v>
      </c>
      <c r="B31" s="30" t="s">
        <v>1099</v>
      </c>
      <c r="C31" s="30"/>
      <c r="D31" s="30" t="s">
        <v>60</v>
      </c>
      <c r="E31" s="89" t="s">
        <v>1100</v>
      </c>
      <c r="F31" s="131"/>
      <c r="G31" s="106"/>
      <c r="H31" s="106"/>
      <c r="I31" s="30" t="s">
        <v>1101</v>
      </c>
      <c r="J31" s="30" t="s">
        <v>1102</v>
      </c>
      <c r="K31" s="30"/>
      <c r="L31" s="31"/>
      <c r="M31" s="31"/>
      <c r="N31" s="32">
        <v>8</v>
      </c>
      <c r="O31" s="33" t="s">
        <v>1012</v>
      </c>
      <c r="P31" s="34">
        <v>5</v>
      </c>
      <c r="Q31" s="35">
        <v>5000</v>
      </c>
      <c r="R31" s="35"/>
      <c r="S31" s="36"/>
      <c r="T31" s="31"/>
      <c r="U31" s="31"/>
      <c r="V31" s="31"/>
      <c r="W31" s="31"/>
      <c r="X31" s="31"/>
      <c r="Y31" s="31"/>
      <c r="Z31" s="30"/>
      <c r="AA31" s="30"/>
      <c r="AB31" s="30"/>
      <c r="AC31" s="30" t="s">
        <v>42</v>
      </c>
      <c r="AD31" s="30"/>
      <c r="AE31" s="30"/>
      <c r="AF31" s="72"/>
      <c r="AG31" s="31">
        <v>1</v>
      </c>
      <c r="AH31" s="31">
        <v>1</v>
      </c>
      <c r="AI31" s="31">
        <v>1</v>
      </c>
      <c r="AJ31" s="31">
        <v>3</v>
      </c>
      <c r="AK31" s="31">
        <v>1</v>
      </c>
      <c r="AL31" s="31">
        <v>1</v>
      </c>
      <c r="AM31" s="31">
        <f>AL31*AK31*AJ31*AI31*AH31*AG31</f>
        <v>3</v>
      </c>
      <c r="AN31" s="30"/>
      <c r="AO31" s="37">
        <v>44621</v>
      </c>
    </row>
    <row r="32" spans="1:41" ht="38.25" hidden="1" x14ac:dyDescent="0.2">
      <c r="A32" s="22" t="s">
        <v>35</v>
      </c>
      <c r="B32" s="22" t="s">
        <v>78</v>
      </c>
      <c r="C32" s="22"/>
      <c r="D32" s="22" t="s">
        <v>37</v>
      </c>
      <c r="E32" s="87" t="s">
        <v>655</v>
      </c>
      <c r="F32" s="98" t="s">
        <v>985</v>
      </c>
      <c r="G32" s="95"/>
      <c r="H32" s="95"/>
      <c r="I32" s="22" t="s">
        <v>777</v>
      </c>
      <c r="J32" s="22"/>
      <c r="K32" s="22" t="s">
        <v>778</v>
      </c>
      <c r="L32" s="24">
        <v>2019</v>
      </c>
      <c r="M32" s="24"/>
      <c r="N32" s="38">
        <v>600</v>
      </c>
      <c r="O32" s="39"/>
      <c r="P32" s="27">
        <f>N32*O32</f>
        <v>0</v>
      </c>
      <c r="Q32" s="28"/>
      <c r="R32" s="28">
        <f>IF(Q32&lt;4.99,(Q32*12%+4),IF(Q32&lt;10.99,(Q32*12%+8),IF(Q32&lt;14.99,(Q32*12%+12),IF(Q32&lt;879.99,(Q32*12%+16),IF(Q32&lt;2569.99,(Q32*7%+60),240)))))</f>
        <v>4</v>
      </c>
      <c r="S32" s="29">
        <f>R32*P32</f>
        <v>0</v>
      </c>
      <c r="T32" s="24"/>
      <c r="U32" s="24"/>
      <c r="V32" s="24"/>
      <c r="W32" s="24"/>
      <c r="X32" s="24"/>
      <c r="Y32" s="24"/>
      <c r="Z32" s="22"/>
      <c r="AA32" s="22"/>
      <c r="AB32" s="22"/>
      <c r="AC32" s="22" t="s">
        <v>42</v>
      </c>
      <c r="AD32" s="22" t="s">
        <v>779</v>
      </c>
      <c r="AE32" s="22" t="s">
        <v>780</v>
      </c>
      <c r="AF32" s="71"/>
      <c r="AG32" s="24">
        <v>1</v>
      </c>
      <c r="AH32" s="24">
        <v>2</v>
      </c>
      <c r="AI32" s="24">
        <v>3</v>
      </c>
      <c r="AJ32" s="24">
        <v>3</v>
      </c>
      <c r="AK32" s="24">
        <v>1</v>
      </c>
      <c r="AL32" s="24">
        <v>2</v>
      </c>
      <c r="AM32" s="24">
        <v>36</v>
      </c>
      <c r="AN32" s="22" t="s">
        <v>48</v>
      </c>
      <c r="AO32" s="22"/>
    </row>
    <row r="33" spans="1:41" s="133" customFormat="1" ht="25.5" x14ac:dyDescent="0.2">
      <c r="A33" s="30" t="s">
        <v>49</v>
      </c>
      <c r="B33" s="30" t="s">
        <v>1289</v>
      </c>
      <c r="C33" s="30"/>
      <c r="D33" s="30" t="s">
        <v>51</v>
      </c>
      <c r="E33" s="89" t="s">
        <v>1331</v>
      </c>
      <c r="F33" s="96"/>
      <c r="G33" s="106"/>
      <c r="H33" s="106"/>
      <c r="I33" s="30" t="s">
        <v>1332</v>
      </c>
      <c r="J33" s="30" t="s">
        <v>1390</v>
      </c>
      <c r="K33" s="30" t="s">
        <v>63</v>
      </c>
      <c r="L33" s="31">
        <v>2024</v>
      </c>
      <c r="M33" s="31"/>
      <c r="N33" s="32">
        <v>5000</v>
      </c>
      <c r="O33" s="33"/>
      <c r="P33" s="34">
        <v>50</v>
      </c>
      <c r="Q33" s="35">
        <v>1000</v>
      </c>
      <c r="R33" s="35">
        <v>120</v>
      </c>
      <c r="S33" s="36"/>
      <c r="T33" s="31"/>
      <c r="U33" s="31"/>
      <c r="V33" s="31"/>
      <c r="W33" s="31"/>
      <c r="X33" s="31"/>
      <c r="Y33" s="31"/>
      <c r="Z33" s="30"/>
      <c r="AA33" s="30"/>
      <c r="AB33" s="30"/>
      <c r="AC33" s="30" t="s">
        <v>42</v>
      </c>
      <c r="AD33" s="30"/>
      <c r="AE33" s="30"/>
      <c r="AF33" s="72" t="s">
        <v>1391</v>
      </c>
      <c r="AG33" s="31">
        <v>2</v>
      </c>
      <c r="AH33" s="31">
        <v>2</v>
      </c>
      <c r="AI33" s="31">
        <v>2</v>
      </c>
      <c r="AJ33" s="31">
        <v>3</v>
      </c>
      <c r="AK33" s="31">
        <v>1</v>
      </c>
      <c r="AL33" s="31">
        <v>3</v>
      </c>
      <c r="AM33" s="31">
        <f>AL33*AK33*AJ33*AI33*AH33*AG33</f>
        <v>72</v>
      </c>
      <c r="AN33" s="30" t="s">
        <v>45</v>
      </c>
      <c r="AO33" s="37">
        <v>45047</v>
      </c>
    </row>
    <row r="34" spans="1:41" ht="38.25" hidden="1" x14ac:dyDescent="0.2">
      <c r="A34" s="22" t="s">
        <v>72</v>
      </c>
      <c r="B34" s="23" t="s">
        <v>481</v>
      </c>
      <c r="C34" s="22"/>
      <c r="D34" s="22" t="s">
        <v>37</v>
      </c>
      <c r="E34" s="87" t="s">
        <v>482</v>
      </c>
      <c r="F34" s="95"/>
      <c r="G34" s="111" t="s">
        <v>965</v>
      </c>
      <c r="H34" s="95"/>
      <c r="I34" s="22" t="s">
        <v>483</v>
      </c>
      <c r="J34" s="22" t="s">
        <v>484</v>
      </c>
      <c r="K34" s="22" t="s">
        <v>485</v>
      </c>
      <c r="L34" s="24">
        <v>2020</v>
      </c>
      <c r="M34" s="24"/>
      <c r="N34" s="38">
        <v>500</v>
      </c>
      <c r="O34" s="39"/>
      <c r="P34" s="27">
        <f>N34*O34</f>
        <v>0</v>
      </c>
      <c r="Q34" s="28"/>
      <c r="R34" s="28">
        <f>IF(Q34&lt;4.99,(Q34*12%+4),IF(Q34&lt;10.99,(Q34*12%+8),IF(Q34&lt;14.99,(Q34*12%+12),IF(Q34&lt;879.99,(Q34*12%+16),IF(Q34&lt;2569.99,(Q34*7%+60),240)))))</f>
        <v>4</v>
      </c>
      <c r="S34" s="29">
        <f>R34*P34</f>
        <v>0</v>
      </c>
      <c r="T34" s="24"/>
      <c r="U34" s="24"/>
      <c r="V34" s="24"/>
      <c r="W34" s="24"/>
      <c r="X34" s="24"/>
      <c r="Y34" s="24"/>
      <c r="Z34" s="22"/>
      <c r="AA34" s="22"/>
      <c r="AB34" s="22"/>
      <c r="AC34" s="22" t="s">
        <v>486</v>
      </c>
      <c r="AD34" s="22"/>
      <c r="AE34" s="22" t="s">
        <v>129</v>
      </c>
      <c r="AF34" s="71" t="s">
        <v>487</v>
      </c>
      <c r="AG34" s="24">
        <v>1</v>
      </c>
      <c r="AH34" s="24">
        <v>1</v>
      </c>
      <c r="AI34" s="24">
        <v>1</v>
      </c>
      <c r="AJ34" s="24">
        <v>3</v>
      </c>
      <c r="AK34" s="24">
        <v>1</v>
      </c>
      <c r="AL34" s="24">
        <v>2</v>
      </c>
      <c r="AM34" s="24">
        <v>6</v>
      </c>
      <c r="AN34" s="22" t="s">
        <v>48</v>
      </c>
      <c r="AO34" s="22"/>
    </row>
    <row r="35" spans="1:41" s="133" customFormat="1" ht="38.25" hidden="1" x14ac:dyDescent="0.2">
      <c r="A35" s="22" t="s">
        <v>35</v>
      </c>
      <c r="B35" s="22"/>
      <c r="C35" s="22"/>
      <c r="D35" s="22" t="s">
        <v>60</v>
      </c>
      <c r="E35" s="90" t="s">
        <v>191</v>
      </c>
      <c r="F35" s="100" t="s">
        <v>913</v>
      </c>
      <c r="G35" s="107"/>
      <c r="H35" s="107"/>
      <c r="I35" s="22" t="s">
        <v>192</v>
      </c>
      <c r="J35" s="22"/>
      <c r="K35" s="22" t="s">
        <v>42</v>
      </c>
      <c r="L35" s="24">
        <v>2022</v>
      </c>
      <c r="M35" s="24"/>
      <c r="N35" s="38"/>
      <c r="O35" s="39"/>
      <c r="P35" s="27">
        <f>N35*O35</f>
        <v>0</v>
      </c>
      <c r="Q35" s="28"/>
      <c r="R35" s="28">
        <f>IF(Q35&lt;4.99,(Q35*12%+4),IF(Q35&lt;10.99,(Q35*12%+8),IF(Q35&lt;14.99,(Q35*12%+12),IF(Q35&lt;879.99,(Q35*12%+16),IF(Q35&lt;2569.99,(Q35*7%+60),240)))))</f>
        <v>4</v>
      </c>
      <c r="S35" s="29">
        <f>R35*P35</f>
        <v>0</v>
      </c>
      <c r="T35" s="24"/>
      <c r="U35" s="24"/>
      <c r="V35" s="24"/>
      <c r="W35" s="24"/>
      <c r="X35" s="24"/>
      <c r="Y35" s="49" t="s">
        <v>193</v>
      </c>
      <c r="Z35" s="22"/>
      <c r="AA35" s="22"/>
      <c r="AB35" s="22"/>
      <c r="AC35" s="22" t="s">
        <v>42</v>
      </c>
      <c r="AD35" s="22"/>
      <c r="AE35" s="40"/>
      <c r="AF35" s="71" t="s">
        <v>194</v>
      </c>
      <c r="AG35" s="24">
        <v>1</v>
      </c>
      <c r="AH35" s="24">
        <v>1</v>
      </c>
      <c r="AI35" s="24">
        <v>2</v>
      </c>
      <c r="AJ35" s="24">
        <v>3</v>
      </c>
      <c r="AK35" s="24">
        <v>1</v>
      </c>
      <c r="AL35" s="24">
        <v>2</v>
      </c>
      <c r="AM35" s="24">
        <v>12</v>
      </c>
      <c r="AN35" s="22" t="s">
        <v>48</v>
      </c>
      <c r="AO35" s="22"/>
    </row>
    <row r="36" spans="1:41" ht="38.25" hidden="1" x14ac:dyDescent="0.2">
      <c r="A36" s="22" t="s">
        <v>35</v>
      </c>
      <c r="B36" s="22"/>
      <c r="C36" s="22"/>
      <c r="D36" s="22" t="s">
        <v>60</v>
      </c>
      <c r="E36" s="90" t="s">
        <v>191</v>
      </c>
      <c r="F36" s="100" t="s">
        <v>913</v>
      </c>
      <c r="G36" s="107"/>
      <c r="H36" s="107"/>
      <c r="I36" s="23" t="s">
        <v>437</v>
      </c>
      <c r="J36" s="22"/>
      <c r="K36" s="22" t="s">
        <v>42</v>
      </c>
      <c r="L36" s="24">
        <v>2021</v>
      </c>
      <c r="M36" s="24"/>
      <c r="N36" s="38"/>
      <c r="O36" s="39"/>
      <c r="P36" s="27">
        <f>N36*O36</f>
        <v>0</v>
      </c>
      <c r="Q36" s="28"/>
      <c r="R36" s="28">
        <f>IF(Q36&lt;4.99,(Q36*12%+4),IF(Q36&lt;10.99,(Q36*12%+8),IF(Q36&lt;14.99,(Q36*12%+12),IF(Q36&lt;879.99,(Q36*12%+16),IF(Q36&lt;2569.99,(Q36*7%+60),240)))))</f>
        <v>4</v>
      </c>
      <c r="S36" s="29">
        <f>R36*P36</f>
        <v>0</v>
      </c>
      <c r="T36" s="24"/>
      <c r="U36" s="24"/>
      <c r="V36" s="24"/>
      <c r="W36" s="24"/>
      <c r="X36" s="24"/>
      <c r="Y36" s="49" t="s">
        <v>193</v>
      </c>
      <c r="Z36" s="22"/>
      <c r="AA36" s="22"/>
      <c r="AB36" s="22"/>
      <c r="AC36" s="22" t="s">
        <v>42</v>
      </c>
      <c r="AD36" s="22"/>
      <c r="AE36" s="40"/>
      <c r="AF36" s="71" t="s">
        <v>194</v>
      </c>
      <c r="AG36" s="24">
        <v>1</v>
      </c>
      <c r="AH36" s="24">
        <v>1</v>
      </c>
      <c r="AI36" s="24">
        <v>2</v>
      </c>
      <c r="AJ36" s="24">
        <v>3</v>
      </c>
      <c r="AK36" s="24">
        <v>1</v>
      </c>
      <c r="AL36" s="24">
        <v>2</v>
      </c>
      <c r="AM36" s="24">
        <v>12</v>
      </c>
      <c r="AN36" s="22" t="s">
        <v>48</v>
      </c>
      <c r="AO36" s="22"/>
    </row>
    <row r="37" spans="1:41" hidden="1" x14ac:dyDescent="0.2">
      <c r="A37" s="30" t="s">
        <v>58</v>
      </c>
      <c r="B37" s="30" t="s">
        <v>1005</v>
      </c>
      <c r="C37" s="30"/>
      <c r="D37" s="30" t="s">
        <v>37</v>
      </c>
      <c r="E37" s="89" t="s">
        <v>466</v>
      </c>
      <c r="F37" s="96"/>
      <c r="G37" s="106"/>
      <c r="H37" s="173"/>
      <c r="I37" s="30" t="s">
        <v>1006</v>
      </c>
      <c r="J37" s="30" t="s">
        <v>1079</v>
      </c>
      <c r="K37" s="30" t="s">
        <v>42</v>
      </c>
      <c r="L37" s="31">
        <v>2022</v>
      </c>
      <c r="M37" s="31"/>
      <c r="N37" s="32">
        <v>40</v>
      </c>
      <c r="O37" s="33">
        <v>1</v>
      </c>
      <c r="P37" s="34">
        <v>40</v>
      </c>
      <c r="Q37" s="35">
        <v>45000</v>
      </c>
      <c r="R37" s="35">
        <v>240</v>
      </c>
      <c r="S37" s="36">
        <f>P37*R37*12</f>
        <v>115200</v>
      </c>
      <c r="T37" s="31" t="s">
        <v>48</v>
      </c>
      <c r="U37" s="31" t="s">
        <v>48</v>
      </c>
      <c r="V37" s="31" t="s">
        <v>45</v>
      </c>
      <c r="W37" s="31" t="s">
        <v>45</v>
      </c>
      <c r="X37" s="31"/>
      <c r="Y37" s="134"/>
      <c r="Z37" s="30" t="e">
        <f>#REF!</f>
        <v>#REF!</v>
      </c>
      <c r="AA37" s="30"/>
      <c r="AB37" s="30"/>
      <c r="AC37" s="30" t="s">
        <v>42</v>
      </c>
      <c r="AD37" s="30"/>
      <c r="AE37" s="37"/>
      <c r="AF37" s="72"/>
      <c r="AG37" s="31">
        <v>1</v>
      </c>
      <c r="AH37" s="31">
        <v>1</v>
      </c>
      <c r="AI37" s="31">
        <v>2</v>
      </c>
      <c r="AJ37" s="31">
        <v>3</v>
      </c>
      <c r="AK37" s="31">
        <v>2</v>
      </c>
      <c r="AL37" s="31">
        <v>1</v>
      </c>
      <c r="AM37" s="31">
        <f>AL37*AK37*AJ37*AI37*AH37*AG37</f>
        <v>12</v>
      </c>
      <c r="AN37" s="30"/>
      <c r="AO37" s="30"/>
    </row>
    <row r="38" spans="1:41" s="133" customFormat="1" ht="38.25" x14ac:dyDescent="0.2">
      <c r="A38" s="30" t="s">
        <v>35</v>
      </c>
      <c r="B38" s="30" t="s">
        <v>465</v>
      </c>
      <c r="C38" s="30"/>
      <c r="D38" s="30" t="s">
        <v>37</v>
      </c>
      <c r="E38" s="30" t="s">
        <v>604</v>
      </c>
      <c r="F38" s="139" t="s">
        <v>963</v>
      </c>
      <c r="G38" s="30"/>
      <c r="H38" s="30"/>
      <c r="I38" s="30" t="s">
        <v>467</v>
      </c>
      <c r="J38" s="30" t="s">
        <v>468</v>
      </c>
      <c r="K38" s="30" t="s">
        <v>63</v>
      </c>
      <c r="L38" s="31">
        <v>2023</v>
      </c>
      <c r="M38" s="31"/>
      <c r="N38" s="32">
        <f>80/1.5</f>
        <v>53.333333333333336</v>
      </c>
      <c r="O38" s="33"/>
      <c r="P38" s="34">
        <v>10</v>
      </c>
      <c r="Q38" s="35">
        <v>15000</v>
      </c>
      <c r="R38" s="35">
        <f t="shared" ref="R38:R43" si="0">IF(Q38&lt;4.99,(Q38*12%+4),IF(Q38&lt;10.99,(Q38*12%+8),IF(Q38&lt;14.99,(Q38*12%+12),IF(Q38&lt;879.99,(Q38*12%+16),IF(Q38&lt;2569.99,(Q38*7%+60),240)))))</f>
        <v>240</v>
      </c>
      <c r="S38" s="36">
        <f t="shared" ref="S38:S43" si="1">R38*P38</f>
        <v>2400</v>
      </c>
      <c r="T38" s="31"/>
      <c r="U38" s="31"/>
      <c r="V38" s="31"/>
      <c r="W38" s="31"/>
      <c r="X38" s="31"/>
      <c r="Y38" s="31"/>
      <c r="Z38" s="30">
        <v>300000</v>
      </c>
      <c r="AA38" s="30">
        <v>0</v>
      </c>
      <c r="AB38" s="30"/>
      <c r="AC38" s="30" t="s">
        <v>42</v>
      </c>
      <c r="AD38" s="30"/>
      <c r="AE38" s="37" t="s">
        <v>70</v>
      </c>
      <c r="AF38" s="72" t="s">
        <v>1179</v>
      </c>
      <c r="AG38" s="31">
        <v>1</v>
      </c>
      <c r="AH38" s="31">
        <v>1</v>
      </c>
      <c r="AI38" s="31">
        <v>1</v>
      </c>
      <c r="AJ38" s="31">
        <v>3</v>
      </c>
      <c r="AK38" s="31">
        <v>1</v>
      </c>
      <c r="AL38" s="31">
        <v>2</v>
      </c>
      <c r="AM38" s="31">
        <v>6</v>
      </c>
      <c r="AN38" s="30" t="s">
        <v>48</v>
      </c>
      <c r="AO38" s="30"/>
    </row>
    <row r="39" spans="1:41" s="129" customFormat="1" ht="51" hidden="1" x14ac:dyDescent="0.2">
      <c r="A39" s="22" t="s">
        <v>47</v>
      </c>
      <c r="B39" s="22" t="s">
        <v>122</v>
      </c>
      <c r="C39" s="22"/>
      <c r="D39" s="22" t="s">
        <v>98</v>
      </c>
      <c r="E39" s="22" t="s">
        <v>195</v>
      </c>
      <c r="F39" s="22"/>
      <c r="G39" s="22"/>
      <c r="H39" s="97" t="s">
        <v>934</v>
      </c>
      <c r="I39" s="22" t="s">
        <v>196</v>
      </c>
      <c r="J39" s="22"/>
      <c r="K39" s="22" t="s">
        <v>64</v>
      </c>
      <c r="L39" s="24">
        <v>2022</v>
      </c>
      <c r="M39" s="24"/>
      <c r="N39" s="38">
        <f>0.025*8000000</f>
        <v>200000</v>
      </c>
      <c r="O39" s="39"/>
      <c r="P39" s="27">
        <f t="shared" ref="P39:P43" si="2">N39*O39</f>
        <v>0</v>
      </c>
      <c r="Q39" s="28"/>
      <c r="R39" s="28">
        <f t="shared" si="0"/>
        <v>4</v>
      </c>
      <c r="S39" s="29">
        <f t="shared" si="1"/>
        <v>0</v>
      </c>
      <c r="T39" s="24"/>
      <c r="U39" s="24"/>
      <c r="V39" s="24"/>
      <c r="W39" s="24"/>
      <c r="X39" s="24"/>
      <c r="Y39" s="24"/>
      <c r="Z39" s="22"/>
      <c r="AA39" s="22"/>
      <c r="AB39" s="22"/>
      <c r="AC39" s="22" t="s">
        <v>64</v>
      </c>
      <c r="AD39" s="22"/>
      <c r="AE39" s="22"/>
      <c r="AF39" s="71" t="s">
        <v>197</v>
      </c>
      <c r="AG39" s="24">
        <v>1</v>
      </c>
      <c r="AH39" s="24">
        <v>3</v>
      </c>
      <c r="AI39" s="24">
        <v>1</v>
      </c>
      <c r="AJ39" s="24">
        <v>3</v>
      </c>
      <c r="AK39" s="24">
        <v>1</v>
      </c>
      <c r="AL39" s="24">
        <v>2</v>
      </c>
      <c r="AM39" s="24">
        <v>18</v>
      </c>
      <c r="AN39" s="22" t="s">
        <v>48</v>
      </c>
      <c r="AO39" s="22"/>
    </row>
    <row r="40" spans="1:41" ht="38.25" hidden="1" x14ac:dyDescent="0.2">
      <c r="A40" s="22" t="s">
        <v>58</v>
      </c>
      <c r="B40" s="23" t="s">
        <v>620</v>
      </c>
      <c r="C40" s="22"/>
      <c r="D40" s="22" t="s">
        <v>60</v>
      </c>
      <c r="E40" s="22" t="s">
        <v>627</v>
      </c>
      <c r="F40" s="97" t="s">
        <v>981</v>
      </c>
      <c r="G40" s="22"/>
      <c r="H40" s="22"/>
      <c r="I40" s="22" t="s">
        <v>628</v>
      </c>
      <c r="J40" s="22" t="s">
        <v>629</v>
      </c>
      <c r="K40" s="22" t="s">
        <v>63</v>
      </c>
      <c r="L40" s="24">
        <v>2020</v>
      </c>
      <c r="M40" s="24"/>
      <c r="N40" s="38">
        <f>16*8</f>
        <v>128</v>
      </c>
      <c r="O40" s="39"/>
      <c r="P40" s="27">
        <f t="shared" si="2"/>
        <v>0</v>
      </c>
      <c r="Q40" s="28"/>
      <c r="R40" s="28">
        <f t="shared" si="0"/>
        <v>4</v>
      </c>
      <c r="S40" s="29">
        <f t="shared" si="1"/>
        <v>0</v>
      </c>
      <c r="T40" s="24"/>
      <c r="U40" s="24"/>
      <c r="V40" s="24"/>
      <c r="W40" s="24"/>
      <c r="X40" s="24"/>
      <c r="Y40" s="24"/>
      <c r="Z40" s="22"/>
      <c r="AA40" s="22"/>
      <c r="AB40" s="22"/>
      <c r="AC40" s="22" t="s">
        <v>42</v>
      </c>
      <c r="AD40" s="22"/>
      <c r="AE40" s="22"/>
      <c r="AF40" s="71" t="s">
        <v>630</v>
      </c>
      <c r="AG40" s="24">
        <v>1</v>
      </c>
      <c r="AH40" s="24">
        <v>1</v>
      </c>
      <c r="AI40" s="24">
        <v>2</v>
      </c>
      <c r="AJ40" s="24">
        <v>3</v>
      </c>
      <c r="AK40" s="24">
        <v>1</v>
      </c>
      <c r="AL40" s="24">
        <v>2</v>
      </c>
      <c r="AM40" s="24">
        <v>12</v>
      </c>
      <c r="AN40" s="22" t="s">
        <v>45</v>
      </c>
      <c r="AO40" s="40">
        <v>43556</v>
      </c>
    </row>
    <row r="41" spans="1:41" ht="38.25" hidden="1" x14ac:dyDescent="0.2">
      <c r="A41" s="13" t="s">
        <v>72</v>
      </c>
      <c r="B41" s="13" t="s">
        <v>153</v>
      </c>
      <c r="C41" s="13"/>
      <c r="D41" s="13" t="s">
        <v>98</v>
      </c>
      <c r="E41" s="13" t="s">
        <v>154</v>
      </c>
      <c r="F41" s="70" t="s">
        <v>931</v>
      </c>
      <c r="G41" s="13"/>
      <c r="H41" s="13"/>
      <c r="I41" s="13" t="s">
        <v>155</v>
      </c>
      <c r="J41" s="13" t="s">
        <v>156</v>
      </c>
      <c r="K41" s="13" t="s">
        <v>42</v>
      </c>
      <c r="L41" s="14">
        <v>2021</v>
      </c>
      <c r="M41" s="14"/>
      <c r="N41" s="15">
        <v>1000000</v>
      </c>
      <c r="O41" s="16"/>
      <c r="P41" s="17">
        <f t="shared" si="2"/>
        <v>0</v>
      </c>
      <c r="Q41" s="18"/>
      <c r="R41" s="18">
        <f t="shared" si="0"/>
        <v>4</v>
      </c>
      <c r="S41" s="19">
        <f t="shared" si="1"/>
        <v>0</v>
      </c>
      <c r="T41" s="14"/>
      <c r="U41" s="14"/>
      <c r="V41" s="14"/>
      <c r="W41" s="14"/>
      <c r="X41" s="14"/>
      <c r="Y41" s="14"/>
      <c r="Z41" s="13"/>
      <c r="AA41" s="13"/>
      <c r="AB41" s="13"/>
      <c r="AC41" s="13" t="s">
        <v>42</v>
      </c>
      <c r="AD41" s="13"/>
      <c r="AE41" s="20" t="s">
        <v>132</v>
      </c>
      <c r="AF41" s="70" t="s">
        <v>157</v>
      </c>
      <c r="AG41" s="14">
        <v>2</v>
      </c>
      <c r="AH41" s="14">
        <v>2</v>
      </c>
      <c r="AI41" s="14">
        <v>3</v>
      </c>
      <c r="AJ41" s="14">
        <v>1</v>
      </c>
      <c r="AK41" s="14">
        <v>3</v>
      </c>
      <c r="AL41" s="14">
        <v>2</v>
      </c>
      <c r="AM41" s="14">
        <v>72</v>
      </c>
      <c r="AN41" s="13" t="s">
        <v>45</v>
      </c>
      <c r="AO41" s="13"/>
    </row>
    <row r="42" spans="1:41" s="129" customFormat="1" ht="38.25" hidden="1" x14ac:dyDescent="0.2">
      <c r="A42" s="22" t="s">
        <v>49</v>
      </c>
      <c r="B42" s="23" t="s">
        <v>50</v>
      </c>
      <c r="C42" s="22"/>
      <c r="D42" s="22" t="s">
        <v>51</v>
      </c>
      <c r="E42" s="22" t="s">
        <v>154</v>
      </c>
      <c r="F42" s="71" t="s">
        <v>932</v>
      </c>
      <c r="G42" s="22"/>
      <c r="H42" s="22"/>
      <c r="I42" s="22" t="s">
        <v>175</v>
      </c>
      <c r="J42" s="22"/>
      <c r="K42" s="22" t="s">
        <v>42</v>
      </c>
      <c r="L42" s="24">
        <v>2021</v>
      </c>
      <c r="M42" s="24"/>
      <c r="N42" s="38">
        <f>2000000/83*8.5/2</f>
        <v>102409.63855421687</v>
      </c>
      <c r="O42" s="39"/>
      <c r="P42" s="27">
        <f t="shared" si="2"/>
        <v>0</v>
      </c>
      <c r="Q42" s="28"/>
      <c r="R42" s="28">
        <f t="shared" si="0"/>
        <v>4</v>
      </c>
      <c r="S42" s="29">
        <f t="shared" si="1"/>
        <v>0</v>
      </c>
      <c r="T42" s="24"/>
      <c r="U42" s="24"/>
      <c r="V42" s="24"/>
      <c r="W42" s="24"/>
      <c r="X42" s="24"/>
      <c r="Y42" s="24"/>
      <c r="Z42" s="22"/>
      <c r="AA42" s="22"/>
      <c r="AB42" s="22"/>
      <c r="AC42" s="22" t="s">
        <v>55</v>
      </c>
      <c r="AD42" s="22" t="s">
        <v>43</v>
      </c>
      <c r="AE42" s="40" t="s">
        <v>132</v>
      </c>
      <c r="AF42" s="71" t="s">
        <v>176</v>
      </c>
      <c r="AG42" s="24">
        <v>2</v>
      </c>
      <c r="AH42" s="24">
        <v>2</v>
      </c>
      <c r="AI42" s="24">
        <v>3</v>
      </c>
      <c r="AJ42" s="24">
        <v>1</v>
      </c>
      <c r="AK42" s="24">
        <v>1</v>
      </c>
      <c r="AL42" s="24">
        <v>2</v>
      </c>
      <c r="AM42" s="24">
        <v>24</v>
      </c>
      <c r="AN42" s="22" t="s">
        <v>45</v>
      </c>
      <c r="AO42" s="22"/>
    </row>
    <row r="43" spans="1:41" ht="38.25" hidden="1" x14ac:dyDescent="0.2">
      <c r="A43" s="22" t="s">
        <v>35</v>
      </c>
      <c r="B43" s="22" t="s">
        <v>526</v>
      </c>
      <c r="C43" s="22"/>
      <c r="D43" s="22" t="s">
        <v>37</v>
      </c>
      <c r="E43" s="22" t="s">
        <v>565</v>
      </c>
      <c r="F43" s="65" t="s">
        <v>975</v>
      </c>
      <c r="G43" s="22"/>
      <c r="H43" s="22"/>
      <c r="I43" s="22" t="s">
        <v>566</v>
      </c>
      <c r="J43" s="22"/>
      <c r="K43" s="22" t="s">
        <v>64</v>
      </c>
      <c r="L43" s="24">
        <v>2020</v>
      </c>
      <c r="M43" s="24"/>
      <c r="N43" s="51">
        <v>622</v>
      </c>
      <c r="O43" s="39"/>
      <c r="P43" s="27">
        <f t="shared" si="2"/>
        <v>0</v>
      </c>
      <c r="Q43" s="28"/>
      <c r="R43" s="28">
        <f t="shared" si="0"/>
        <v>4</v>
      </c>
      <c r="S43" s="29">
        <f t="shared" si="1"/>
        <v>0</v>
      </c>
      <c r="T43" s="24"/>
      <c r="U43" s="24"/>
      <c r="V43" s="24"/>
      <c r="W43" s="24"/>
      <c r="X43" s="24"/>
      <c r="Y43" s="24"/>
      <c r="Z43" s="22"/>
      <c r="AA43" s="22"/>
      <c r="AB43" s="22"/>
      <c r="AC43" s="22" t="s">
        <v>64</v>
      </c>
      <c r="AD43" s="22"/>
      <c r="AE43" s="22" t="s">
        <v>129</v>
      </c>
      <c r="AF43" s="71" t="s">
        <v>567</v>
      </c>
      <c r="AG43" s="24">
        <v>1</v>
      </c>
      <c r="AH43" s="24">
        <v>2</v>
      </c>
      <c r="AI43" s="24">
        <v>2</v>
      </c>
      <c r="AJ43" s="24">
        <v>3</v>
      </c>
      <c r="AK43" s="24">
        <v>1</v>
      </c>
      <c r="AL43" s="24">
        <v>1</v>
      </c>
      <c r="AM43" s="24">
        <v>12</v>
      </c>
      <c r="AN43" s="22" t="s">
        <v>45</v>
      </c>
      <c r="AO43" s="22"/>
    </row>
    <row r="44" spans="1:41" x14ac:dyDescent="0.2">
      <c r="A44" s="22" t="s">
        <v>47</v>
      </c>
      <c r="B44" s="22" t="s">
        <v>1072</v>
      </c>
      <c r="C44" s="22"/>
      <c r="D44" s="22" t="s">
        <v>98</v>
      </c>
      <c r="E44" s="22" t="s">
        <v>565</v>
      </c>
      <c r="F44" s="65"/>
      <c r="G44" s="22"/>
      <c r="H44" s="22"/>
      <c r="I44" s="22" t="s">
        <v>1073</v>
      </c>
      <c r="J44" s="22"/>
      <c r="K44" s="22" t="s">
        <v>42</v>
      </c>
      <c r="L44" s="24">
        <v>2023</v>
      </c>
      <c r="M44" s="24"/>
      <c r="N44" s="51"/>
      <c r="O44" s="39"/>
      <c r="P44" s="27"/>
      <c r="Q44" s="28"/>
      <c r="R44" s="28"/>
      <c r="S44" s="29"/>
      <c r="T44" s="24"/>
      <c r="U44" s="24"/>
      <c r="V44" s="24"/>
      <c r="W44" s="24"/>
      <c r="X44" s="24"/>
      <c r="Y44" s="24"/>
      <c r="Z44" s="22"/>
      <c r="AA44" s="22"/>
      <c r="AB44" s="22"/>
      <c r="AC44" s="22"/>
      <c r="AD44" s="22"/>
      <c r="AE44" s="22"/>
      <c r="AF44" s="71"/>
      <c r="AG44" s="24"/>
      <c r="AH44" s="24"/>
      <c r="AI44" s="24"/>
      <c r="AJ44" s="24"/>
      <c r="AK44" s="24"/>
      <c r="AL44" s="24"/>
      <c r="AM44" s="24"/>
      <c r="AN44" s="22"/>
      <c r="AO44" s="22"/>
    </row>
    <row r="45" spans="1:41" hidden="1" x14ac:dyDescent="0.2">
      <c r="A45" s="22"/>
      <c r="B45" s="22"/>
      <c r="C45" s="22"/>
      <c r="D45" s="22"/>
      <c r="E45" s="22" t="s">
        <v>1268</v>
      </c>
      <c r="F45" s="65"/>
      <c r="G45" s="22"/>
      <c r="H45" s="22"/>
      <c r="I45" s="22" t="s">
        <v>1269</v>
      </c>
      <c r="J45" s="22" t="s">
        <v>1270</v>
      </c>
      <c r="K45" s="22"/>
      <c r="L45" s="24"/>
      <c r="M45" s="24"/>
      <c r="N45" s="51"/>
      <c r="O45" s="39"/>
      <c r="P45" s="27"/>
      <c r="Q45" s="28"/>
      <c r="R45" s="28"/>
      <c r="S45" s="29"/>
      <c r="T45" s="24"/>
      <c r="U45" s="24"/>
      <c r="V45" s="24"/>
      <c r="W45" s="24"/>
      <c r="X45" s="24"/>
      <c r="Y45" s="24"/>
      <c r="Z45" s="22"/>
      <c r="AA45" s="22"/>
      <c r="AB45" s="22"/>
      <c r="AC45" s="22"/>
      <c r="AD45" s="22"/>
      <c r="AE45" s="22"/>
      <c r="AF45" s="71"/>
      <c r="AG45" s="24"/>
      <c r="AH45" s="24"/>
      <c r="AI45" s="24"/>
      <c r="AJ45" s="24"/>
      <c r="AK45" s="24"/>
      <c r="AL45" s="24"/>
      <c r="AM45" s="24"/>
      <c r="AN45" s="22"/>
      <c r="AO45" s="22"/>
    </row>
    <row r="46" spans="1:41" hidden="1" x14ac:dyDescent="0.2">
      <c r="A46" s="22"/>
      <c r="B46" s="22"/>
      <c r="C46" s="22"/>
      <c r="D46" s="22"/>
      <c r="E46" s="22" t="s">
        <v>1268</v>
      </c>
      <c r="F46" s="65"/>
      <c r="G46" s="22"/>
      <c r="H46" s="22"/>
      <c r="I46" s="22" t="s">
        <v>1272</v>
      </c>
      <c r="J46" s="22" t="s">
        <v>1271</v>
      </c>
      <c r="K46" s="22"/>
      <c r="L46" s="24"/>
      <c r="M46" s="24"/>
      <c r="N46" s="51"/>
      <c r="O46" s="39"/>
      <c r="P46" s="27"/>
      <c r="Q46" s="28"/>
      <c r="R46" s="28"/>
      <c r="S46" s="29"/>
      <c r="T46" s="24"/>
      <c r="U46" s="24"/>
      <c r="V46" s="24"/>
      <c r="W46" s="24"/>
      <c r="X46" s="24"/>
      <c r="Y46" s="24"/>
      <c r="Z46" s="22"/>
      <c r="AA46" s="22"/>
      <c r="AB46" s="22"/>
      <c r="AC46" s="22"/>
      <c r="AD46" s="22"/>
      <c r="AE46" s="22"/>
      <c r="AF46" s="71"/>
      <c r="AG46" s="24"/>
      <c r="AH46" s="24"/>
      <c r="AI46" s="24"/>
      <c r="AJ46" s="24"/>
      <c r="AK46" s="24"/>
      <c r="AL46" s="24"/>
      <c r="AM46" s="24"/>
      <c r="AN46" s="22"/>
      <c r="AO46" s="22"/>
    </row>
    <row r="47" spans="1:41" s="129" customFormat="1" x14ac:dyDescent="0.2">
      <c r="A47" s="13" t="s">
        <v>49</v>
      </c>
      <c r="B47" s="13" t="s">
        <v>1289</v>
      </c>
      <c r="C47" s="13"/>
      <c r="D47" s="13" t="s">
        <v>51</v>
      </c>
      <c r="E47" s="13" t="s">
        <v>1046</v>
      </c>
      <c r="F47" s="136"/>
      <c r="G47" s="13"/>
      <c r="H47" s="13"/>
      <c r="I47" s="13" t="s">
        <v>1048</v>
      </c>
      <c r="J47" s="13" t="s">
        <v>1290</v>
      </c>
      <c r="K47" s="13" t="s">
        <v>63</v>
      </c>
      <c r="L47" s="14">
        <v>2024</v>
      </c>
      <c r="M47" s="14"/>
      <c r="N47" s="15">
        <v>5000</v>
      </c>
      <c r="O47" s="16"/>
      <c r="P47" s="17">
        <v>200</v>
      </c>
      <c r="Q47" s="18">
        <v>1000</v>
      </c>
      <c r="R47" s="18">
        <v>120</v>
      </c>
      <c r="S47" s="19"/>
      <c r="T47" s="14"/>
      <c r="U47" s="14"/>
      <c r="V47" s="14"/>
      <c r="W47" s="14"/>
      <c r="X47" s="14"/>
      <c r="Y47" s="14"/>
      <c r="Z47" s="13"/>
      <c r="AA47" s="13"/>
      <c r="AB47" s="13">
        <f>1000*200*3</f>
        <v>600000</v>
      </c>
      <c r="AC47" s="13" t="s">
        <v>42</v>
      </c>
      <c r="AD47" s="13"/>
      <c r="AE47" s="13"/>
      <c r="AF47" s="70" t="s">
        <v>1291</v>
      </c>
      <c r="AG47" s="14">
        <v>3</v>
      </c>
      <c r="AH47" s="14">
        <v>3</v>
      </c>
      <c r="AI47" s="14">
        <v>1</v>
      </c>
      <c r="AJ47" s="14">
        <v>3</v>
      </c>
      <c r="AK47" s="14">
        <v>1</v>
      </c>
      <c r="AL47" s="14">
        <v>3</v>
      </c>
      <c r="AM47" s="14">
        <f>AL47*AK47*AJ47*AI47*AH47*AG47</f>
        <v>81</v>
      </c>
      <c r="AN47" s="13" t="s">
        <v>45</v>
      </c>
      <c r="AO47" s="20">
        <v>44958</v>
      </c>
    </row>
    <row r="48" spans="1:41" x14ac:dyDescent="0.2">
      <c r="A48" s="22" t="s">
        <v>35</v>
      </c>
      <c r="B48" s="22" t="s">
        <v>1247</v>
      </c>
      <c r="C48" s="22"/>
      <c r="D48" s="22" t="s">
        <v>60</v>
      </c>
      <c r="E48" s="22" t="s">
        <v>251</v>
      </c>
      <c r="F48" s="65"/>
      <c r="G48" s="22"/>
      <c r="H48" s="22"/>
      <c r="I48" s="22" t="s">
        <v>1248</v>
      </c>
      <c r="J48" s="22"/>
      <c r="K48" s="22" t="s">
        <v>42</v>
      </c>
      <c r="L48" s="24">
        <v>2024</v>
      </c>
      <c r="M48" s="24"/>
      <c r="N48" s="51">
        <v>2600</v>
      </c>
      <c r="O48" s="39"/>
      <c r="P48" s="27">
        <v>5</v>
      </c>
      <c r="Q48" s="28">
        <v>2500</v>
      </c>
      <c r="R48" s="28">
        <v>235</v>
      </c>
      <c r="S48" s="29"/>
      <c r="T48" s="24"/>
      <c r="U48" s="24"/>
      <c r="V48" s="24"/>
      <c r="W48" s="24"/>
      <c r="X48" s="24"/>
      <c r="Y48" s="24"/>
      <c r="Z48" s="113">
        <f>Q48*P48*12.02</f>
        <v>150250</v>
      </c>
      <c r="AA48" s="22"/>
      <c r="AB48" s="22"/>
      <c r="AC48" s="22"/>
      <c r="AD48" s="22"/>
      <c r="AE48" s="22"/>
      <c r="AF48" s="71"/>
      <c r="AG48" s="24"/>
      <c r="AH48" s="24"/>
      <c r="AI48" s="24"/>
      <c r="AJ48" s="24"/>
      <c r="AK48" s="24"/>
      <c r="AL48" s="24"/>
      <c r="AM48" s="24"/>
      <c r="AN48" s="22"/>
      <c r="AO48" s="22"/>
    </row>
    <row r="49" spans="1:41" ht="38.25" hidden="1" x14ac:dyDescent="0.2">
      <c r="A49" s="22" t="s">
        <v>86</v>
      </c>
      <c r="B49" s="22" t="s">
        <v>737</v>
      </c>
      <c r="C49" s="22"/>
      <c r="D49" s="22" t="s">
        <v>98</v>
      </c>
      <c r="E49" s="22" t="s">
        <v>251</v>
      </c>
      <c r="F49" s="171" t="s">
        <v>975</v>
      </c>
      <c r="G49" s="22"/>
      <c r="H49" s="22"/>
      <c r="I49" s="22" t="s">
        <v>738</v>
      </c>
      <c r="J49" s="22" t="s">
        <v>1379</v>
      </c>
      <c r="K49" s="22" t="s">
        <v>42</v>
      </c>
      <c r="L49" s="24">
        <v>2022</v>
      </c>
      <c r="M49" s="24"/>
      <c r="N49" s="38">
        <f>8000000/15</f>
        <v>533333.33333333337</v>
      </c>
      <c r="O49" s="39"/>
      <c r="P49" s="27">
        <v>20</v>
      </c>
      <c r="Q49" s="28">
        <v>2500</v>
      </c>
      <c r="R49" s="28">
        <f t="shared" ref="R49:R55" si="3">IF(Q49&lt;4.99,(Q49*12%+4),IF(Q49&lt;10.99,(Q49*12%+8),IF(Q49&lt;14.99,(Q49*12%+12),IF(Q49&lt;879.99,(Q49*12%+16),IF(Q49&lt;2569.99,(Q49*7%+60),240)))))</f>
        <v>235.00000000000003</v>
      </c>
      <c r="S49" s="29">
        <f t="shared" ref="S49:S55" si="4">R49*P49</f>
        <v>4700.0000000000009</v>
      </c>
      <c r="T49" s="24"/>
      <c r="U49" s="24"/>
      <c r="V49" s="24"/>
      <c r="W49" s="24"/>
      <c r="X49" s="24"/>
      <c r="Y49" s="24"/>
      <c r="Z49" s="22">
        <f>120*1600</f>
        <v>192000</v>
      </c>
      <c r="AA49" s="22"/>
      <c r="AB49" s="22"/>
      <c r="AC49" s="22" t="s">
        <v>42</v>
      </c>
      <c r="AD49" s="22"/>
      <c r="AE49" s="22"/>
      <c r="AF49" s="71" t="s">
        <v>739</v>
      </c>
      <c r="AG49" s="24">
        <v>2</v>
      </c>
      <c r="AH49" s="24">
        <v>3</v>
      </c>
      <c r="AI49" s="24">
        <v>3</v>
      </c>
      <c r="AJ49" s="24">
        <v>1</v>
      </c>
      <c r="AK49" s="24">
        <v>2</v>
      </c>
      <c r="AL49" s="24">
        <v>2</v>
      </c>
      <c r="AM49" s="24">
        <v>72</v>
      </c>
      <c r="AN49" s="22" t="s">
        <v>48</v>
      </c>
      <c r="AO49" s="22"/>
    </row>
    <row r="50" spans="1:41" s="133" customFormat="1" x14ac:dyDescent="0.2">
      <c r="A50" s="30" t="s">
        <v>58</v>
      </c>
      <c r="B50" s="30" t="s">
        <v>1329</v>
      </c>
      <c r="C50" s="30"/>
      <c r="D50" s="30" t="s">
        <v>98</v>
      </c>
      <c r="E50" s="30" t="s">
        <v>251</v>
      </c>
      <c r="F50" s="72"/>
      <c r="G50" s="30"/>
      <c r="H50" s="30"/>
      <c r="I50" s="30" t="s">
        <v>1330</v>
      </c>
      <c r="J50" s="30"/>
      <c r="K50" s="30" t="s">
        <v>42</v>
      </c>
      <c r="L50" s="31">
        <v>2024</v>
      </c>
      <c r="M50" s="31"/>
      <c r="N50" s="32">
        <v>55</v>
      </c>
      <c r="O50" s="33"/>
      <c r="P50" s="34">
        <v>20</v>
      </c>
      <c r="Q50" s="35">
        <v>30000</v>
      </c>
      <c r="R50" s="35">
        <v>240</v>
      </c>
      <c r="S50" s="36"/>
      <c r="T50" s="31"/>
      <c r="U50" s="31"/>
      <c r="V50" s="31"/>
      <c r="W50" s="31"/>
      <c r="X50" s="31"/>
      <c r="Y50" s="31"/>
      <c r="Z50" s="30"/>
      <c r="AA50" s="30"/>
      <c r="AB50" s="30"/>
      <c r="AC50" s="30" t="s">
        <v>42</v>
      </c>
      <c r="AD50" s="30"/>
      <c r="AE50" s="30"/>
      <c r="AF50" s="72"/>
      <c r="AG50" s="31">
        <v>1</v>
      </c>
      <c r="AH50" s="31">
        <v>2</v>
      </c>
      <c r="AI50" s="31">
        <v>3</v>
      </c>
      <c r="AJ50" s="31">
        <v>2</v>
      </c>
      <c r="AK50" s="31">
        <v>3</v>
      </c>
      <c r="AL50" s="31">
        <v>2</v>
      </c>
      <c r="AM50" s="31">
        <f>AL50*AK50*AJ50*AI50*AH50*AG50</f>
        <v>72</v>
      </c>
      <c r="AN50" s="30" t="s">
        <v>45</v>
      </c>
      <c r="AO50" s="37">
        <v>45017</v>
      </c>
    </row>
    <row r="51" spans="1:41" hidden="1" x14ac:dyDescent="0.2">
      <c r="A51" s="61" t="s">
        <v>72</v>
      </c>
      <c r="B51" s="61" t="s">
        <v>184</v>
      </c>
      <c r="C51" s="61"/>
      <c r="D51" s="61" t="s">
        <v>37</v>
      </c>
      <c r="E51" s="61" t="s">
        <v>565</v>
      </c>
      <c r="F51" s="61"/>
      <c r="G51" s="61"/>
      <c r="H51" s="61"/>
      <c r="I51" s="61" t="s">
        <v>770</v>
      </c>
      <c r="J51" s="61"/>
      <c r="K51" s="61" t="s">
        <v>42</v>
      </c>
      <c r="L51" s="62"/>
      <c r="M51" s="62"/>
      <c r="N51" s="38">
        <f>150000*2/3</f>
        <v>100000</v>
      </c>
      <c r="O51" s="39"/>
      <c r="P51" s="27">
        <f>N51*O51</f>
        <v>0</v>
      </c>
      <c r="Q51" s="28"/>
      <c r="R51" s="28">
        <f t="shared" si="3"/>
        <v>4</v>
      </c>
      <c r="S51" s="29">
        <f t="shared" si="4"/>
        <v>0</v>
      </c>
      <c r="T51" s="62"/>
      <c r="U51" s="62"/>
      <c r="V51" s="62"/>
      <c r="W51" s="62"/>
      <c r="X51" s="62"/>
      <c r="Y51" s="62"/>
      <c r="Z51" s="61"/>
      <c r="AA51" s="61"/>
      <c r="AB51" s="61"/>
      <c r="AC51" s="61" t="s">
        <v>42</v>
      </c>
      <c r="AD51" s="61"/>
      <c r="AE51" s="61" t="s">
        <v>735</v>
      </c>
      <c r="AF51" s="75"/>
      <c r="AG51" s="62">
        <v>2</v>
      </c>
      <c r="AH51" s="62">
        <v>3</v>
      </c>
      <c r="AI51" s="62">
        <v>3</v>
      </c>
      <c r="AJ51" s="62">
        <v>3</v>
      </c>
      <c r="AK51" s="62">
        <v>1</v>
      </c>
      <c r="AL51" s="62">
        <v>3</v>
      </c>
      <c r="AM51" s="62">
        <v>162</v>
      </c>
      <c r="AN51" s="61" t="s">
        <v>48</v>
      </c>
      <c r="AO51" s="61"/>
    </row>
    <row r="52" spans="1:41" s="133" customFormat="1" ht="38.25" x14ac:dyDescent="0.2">
      <c r="A52" s="30" t="s">
        <v>58</v>
      </c>
      <c r="B52" s="30" t="s">
        <v>243</v>
      </c>
      <c r="C52" s="30"/>
      <c r="D52" s="30" t="s">
        <v>60</v>
      </c>
      <c r="E52" s="30" t="s">
        <v>244</v>
      </c>
      <c r="F52" s="72" t="s">
        <v>941</v>
      </c>
      <c r="G52" s="30"/>
      <c r="H52" s="30"/>
      <c r="I52" s="30" t="s">
        <v>1086</v>
      </c>
      <c r="J52" s="30" t="s">
        <v>1264</v>
      </c>
      <c r="K52" s="30" t="s">
        <v>42</v>
      </c>
      <c r="L52" s="31">
        <v>2023</v>
      </c>
      <c r="M52" s="31"/>
      <c r="N52" s="32">
        <f>7500/7500000000*8500000</f>
        <v>8.5</v>
      </c>
      <c r="O52" s="33"/>
      <c r="P52" s="34">
        <f>N52*O52</f>
        <v>0</v>
      </c>
      <c r="Q52" s="35">
        <v>4000</v>
      </c>
      <c r="R52" s="35">
        <f t="shared" si="3"/>
        <v>240</v>
      </c>
      <c r="S52" s="36">
        <f t="shared" si="4"/>
        <v>0</v>
      </c>
      <c r="T52" s="31"/>
      <c r="U52" s="31"/>
      <c r="V52" s="31"/>
      <c r="W52" s="31"/>
      <c r="X52" s="31"/>
      <c r="Y52" s="31"/>
      <c r="Z52" s="30"/>
      <c r="AA52" s="30"/>
      <c r="AB52" s="30"/>
      <c r="AC52" s="30" t="s">
        <v>64</v>
      </c>
      <c r="AD52" s="30"/>
      <c r="AE52" s="30"/>
      <c r="AF52" s="190" t="s">
        <v>245</v>
      </c>
      <c r="AG52" s="31">
        <v>1</v>
      </c>
      <c r="AH52" s="31">
        <v>1</v>
      </c>
      <c r="AI52" s="31">
        <v>2</v>
      </c>
      <c r="AJ52" s="31">
        <v>3</v>
      </c>
      <c r="AK52" s="31">
        <v>1</v>
      </c>
      <c r="AL52" s="31">
        <v>1</v>
      </c>
      <c r="AM52" s="31">
        <v>6</v>
      </c>
      <c r="AN52" s="30" t="s">
        <v>48</v>
      </c>
      <c r="AO52" s="30"/>
    </row>
    <row r="53" spans="1:41" s="133" customFormat="1" ht="51" hidden="1" x14ac:dyDescent="0.2">
      <c r="A53" s="22" t="s">
        <v>86</v>
      </c>
      <c r="B53" s="23" t="s">
        <v>730</v>
      </c>
      <c r="C53" s="22"/>
      <c r="D53" s="22" t="s">
        <v>37</v>
      </c>
      <c r="E53" s="22" t="s">
        <v>731</v>
      </c>
      <c r="F53" s="22"/>
      <c r="G53" s="22"/>
      <c r="H53" s="65" t="s">
        <v>993</v>
      </c>
      <c r="I53" s="22" t="s">
        <v>732</v>
      </c>
      <c r="J53" s="22" t="s">
        <v>733</v>
      </c>
      <c r="K53" s="22" t="s">
        <v>734</v>
      </c>
      <c r="L53" s="24">
        <v>2021</v>
      </c>
      <c r="M53" s="24"/>
      <c r="N53" s="38">
        <f>8500000*0.05</f>
        <v>425000</v>
      </c>
      <c r="O53" s="39"/>
      <c r="P53" s="27">
        <f>N53*O53</f>
        <v>0</v>
      </c>
      <c r="Q53" s="28"/>
      <c r="R53" s="28">
        <f t="shared" si="3"/>
        <v>4</v>
      </c>
      <c r="S53" s="29">
        <f t="shared" si="4"/>
        <v>0</v>
      </c>
      <c r="T53" s="24"/>
      <c r="U53" s="24"/>
      <c r="V53" s="24"/>
      <c r="W53" s="24"/>
      <c r="X53" s="24"/>
      <c r="Y53" s="24"/>
      <c r="Z53" s="22"/>
      <c r="AA53" s="22"/>
      <c r="AB53" s="22"/>
      <c r="AC53" s="22" t="s">
        <v>42</v>
      </c>
      <c r="AD53" s="22"/>
      <c r="AE53" s="22" t="s">
        <v>735</v>
      </c>
      <c r="AF53" s="71" t="s">
        <v>736</v>
      </c>
      <c r="AG53" s="24">
        <v>1</v>
      </c>
      <c r="AH53" s="24">
        <v>3</v>
      </c>
      <c r="AI53" s="24">
        <v>1</v>
      </c>
      <c r="AJ53" s="24">
        <v>3</v>
      </c>
      <c r="AK53" s="24">
        <v>2</v>
      </c>
      <c r="AL53" s="24">
        <v>2</v>
      </c>
      <c r="AM53" s="24">
        <v>36</v>
      </c>
      <c r="AN53" s="22" t="s">
        <v>48</v>
      </c>
      <c r="AO53" s="22"/>
    </row>
    <row r="54" spans="1:41" s="133" customFormat="1" ht="38.25" x14ac:dyDescent="0.2">
      <c r="A54" s="22" t="s">
        <v>86</v>
      </c>
      <c r="B54" s="22" t="s">
        <v>411</v>
      </c>
      <c r="C54" s="22"/>
      <c r="D54" s="22" t="s">
        <v>37</v>
      </c>
      <c r="E54" s="22" t="s">
        <v>338</v>
      </c>
      <c r="F54" s="110" t="s">
        <v>959</v>
      </c>
      <c r="G54" s="22"/>
      <c r="H54" s="22"/>
      <c r="I54" s="22" t="s">
        <v>413</v>
      </c>
      <c r="J54" s="22"/>
      <c r="K54" s="22" t="s">
        <v>42</v>
      </c>
      <c r="L54" s="24">
        <v>2024</v>
      </c>
      <c r="M54" s="24"/>
      <c r="N54" s="38">
        <f>8500000/1000</f>
        <v>8500</v>
      </c>
      <c r="O54" s="39"/>
      <c r="P54" s="27">
        <f>N54*O54</f>
        <v>0</v>
      </c>
      <c r="Q54" s="28"/>
      <c r="R54" s="28">
        <f t="shared" si="3"/>
        <v>4</v>
      </c>
      <c r="S54" s="29">
        <f t="shared" si="4"/>
        <v>0</v>
      </c>
      <c r="T54" s="24"/>
      <c r="U54" s="24"/>
      <c r="V54" s="24"/>
      <c r="W54" s="24"/>
      <c r="X54" s="24"/>
      <c r="Y54" s="24"/>
      <c r="Z54" s="22"/>
      <c r="AA54" s="22"/>
      <c r="AB54" s="22"/>
      <c r="AC54" s="22" t="s">
        <v>42</v>
      </c>
      <c r="AD54" s="22"/>
      <c r="AE54" s="22"/>
      <c r="AF54" s="71" t="s">
        <v>414</v>
      </c>
      <c r="AG54" s="24">
        <v>1</v>
      </c>
      <c r="AH54" s="24">
        <v>2</v>
      </c>
      <c r="AI54" s="24">
        <v>2</v>
      </c>
      <c r="AJ54" s="24">
        <v>1</v>
      </c>
      <c r="AK54" s="24">
        <v>2</v>
      </c>
      <c r="AL54" s="24">
        <v>1</v>
      </c>
      <c r="AM54" s="24">
        <v>8</v>
      </c>
      <c r="AN54" s="22" t="s">
        <v>45</v>
      </c>
      <c r="AO54" s="22"/>
    </row>
    <row r="55" spans="1:41" ht="38.25" hidden="1" x14ac:dyDescent="0.2">
      <c r="A55" s="22" t="s">
        <v>58</v>
      </c>
      <c r="B55" s="22" t="s">
        <v>625</v>
      </c>
      <c r="C55" s="22"/>
      <c r="D55" s="22" t="s">
        <v>37</v>
      </c>
      <c r="E55" s="22" t="s">
        <v>412</v>
      </c>
      <c r="F55" s="110" t="s">
        <v>959</v>
      </c>
      <c r="G55" s="22"/>
      <c r="H55" s="22"/>
      <c r="I55" s="22" t="s">
        <v>626</v>
      </c>
      <c r="J55" s="22"/>
      <c r="K55" s="22" t="s">
        <v>128</v>
      </c>
      <c r="L55" s="24">
        <v>2021</v>
      </c>
      <c r="M55" s="24"/>
      <c r="N55" s="51">
        <f>8500000/1000000*4</f>
        <v>34</v>
      </c>
      <c r="O55" s="39"/>
      <c r="P55" s="27">
        <f>N55*O55</f>
        <v>0</v>
      </c>
      <c r="Q55" s="28"/>
      <c r="R55" s="28">
        <f t="shared" si="3"/>
        <v>4</v>
      </c>
      <c r="S55" s="29">
        <f t="shared" si="4"/>
        <v>0</v>
      </c>
      <c r="T55" s="24"/>
      <c r="U55" s="24"/>
      <c r="V55" s="24"/>
      <c r="W55" s="24"/>
      <c r="X55" s="24"/>
      <c r="Y55" s="24"/>
      <c r="Z55" s="22"/>
      <c r="AA55" s="22"/>
      <c r="AB55" s="22"/>
      <c r="AC55" s="22" t="s">
        <v>64</v>
      </c>
      <c r="AD55" s="22"/>
      <c r="AE55" s="22" t="s">
        <v>56</v>
      </c>
      <c r="AF55" s="71" t="s">
        <v>557</v>
      </c>
      <c r="AG55" s="24">
        <v>1</v>
      </c>
      <c r="AH55" s="24">
        <v>2</v>
      </c>
      <c r="AI55" s="24">
        <v>1</v>
      </c>
      <c r="AJ55" s="24">
        <v>2</v>
      </c>
      <c r="AK55" s="24">
        <v>2</v>
      </c>
      <c r="AL55" s="24">
        <v>2</v>
      </c>
      <c r="AM55" s="24">
        <v>16</v>
      </c>
      <c r="AN55" s="22" t="s">
        <v>45</v>
      </c>
      <c r="AO55" s="22"/>
    </row>
    <row r="56" spans="1:41" ht="38.25" hidden="1" x14ac:dyDescent="0.2">
      <c r="A56" s="22" t="s">
        <v>86</v>
      </c>
      <c r="B56" s="22" t="s">
        <v>737</v>
      </c>
      <c r="C56" s="22"/>
      <c r="D56" s="22" t="s">
        <v>98</v>
      </c>
      <c r="E56" s="22" t="s">
        <v>282</v>
      </c>
      <c r="F56" s="71" t="s">
        <v>920</v>
      </c>
      <c r="G56" s="22"/>
      <c r="H56" s="22"/>
      <c r="I56" s="22" t="s">
        <v>761</v>
      </c>
      <c r="J56" s="22" t="s">
        <v>1124</v>
      </c>
      <c r="K56" s="22" t="s">
        <v>42</v>
      </c>
      <c r="L56" s="24">
        <v>2021</v>
      </c>
      <c r="M56" s="24"/>
      <c r="N56" s="38"/>
      <c r="O56" s="39"/>
      <c r="P56" s="24"/>
      <c r="Q56" s="28"/>
      <c r="R56" s="24"/>
      <c r="S56" s="24"/>
      <c r="T56" s="24"/>
      <c r="U56" s="24"/>
      <c r="V56" s="24"/>
      <c r="W56" s="24"/>
      <c r="X56" s="24"/>
      <c r="Y56" s="24"/>
      <c r="Z56" s="22"/>
      <c r="AA56" s="22"/>
      <c r="AB56" s="22"/>
      <c r="AC56" s="22"/>
      <c r="AD56" s="22"/>
      <c r="AE56" s="22"/>
      <c r="AF56" s="71"/>
      <c r="AG56" s="24">
        <v>2</v>
      </c>
      <c r="AH56" s="24">
        <v>2</v>
      </c>
      <c r="AI56" s="24">
        <v>2</v>
      </c>
      <c r="AJ56" s="24">
        <v>1</v>
      </c>
      <c r="AK56" s="24">
        <v>3</v>
      </c>
      <c r="AL56" s="24">
        <v>2</v>
      </c>
      <c r="AM56" s="24">
        <v>48</v>
      </c>
      <c r="AN56" s="22" t="s">
        <v>45</v>
      </c>
      <c r="AO56" s="22" t="s">
        <v>125</v>
      </c>
    </row>
    <row r="57" spans="1:41" s="133" customFormat="1" ht="38.25" x14ac:dyDescent="0.2">
      <c r="A57" s="30" t="s">
        <v>35</v>
      </c>
      <c r="B57" s="30" t="s">
        <v>517</v>
      </c>
      <c r="C57" s="30"/>
      <c r="D57" s="139" t="s">
        <v>37</v>
      </c>
      <c r="E57" s="139" t="s">
        <v>535</v>
      </c>
      <c r="F57" s="139" t="s">
        <v>920</v>
      </c>
      <c r="G57" s="139"/>
      <c r="H57" s="139"/>
      <c r="I57" s="139" t="s">
        <v>804</v>
      </c>
      <c r="J57" s="30" t="s">
        <v>1418</v>
      </c>
      <c r="K57" s="30" t="s">
        <v>1259</v>
      </c>
      <c r="L57" s="31">
        <v>2023</v>
      </c>
      <c r="M57" s="31"/>
      <c r="N57" s="32"/>
      <c r="O57" s="33"/>
      <c r="P57" s="34">
        <v>100</v>
      </c>
      <c r="Q57" s="35">
        <v>2500</v>
      </c>
      <c r="R57" s="35">
        <v>240</v>
      </c>
      <c r="S57" s="36"/>
      <c r="T57" s="31"/>
      <c r="U57" s="31"/>
      <c r="V57" s="31"/>
      <c r="W57" s="31"/>
      <c r="X57" s="31"/>
      <c r="Y57" s="31"/>
      <c r="Z57" s="132">
        <f>100*Q57*12*0.2</f>
        <v>600000</v>
      </c>
      <c r="AA57" s="30"/>
      <c r="AB57" s="30"/>
      <c r="AC57" s="30" t="s">
        <v>42</v>
      </c>
      <c r="AD57" s="30"/>
      <c r="AE57" s="50"/>
      <c r="AF57" s="141" t="s">
        <v>1417</v>
      </c>
      <c r="AG57" s="31">
        <v>1</v>
      </c>
      <c r="AH57" s="31">
        <v>3</v>
      </c>
      <c r="AI57" s="31">
        <v>3</v>
      </c>
      <c r="AJ57" s="31">
        <v>3</v>
      </c>
      <c r="AK57" s="31">
        <v>1</v>
      </c>
      <c r="AL57" s="31">
        <v>2</v>
      </c>
      <c r="AM57" s="31">
        <v>54</v>
      </c>
      <c r="AN57" s="30" t="s">
        <v>45</v>
      </c>
      <c r="AO57" s="30"/>
    </row>
    <row r="58" spans="1:41" ht="38.25" hidden="1" x14ac:dyDescent="0.2">
      <c r="A58" s="22" t="s">
        <v>35</v>
      </c>
      <c r="B58" s="22" t="s">
        <v>534</v>
      </c>
      <c r="C58" s="22"/>
      <c r="D58" s="22" t="s">
        <v>60</v>
      </c>
      <c r="E58" s="22" t="s">
        <v>535</v>
      </c>
      <c r="F58" s="71" t="s">
        <v>920</v>
      </c>
      <c r="G58" s="22"/>
      <c r="H58" s="22"/>
      <c r="I58" s="22" t="s">
        <v>536</v>
      </c>
      <c r="J58" s="22" t="s">
        <v>537</v>
      </c>
      <c r="K58" s="22" t="s">
        <v>63</v>
      </c>
      <c r="L58" s="24">
        <v>2019</v>
      </c>
      <c r="M58" s="24"/>
      <c r="N58" s="38">
        <f>8500000/100000*3*5</f>
        <v>1275</v>
      </c>
      <c r="O58" s="39"/>
      <c r="P58" s="27">
        <f t="shared" ref="P58:P62" si="5">N58*O58</f>
        <v>0</v>
      </c>
      <c r="Q58" s="28"/>
      <c r="R58" s="28">
        <f t="shared" ref="R58:R62" si="6">IF(Q58&lt;4.99,(Q58*12%+4),IF(Q58&lt;10.99,(Q58*12%+8),IF(Q58&lt;14.99,(Q58*12%+12),IF(Q58&lt;879.99,(Q58*12%+16),IF(Q58&lt;2569.99,(Q58*7%+60),240)))))</f>
        <v>4</v>
      </c>
      <c r="S58" s="29">
        <f t="shared" ref="S58:S62" si="7">R58*P58</f>
        <v>0</v>
      </c>
      <c r="T58" s="24"/>
      <c r="U58" s="24"/>
      <c r="V58" s="24"/>
      <c r="W58" s="24"/>
      <c r="X58" s="24"/>
      <c r="Y58" s="24"/>
      <c r="Z58" s="22"/>
      <c r="AA58" s="22"/>
      <c r="AB58" s="22"/>
      <c r="AC58" s="22" t="s">
        <v>42</v>
      </c>
      <c r="AD58" s="22" t="s">
        <v>182</v>
      </c>
      <c r="AE58" s="41" t="s">
        <v>538</v>
      </c>
      <c r="AF58" s="71" t="s">
        <v>539</v>
      </c>
      <c r="AG58" s="24">
        <v>1</v>
      </c>
      <c r="AH58" s="24">
        <v>2</v>
      </c>
      <c r="AI58" s="24">
        <v>3</v>
      </c>
      <c r="AJ58" s="24">
        <v>3</v>
      </c>
      <c r="AK58" s="24">
        <v>1</v>
      </c>
      <c r="AL58" s="24">
        <v>1</v>
      </c>
      <c r="AM58" s="24">
        <v>18</v>
      </c>
      <c r="AN58" s="22" t="s">
        <v>48</v>
      </c>
      <c r="AO58" s="22"/>
    </row>
    <row r="59" spans="1:41" s="156" customFormat="1" ht="38.25" hidden="1" x14ac:dyDescent="0.2">
      <c r="A59" s="22" t="s">
        <v>35</v>
      </c>
      <c r="B59" s="22" t="s">
        <v>323</v>
      </c>
      <c r="C59" s="22"/>
      <c r="D59" s="22" t="s">
        <v>60</v>
      </c>
      <c r="E59" s="22" t="s">
        <v>66</v>
      </c>
      <c r="F59" s="71" t="s">
        <v>923</v>
      </c>
      <c r="G59" s="22"/>
      <c r="H59" s="22"/>
      <c r="I59" s="22" t="s">
        <v>324</v>
      </c>
      <c r="J59" s="22" t="s">
        <v>325</v>
      </c>
      <c r="K59" s="22" t="s">
        <v>63</v>
      </c>
      <c r="L59" s="24">
        <v>2022</v>
      </c>
      <c r="M59" s="24"/>
      <c r="N59" s="38"/>
      <c r="O59" s="39"/>
      <c r="P59" s="27">
        <f t="shared" si="5"/>
        <v>0</v>
      </c>
      <c r="Q59" s="28"/>
      <c r="R59" s="28">
        <f t="shared" si="6"/>
        <v>4</v>
      </c>
      <c r="S59" s="29">
        <f t="shared" si="7"/>
        <v>0</v>
      </c>
      <c r="T59" s="24"/>
      <c r="U59" s="24"/>
      <c r="V59" s="24"/>
      <c r="W59" s="24"/>
      <c r="X59" s="24"/>
      <c r="Y59" s="24"/>
      <c r="Z59" s="22"/>
      <c r="AA59" s="22"/>
      <c r="AB59" s="22"/>
      <c r="AC59" s="22" t="s">
        <v>42</v>
      </c>
      <c r="AD59" s="22"/>
      <c r="AE59" s="41" t="s">
        <v>70</v>
      </c>
      <c r="AF59" s="71" t="s">
        <v>1095</v>
      </c>
      <c r="AG59" s="24">
        <v>3</v>
      </c>
      <c r="AH59" s="24">
        <v>1</v>
      </c>
      <c r="AI59" s="24">
        <v>2</v>
      </c>
      <c r="AJ59" s="24">
        <v>3</v>
      </c>
      <c r="AK59" s="24">
        <v>2</v>
      </c>
      <c r="AL59" s="24">
        <v>1</v>
      </c>
      <c r="AM59" s="24">
        <v>36</v>
      </c>
      <c r="AN59" s="22" t="s">
        <v>45</v>
      </c>
      <c r="AO59" s="22"/>
    </row>
    <row r="60" spans="1:41" s="129" customFormat="1" ht="38.25" hidden="1" x14ac:dyDescent="0.2">
      <c r="A60" s="22" t="s">
        <v>35</v>
      </c>
      <c r="B60" s="23" t="s">
        <v>488</v>
      </c>
      <c r="C60" s="22"/>
      <c r="D60" s="22" t="s">
        <v>37</v>
      </c>
      <c r="E60" s="22" t="s">
        <v>66</v>
      </c>
      <c r="F60" s="71" t="s">
        <v>923</v>
      </c>
      <c r="G60" s="22"/>
      <c r="H60" s="22"/>
      <c r="I60" s="22" t="s">
        <v>489</v>
      </c>
      <c r="J60" s="23" t="s">
        <v>490</v>
      </c>
      <c r="K60" s="22" t="s">
        <v>491</v>
      </c>
      <c r="L60" s="24">
        <v>2020</v>
      </c>
      <c r="M60" s="24"/>
      <c r="N60" s="25" t="s">
        <v>446</v>
      </c>
      <c r="O60" s="26"/>
      <c r="P60" s="27" t="e">
        <f t="shared" si="5"/>
        <v>#VALUE!</v>
      </c>
      <c r="Q60" s="28"/>
      <c r="R60" s="28">
        <f t="shared" si="6"/>
        <v>4</v>
      </c>
      <c r="S60" s="29" t="e">
        <f t="shared" si="7"/>
        <v>#VALUE!</v>
      </c>
      <c r="T60" s="24"/>
      <c r="U60" s="24"/>
      <c r="V60" s="24"/>
      <c r="W60" s="24"/>
      <c r="X60" s="24"/>
      <c r="Y60" s="24"/>
      <c r="Z60" s="22"/>
      <c r="AA60" s="22"/>
      <c r="AB60" s="22"/>
      <c r="AC60" s="22" t="s">
        <v>42</v>
      </c>
      <c r="AD60" s="22" t="s">
        <v>43</v>
      </c>
      <c r="AE60" s="22" t="s">
        <v>95</v>
      </c>
      <c r="AF60" s="71" t="s">
        <v>492</v>
      </c>
      <c r="AG60" s="24">
        <v>2</v>
      </c>
      <c r="AH60" s="24">
        <v>2</v>
      </c>
      <c r="AI60" s="24">
        <v>2</v>
      </c>
      <c r="AJ60" s="24">
        <v>3</v>
      </c>
      <c r="AK60" s="24">
        <v>1</v>
      </c>
      <c r="AL60" s="24">
        <v>2</v>
      </c>
      <c r="AM60" s="24">
        <v>48</v>
      </c>
      <c r="AN60" s="22" t="s">
        <v>48</v>
      </c>
      <c r="AO60" s="22"/>
    </row>
    <row r="61" spans="1:41" s="129" customFormat="1" x14ac:dyDescent="0.2">
      <c r="A61" s="22" t="s">
        <v>72</v>
      </c>
      <c r="B61" s="23" t="s">
        <v>271</v>
      </c>
      <c r="C61" s="22"/>
      <c r="D61" s="22" t="s">
        <v>60</v>
      </c>
      <c r="E61" s="22" t="s">
        <v>272</v>
      </c>
      <c r="F61" s="71"/>
      <c r="G61" s="22"/>
      <c r="H61" s="22"/>
      <c r="I61" s="22" t="s">
        <v>1387</v>
      </c>
      <c r="J61" s="23" t="s">
        <v>1388</v>
      </c>
      <c r="K61" s="22" t="s">
        <v>63</v>
      </c>
      <c r="L61" s="24">
        <v>2024</v>
      </c>
      <c r="M61" s="24"/>
      <c r="N61" s="25"/>
      <c r="O61" s="26"/>
      <c r="P61" s="27"/>
      <c r="Q61" s="28"/>
      <c r="R61" s="28"/>
      <c r="S61" s="29"/>
      <c r="T61" s="24"/>
      <c r="U61" s="24"/>
      <c r="V61" s="24"/>
      <c r="W61" s="24"/>
      <c r="X61" s="24"/>
      <c r="Y61" s="24"/>
      <c r="Z61" s="22"/>
      <c r="AA61" s="22"/>
      <c r="AB61" s="22"/>
      <c r="AC61" s="22"/>
      <c r="AD61" s="22"/>
      <c r="AE61" s="22"/>
      <c r="AF61" s="71" t="s">
        <v>1389</v>
      </c>
      <c r="AG61" s="24"/>
      <c r="AH61" s="24"/>
      <c r="AI61" s="24"/>
      <c r="AJ61" s="24"/>
      <c r="AK61" s="24"/>
      <c r="AL61" s="24"/>
      <c r="AM61" s="24"/>
      <c r="AN61" s="22" t="s">
        <v>48</v>
      </c>
      <c r="AO61" s="40">
        <v>45139</v>
      </c>
    </row>
    <row r="62" spans="1:41" ht="38.25" hidden="1" x14ac:dyDescent="0.2">
      <c r="A62" s="22" t="s">
        <v>58</v>
      </c>
      <c r="B62" s="23" t="s">
        <v>592</v>
      </c>
      <c r="C62" s="22"/>
      <c r="D62" s="22" t="s">
        <v>37</v>
      </c>
      <c r="E62" s="22" t="s">
        <v>593</v>
      </c>
      <c r="F62" s="22"/>
      <c r="G62" s="97" t="s">
        <v>980</v>
      </c>
      <c r="H62" s="22"/>
      <c r="I62" s="22" t="s">
        <v>594</v>
      </c>
      <c r="J62" s="22" t="s">
        <v>595</v>
      </c>
      <c r="K62" s="22" t="s">
        <v>309</v>
      </c>
      <c r="L62" s="24">
        <v>2018</v>
      </c>
      <c r="M62" s="24"/>
      <c r="N62" s="25">
        <f>8500000/100000*250/2</f>
        <v>10625</v>
      </c>
      <c r="O62" s="26"/>
      <c r="P62" s="27">
        <f t="shared" si="5"/>
        <v>0</v>
      </c>
      <c r="Q62" s="28"/>
      <c r="R62" s="28">
        <f t="shared" si="6"/>
        <v>4</v>
      </c>
      <c r="S62" s="29">
        <f t="shared" si="7"/>
        <v>0</v>
      </c>
      <c r="T62" s="24"/>
      <c r="U62" s="24"/>
      <c r="V62" s="24"/>
      <c r="W62" s="24"/>
      <c r="X62" s="24"/>
      <c r="Y62" s="24"/>
      <c r="Z62" s="22"/>
      <c r="AA62" s="22"/>
      <c r="AB62" s="22"/>
      <c r="AC62" s="22" t="s">
        <v>42</v>
      </c>
      <c r="AD62" s="22"/>
      <c r="AE62" s="40" t="s">
        <v>596</v>
      </c>
      <c r="AF62" s="71" t="s">
        <v>597</v>
      </c>
      <c r="AG62" s="24">
        <v>1</v>
      </c>
      <c r="AH62" s="24">
        <v>1</v>
      </c>
      <c r="AI62" s="24">
        <v>1</v>
      </c>
      <c r="AJ62" s="24">
        <v>2</v>
      </c>
      <c r="AK62" s="24">
        <v>1</v>
      </c>
      <c r="AL62" s="24">
        <v>1</v>
      </c>
      <c r="AM62" s="24">
        <v>2</v>
      </c>
      <c r="AN62" s="22" t="s">
        <v>48</v>
      </c>
      <c r="AO62" s="22"/>
    </row>
    <row r="63" spans="1:41" ht="38.25" x14ac:dyDescent="0.2">
      <c r="A63" s="42" t="s">
        <v>72</v>
      </c>
      <c r="B63" s="42" t="s">
        <v>184</v>
      </c>
      <c r="C63" s="42"/>
      <c r="D63" s="42" t="s">
        <v>37</v>
      </c>
      <c r="E63" s="42" t="s">
        <v>74</v>
      </c>
      <c r="F63" s="73" t="s">
        <v>924</v>
      </c>
      <c r="G63" s="42"/>
      <c r="H63" s="109"/>
      <c r="I63" s="42" t="s">
        <v>371</v>
      </c>
      <c r="J63" s="42"/>
      <c r="K63" s="42" t="s">
        <v>42</v>
      </c>
      <c r="L63" s="43">
        <v>2024</v>
      </c>
      <c r="M63" s="43"/>
      <c r="N63" s="44">
        <f>150000*2/3</f>
        <v>100000</v>
      </c>
      <c r="O63" s="45"/>
      <c r="P63" s="46">
        <f>N63*O63</f>
        <v>0</v>
      </c>
      <c r="Q63" s="47"/>
      <c r="R63" s="47">
        <f>IF(Q63&lt;4.99,(Q63*12%+4),IF(Q63&lt;10.99,(Q63*12%+8),IF(Q63&lt;14.99,(Q63*12%+12),IF(Q63&lt;879.99,(Q63*12%+16),IF(Q63&lt;2569.99,(Q63*7%+60),240)))))</f>
        <v>4</v>
      </c>
      <c r="S63" s="48">
        <f>R63*P63</f>
        <v>0</v>
      </c>
      <c r="T63" s="43"/>
      <c r="U63" s="43"/>
      <c r="V63" s="43"/>
      <c r="W63" s="43"/>
      <c r="X63" s="43"/>
      <c r="Y63" s="43"/>
      <c r="Z63" s="42"/>
      <c r="AA63" s="42"/>
      <c r="AB63" s="42"/>
      <c r="AC63" s="42" t="s">
        <v>42</v>
      </c>
      <c r="AD63" s="42"/>
      <c r="AE63" s="42" t="s">
        <v>76</v>
      </c>
      <c r="AF63" s="73" t="s">
        <v>1249</v>
      </c>
      <c r="AG63" s="43">
        <v>3</v>
      </c>
      <c r="AH63" s="43">
        <v>3</v>
      </c>
      <c r="AI63" s="43">
        <v>2</v>
      </c>
      <c r="AJ63" s="43">
        <v>3</v>
      </c>
      <c r="AK63" s="43">
        <v>2</v>
      </c>
      <c r="AL63" s="43">
        <v>3</v>
      </c>
      <c r="AM63" s="43">
        <v>324</v>
      </c>
      <c r="AN63" s="42" t="s">
        <v>45</v>
      </c>
      <c r="AO63" s="42"/>
    </row>
    <row r="64" spans="1:41" s="133" customFormat="1" ht="76.5" x14ac:dyDescent="0.2">
      <c r="A64" s="22" t="s">
        <v>58</v>
      </c>
      <c r="B64" s="22" t="s">
        <v>810</v>
      </c>
      <c r="C64" s="22"/>
      <c r="D64" s="65"/>
      <c r="E64" s="88" t="s">
        <v>652</v>
      </c>
      <c r="F64" s="88"/>
      <c r="G64" s="88"/>
      <c r="H64" s="65" t="s">
        <v>919</v>
      </c>
      <c r="I64" s="65" t="s">
        <v>811</v>
      </c>
      <c r="J64" s="22"/>
      <c r="K64" s="22" t="s">
        <v>42</v>
      </c>
      <c r="L64" s="24">
        <v>2024</v>
      </c>
      <c r="M64" s="24"/>
      <c r="N64" s="38"/>
      <c r="O64" s="39"/>
      <c r="P64" s="27"/>
      <c r="Q64" s="28"/>
      <c r="R64" s="28"/>
      <c r="S64" s="29"/>
      <c r="T64" s="24"/>
      <c r="U64" s="24"/>
      <c r="V64" s="24"/>
      <c r="W64" s="24"/>
      <c r="X64" s="24"/>
      <c r="Y64" s="24"/>
      <c r="Z64" s="22"/>
      <c r="AA64" s="22"/>
      <c r="AB64" s="22"/>
      <c r="AC64" s="22" t="s">
        <v>42</v>
      </c>
      <c r="AD64" s="22"/>
      <c r="AE64" s="41"/>
      <c r="AF64" s="185" t="s">
        <v>1256</v>
      </c>
      <c r="AG64" s="24"/>
      <c r="AH64" s="24"/>
      <c r="AI64" s="24"/>
      <c r="AJ64" s="24"/>
      <c r="AK64" s="24"/>
      <c r="AL64" s="24"/>
      <c r="AM64" s="24">
        <v>0</v>
      </c>
      <c r="AN64" s="22"/>
      <c r="AO64" s="22"/>
    </row>
    <row r="65" spans="1:41" ht="38.25" hidden="1" x14ac:dyDescent="0.2">
      <c r="A65" s="22" t="s">
        <v>58</v>
      </c>
      <c r="B65" s="22" t="s">
        <v>304</v>
      </c>
      <c r="C65" s="22"/>
      <c r="D65" s="22" t="s">
        <v>305</v>
      </c>
      <c r="E65" s="22" t="s">
        <v>306</v>
      </c>
      <c r="F65" s="22"/>
      <c r="G65" s="65" t="s">
        <v>947</v>
      </c>
      <c r="H65" s="22"/>
      <c r="I65" s="22" t="s">
        <v>307</v>
      </c>
      <c r="J65" s="22" t="s">
        <v>308</v>
      </c>
      <c r="K65" s="22" t="s">
        <v>309</v>
      </c>
      <c r="L65" s="24">
        <v>2020</v>
      </c>
      <c r="M65" s="24"/>
      <c r="N65" s="51">
        <f>85000/30000</f>
        <v>2.8333333333333335</v>
      </c>
      <c r="O65" s="39"/>
      <c r="P65" s="27">
        <f>N65*O65</f>
        <v>0</v>
      </c>
      <c r="Q65" s="28"/>
      <c r="R65" s="28">
        <f>IF(Q65&lt;4.99,(Q65*12%+4),IF(Q65&lt;10.99,(Q65*12%+8),IF(Q65&lt;14.99,(Q65*12%+12),IF(Q65&lt;879.99,(Q65*12%+16),IF(Q65&lt;2569.99,(Q65*7%+60),240)))))</f>
        <v>4</v>
      </c>
      <c r="S65" s="29">
        <f>R65*P65</f>
        <v>0</v>
      </c>
      <c r="T65" s="24"/>
      <c r="U65" s="24"/>
      <c r="V65" s="24"/>
      <c r="W65" s="24"/>
      <c r="X65" s="24"/>
      <c r="Y65" s="24"/>
      <c r="Z65" s="22"/>
      <c r="AA65" s="22"/>
      <c r="AB65" s="22"/>
      <c r="AC65" s="22" t="s">
        <v>128</v>
      </c>
      <c r="AD65" s="22"/>
      <c r="AE65" s="22" t="s">
        <v>227</v>
      </c>
      <c r="AF65" s="71" t="s">
        <v>310</v>
      </c>
      <c r="AG65" s="24">
        <v>2</v>
      </c>
      <c r="AH65" s="24">
        <v>1</v>
      </c>
      <c r="AI65" s="24">
        <v>3</v>
      </c>
      <c r="AJ65" s="24">
        <v>3</v>
      </c>
      <c r="AK65" s="24">
        <v>1</v>
      </c>
      <c r="AL65" s="24">
        <v>1</v>
      </c>
      <c r="AM65" s="24">
        <v>18</v>
      </c>
      <c r="AN65" s="22" t="s">
        <v>48</v>
      </c>
      <c r="AO65" s="22"/>
    </row>
    <row r="66" spans="1:41" ht="51" hidden="1" x14ac:dyDescent="0.2">
      <c r="A66" s="22" t="s">
        <v>58</v>
      </c>
      <c r="B66" s="22" t="s">
        <v>588</v>
      </c>
      <c r="C66" s="22"/>
      <c r="D66" s="22" t="s">
        <v>98</v>
      </c>
      <c r="E66" s="22" t="s">
        <v>306</v>
      </c>
      <c r="F66" s="22"/>
      <c r="G66" s="97" t="s">
        <v>979</v>
      </c>
      <c r="H66" s="22"/>
      <c r="I66" s="22" t="s">
        <v>589</v>
      </c>
      <c r="J66" s="22" t="s">
        <v>590</v>
      </c>
      <c r="K66" s="22" t="s">
        <v>63</v>
      </c>
      <c r="L66" s="24">
        <v>2021</v>
      </c>
      <c r="M66" s="24"/>
      <c r="N66" s="51">
        <f>85000/10000</f>
        <v>8.5</v>
      </c>
      <c r="O66" s="39"/>
      <c r="P66" s="27">
        <f>N66*O66</f>
        <v>0</v>
      </c>
      <c r="Q66" s="28"/>
      <c r="R66" s="28">
        <f>IF(Q66&lt;4.99,(Q66*12%+4),IF(Q66&lt;10.99,(Q66*12%+8),IF(Q66&lt;14.99,(Q66*12%+12),IF(Q66&lt;879.99,(Q66*12%+16),IF(Q66&lt;2569.99,(Q66*7%+60),240)))))</f>
        <v>4</v>
      </c>
      <c r="S66" s="29">
        <f>R66*P66</f>
        <v>0</v>
      </c>
      <c r="T66" s="24"/>
      <c r="U66" s="24"/>
      <c r="V66" s="24"/>
      <c r="W66" s="24"/>
      <c r="X66" s="24"/>
      <c r="Y66" s="24"/>
      <c r="Z66" s="22"/>
      <c r="AA66" s="22"/>
      <c r="AB66" s="22"/>
      <c r="AC66" s="22" t="s">
        <v>42</v>
      </c>
      <c r="AD66" s="22"/>
      <c r="AE66" s="22" t="s">
        <v>227</v>
      </c>
      <c r="AF66" s="71" t="s">
        <v>591</v>
      </c>
      <c r="AG66" s="24">
        <v>2</v>
      </c>
      <c r="AH66" s="24">
        <v>1</v>
      </c>
      <c r="AI66" s="24">
        <v>3</v>
      </c>
      <c r="AJ66" s="24">
        <v>3</v>
      </c>
      <c r="AK66" s="24">
        <v>1</v>
      </c>
      <c r="AL66" s="24">
        <v>2</v>
      </c>
      <c r="AM66" s="24">
        <v>36</v>
      </c>
      <c r="AN66" s="22" t="s">
        <v>48</v>
      </c>
      <c r="AO66" s="22"/>
    </row>
    <row r="67" spans="1:41" ht="38.25" hidden="1" x14ac:dyDescent="0.2">
      <c r="A67" s="22" t="s">
        <v>35</v>
      </c>
      <c r="B67" s="22" t="s">
        <v>268</v>
      </c>
      <c r="C67" s="22"/>
      <c r="D67" s="22" t="s">
        <v>37</v>
      </c>
      <c r="E67" s="22" t="s">
        <v>38</v>
      </c>
      <c r="F67" s="71" t="s">
        <v>922</v>
      </c>
      <c r="G67" s="22"/>
      <c r="H67" s="22"/>
      <c r="I67" s="22" t="s">
        <v>269</v>
      </c>
      <c r="J67" s="22"/>
      <c r="K67" s="22" t="s">
        <v>42</v>
      </c>
      <c r="L67" s="24">
        <v>2021</v>
      </c>
      <c r="M67" s="24"/>
      <c r="N67" s="51">
        <f>0.75*4400</f>
        <v>3300</v>
      </c>
      <c r="O67" s="39"/>
      <c r="P67" s="27">
        <f>N67*O67</f>
        <v>0</v>
      </c>
      <c r="Q67" s="28"/>
      <c r="R67" s="28">
        <f>IF(Q67&lt;4.99,(Q67*12%+4),IF(Q67&lt;10.99,(Q67*12%+8),IF(Q67&lt;14.99,(Q67*12%+12),IF(Q67&lt;879.99,(Q67*12%+16),IF(Q67&lt;2569.99,(Q67*7%+60),240)))))</f>
        <v>4</v>
      </c>
      <c r="S67" s="29">
        <f>R67*P67</f>
        <v>0</v>
      </c>
      <c r="T67" s="24"/>
      <c r="U67" s="24"/>
      <c r="V67" s="24"/>
      <c r="W67" s="24"/>
      <c r="X67" s="24"/>
      <c r="Y67" s="24"/>
      <c r="Z67" s="22"/>
      <c r="AA67" s="22"/>
      <c r="AB67" s="22"/>
      <c r="AC67" s="22" t="s">
        <v>42</v>
      </c>
      <c r="AD67" s="22" t="s">
        <v>43</v>
      </c>
      <c r="AE67" s="22" t="s">
        <v>44</v>
      </c>
      <c r="AF67" s="71" t="s">
        <v>270</v>
      </c>
      <c r="AG67" s="24">
        <v>2</v>
      </c>
      <c r="AH67" s="24">
        <v>3</v>
      </c>
      <c r="AI67" s="24">
        <v>3</v>
      </c>
      <c r="AJ67" s="24">
        <v>3</v>
      </c>
      <c r="AK67" s="24">
        <v>1</v>
      </c>
      <c r="AL67" s="24">
        <v>2</v>
      </c>
      <c r="AM67" s="24">
        <v>108</v>
      </c>
      <c r="AN67" s="22" t="s">
        <v>45</v>
      </c>
      <c r="AO67" s="40">
        <v>43647</v>
      </c>
    </row>
    <row r="68" spans="1:41" hidden="1" x14ac:dyDescent="0.2">
      <c r="A68" s="42" t="s">
        <v>58</v>
      </c>
      <c r="B68" s="42" t="s">
        <v>1108</v>
      </c>
      <c r="C68" s="42"/>
      <c r="D68" s="42" t="s">
        <v>60</v>
      </c>
      <c r="E68" s="42" t="s">
        <v>1107</v>
      </c>
      <c r="F68" s="73"/>
      <c r="G68" s="42"/>
      <c r="H68" s="42"/>
      <c r="I68" s="42" t="s">
        <v>1109</v>
      </c>
      <c r="J68" s="42" t="s">
        <v>1110</v>
      </c>
      <c r="K68" s="42"/>
      <c r="L68" s="43"/>
      <c r="M68" s="43"/>
      <c r="N68" s="44">
        <v>3</v>
      </c>
      <c r="O68" s="45"/>
      <c r="P68" s="46">
        <v>2</v>
      </c>
      <c r="Q68" s="47">
        <v>1000</v>
      </c>
      <c r="R68" s="47"/>
      <c r="S68" s="48"/>
      <c r="T68" s="43"/>
      <c r="U68" s="43"/>
      <c r="V68" s="43"/>
      <c r="W68" s="43"/>
      <c r="X68" s="43"/>
      <c r="Y68" s="43"/>
      <c r="Z68" s="42"/>
      <c r="AA68" s="42"/>
      <c r="AB68" s="42"/>
      <c r="AC68" s="42" t="s">
        <v>42</v>
      </c>
      <c r="AD68" s="42"/>
      <c r="AE68" s="42"/>
      <c r="AF68" s="178" t="s">
        <v>1162</v>
      </c>
      <c r="AG68" s="43">
        <v>2</v>
      </c>
      <c r="AH68" s="43">
        <v>1</v>
      </c>
      <c r="AI68" s="43">
        <v>2</v>
      </c>
      <c r="AJ68" s="43">
        <v>3</v>
      </c>
      <c r="AK68" s="43">
        <v>3</v>
      </c>
      <c r="AL68" s="43">
        <v>2</v>
      </c>
      <c r="AM68" s="43">
        <f>AL68*AK68*AJ68*AI68*AH68*AG68</f>
        <v>72</v>
      </c>
      <c r="AN68" s="42"/>
      <c r="AO68" s="60">
        <v>44621</v>
      </c>
    </row>
    <row r="69" spans="1:41" hidden="1" x14ac:dyDescent="0.2">
      <c r="A69" s="30" t="s">
        <v>35</v>
      </c>
      <c r="B69" s="30" t="s">
        <v>165</v>
      </c>
      <c r="C69" s="30"/>
      <c r="D69" s="30" t="s">
        <v>37</v>
      </c>
      <c r="E69" s="30" t="s">
        <v>1163</v>
      </c>
      <c r="F69" s="72"/>
      <c r="G69" s="30"/>
      <c r="H69" s="30"/>
      <c r="I69" s="30" t="s">
        <v>1112</v>
      </c>
      <c r="J69" s="30" t="s">
        <v>1113</v>
      </c>
      <c r="K69" s="30"/>
      <c r="L69" s="31"/>
      <c r="M69" s="31"/>
      <c r="N69" s="32">
        <v>150</v>
      </c>
      <c r="O69" s="33"/>
      <c r="P69" s="34">
        <v>20</v>
      </c>
      <c r="Q69" s="35">
        <v>20000</v>
      </c>
      <c r="R69" s="35"/>
      <c r="S69" s="36"/>
      <c r="T69" s="31"/>
      <c r="U69" s="31"/>
      <c r="V69" s="31"/>
      <c r="W69" s="31"/>
      <c r="X69" s="31"/>
      <c r="Y69" s="31"/>
      <c r="Z69" s="30"/>
      <c r="AA69" s="30"/>
      <c r="AB69" s="30"/>
      <c r="AC69" s="30" t="s">
        <v>42</v>
      </c>
      <c r="AD69" s="30"/>
      <c r="AE69" s="30"/>
      <c r="AF69" s="72"/>
      <c r="AG69" s="31">
        <v>2</v>
      </c>
      <c r="AH69" s="31">
        <v>2</v>
      </c>
      <c r="AI69" s="31">
        <v>2</v>
      </c>
      <c r="AJ69" s="31">
        <v>3</v>
      </c>
      <c r="AK69" s="31">
        <v>1</v>
      </c>
      <c r="AL69" s="31">
        <v>2</v>
      </c>
      <c r="AM69" s="31">
        <f>AL69*AK69*AJ69*AI69*AH69*AG69</f>
        <v>48</v>
      </c>
      <c r="AN69" s="30"/>
      <c r="AO69" s="37">
        <v>44621</v>
      </c>
    </row>
    <row r="70" spans="1:41" ht="25.5" x14ac:dyDescent="0.2">
      <c r="A70" s="30" t="s">
        <v>35</v>
      </c>
      <c r="B70" s="30" t="s">
        <v>268</v>
      </c>
      <c r="C70" s="30"/>
      <c r="D70" s="30" t="s">
        <v>37</v>
      </c>
      <c r="E70" s="30" t="s">
        <v>1185</v>
      </c>
      <c r="F70" s="72"/>
      <c r="G70" s="30"/>
      <c r="H70" s="30"/>
      <c r="I70" s="30" t="s">
        <v>1184</v>
      </c>
      <c r="J70" s="30" t="s">
        <v>1419</v>
      </c>
      <c r="K70" s="30" t="s">
        <v>1420</v>
      </c>
      <c r="L70" s="31">
        <v>2023</v>
      </c>
      <c r="M70" s="31"/>
      <c r="N70" s="32"/>
      <c r="O70" s="33"/>
      <c r="P70" s="34"/>
      <c r="Q70" s="35"/>
      <c r="R70" s="35"/>
      <c r="S70" s="36"/>
      <c r="T70" s="31"/>
      <c r="U70" s="31"/>
      <c r="V70" s="31"/>
      <c r="W70" s="31"/>
      <c r="X70" s="31"/>
      <c r="Y70" s="31"/>
      <c r="Z70" s="30"/>
      <c r="AA70" s="30"/>
      <c r="AB70" s="30"/>
      <c r="AC70" s="30"/>
      <c r="AD70" s="30"/>
      <c r="AE70" s="30"/>
      <c r="AF70" s="72" t="s">
        <v>1421</v>
      </c>
      <c r="AG70" s="31">
        <v>2</v>
      </c>
      <c r="AH70" s="31">
        <v>3</v>
      </c>
      <c r="AI70" s="31">
        <v>2</v>
      </c>
      <c r="AJ70" s="31">
        <v>3</v>
      </c>
      <c r="AK70" s="31">
        <v>1</v>
      </c>
      <c r="AL70" s="31">
        <v>3</v>
      </c>
      <c r="AM70" s="31">
        <f>AL70*AK70*AJ70*AI70*AH70*AG70</f>
        <v>108</v>
      </c>
      <c r="AN70" s="30"/>
      <c r="AO70" s="37">
        <v>44713</v>
      </c>
    </row>
    <row r="71" spans="1:41" x14ac:dyDescent="0.2">
      <c r="A71" s="30" t="s">
        <v>35</v>
      </c>
      <c r="B71" s="30" t="s">
        <v>263</v>
      </c>
      <c r="C71" s="30"/>
      <c r="D71" s="30" t="s">
        <v>60</v>
      </c>
      <c r="E71" s="30" t="s">
        <v>1087</v>
      </c>
      <c r="F71" s="72"/>
      <c r="G71" s="30"/>
      <c r="H71" s="30"/>
      <c r="I71" s="30" t="s">
        <v>1088</v>
      </c>
      <c r="J71" s="30" t="s">
        <v>1326</v>
      </c>
      <c r="K71" s="30" t="s">
        <v>1177</v>
      </c>
      <c r="L71" s="31">
        <v>2023</v>
      </c>
      <c r="M71" s="31"/>
      <c r="N71" s="32">
        <v>2800</v>
      </c>
      <c r="O71" s="33" t="s">
        <v>1012</v>
      </c>
      <c r="P71" s="31">
        <v>20</v>
      </c>
      <c r="Q71" s="35">
        <v>1000</v>
      </c>
      <c r="R71" s="31"/>
      <c r="S71" s="31"/>
      <c r="T71" s="31"/>
      <c r="U71" s="31"/>
      <c r="V71" s="31"/>
      <c r="W71" s="31"/>
      <c r="X71" s="31"/>
      <c r="Y71" s="31"/>
      <c r="Z71" s="30"/>
      <c r="AA71" s="30"/>
      <c r="AB71" s="30"/>
      <c r="AC71" s="30" t="s">
        <v>201</v>
      </c>
      <c r="AD71" s="30"/>
      <c r="AE71" s="30"/>
      <c r="AF71" s="72"/>
      <c r="AG71" s="31">
        <v>3</v>
      </c>
      <c r="AH71" s="31">
        <v>3</v>
      </c>
      <c r="AI71" s="31">
        <v>2</v>
      </c>
      <c r="AJ71" s="31">
        <v>3</v>
      </c>
      <c r="AK71" s="31">
        <v>1</v>
      </c>
      <c r="AL71" s="31">
        <v>2</v>
      </c>
      <c r="AM71" s="31">
        <f>AG71*AH71*AI71*AJ71*AK71*AL71</f>
        <v>108</v>
      </c>
      <c r="AN71" s="30" t="s">
        <v>45</v>
      </c>
      <c r="AO71" s="37">
        <v>44621</v>
      </c>
    </row>
    <row r="72" spans="1:41" ht="38.25" hidden="1" x14ac:dyDescent="0.2">
      <c r="A72" s="30" t="s">
        <v>35</v>
      </c>
      <c r="B72" s="30" t="s">
        <v>187</v>
      </c>
      <c r="C72" s="30"/>
      <c r="D72" s="30" t="s">
        <v>37</v>
      </c>
      <c r="E72" s="30" t="s">
        <v>188</v>
      </c>
      <c r="F72" s="72" t="s">
        <v>972</v>
      </c>
      <c r="G72" s="30"/>
      <c r="H72" s="30"/>
      <c r="I72" s="30" t="s">
        <v>189</v>
      </c>
      <c r="J72" s="30" t="s">
        <v>190</v>
      </c>
      <c r="K72" s="30" t="s">
        <v>42</v>
      </c>
      <c r="L72" s="31">
        <v>2015</v>
      </c>
      <c r="M72" s="31"/>
      <c r="N72" s="32">
        <f>0.3*4400+40490/298930000*8500000</f>
        <v>2471.3230522195831</v>
      </c>
      <c r="O72" s="33"/>
      <c r="P72" s="34">
        <f>N72*O72</f>
        <v>0</v>
      </c>
      <c r="Q72" s="35"/>
      <c r="R72" s="35">
        <f>IF(Q72&lt;4.99,(Q72*12%+4),IF(Q72&lt;10.99,(Q72*12%+8),IF(Q72&lt;14.99,(Q72*12%+12),IF(Q72&lt;879.99,(Q72*12%+16),IF(Q72&lt;2569.99,(Q72*7%+60),240)))))</f>
        <v>4</v>
      </c>
      <c r="S72" s="36">
        <f>R72*P72</f>
        <v>0</v>
      </c>
      <c r="T72" s="31"/>
      <c r="U72" s="31"/>
      <c r="V72" s="31"/>
      <c r="W72" s="31"/>
      <c r="X72" s="31"/>
      <c r="Y72" s="31"/>
      <c r="Z72" s="30"/>
      <c r="AA72" s="30"/>
      <c r="AB72" s="30"/>
      <c r="AC72" s="30" t="s">
        <v>42</v>
      </c>
      <c r="AD72" s="30"/>
      <c r="AE72" s="30" t="s">
        <v>129</v>
      </c>
      <c r="AF72" s="72"/>
      <c r="AG72" s="31">
        <v>1</v>
      </c>
      <c r="AH72" s="31">
        <v>2</v>
      </c>
      <c r="AI72" s="31">
        <v>2</v>
      </c>
      <c r="AJ72" s="31">
        <v>3</v>
      </c>
      <c r="AK72" s="31">
        <v>1</v>
      </c>
      <c r="AL72" s="31">
        <v>2</v>
      </c>
      <c r="AM72" s="31">
        <v>24</v>
      </c>
      <c r="AN72" s="30" t="s">
        <v>45</v>
      </c>
      <c r="AO72" s="30"/>
    </row>
    <row r="73" spans="1:41" x14ac:dyDescent="0.2">
      <c r="A73" s="30" t="s">
        <v>86</v>
      </c>
      <c r="B73" s="30" t="s">
        <v>1090</v>
      </c>
      <c r="C73" s="30"/>
      <c r="D73" s="30" t="s">
        <v>60</v>
      </c>
      <c r="E73" s="30" t="s">
        <v>188</v>
      </c>
      <c r="F73" s="72"/>
      <c r="G73" s="30"/>
      <c r="H73" s="106"/>
      <c r="I73" s="30" t="s">
        <v>1089</v>
      </c>
      <c r="J73" s="30" t="s">
        <v>1236</v>
      </c>
      <c r="K73" s="30" t="s">
        <v>63</v>
      </c>
      <c r="L73" s="31">
        <v>2023</v>
      </c>
      <c r="M73" s="31"/>
      <c r="N73" s="32">
        <v>60</v>
      </c>
      <c r="O73" s="33">
        <v>0.1</v>
      </c>
      <c r="P73" s="34">
        <v>6</v>
      </c>
      <c r="Q73" s="35">
        <v>3000</v>
      </c>
      <c r="R73" s="35"/>
      <c r="S73" s="36"/>
      <c r="T73" s="31"/>
      <c r="U73" s="31"/>
      <c r="V73" s="31"/>
      <c r="W73" s="31"/>
      <c r="X73" s="31"/>
      <c r="Y73" s="31"/>
      <c r="Z73" s="132">
        <f>Q73*P73*12*0.25</f>
        <v>54000</v>
      </c>
      <c r="AA73" s="30"/>
      <c r="AB73" s="30"/>
      <c r="AC73" s="30" t="s">
        <v>42</v>
      </c>
      <c r="AD73" s="30"/>
      <c r="AE73" s="30"/>
      <c r="AF73" s="72" t="s">
        <v>1091</v>
      </c>
      <c r="AG73" s="31">
        <v>1</v>
      </c>
      <c r="AH73" s="31">
        <v>1</v>
      </c>
      <c r="AI73" s="31">
        <v>2</v>
      </c>
      <c r="AJ73" s="31">
        <v>3</v>
      </c>
      <c r="AK73" s="31">
        <v>2</v>
      </c>
      <c r="AL73" s="31">
        <v>2</v>
      </c>
      <c r="AM73" s="31">
        <f>AL73*AK73*AJ73*AI73*AH73*AG73</f>
        <v>24</v>
      </c>
      <c r="AN73" s="30" t="s">
        <v>45</v>
      </c>
      <c r="AO73" s="37">
        <v>44621</v>
      </c>
    </row>
    <row r="74" spans="1:41" ht="38.25" hidden="1" x14ac:dyDescent="0.2">
      <c r="A74" s="22" t="s">
        <v>35</v>
      </c>
      <c r="B74" s="22" t="s">
        <v>548</v>
      </c>
      <c r="C74" s="22"/>
      <c r="D74" s="22" t="s">
        <v>37</v>
      </c>
      <c r="E74" s="22" t="s">
        <v>188</v>
      </c>
      <c r="F74" s="71" t="s">
        <v>972</v>
      </c>
      <c r="G74" s="22"/>
      <c r="H74" s="22"/>
      <c r="I74" s="22" t="s">
        <v>549</v>
      </c>
      <c r="J74" s="22" t="s">
        <v>550</v>
      </c>
      <c r="K74" s="22">
        <v>41970</v>
      </c>
      <c r="L74" s="24">
        <v>2018</v>
      </c>
      <c r="M74" s="24"/>
      <c r="N74" s="51">
        <v>4400</v>
      </c>
      <c r="O74" s="39"/>
      <c r="P74" s="27">
        <f>N74*O74</f>
        <v>0</v>
      </c>
      <c r="Q74" s="28"/>
      <c r="R74" s="28">
        <f>IF(Q74&lt;4.99,(Q74*12%+4),IF(Q74&lt;10.99,(Q74*12%+8),IF(Q74&lt;14.99,(Q74*12%+12),IF(Q74&lt;879.99,(Q74*12%+16),IF(Q74&lt;2569.99,(Q74*7%+60),240)))))</f>
        <v>4</v>
      </c>
      <c r="S74" s="29">
        <f>R74*P74</f>
        <v>0</v>
      </c>
      <c r="T74" s="24"/>
      <c r="U74" s="24"/>
      <c r="V74" s="24"/>
      <c r="W74" s="24"/>
      <c r="X74" s="24"/>
      <c r="Y74" s="24"/>
      <c r="Z74" s="22"/>
      <c r="AA74" s="22"/>
      <c r="AB74" s="22"/>
      <c r="AC74" s="22" t="s">
        <v>551</v>
      </c>
      <c r="AD74" s="22"/>
      <c r="AE74" s="22" t="s">
        <v>129</v>
      </c>
      <c r="AF74" s="71" t="s">
        <v>552</v>
      </c>
      <c r="AG74" s="24">
        <v>1</v>
      </c>
      <c r="AH74" s="24">
        <v>3</v>
      </c>
      <c r="AI74" s="24">
        <v>2</v>
      </c>
      <c r="AJ74" s="24">
        <v>3</v>
      </c>
      <c r="AK74" s="24">
        <v>1</v>
      </c>
      <c r="AL74" s="24">
        <v>1</v>
      </c>
      <c r="AM74" s="24">
        <v>18</v>
      </c>
      <c r="AN74" s="22" t="s">
        <v>48</v>
      </c>
      <c r="AO74" s="22"/>
    </row>
    <row r="75" spans="1:41" s="133" customFormat="1" x14ac:dyDescent="0.2">
      <c r="A75" s="30" t="s">
        <v>86</v>
      </c>
      <c r="B75" s="30" t="s">
        <v>1285</v>
      </c>
      <c r="C75" s="30"/>
      <c r="D75" s="30" t="s">
        <v>37</v>
      </c>
      <c r="E75" s="30" t="s">
        <v>1307</v>
      </c>
      <c r="F75" s="96"/>
      <c r="G75" s="30"/>
      <c r="H75" s="30"/>
      <c r="I75" s="30" t="s">
        <v>1308</v>
      </c>
      <c r="J75" s="30" t="s">
        <v>1309</v>
      </c>
      <c r="K75" s="30" t="s">
        <v>63</v>
      </c>
      <c r="L75" s="31">
        <v>2024</v>
      </c>
      <c r="M75" s="31"/>
      <c r="N75" s="32">
        <v>300</v>
      </c>
      <c r="O75" s="33"/>
      <c r="P75" s="34">
        <v>50</v>
      </c>
      <c r="Q75" s="35">
        <v>5000</v>
      </c>
      <c r="R75" s="35">
        <v>240</v>
      </c>
      <c r="S75" s="36"/>
      <c r="T75" s="31"/>
      <c r="U75" s="31"/>
      <c r="V75" s="31"/>
      <c r="W75" s="31"/>
      <c r="X75" s="31"/>
      <c r="Y75" s="31"/>
      <c r="Z75" s="30"/>
      <c r="AA75" s="30"/>
      <c r="AB75" s="30"/>
      <c r="AC75" s="30" t="s">
        <v>42</v>
      </c>
      <c r="AD75" s="30"/>
      <c r="AE75" s="30"/>
      <c r="AF75" s="72" t="s">
        <v>1311</v>
      </c>
      <c r="AG75" s="31">
        <v>2</v>
      </c>
      <c r="AH75" s="31">
        <v>2</v>
      </c>
      <c r="AI75" s="31">
        <v>1</v>
      </c>
      <c r="AJ75" s="31">
        <v>3</v>
      </c>
      <c r="AK75" s="31">
        <v>2</v>
      </c>
      <c r="AL75" s="31">
        <v>2</v>
      </c>
      <c r="AM75" s="31">
        <f>AL75*AK75*AJ75*AI75*AH75*AG75</f>
        <v>48</v>
      </c>
      <c r="AN75" s="30" t="s">
        <v>45</v>
      </c>
      <c r="AO75" s="30" t="s">
        <v>1310</v>
      </c>
    </row>
    <row r="76" spans="1:41" ht="38.25" hidden="1" x14ac:dyDescent="0.2">
      <c r="A76" s="22" t="s">
        <v>35</v>
      </c>
      <c r="B76" s="22" t="s">
        <v>219</v>
      </c>
      <c r="C76" s="22"/>
      <c r="D76" s="65" t="s">
        <v>37</v>
      </c>
      <c r="E76" s="88" t="s">
        <v>83</v>
      </c>
      <c r="F76" s="79" t="s">
        <v>918</v>
      </c>
      <c r="G76" s="88"/>
      <c r="H76" s="88"/>
      <c r="I76" s="65" t="s">
        <v>813</v>
      </c>
      <c r="J76" s="22"/>
      <c r="K76" s="22" t="s">
        <v>834</v>
      </c>
      <c r="L76" s="24">
        <v>2022</v>
      </c>
      <c r="M76" s="24"/>
      <c r="N76" s="38"/>
      <c r="O76" s="39"/>
      <c r="P76" s="27"/>
      <c r="Q76" s="28"/>
      <c r="R76" s="28"/>
      <c r="S76" s="29"/>
      <c r="T76" s="24"/>
      <c r="U76" s="24"/>
      <c r="V76" s="24"/>
      <c r="W76" s="24"/>
      <c r="X76" s="24"/>
      <c r="Y76" s="24"/>
      <c r="Z76" s="22"/>
      <c r="AA76" s="22"/>
      <c r="AB76" s="22"/>
      <c r="AC76" s="22" t="s">
        <v>42</v>
      </c>
      <c r="AD76" s="22"/>
      <c r="AE76" s="41"/>
      <c r="AF76" s="67"/>
      <c r="AG76" s="24">
        <v>3</v>
      </c>
      <c r="AH76" s="24">
        <v>2</v>
      </c>
      <c r="AI76" s="24">
        <v>3</v>
      </c>
      <c r="AJ76" s="24">
        <v>3</v>
      </c>
      <c r="AK76" s="24">
        <v>1</v>
      </c>
      <c r="AL76" s="24">
        <v>2</v>
      </c>
      <c r="AM76" s="24">
        <v>108</v>
      </c>
      <c r="AN76" s="22" t="s">
        <v>45</v>
      </c>
      <c r="AO76" s="69">
        <v>44166</v>
      </c>
    </row>
    <row r="77" spans="1:41" s="133" customFormat="1" ht="38.25" x14ac:dyDescent="0.2">
      <c r="A77" s="30" t="s">
        <v>86</v>
      </c>
      <c r="B77" s="30" t="s">
        <v>438</v>
      </c>
      <c r="C77" s="30"/>
      <c r="D77" s="139" t="s">
        <v>37</v>
      </c>
      <c r="E77" s="139" t="s">
        <v>83</v>
      </c>
      <c r="F77" s="139" t="s">
        <v>918</v>
      </c>
      <c r="G77" s="139"/>
      <c r="H77" s="139"/>
      <c r="I77" s="139" t="s">
        <v>812</v>
      </c>
      <c r="J77" s="30" t="s">
        <v>1378</v>
      </c>
      <c r="K77" s="30" t="s">
        <v>42</v>
      </c>
      <c r="L77" s="31">
        <v>2023</v>
      </c>
      <c r="M77" s="31"/>
      <c r="N77" s="32"/>
      <c r="O77" s="33"/>
      <c r="P77" s="34"/>
      <c r="Q77" s="35">
        <v>1150</v>
      </c>
      <c r="R77" s="35"/>
      <c r="S77" s="36"/>
      <c r="T77" s="31"/>
      <c r="U77" s="31"/>
      <c r="V77" s="31"/>
      <c r="W77" s="31"/>
      <c r="X77" s="31"/>
      <c r="Y77" s="31"/>
      <c r="Z77" s="30"/>
      <c r="AA77" s="30"/>
      <c r="AB77" s="30"/>
      <c r="AC77" s="30" t="s">
        <v>42</v>
      </c>
      <c r="AD77" s="22"/>
      <c r="AE77" s="41"/>
      <c r="AF77" s="141"/>
      <c r="AG77" s="31">
        <v>3</v>
      </c>
      <c r="AH77" s="31">
        <v>2</v>
      </c>
      <c r="AI77" s="31">
        <v>3</v>
      </c>
      <c r="AJ77" s="31">
        <v>1</v>
      </c>
      <c r="AK77" s="31">
        <v>2</v>
      </c>
      <c r="AL77" s="31">
        <v>2</v>
      </c>
      <c r="AM77" s="31">
        <v>72</v>
      </c>
      <c r="AN77" s="30" t="s">
        <v>48</v>
      </c>
      <c r="AO77" s="142">
        <v>44197</v>
      </c>
    </row>
    <row r="78" spans="1:41" ht="38.25" hidden="1" x14ac:dyDescent="0.2">
      <c r="A78" s="22" t="s">
        <v>35</v>
      </c>
      <c r="B78" s="22" t="s">
        <v>526</v>
      </c>
      <c r="C78" s="22"/>
      <c r="D78" s="22" t="s">
        <v>37</v>
      </c>
      <c r="E78" s="22" t="s">
        <v>83</v>
      </c>
      <c r="F78" s="71" t="s">
        <v>918</v>
      </c>
      <c r="G78" s="22"/>
      <c r="H78" s="22"/>
      <c r="I78" s="22" t="s">
        <v>527</v>
      </c>
      <c r="J78" s="22"/>
      <c r="K78" s="22" t="s">
        <v>42</v>
      </c>
      <c r="L78" s="24">
        <v>2021</v>
      </c>
      <c r="M78" s="24"/>
      <c r="N78" s="51">
        <v>622</v>
      </c>
      <c r="O78" s="39"/>
      <c r="P78" s="27">
        <f>N78*O78</f>
        <v>0</v>
      </c>
      <c r="Q78" s="28"/>
      <c r="R78" s="28">
        <f t="shared" ref="R78:R86" si="8">IF(Q78&lt;4.99,(Q78*12%+4),IF(Q78&lt;10.99,(Q78*12%+8),IF(Q78&lt;14.99,(Q78*12%+12),IF(Q78&lt;879.99,(Q78*12%+16),IF(Q78&lt;2569.99,(Q78*7%+60),240)))))</f>
        <v>4</v>
      </c>
      <c r="S78" s="29">
        <f t="shared" ref="S78:S86" si="9">R78*P78</f>
        <v>0</v>
      </c>
      <c r="T78" s="24"/>
      <c r="U78" s="24"/>
      <c r="V78" s="24"/>
      <c r="W78" s="24"/>
      <c r="X78" s="24"/>
      <c r="Y78" s="24"/>
      <c r="Z78" s="22"/>
      <c r="AA78" s="22"/>
      <c r="AB78" s="22"/>
      <c r="AC78" s="22" t="s">
        <v>64</v>
      </c>
      <c r="AD78" s="22"/>
      <c r="AE78" s="22" t="s">
        <v>132</v>
      </c>
      <c r="AF78" s="71" t="s">
        <v>528</v>
      </c>
      <c r="AG78" s="24">
        <v>3</v>
      </c>
      <c r="AH78" s="24">
        <v>3</v>
      </c>
      <c r="AI78" s="24">
        <v>3</v>
      </c>
      <c r="AJ78" s="24">
        <v>3</v>
      </c>
      <c r="AK78" s="24">
        <v>1</v>
      </c>
      <c r="AL78" s="24">
        <v>2</v>
      </c>
      <c r="AM78" s="24">
        <v>162</v>
      </c>
      <c r="AN78" s="22" t="s">
        <v>45</v>
      </c>
      <c r="AO78" s="22"/>
    </row>
    <row r="79" spans="1:41" s="133" customFormat="1" ht="25.5" hidden="1" x14ac:dyDescent="0.2">
      <c r="A79" s="13" t="s">
        <v>58</v>
      </c>
      <c r="B79" s="13" t="s">
        <v>1053</v>
      </c>
      <c r="C79" s="13"/>
      <c r="D79" s="13" t="s">
        <v>37</v>
      </c>
      <c r="E79" s="13" t="s">
        <v>1156</v>
      </c>
      <c r="F79" s="70"/>
      <c r="G79" s="13"/>
      <c r="H79" s="13"/>
      <c r="I79" s="13" t="s">
        <v>247</v>
      </c>
      <c r="J79" s="13" t="s">
        <v>1287</v>
      </c>
      <c r="K79" s="13" t="s">
        <v>42</v>
      </c>
      <c r="L79" s="14">
        <v>2022</v>
      </c>
      <c r="M79" s="14"/>
      <c r="N79" s="15">
        <v>100</v>
      </c>
      <c r="O79" s="16"/>
      <c r="P79" s="17">
        <v>10</v>
      </c>
      <c r="Q79" s="18">
        <v>2000</v>
      </c>
      <c r="R79" s="18">
        <f t="shared" si="8"/>
        <v>200</v>
      </c>
      <c r="S79" s="19">
        <f t="shared" si="9"/>
        <v>2000</v>
      </c>
      <c r="T79" s="14"/>
      <c r="U79" s="14"/>
      <c r="V79" s="14"/>
      <c r="W79" s="14"/>
      <c r="X79" s="14"/>
      <c r="Y79" s="14"/>
      <c r="Z79" s="13"/>
      <c r="AA79" s="13"/>
      <c r="AB79" s="13"/>
      <c r="AC79" s="13" t="s">
        <v>42</v>
      </c>
      <c r="AD79" s="13"/>
      <c r="AE79" s="20" t="s">
        <v>76</v>
      </c>
      <c r="AF79" s="70" t="s">
        <v>248</v>
      </c>
      <c r="AG79" s="14">
        <v>3</v>
      </c>
      <c r="AH79" s="14">
        <v>1</v>
      </c>
      <c r="AI79" s="14">
        <v>3</v>
      </c>
      <c r="AJ79" s="14">
        <v>3</v>
      </c>
      <c r="AK79" s="14">
        <v>1</v>
      </c>
      <c r="AL79" s="14">
        <v>2</v>
      </c>
      <c r="AM79" s="14">
        <v>54</v>
      </c>
      <c r="AN79" s="13" t="s">
        <v>45</v>
      </c>
      <c r="AO79" s="13"/>
    </row>
    <row r="80" spans="1:41" s="133" customFormat="1" ht="25.5" hidden="1" x14ac:dyDescent="0.2">
      <c r="A80" s="13" t="s">
        <v>58</v>
      </c>
      <c r="B80" s="13" t="s">
        <v>1285</v>
      </c>
      <c r="C80" s="13"/>
      <c r="D80" s="13" t="s">
        <v>37</v>
      </c>
      <c r="E80" s="13" t="s">
        <v>1156</v>
      </c>
      <c r="F80" s="70"/>
      <c r="G80" s="13"/>
      <c r="H80" s="13"/>
      <c r="I80" s="13" t="s">
        <v>1288</v>
      </c>
      <c r="J80" s="13" t="s">
        <v>1286</v>
      </c>
      <c r="K80" s="13" t="s">
        <v>63</v>
      </c>
      <c r="L80" s="14">
        <v>2025</v>
      </c>
      <c r="M80" s="14"/>
      <c r="N80" s="15">
        <v>200</v>
      </c>
      <c r="O80" s="16"/>
      <c r="P80" s="17">
        <v>20</v>
      </c>
      <c r="Q80" s="18">
        <v>2500</v>
      </c>
      <c r="R80" s="18">
        <v>240</v>
      </c>
      <c r="S80" s="19"/>
      <c r="T80" s="14"/>
      <c r="U80" s="14"/>
      <c r="V80" s="14"/>
      <c r="W80" s="14"/>
      <c r="X80" s="14"/>
      <c r="Y80" s="14"/>
      <c r="Z80" s="13"/>
      <c r="AA80" s="13"/>
      <c r="AB80" s="13">
        <v>0</v>
      </c>
      <c r="AC80" s="13" t="s">
        <v>42</v>
      </c>
      <c r="AD80" s="13"/>
      <c r="AE80" s="20"/>
      <c r="AF80" s="70" t="s">
        <v>1404</v>
      </c>
      <c r="AG80" s="14">
        <v>3</v>
      </c>
      <c r="AH80" s="14">
        <v>2</v>
      </c>
      <c r="AI80" s="14">
        <v>2</v>
      </c>
      <c r="AJ80" s="14">
        <v>3</v>
      </c>
      <c r="AK80" s="14">
        <v>1</v>
      </c>
      <c r="AL80" s="14">
        <v>2</v>
      </c>
      <c r="AM80" s="14">
        <f>AL80*AK80*AJ80*AI80*AH80*AG80</f>
        <v>72</v>
      </c>
      <c r="AN80" s="13" t="s">
        <v>45</v>
      </c>
      <c r="AO80" s="20">
        <v>44958</v>
      </c>
    </row>
    <row r="81" spans="1:41" ht="76.5" hidden="1" x14ac:dyDescent="0.2">
      <c r="A81" s="30" t="s">
        <v>58</v>
      </c>
      <c r="B81" s="30" t="s">
        <v>333</v>
      </c>
      <c r="C81" s="30"/>
      <c r="D81" s="30" t="s">
        <v>37</v>
      </c>
      <c r="E81" s="30" t="s">
        <v>334</v>
      </c>
      <c r="F81" s="30"/>
      <c r="G81" s="72" t="s">
        <v>950</v>
      </c>
      <c r="H81" s="30"/>
      <c r="I81" s="30" t="s">
        <v>335</v>
      </c>
      <c r="J81" s="30" t="s">
        <v>336</v>
      </c>
      <c r="K81" s="30" t="s">
        <v>201</v>
      </c>
      <c r="L81" s="31">
        <v>2019</v>
      </c>
      <c r="M81" s="31"/>
      <c r="N81" s="32">
        <f>2000/7500000000*8500000</f>
        <v>2.2666666666666666</v>
      </c>
      <c r="O81" s="33"/>
      <c r="P81" s="34">
        <f t="shared" ref="P81:P86" si="10">N81*O81</f>
        <v>0</v>
      </c>
      <c r="Q81" s="35"/>
      <c r="R81" s="35">
        <f t="shared" si="8"/>
        <v>4</v>
      </c>
      <c r="S81" s="36">
        <f t="shared" si="9"/>
        <v>0</v>
      </c>
      <c r="T81" s="31"/>
      <c r="U81" s="31"/>
      <c r="V81" s="31"/>
      <c r="W81" s="31"/>
      <c r="X81" s="31"/>
      <c r="Y81" s="31"/>
      <c r="Z81" s="30"/>
      <c r="AA81" s="30"/>
      <c r="AB81" s="30"/>
      <c r="AC81" s="30" t="s">
        <v>42</v>
      </c>
      <c r="AD81" s="30"/>
      <c r="AE81" s="30" t="s">
        <v>95</v>
      </c>
      <c r="AF81" s="72" t="s">
        <v>337</v>
      </c>
      <c r="AG81" s="31">
        <v>2</v>
      </c>
      <c r="AH81" s="31">
        <v>1</v>
      </c>
      <c r="AI81" s="31">
        <v>2</v>
      </c>
      <c r="AJ81" s="31">
        <v>3</v>
      </c>
      <c r="AK81" s="31">
        <v>1</v>
      </c>
      <c r="AL81" s="31">
        <v>1</v>
      </c>
      <c r="AM81" s="31">
        <v>12</v>
      </c>
      <c r="AN81" s="30" t="s">
        <v>48</v>
      </c>
      <c r="AO81" s="30"/>
    </row>
    <row r="82" spans="1:41" ht="15" x14ac:dyDescent="0.2">
      <c r="A82" s="30" t="s">
        <v>58</v>
      </c>
      <c r="B82" s="30" t="s">
        <v>515</v>
      </c>
      <c r="C82" s="30"/>
      <c r="D82" s="30" t="s">
        <v>60</v>
      </c>
      <c r="E82" s="30" t="s">
        <v>334</v>
      </c>
      <c r="F82" s="30"/>
      <c r="G82" s="72"/>
      <c r="H82" s="30"/>
      <c r="I82" s="224" t="s">
        <v>1337</v>
      </c>
      <c r="J82" s="30" t="s">
        <v>1338</v>
      </c>
      <c r="K82" s="30" t="s">
        <v>834</v>
      </c>
      <c r="L82" s="31">
        <v>2024</v>
      </c>
      <c r="M82" s="31"/>
      <c r="N82" s="32"/>
      <c r="O82" s="33"/>
      <c r="P82" s="34">
        <v>5</v>
      </c>
      <c r="Q82" s="35">
        <v>4000</v>
      </c>
      <c r="R82" s="35">
        <v>240</v>
      </c>
      <c r="S82" s="36"/>
      <c r="T82" s="31"/>
      <c r="U82" s="31"/>
      <c r="V82" s="31"/>
      <c r="W82" s="31"/>
      <c r="X82" s="31"/>
      <c r="Y82" s="31"/>
      <c r="Z82" s="30"/>
      <c r="AA82" s="30"/>
      <c r="AB82" s="30"/>
      <c r="AC82" s="30" t="s">
        <v>42</v>
      </c>
      <c r="AD82" s="30"/>
      <c r="AE82" s="30"/>
      <c r="AF82" s="72"/>
      <c r="AG82" s="31">
        <v>2</v>
      </c>
      <c r="AH82" s="31">
        <v>1</v>
      </c>
      <c r="AI82" s="31">
        <v>2</v>
      </c>
      <c r="AJ82" s="31">
        <v>3</v>
      </c>
      <c r="AK82" s="31">
        <v>2</v>
      </c>
      <c r="AL82" s="31">
        <v>2</v>
      </c>
      <c r="AM82" s="31">
        <f>AL82*AK82*AJ82*AI82*AH82*AG82</f>
        <v>48</v>
      </c>
      <c r="AN82" s="30" t="s">
        <v>45</v>
      </c>
      <c r="AO82" s="37">
        <v>45047</v>
      </c>
    </row>
    <row r="83" spans="1:41" ht="38.25" hidden="1" x14ac:dyDescent="0.2">
      <c r="A83" s="22" t="s">
        <v>58</v>
      </c>
      <c r="B83" s="22" t="s">
        <v>207</v>
      </c>
      <c r="C83" s="22"/>
      <c r="D83" s="22" t="s">
        <v>37</v>
      </c>
      <c r="E83" s="22" t="s">
        <v>208</v>
      </c>
      <c r="F83" s="22"/>
      <c r="G83" s="22"/>
      <c r="H83" s="65" t="s">
        <v>936</v>
      </c>
      <c r="I83" s="22" t="s">
        <v>209</v>
      </c>
      <c r="J83" s="22"/>
      <c r="K83" s="22" t="s">
        <v>128</v>
      </c>
      <c r="L83" s="24">
        <v>2021</v>
      </c>
      <c r="M83" s="24"/>
      <c r="N83" s="51">
        <f>8500000/100000*1.5</f>
        <v>127.5</v>
      </c>
      <c r="O83" s="39"/>
      <c r="P83" s="27">
        <f t="shared" si="10"/>
        <v>0</v>
      </c>
      <c r="Q83" s="28"/>
      <c r="R83" s="28">
        <f t="shared" si="8"/>
        <v>4</v>
      </c>
      <c r="S83" s="29">
        <f t="shared" si="9"/>
        <v>0</v>
      </c>
      <c r="T83" s="24"/>
      <c r="U83" s="24"/>
      <c r="V83" s="24"/>
      <c r="W83" s="24"/>
      <c r="X83" s="24"/>
      <c r="Y83" s="24"/>
      <c r="Z83" s="22"/>
      <c r="AA83" s="22"/>
      <c r="AB83" s="22"/>
      <c r="AC83" s="22" t="s">
        <v>64</v>
      </c>
      <c r="AD83" s="22"/>
      <c r="AE83" s="22" t="s">
        <v>56</v>
      </c>
      <c r="AF83" s="71" t="s">
        <v>210</v>
      </c>
      <c r="AG83" s="24">
        <v>1</v>
      </c>
      <c r="AH83" s="24">
        <v>1</v>
      </c>
      <c r="AI83" s="24">
        <v>1</v>
      </c>
      <c r="AJ83" s="24">
        <v>3</v>
      </c>
      <c r="AK83" s="24">
        <v>1</v>
      </c>
      <c r="AL83" s="24">
        <v>1</v>
      </c>
      <c r="AM83" s="24">
        <v>3</v>
      </c>
      <c r="AN83" s="22" t="s">
        <v>45</v>
      </c>
      <c r="AO83" s="22"/>
    </row>
    <row r="84" spans="1:41" hidden="1" x14ac:dyDescent="0.2">
      <c r="A84" s="30" t="s">
        <v>58</v>
      </c>
      <c r="B84" s="30" t="s">
        <v>575</v>
      </c>
      <c r="C84" s="30"/>
      <c r="D84" s="30" t="s">
        <v>37</v>
      </c>
      <c r="E84" s="30" t="s">
        <v>576</v>
      </c>
      <c r="F84" s="72"/>
      <c r="G84" s="30" t="s">
        <v>977</v>
      </c>
      <c r="H84" s="30"/>
      <c r="I84" s="30" t="s">
        <v>577</v>
      </c>
      <c r="J84" s="30" t="s">
        <v>1165</v>
      </c>
      <c r="K84" s="30" t="s">
        <v>42</v>
      </c>
      <c r="L84" s="31">
        <v>2021</v>
      </c>
      <c r="M84" s="31"/>
      <c r="N84" s="32">
        <f>5.5*80</f>
        <v>440</v>
      </c>
      <c r="O84" s="33"/>
      <c r="P84" s="34">
        <f t="shared" si="10"/>
        <v>0</v>
      </c>
      <c r="Q84" s="35"/>
      <c r="R84" s="35">
        <f t="shared" si="8"/>
        <v>4</v>
      </c>
      <c r="S84" s="36">
        <f t="shared" si="9"/>
        <v>0</v>
      </c>
      <c r="T84" s="31"/>
      <c r="U84" s="31"/>
      <c r="V84" s="31"/>
      <c r="W84" s="31"/>
      <c r="X84" s="31"/>
      <c r="Y84" s="31"/>
      <c r="Z84" s="30"/>
      <c r="AA84" s="30"/>
      <c r="AB84" s="30"/>
      <c r="AC84" s="30" t="s">
        <v>42</v>
      </c>
      <c r="AD84" s="30"/>
      <c r="AE84" s="37" t="s">
        <v>56</v>
      </c>
      <c r="AF84" s="72" t="s">
        <v>1339</v>
      </c>
      <c r="AG84" s="31">
        <v>1</v>
      </c>
      <c r="AH84" s="31">
        <v>1</v>
      </c>
      <c r="AI84" s="31">
        <v>2</v>
      </c>
      <c r="AJ84" s="31">
        <v>3</v>
      </c>
      <c r="AK84" s="31">
        <v>1</v>
      </c>
      <c r="AL84" s="31">
        <v>1</v>
      </c>
      <c r="AM84" s="31">
        <v>6</v>
      </c>
      <c r="AN84" s="30" t="s">
        <v>48</v>
      </c>
      <c r="AO84" s="30"/>
    </row>
    <row r="85" spans="1:41" s="133" customFormat="1" ht="63.75" hidden="1" x14ac:dyDescent="0.2">
      <c r="A85" s="30" t="s">
        <v>58</v>
      </c>
      <c r="B85" s="30" t="s">
        <v>553</v>
      </c>
      <c r="C85" s="30"/>
      <c r="D85" s="30" t="s">
        <v>37</v>
      </c>
      <c r="E85" s="30" t="s">
        <v>973</v>
      </c>
      <c r="F85" s="72"/>
      <c r="G85" s="72" t="s">
        <v>974</v>
      </c>
      <c r="H85" s="30"/>
      <c r="I85" s="30" t="s">
        <v>554</v>
      </c>
      <c r="J85" s="30" t="s">
        <v>555</v>
      </c>
      <c r="K85" s="30" t="s">
        <v>556</v>
      </c>
      <c r="L85" s="31">
        <v>2019</v>
      </c>
      <c r="M85" s="31"/>
      <c r="N85" s="32">
        <f>8500000/100000</f>
        <v>85</v>
      </c>
      <c r="O85" s="33"/>
      <c r="P85" s="34">
        <f t="shared" si="10"/>
        <v>0</v>
      </c>
      <c r="Q85" s="35">
        <v>4000</v>
      </c>
      <c r="R85" s="35">
        <f t="shared" si="8"/>
        <v>240</v>
      </c>
      <c r="S85" s="36">
        <f t="shared" si="9"/>
        <v>0</v>
      </c>
      <c r="T85" s="31"/>
      <c r="U85" s="31"/>
      <c r="V85" s="31"/>
      <c r="W85" s="31"/>
      <c r="X85" s="31"/>
      <c r="Y85" s="31"/>
      <c r="Z85" s="30"/>
      <c r="AA85" s="30"/>
      <c r="AB85" s="30"/>
      <c r="AC85" s="30" t="s">
        <v>201</v>
      </c>
      <c r="AD85" s="30"/>
      <c r="AE85" s="37" t="s">
        <v>56</v>
      </c>
      <c r="AF85" s="72" t="s">
        <v>557</v>
      </c>
      <c r="AG85" s="31">
        <v>1</v>
      </c>
      <c r="AH85" s="31">
        <v>2</v>
      </c>
      <c r="AI85" s="31">
        <v>1</v>
      </c>
      <c r="AJ85" s="31">
        <v>3</v>
      </c>
      <c r="AK85" s="31">
        <v>1</v>
      </c>
      <c r="AL85" s="31">
        <v>1</v>
      </c>
      <c r="AM85" s="31">
        <v>6</v>
      </c>
      <c r="AN85" s="30" t="s">
        <v>48</v>
      </c>
      <c r="AO85" s="30"/>
    </row>
    <row r="86" spans="1:41" ht="38.25" x14ac:dyDescent="0.2">
      <c r="A86" s="22" t="s">
        <v>58</v>
      </c>
      <c r="B86" s="22" t="s">
        <v>692</v>
      </c>
      <c r="C86" s="22"/>
      <c r="D86" s="22" t="s">
        <v>37</v>
      </c>
      <c r="E86" s="22" t="s">
        <v>693</v>
      </c>
      <c r="F86" s="22"/>
      <c r="G86" s="22"/>
      <c r="H86" s="65" t="s">
        <v>990</v>
      </c>
      <c r="I86" s="22" t="s">
        <v>694</v>
      </c>
      <c r="J86" s="22"/>
      <c r="K86" s="22" t="s">
        <v>42</v>
      </c>
      <c r="L86" s="24">
        <v>2023</v>
      </c>
      <c r="M86" s="24"/>
      <c r="N86" s="52">
        <f>8500000/100000*7.5+0.17*8500000*0.8</f>
        <v>1156637.5</v>
      </c>
      <c r="O86" s="39"/>
      <c r="P86" s="27">
        <f t="shared" si="10"/>
        <v>0</v>
      </c>
      <c r="Q86" s="28"/>
      <c r="R86" s="28">
        <f t="shared" si="8"/>
        <v>4</v>
      </c>
      <c r="S86" s="29">
        <f t="shared" si="9"/>
        <v>0</v>
      </c>
      <c r="T86" s="24"/>
      <c r="U86" s="24"/>
      <c r="V86" s="24"/>
      <c r="W86" s="24"/>
      <c r="X86" s="24"/>
      <c r="Y86" s="24"/>
      <c r="Z86" s="22"/>
      <c r="AA86" s="22"/>
      <c r="AB86" s="22"/>
      <c r="AC86" s="22" t="s">
        <v>42</v>
      </c>
      <c r="AD86" s="22"/>
      <c r="AE86" s="22" t="s">
        <v>56</v>
      </c>
      <c r="AF86" s="71" t="s">
        <v>695</v>
      </c>
      <c r="AG86" s="24">
        <v>1</v>
      </c>
      <c r="AH86" s="24">
        <v>3</v>
      </c>
      <c r="AI86" s="24">
        <v>1</v>
      </c>
      <c r="AJ86" s="24">
        <v>3</v>
      </c>
      <c r="AK86" s="24">
        <v>1</v>
      </c>
      <c r="AL86" s="24">
        <v>2</v>
      </c>
      <c r="AM86" s="24">
        <v>18</v>
      </c>
      <c r="AN86" s="22" t="s">
        <v>45</v>
      </c>
      <c r="AO86" s="22"/>
    </row>
    <row r="87" spans="1:41" ht="38.25" hidden="1" x14ac:dyDescent="0.2">
      <c r="A87" s="22" t="s">
        <v>35</v>
      </c>
      <c r="B87" s="22" t="s">
        <v>598</v>
      </c>
      <c r="C87" s="22"/>
      <c r="D87" s="22" t="s">
        <v>37</v>
      </c>
      <c r="E87" s="22" t="s">
        <v>599</v>
      </c>
      <c r="F87" s="71" t="s">
        <v>917</v>
      </c>
      <c r="G87" s="22"/>
      <c r="H87" s="22"/>
      <c r="I87" s="22" t="s">
        <v>600</v>
      </c>
      <c r="J87" s="22" t="s">
        <v>601</v>
      </c>
      <c r="K87" s="22" t="s">
        <v>63</v>
      </c>
      <c r="L87" s="24">
        <v>2021</v>
      </c>
      <c r="M87" s="24"/>
      <c r="N87" s="51">
        <f>8500000/100000*1.8</f>
        <v>153</v>
      </c>
      <c r="O87" s="39"/>
      <c r="P87" s="27">
        <f>N87*O87</f>
        <v>0</v>
      </c>
      <c r="Q87" s="28"/>
      <c r="R87" s="28">
        <f>IF(Q87&lt;4.99,(Q87*12%+4),IF(Q87&lt;10.99,(Q87*12%+8),IF(Q87&lt;14.99,(Q87*12%+12),IF(Q87&lt;879.99,(Q87*12%+16),IF(Q87&lt;2569.99,(Q87*7%+60),240)))))</f>
        <v>4</v>
      </c>
      <c r="S87" s="29">
        <f>R87*P87</f>
        <v>0</v>
      </c>
      <c r="T87" s="24"/>
      <c r="U87" s="24"/>
      <c r="V87" s="24"/>
      <c r="W87" s="24"/>
      <c r="X87" s="24"/>
      <c r="Y87" s="24"/>
      <c r="Z87" s="22"/>
      <c r="AA87" s="22"/>
      <c r="AB87" s="22"/>
      <c r="AC87" s="22" t="s">
        <v>42</v>
      </c>
      <c r="AD87" s="22" t="s">
        <v>43</v>
      </c>
      <c r="AE87" s="40" t="s">
        <v>95</v>
      </c>
      <c r="AF87" s="71" t="s">
        <v>602</v>
      </c>
      <c r="AG87" s="24">
        <v>2</v>
      </c>
      <c r="AH87" s="24">
        <v>2</v>
      </c>
      <c r="AI87" s="24">
        <v>2</v>
      </c>
      <c r="AJ87" s="24">
        <v>3</v>
      </c>
      <c r="AK87" s="24">
        <v>1</v>
      </c>
      <c r="AL87" s="24">
        <v>2</v>
      </c>
      <c r="AM87" s="24">
        <v>48</v>
      </c>
      <c r="AN87" s="22" t="s">
        <v>45</v>
      </c>
      <c r="AO87" s="22"/>
    </row>
    <row r="88" spans="1:41" ht="38.25" x14ac:dyDescent="0.2">
      <c r="A88" s="22" t="s">
        <v>35</v>
      </c>
      <c r="B88" s="22" t="s">
        <v>91</v>
      </c>
      <c r="C88" s="22"/>
      <c r="D88" s="22" t="s">
        <v>37</v>
      </c>
      <c r="E88" s="22" t="s">
        <v>599</v>
      </c>
      <c r="F88" s="71" t="s">
        <v>917</v>
      </c>
      <c r="G88" s="22"/>
      <c r="H88" s="22"/>
      <c r="I88" s="22" t="s">
        <v>618</v>
      </c>
      <c r="J88" s="22"/>
      <c r="K88" s="22" t="s">
        <v>42</v>
      </c>
      <c r="L88" s="24">
        <v>2024</v>
      </c>
      <c r="M88" s="24"/>
      <c r="N88" s="38">
        <f>80*2.5</f>
        <v>200</v>
      </c>
      <c r="O88" s="39"/>
      <c r="P88" s="27">
        <f>N88*O88</f>
        <v>0</v>
      </c>
      <c r="Q88" s="28"/>
      <c r="R88" s="28">
        <f>IF(Q88&lt;4.99,(Q88*12%+4),IF(Q88&lt;10.99,(Q88*12%+8),IF(Q88&lt;14.99,(Q88*12%+12),IF(Q88&lt;879.99,(Q88*12%+16),IF(Q88&lt;2569.99,(Q88*7%+60),240)))))</f>
        <v>4</v>
      </c>
      <c r="S88" s="29">
        <f>R88*P88</f>
        <v>0</v>
      </c>
      <c r="T88" s="24"/>
      <c r="U88" s="24"/>
      <c r="V88" s="24"/>
      <c r="W88" s="24"/>
      <c r="X88" s="24"/>
      <c r="Y88" s="24"/>
      <c r="Z88" s="22"/>
      <c r="AA88" s="22"/>
      <c r="AB88" s="22"/>
      <c r="AC88" s="22" t="s">
        <v>42</v>
      </c>
      <c r="AD88" s="22" t="s">
        <v>43</v>
      </c>
      <c r="AE88" s="40" t="s">
        <v>95</v>
      </c>
      <c r="AF88" s="71" t="s">
        <v>1366</v>
      </c>
      <c r="AG88" s="24">
        <v>2</v>
      </c>
      <c r="AH88" s="24">
        <v>2</v>
      </c>
      <c r="AI88" s="24">
        <v>2</v>
      </c>
      <c r="AJ88" s="24">
        <v>3</v>
      </c>
      <c r="AK88" s="24">
        <v>1</v>
      </c>
      <c r="AL88" s="24">
        <v>1</v>
      </c>
      <c r="AM88" s="24">
        <v>24</v>
      </c>
      <c r="AN88" s="22" t="s">
        <v>45</v>
      </c>
      <c r="AO88" s="22"/>
    </row>
    <row r="89" spans="1:41" hidden="1" x14ac:dyDescent="0.2">
      <c r="A89" s="22" t="s">
        <v>35</v>
      </c>
      <c r="B89" s="22" t="s">
        <v>1042</v>
      </c>
      <c r="C89" s="22"/>
      <c r="D89" s="22" t="s">
        <v>37</v>
      </c>
      <c r="E89" s="22" t="s">
        <v>1041</v>
      </c>
      <c r="F89" s="172"/>
      <c r="G89" s="22"/>
      <c r="H89" s="22"/>
      <c r="I89" s="22" t="s">
        <v>1043</v>
      </c>
      <c r="J89" s="22" t="s">
        <v>1044</v>
      </c>
      <c r="K89" s="22" t="s">
        <v>63</v>
      </c>
      <c r="L89" s="24">
        <v>2022</v>
      </c>
      <c r="M89" s="24"/>
      <c r="N89" s="38">
        <v>40</v>
      </c>
      <c r="O89" s="39"/>
      <c r="P89" s="27">
        <v>20</v>
      </c>
      <c r="Q89" s="28">
        <v>20000</v>
      </c>
      <c r="R89" s="28">
        <v>240</v>
      </c>
      <c r="S89" s="29"/>
      <c r="T89" s="24"/>
      <c r="U89" s="24"/>
      <c r="V89" s="24"/>
      <c r="W89" s="24"/>
      <c r="X89" s="24"/>
      <c r="Y89" s="24"/>
      <c r="Z89" s="22"/>
      <c r="AA89" s="22"/>
      <c r="AB89" s="22"/>
      <c r="AC89" s="22"/>
      <c r="AD89" s="22"/>
      <c r="AE89" s="40"/>
      <c r="AF89" s="71"/>
      <c r="AG89" s="24"/>
      <c r="AH89" s="24"/>
      <c r="AI89" s="24"/>
      <c r="AJ89" s="24"/>
      <c r="AK89" s="24"/>
      <c r="AL89" s="24"/>
      <c r="AM89" s="24"/>
      <c r="AN89" s="22"/>
      <c r="AO89" s="22"/>
    </row>
    <row r="90" spans="1:41" ht="38.25" x14ac:dyDescent="0.2">
      <c r="A90" s="13" t="s">
        <v>86</v>
      </c>
      <c r="B90" s="13" t="s">
        <v>105</v>
      </c>
      <c r="C90" s="13"/>
      <c r="D90" s="13" t="s">
        <v>98</v>
      </c>
      <c r="E90" s="13" t="s">
        <v>1415</v>
      </c>
      <c r="F90" s="13"/>
      <c r="G90" s="13"/>
      <c r="H90" s="70" t="s">
        <v>926</v>
      </c>
      <c r="I90" s="13" t="s">
        <v>107</v>
      </c>
      <c r="J90" s="13" t="s">
        <v>1416</v>
      </c>
      <c r="K90" s="13" t="s">
        <v>42</v>
      </c>
      <c r="L90" s="14">
        <v>2024</v>
      </c>
      <c r="M90" s="14"/>
      <c r="N90" s="15">
        <f>8000000*0.04</f>
        <v>320000</v>
      </c>
      <c r="O90" s="16"/>
      <c r="P90" s="17">
        <f>N90*O90</f>
        <v>0</v>
      </c>
      <c r="Q90" s="18"/>
      <c r="R90" s="18">
        <f>IF(Q90&lt;4.99,(Q90*12%+4),IF(Q90&lt;10.99,(Q90*12%+8),IF(Q90&lt;14.99,(Q90*12%+12),IF(Q90&lt;879.99,(Q90*12%+16),IF(Q90&lt;2569.99,(Q90*7%+60),240)))))</f>
        <v>4</v>
      </c>
      <c r="S90" s="19">
        <f>R90*P90</f>
        <v>0</v>
      </c>
      <c r="T90" s="14"/>
      <c r="U90" s="14"/>
      <c r="V90" s="14"/>
      <c r="W90" s="14"/>
      <c r="X90" s="14"/>
      <c r="Y90" s="14"/>
      <c r="Z90" s="13"/>
      <c r="AA90" s="13"/>
      <c r="AB90" s="13"/>
      <c r="AC90" s="13" t="s">
        <v>64</v>
      </c>
      <c r="AD90" s="13"/>
      <c r="AE90" s="13"/>
      <c r="AF90" s="70" t="s">
        <v>108</v>
      </c>
      <c r="AG90" s="14">
        <v>1</v>
      </c>
      <c r="AH90" s="14">
        <v>3</v>
      </c>
      <c r="AI90" s="14">
        <v>1</v>
      </c>
      <c r="AJ90" s="14">
        <v>1</v>
      </c>
      <c r="AK90" s="14">
        <v>2</v>
      </c>
      <c r="AL90" s="14">
        <v>2</v>
      </c>
      <c r="AM90" s="14">
        <v>12</v>
      </c>
      <c r="AN90" s="13" t="s">
        <v>48</v>
      </c>
      <c r="AO90" s="13"/>
    </row>
    <row r="91" spans="1:41" ht="38.25" hidden="1" x14ac:dyDescent="0.2">
      <c r="A91" s="42" t="s">
        <v>58</v>
      </c>
      <c r="B91" s="42" t="s">
        <v>568</v>
      </c>
      <c r="C91" s="42"/>
      <c r="D91" s="42" t="s">
        <v>569</v>
      </c>
      <c r="E91" s="42" t="s">
        <v>570</v>
      </c>
      <c r="F91" s="73"/>
      <c r="G91" s="73" t="s">
        <v>976</v>
      </c>
      <c r="H91" s="42"/>
      <c r="I91" s="42" t="s">
        <v>571</v>
      </c>
      <c r="J91" s="42" t="s">
        <v>572</v>
      </c>
      <c r="K91" s="42" t="s">
        <v>573</v>
      </c>
      <c r="L91" s="43">
        <v>2019</v>
      </c>
      <c r="M91" s="43"/>
      <c r="N91" s="44">
        <f>8500000/10000*5</f>
        <v>4250</v>
      </c>
      <c r="O91" s="45"/>
      <c r="P91" s="46">
        <f>N91*O91</f>
        <v>0</v>
      </c>
      <c r="Q91" s="47"/>
      <c r="R91" s="47">
        <f>IF(Q91&lt;4.99,(Q91*12%+4),IF(Q91&lt;10.99,(Q91*12%+8),IF(Q91&lt;14.99,(Q91*12%+12),IF(Q91&lt;879.99,(Q91*12%+16),IF(Q91&lt;2569.99,(Q91*7%+60),240)))))</f>
        <v>4</v>
      </c>
      <c r="S91" s="48">
        <f>R91*P91</f>
        <v>0</v>
      </c>
      <c r="T91" s="43"/>
      <c r="U91" s="43"/>
      <c r="V91" s="43"/>
      <c r="W91" s="43"/>
      <c r="X91" s="43"/>
      <c r="Y91" s="43"/>
      <c r="Z91" s="42"/>
      <c r="AA91" s="42"/>
      <c r="AB91" s="42"/>
      <c r="AC91" s="42" t="s">
        <v>42</v>
      </c>
      <c r="AD91" s="42"/>
      <c r="AE91" s="60" t="s">
        <v>76</v>
      </c>
      <c r="AF91" s="73" t="s">
        <v>1250</v>
      </c>
      <c r="AG91" s="43">
        <v>2</v>
      </c>
      <c r="AH91" s="43">
        <v>2</v>
      </c>
      <c r="AI91" s="43">
        <v>1</v>
      </c>
      <c r="AJ91" s="43">
        <v>3</v>
      </c>
      <c r="AK91" s="43">
        <v>1</v>
      </c>
      <c r="AL91" s="43">
        <v>2</v>
      </c>
      <c r="AM91" s="43">
        <v>24</v>
      </c>
      <c r="AN91" s="42" t="s">
        <v>48</v>
      </c>
      <c r="AO91" s="42"/>
    </row>
    <row r="92" spans="1:41" s="133" customFormat="1" x14ac:dyDescent="0.2">
      <c r="A92" s="30" t="s">
        <v>58</v>
      </c>
      <c r="B92" s="30" t="s">
        <v>1322</v>
      </c>
      <c r="C92" s="30"/>
      <c r="D92" s="30" t="s">
        <v>37</v>
      </c>
      <c r="E92" s="30" t="s">
        <v>1323</v>
      </c>
      <c r="F92" s="72"/>
      <c r="G92" s="96"/>
      <c r="H92" s="30"/>
      <c r="I92" s="30" t="s">
        <v>1324</v>
      </c>
      <c r="J92" s="30" t="s">
        <v>1324</v>
      </c>
      <c r="K92" s="30" t="s">
        <v>42</v>
      </c>
      <c r="L92" s="31">
        <v>2024</v>
      </c>
      <c r="M92" s="31"/>
      <c r="N92" s="32">
        <v>9</v>
      </c>
      <c r="O92" s="33"/>
      <c r="P92" s="34"/>
      <c r="Q92" s="35">
        <v>25000</v>
      </c>
      <c r="R92" s="35">
        <v>240</v>
      </c>
      <c r="S92" s="36"/>
      <c r="T92" s="31"/>
      <c r="U92" s="31"/>
      <c r="V92" s="31"/>
      <c r="W92" s="31"/>
      <c r="X92" s="31"/>
      <c r="Y92" s="31"/>
      <c r="Z92" s="30"/>
      <c r="AA92" s="30"/>
      <c r="AB92" s="30"/>
      <c r="AC92" s="30" t="s">
        <v>42</v>
      </c>
      <c r="AD92" s="30"/>
      <c r="AE92" s="37"/>
      <c r="AF92" s="72" t="s">
        <v>1325</v>
      </c>
      <c r="AG92" s="31">
        <v>2</v>
      </c>
      <c r="AH92" s="31">
        <v>1</v>
      </c>
      <c r="AI92" s="31">
        <v>2</v>
      </c>
      <c r="AJ92" s="31">
        <v>3</v>
      </c>
      <c r="AK92" s="31">
        <v>3</v>
      </c>
      <c r="AL92" s="31">
        <v>1</v>
      </c>
      <c r="AM92" s="31">
        <f>AL92*AK92*AJ92*AI92*AH92*AG92</f>
        <v>36</v>
      </c>
      <c r="AN92" s="30" t="s">
        <v>45</v>
      </c>
      <c r="AO92" s="37">
        <v>45017</v>
      </c>
    </row>
    <row r="93" spans="1:41" s="116" customFormat="1" ht="38.25" x14ac:dyDescent="0.2">
      <c r="A93" s="22" t="s">
        <v>58</v>
      </c>
      <c r="B93" s="22" t="s">
        <v>820</v>
      </c>
      <c r="C93" s="22"/>
      <c r="D93" s="65" t="s">
        <v>37</v>
      </c>
      <c r="E93" s="65" t="s">
        <v>915</v>
      </c>
      <c r="F93" s="88"/>
      <c r="G93" s="77"/>
      <c r="H93" s="65" t="s">
        <v>916</v>
      </c>
      <c r="I93" s="68" t="s">
        <v>1045</v>
      </c>
      <c r="J93" s="22" t="s">
        <v>821</v>
      </c>
      <c r="K93" s="22" t="s">
        <v>1177</v>
      </c>
      <c r="L93" s="24">
        <v>2023</v>
      </c>
      <c r="M93" s="24"/>
      <c r="N93" s="38">
        <v>1</v>
      </c>
      <c r="O93" s="39"/>
      <c r="P93" s="27">
        <v>1</v>
      </c>
      <c r="Q93" s="28">
        <v>25000</v>
      </c>
      <c r="R93" s="28">
        <v>240</v>
      </c>
      <c r="S93" s="29"/>
      <c r="T93" s="24"/>
      <c r="U93" s="24"/>
      <c r="V93" s="24"/>
      <c r="W93" s="24"/>
      <c r="X93" s="24"/>
      <c r="Y93" s="24"/>
      <c r="Z93" s="22"/>
      <c r="AA93" s="22"/>
      <c r="AB93" s="22"/>
      <c r="AC93" s="22" t="s">
        <v>42</v>
      </c>
      <c r="AD93" s="22"/>
      <c r="AE93" s="41"/>
      <c r="AF93" s="185" t="s">
        <v>1178</v>
      </c>
      <c r="AG93" s="24">
        <v>1</v>
      </c>
      <c r="AH93" s="24">
        <v>1</v>
      </c>
      <c r="AI93" s="24">
        <v>1</v>
      </c>
      <c r="AJ93" s="24">
        <v>3</v>
      </c>
      <c r="AK93" s="24">
        <v>2</v>
      </c>
      <c r="AL93" s="24">
        <v>1</v>
      </c>
      <c r="AM93" s="24">
        <v>6</v>
      </c>
      <c r="AN93" s="22"/>
      <c r="AO93" s="69">
        <v>44197</v>
      </c>
    </row>
    <row r="94" spans="1:41" s="116" customFormat="1" x14ac:dyDescent="0.2">
      <c r="A94" s="22" t="s">
        <v>58</v>
      </c>
      <c r="B94" s="22" t="s">
        <v>1362</v>
      </c>
      <c r="C94" s="22"/>
      <c r="D94" s="65"/>
      <c r="E94" s="68" t="s">
        <v>276</v>
      </c>
      <c r="F94" s="88"/>
      <c r="G94" s="77"/>
      <c r="H94" s="65"/>
      <c r="I94" s="68" t="s">
        <v>1363</v>
      </c>
      <c r="J94" s="22"/>
      <c r="K94" s="22"/>
      <c r="L94" s="24">
        <v>2024</v>
      </c>
      <c r="M94" s="24"/>
      <c r="N94" s="38">
        <v>10</v>
      </c>
      <c r="O94" s="39"/>
      <c r="P94" s="27">
        <v>5</v>
      </c>
      <c r="Q94" s="28"/>
      <c r="R94" s="28"/>
      <c r="S94" s="29"/>
      <c r="T94" s="24"/>
      <c r="U94" s="24"/>
      <c r="V94" s="24"/>
      <c r="W94" s="24"/>
      <c r="X94" s="24"/>
      <c r="Y94" s="24"/>
      <c r="Z94" s="22"/>
      <c r="AA94" s="22"/>
      <c r="AB94" s="22"/>
      <c r="AC94" s="22"/>
      <c r="AD94" s="22"/>
      <c r="AE94" s="41"/>
      <c r="AF94" s="185" t="s">
        <v>1364</v>
      </c>
      <c r="AG94" s="24">
        <v>2</v>
      </c>
      <c r="AH94" s="24">
        <v>1</v>
      </c>
      <c r="AI94" s="24">
        <v>3</v>
      </c>
      <c r="AJ94" s="24">
        <v>3</v>
      </c>
      <c r="AK94" s="24">
        <v>2</v>
      </c>
      <c r="AL94" s="24">
        <v>1</v>
      </c>
      <c r="AM94" s="24">
        <f>AL94*AK94*AJ94*AI94*AH94*AG94</f>
        <v>36</v>
      </c>
      <c r="AN94" s="22" t="s">
        <v>45</v>
      </c>
      <c r="AO94" s="69">
        <v>45078</v>
      </c>
    </row>
    <row r="95" spans="1:41" s="133" customFormat="1" ht="38.25" x14ac:dyDescent="0.2">
      <c r="A95" s="30" t="s">
        <v>35</v>
      </c>
      <c r="B95" s="30" t="s">
        <v>255</v>
      </c>
      <c r="C95" s="30"/>
      <c r="D95" s="30" t="s">
        <v>60</v>
      </c>
      <c r="E95" s="30" t="s">
        <v>276</v>
      </c>
      <c r="F95" s="72" t="s">
        <v>933</v>
      </c>
      <c r="G95" s="106"/>
      <c r="H95" s="30"/>
      <c r="I95" s="30" t="s">
        <v>428</v>
      </c>
      <c r="J95" s="30" t="s">
        <v>1422</v>
      </c>
      <c r="K95" s="30" t="s">
        <v>1259</v>
      </c>
      <c r="L95" s="31">
        <v>2023</v>
      </c>
      <c r="M95" s="31"/>
      <c r="N95" s="32">
        <v>4400</v>
      </c>
      <c r="O95" s="33"/>
      <c r="P95" s="34">
        <f>N95*O95</f>
        <v>0</v>
      </c>
      <c r="Q95" s="35"/>
      <c r="R95" s="35">
        <f>IF(Q95&lt;4.99,(Q95*12%+4),IF(Q95&lt;10.99,(Q95*12%+8),IF(Q95&lt;14.99,(Q95*12%+12),IF(Q95&lt;879.99,(Q95*12%+16),IF(Q95&lt;2569.99,(Q95*7%+60),240)))))</f>
        <v>4</v>
      </c>
      <c r="S95" s="36">
        <f>R95*P95</f>
        <v>0</v>
      </c>
      <c r="T95" s="31"/>
      <c r="U95" s="31"/>
      <c r="V95" s="31"/>
      <c r="W95" s="31"/>
      <c r="X95" s="31"/>
      <c r="Y95" s="31"/>
      <c r="Z95" s="30"/>
      <c r="AA95" s="30"/>
      <c r="AB95" s="30"/>
      <c r="AC95" s="30" t="s">
        <v>42</v>
      </c>
      <c r="AD95" s="30" t="s">
        <v>182</v>
      </c>
      <c r="AE95" s="37" t="s">
        <v>227</v>
      </c>
      <c r="AF95" s="72" t="s">
        <v>1277</v>
      </c>
      <c r="AG95" s="31">
        <v>3</v>
      </c>
      <c r="AH95" s="31">
        <v>3</v>
      </c>
      <c r="AI95" s="31">
        <v>3</v>
      </c>
      <c r="AJ95" s="31">
        <v>3</v>
      </c>
      <c r="AK95" s="31">
        <v>1</v>
      </c>
      <c r="AL95" s="31">
        <v>1</v>
      </c>
      <c r="AM95" s="31">
        <v>81</v>
      </c>
      <c r="AN95" s="30" t="s">
        <v>45</v>
      </c>
      <c r="AO95" s="30"/>
    </row>
    <row r="96" spans="1:41" s="133" customFormat="1" ht="38.25" x14ac:dyDescent="0.2">
      <c r="A96" s="22" t="s">
        <v>86</v>
      </c>
      <c r="B96" s="22" t="s">
        <v>1238</v>
      </c>
      <c r="C96" s="22"/>
      <c r="D96" s="22" t="s">
        <v>98</v>
      </c>
      <c r="E96" s="22" t="s">
        <v>170</v>
      </c>
      <c r="F96" s="71" t="s">
        <v>933</v>
      </c>
      <c r="G96" s="22"/>
      <c r="H96" s="22"/>
      <c r="I96" s="22" t="s">
        <v>533</v>
      </c>
      <c r="J96" s="22"/>
      <c r="K96" s="22" t="s">
        <v>42</v>
      </c>
      <c r="L96" s="24">
        <v>2023</v>
      </c>
      <c r="M96" s="24"/>
      <c r="N96" s="38">
        <f>0.02*8000000</f>
        <v>160000</v>
      </c>
      <c r="O96" s="39"/>
      <c r="P96" s="27">
        <v>40</v>
      </c>
      <c r="Q96" s="28">
        <v>800</v>
      </c>
      <c r="R96" s="28">
        <f>IF(Q96&lt;4.99,(Q96*12%+4),IF(Q96&lt;10.99,(Q96*12%+8),IF(Q96&lt;14.99,(Q96*12%+12),IF(Q96&lt;879.99,(Q96*12%+16),IF(Q96&lt;2569.99,(Q96*7%+60),240)))))</f>
        <v>112</v>
      </c>
      <c r="S96" s="29">
        <f>R96*P96</f>
        <v>4480</v>
      </c>
      <c r="T96" s="24"/>
      <c r="U96" s="24"/>
      <c r="V96" s="24"/>
      <c r="W96" s="24"/>
      <c r="X96" s="24"/>
      <c r="Y96" s="24"/>
      <c r="Z96" s="113">
        <f>Q96*P96*12*0.2</f>
        <v>76800</v>
      </c>
      <c r="AA96" s="22"/>
      <c r="AB96" s="22"/>
      <c r="AC96" s="22" t="s">
        <v>42</v>
      </c>
      <c r="AD96" s="22"/>
      <c r="AE96" s="40"/>
      <c r="AF96" s="71" t="s">
        <v>1237</v>
      </c>
      <c r="AG96" s="24">
        <v>3</v>
      </c>
      <c r="AH96" s="24">
        <v>3</v>
      </c>
      <c r="AI96" s="24">
        <v>3</v>
      </c>
      <c r="AJ96" s="24">
        <v>1</v>
      </c>
      <c r="AK96" s="24">
        <v>2</v>
      </c>
      <c r="AL96" s="24">
        <v>1</v>
      </c>
      <c r="AM96" s="24">
        <v>54</v>
      </c>
      <c r="AN96" s="22"/>
      <c r="AO96" s="22"/>
    </row>
    <row r="97" spans="1:41" ht="38.25" hidden="1" x14ac:dyDescent="0.2">
      <c r="A97" s="22" t="s">
        <v>35</v>
      </c>
      <c r="B97" s="22" t="s">
        <v>581</v>
      </c>
      <c r="C97" s="22"/>
      <c r="D97" s="22" t="s">
        <v>98</v>
      </c>
      <c r="E97" s="22" t="s">
        <v>170</v>
      </c>
      <c r="F97" s="71" t="s">
        <v>933</v>
      </c>
      <c r="G97" s="22"/>
      <c r="H97" s="22"/>
      <c r="I97" s="22" t="s">
        <v>582</v>
      </c>
      <c r="J97" s="22" t="s">
        <v>583</v>
      </c>
      <c r="K97" s="22" t="s">
        <v>42</v>
      </c>
      <c r="L97" s="24">
        <v>2021</v>
      </c>
      <c r="M97" s="24"/>
      <c r="N97" s="51">
        <v>1400</v>
      </c>
      <c r="O97" s="39"/>
      <c r="P97" s="27">
        <f>N97*O97</f>
        <v>0</v>
      </c>
      <c r="Q97" s="28"/>
      <c r="R97" s="28">
        <f>IF(Q97&lt;4.99,(Q97*12%+4),IF(Q97&lt;10.99,(Q97*12%+8),IF(Q97&lt;14.99,(Q97*12%+12),IF(Q97&lt;879.99,(Q97*12%+16),IF(Q97&lt;2569.99,(Q97*7%+60),240)))))</f>
        <v>4</v>
      </c>
      <c r="S97" s="29">
        <f>R97*P97</f>
        <v>0</v>
      </c>
      <c r="T97" s="24"/>
      <c r="U97" s="24"/>
      <c r="V97" s="24"/>
      <c r="W97" s="24"/>
      <c r="X97" s="24"/>
      <c r="Y97" s="24"/>
      <c r="Z97" s="22"/>
      <c r="AA97" s="22"/>
      <c r="AB97" s="22"/>
      <c r="AC97" s="22" t="s">
        <v>42</v>
      </c>
      <c r="AD97" s="22"/>
      <c r="AE97" s="40" t="s">
        <v>132</v>
      </c>
      <c r="AF97" s="71" t="s">
        <v>584</v>
      </c>
      <c r="AG97" s="24">
        <v>3</v>
      </c>
      <c r="AH97" s="24">
        <v>2</v>
      </c>
      <c r="AI97" s="24">
        <v>3</v>
      </c>
      <c r="AJ97" s="24">
        <v>3</v>
      </c>
      <c r="AK97" s="24">
        <v>1</v>
      </c>
      <c r="AL97" s="24">
        <v>2</v>
      </c>
      <c r="AM97" s="24">
        <v>108</v>
      </c>
      <c r="AN97" s="22" t="s">
        <v>45</v>
      </c>
      <c r="AO97" s="22"/>
    </row>
    <row r="98" spans="1:41" s="133" customFormat="1" x14ac:dyDescent="0.2">
      <c r="A98" s="30" t="s">
        <v>72</v>
      </c>
      <c r="B98" s="30" t="s">
        <v>184</v>
      </c>
      <c r="C98" s="30"/>
      <c r="D98" s="30" t="s">
        <v>98</v>
      </c>
      <c r="E98" s="30" t="s">
        <v>170</v>
      </c>
      <c r="F98" s="72"/>
      <c r="G98" s="30"/>
      <c r="H98" s="30"/>
      <c r="I98" s="30" t="s">
        <v>1071</v>
      </c>
      <c r="J98" s="30"/>
      <c r="K98" s="30" t="s">
        <v>42</v>
      </c>
      <c r="L98" s="31">
        <v>2024</v>
      </c>
      <c r="M98" s="31"/>
      <c r="N98" s="32"/>
      <c r="O98" s="33"/>
      <c r="P98" s="34"/>
      <c r="Q98" s="35"/>
      <c r="R98" s="35"/>
      <c r="S98" s="36"/>
      <c r="T98" s="31"/>
      <c r="U98" s="31"/>
      <c r="V98" s="31"/>
      <c r="W98" s="31"/>
      <c r="X98" s="31"/>
      <c r="Y98" s="31"/>
      <c r="Z98" s="30"/>
      <c r="AA98" s="30"/>
      <c r="AB98" s="30"/>
      <c r="AC98" s="30"/>
      <c r="AD98" s="30"/>
      <c r="AE98" s="37"/>
      <c r="AF98" s="72" t="s">
        <v>1336</v>
      </c>
      <c r="AG98" s="31"/>
      <c r="AH98" s="31"/>
      <c r="AI98" s="31"/>
      <c r="AJ98" s="31"/>
      <c r="AK98" s="31"/>
      <c r="AL98" s="31"/>
      <c r="AM98" s="31"/>
      <c r="AN98" s="30"/>
      <c r="AO98" s="30"/>
    </row>
    <row r="99" spans="1:41" ht="38.25" hidden="1" x14ac:dyDescent="0.2">
      <c r="A99" s="22" t="s">
        <v>35</v>
      </c>
      <c r="B99" s="22" t="s">
        <v>616</v>
      </c>
      <c r="C99" s="22"/>
      <c r="D99" s="22" t="s">
        <v>37</v>
      </c>
      <c r="E99" s="22" t="s">
        <v>170</v>
      </c>
      <c r="F99" s="71" t="s">
        <v>933</v>
      </c>
      <c r="G99" s="22"/>
      <c r="H99" s="22"/>
      <c r="I99" s="22" t="s">
        <v>702</v>
      </c>
      <c r="J99" s="22"/>
      <c r="K99" s="22" t="s">
        <v>64</v>
      </c>
      <c r="L99" s="24">
        <v>2022</v>
      </c>
      <c r="M99" s="24"/>
      <c r="N99" s="51" t="e">
        <f>0.007*#REF!</f>
        <v>#REF!</v>
      </c>
      <c r="O99" s="39"/>
      <c r="P99" s="27" t="e">
        <f>N99*O99</f>
        <v>#REF!</v>
      </c>
      <c r="Q99" s="28"/>
      <c r="R99" s="28">
        <f>IF(Q99&lt;4.99,(Q99*12%+4),IF(Q99&lt;10.99,(Q99*12%+8),IF(Q99&lt;14.99,(Q99*12%+12),IF(Q99&lt;879.99,(Q99*12%+16),IF(Q99&lt;2569.99,(Q99*7%+60),240)))))</f>
        <v>4</v>
      </c>
      <c r="S99" s="29" t="e">
        <f>R99*P99</f>
        <v>#REF!</v>
      </c>
      <c r="T99" s="24"/>
      <c r="U99" s="24"/>
      <c r="V99" s="24"/>
      <c r="W99" s="24"/>
      <c r="X99" s="24"/>
      <c r="Y99" s="24"/>
      <c r="Z99" s="22"/>
      <c r="AA99" s="22"/>
      <c r="AB99" s="22"/>
      <c r="AC99" s="22" t="s">
        <v>64</v>
      </c>
      <c r="AD99" s="22"/>
      <c r="AE99" s="22"/>
      <c r="AF99" s="71" t="s">
        <v>703</v>
      </c>
      <c r="AG99" s="24">
        <v>3</v>
      </c>
      <c r="AH99" s="24">
        <v>2</v>
      </c>
      <c r="AI99" s="24">
        <v>1</v>
      </c>
      <c r="AJ99" s="24">
        <v>3</v>
      </c>
      <c r="AK99" s="24"/>
      <c r="AL99" s="24"/>
      <c r="AM99" s="24">
        <v>18</v>
      </c>
      <c r="AN99" s="22"/>
      <c r="AO99" s="22"/>
    </row>
    <row r="100" spans="1:41" s="133" customFormat="1" x14ac:dyDescent="0.2">
      <c r="A100" s="30" t="s">
        <v>35</v>
      </c>
      <c r="B100" s="30" t="s">
        <v>358</v>
      </c>
      <c r="C100" s="30"/>
      <c r="D100" s="30" t="s">
        <v>37</v>
      </c>
      <c r="E100" s="30" t="s">
        <v>170</v>
      </c>
      <c r="F100" s="72"/>
      <c r="G100" s="30"/>
      <c r="H100" s="30"/>
      <c r="I100" s="30" t="s">
        <v>1233</v>
      </c>
      <c r="J100" s="30" t="s">
        <v>1374</v>
      </c>
      <c r="K100" s="30" t="s">
        <v>42</v>
      </c>
      <c r="L100" s="31">
        <v>2023</v>
      </c>
      <c r="M100" s="31"/>
      <c r="N100" s="32"/>
      <c r="O100" s="33"/>
      <c r="P100" s="34">
        <v>30</v>
      </c>
      <c r="Q100" s="35">
        <v>5500</v>
      </c>
      <c r="R100" s="35">
        <v>240</v>
      </c>
      <c r="S100" s="36"/>
      <c r="T100" s="31"/>
      <c r="U100" s="31"/>
      <c r="V100" s="31"/>
      <c r="W100" s="31"/>
      <c r="X100" s="31"/>
      <c r="Y100" s="31"/>
      <c r="Z100" s="132">
        <f>Q100*P100*0.6*12</f>
        <v>1188000</v>
      </c>
      <c r="AA100" s="30"/>
      <c r="AB100" s="30"/>
      <c r="AC100" s="30"/>
      <c r="AD100" s="30"/>
      <c r="AE100" s="30"/>
      <c r="AF100" s="72"/>
      <c r="AG100" s="31"/>
      <c r="AH100" s="31"/>
      <c r="AI100" s="31"/>
      <c r="AJ100" s="31"/>
      <c r="AK100" s="31"/>
      <c r="AL100" s="31"/>
      <c r="AM100" s="31"/>
      <c r="AN100" s="30"/>
      <c r="AO100" s="30"/>
    </row>
    <row r="101" spans="1:41" ht="51" hidden="1" x14ac:dyDescent="0.2">
      <c r="A101" s="30" t="s">
        <v>58</v>
      </c>
      <c r="B101" s="30" t="s">
        <v>59</v>
      </c>
      <c r="C101" s="30"/>
      <c r="D101" s="30" t="s">
        <v>37</v>
      </c>
      <c r="E101" s="30" t="s">
        <v>504</v>
      </c>
      <c r="F101" s="30"/>
      <c r="G101" s="30"/>
      <c r="H101" s="72" t="s">
        <v>968</v>
      </c>
      <c r="I101" s="30" t="s">
        <v>505</v>
      </c>
      <c r="J101" s="30" t="s">
        <v>1166</v>
      </c>
      <c r="K101" s="30" t="s">
        <v>507</v>
      </c>
      <c r="L101" s="31">
        <v>2019</v>
      </c>
      <c r="M101" s="31"/>
      <c r="N101" s="32">
        <v>220</v>
      </c>
      <c r="O101" s="33"/>
      <c r="P101" s="34">
        <f t="shared" ref="P101:P108" si="11">N101*O101</f>
        <v>0</v>
      </c>
      <c r="Q101" s="35"/>
      <c r="R101" s="35">
        <f t="shared" ref="R101:R108" si="12">IF(Q101&lt;4.99,(Q101*12%+4),IF(Q101&lt;10.99,(Q101*12%+8),IF(Q101&lt;14.99,(Q101*12%+12),IF(Q101&lt;879.99,(Q101*12%+16),IF(Q101&lt;2569.99,(Q101*7%+60),240)))))</f>
        <v>4</v>
      </c>
      <c r="S101" s="36">
        <f t="shared" ref="S101:S108" si="13">R101*P101</f>
        <v>0</v>
      </c>
      <c r="T101" s="31"/>
      <c r="U101" s="31"/>
      <c r="V101" s="31"/>
      <c r="W101" s="31"/>
      <c r="X101" s="31"/>
      <c r="Y101" s="31"/>
      <c r="Z101" s="30"/>
      <c r="AA101" s="30"/>
      <c r="AB101" s="30"/>
      <c r="AC101" s="30" t="s">
        <v>42</v>
      </c>
      <c r="AD101" s="30"/>
      <c r="AE101" s="37"/>
      <c r="AF101" s="72" t="s">
        <v>508</v>
      </c>
      <c r="AG101" s="31">
        <v>1</v>
      </c>
      <c r="AH101" s="31">
        <v>2</v>
      </c>
      <c r="AI101" s="31">
        <v>1</v>
      </c>
      <c r="AJ101" s="31">
        <v>3</v>
      </c>
      <c r="AK101" s="31">
        <v>1</v>
      </c>
      <c r="AL101" s="31">
        <v>2</v>
      </c>
      <c r="AM101" s="31">
        <v>12</v>
      </c>
      <c r="AN101" s="30" t="s">
        <v>48</v>
      </c>
      <c r="AO101" s="30"/>
    </row>
    <row r="102" spans="1:41" ht="38.25" hidden="1" x14ac:dyDescent="0.2">
      <c r="A102" s="22" t="s">
        <v>1192</v>
      </c>
      <c r="B102" s="22" t="s">
        <v>719</v>
      </c>
      <c r="C102" s="22"/>
      <c r="D102" s="22" t="s">
        <v>37</v>
      </c>
      <c r="E102" s="22" t="s">
        <v>720</v>
      </c>
      <c r="F102" s="22"/>
      <c r="G102" s="22"/>
      <c r="H102" s="80" t="s">
        <v>992</v>
      </c>
      <c r="I102" s="22" t="s">
        <v>721</v>
      </c>
      <c r="J102" s="22" t="s">
        <v>722</v>
      </c>
      <c r="K102" s="22" t="s">
        <v>723</v>
      </c>
      <c r="L102" s="24">
        <v>2021</v>
      </c>
      <c r="M102" s="24"/>
      <c r="N102" s="51">
        <f>8500000/100000</f>
        <v>85</v>
      </c>
      <c r="O102" s="39"/>
      <c r="P102" s="27">
        <f t="shared" si="11"/>
        <v>0</v>
      </c>
      <c r="Q102" s="28"/>
      <c r="R102" s="28">
        <f t="shared" si="12"/>
        <v>4</v>
      </c>
      <c r="S102" s="29">
        <f t="shared" si="13"/>
        <v>0</v>
      </c>
      <c r="T102" s="24"/>
      <c r="U102" s="24"/>
      <c r="V102" s="24"/>
      <c r="W102" s="24"/>
      <c r="X102" s="24"/>
      <c r="Y102" s="24"/>
      <c r="Z102" s="22"/>
      <c r="AA102" s="22"/>
      <c r="AB102" s="22"/>
      <c r="AC102" s="22" t="s">
        <v>64</v>
      </c>
      <c r="AD102" s="22" t="s">
        <v>182</v>
      </c>
      <c r="AE102" s="40" t="s">
        <v>56</v>
      </c>
      <c r="AF102" s="71" t="s">
        <v>1191</v>
      </c>
      <c r="AG102" s="24">
        <v>1</v>
      </c>
      <c r="AH102" s="24">
        <v>2</v>
      </c>
      <c r="AI102" s="24">
        <v>1</v>
      </c>
      <c r="AJ102" s="24">
        <v>3</v>
      </c>
      <c r="AK102" s="24">
        <v>1</v>
      </c>
      <c r="AL102" s="24">
        <v>2</v>
      </c>
      <c r="AM102" s="24">
        <v>12</v>
      </c>
      <c r="AN102" s="22" t="s">
        <v>48</v>
      </c>
      <c r="AO102" s="22"/>
    </row>
    <row r="103" spans="1:41" x14ac:dyDescent="0.2">
      <c r="A103" s="22" t="s">
        <v>35</v>
      </c>
      <c r="B103" s="22" t="s">
        <v>268</v>
      </c>
      <c r="C103" s="22"/>
      <c r="D103" s="22" t="s">
        <v>37</v>
      </c>
      <c r="E103" s="22" t="s">
        <v>1359</v>
      </c>
      <c r="F103" s="22"/>
      <c r="G103" s="22"/>
      <c r="H103" s="80"/>
      <c r="I103" s="22" t="s">
        <v>1360</v>
      </c>
      <c r="J103" s="22"/>
      <c r="K103" s="22" t="s">
        <v>42</v>
      </c>
      <c r="L103" s="24">
        <v>2024</v>
      </c>
      <c r="M103" s="24"/>
      <c r="N103" s="51"/>
      <c r="O103" s="39"/>
      <c r="P103" s="27">
        <v>50</v>
      </c>
      <c r="Q103" s="28">
        <v>6000</v>
      </c>
      <c r="R103" s="28">
        <v>240</v>
      </c>
      <c r="S103" s="29"/>
      <c r="T103" s="24"/>
      <c r="U103" s="24"/>
      <c r="V103" s="24"/>
      <c r="W103" s="24"/>
      <c r="X103" s="24"/>
      <c r="Y103" s="24"/>
      <c r="Z103" s="22"/>
      <c r="AA103" s="22"/>
      <c r="AB103" s="22"/>
      <c r="AC103" s="22" t="s">
        <v>42</v>
      </c>
      <c r="AD103" s="22"/>
      <c r="AE103" s="40"/>
      <c r="AF103" s="71" t="s">
        <v>1361</v>
      </c>
      <c r="AG103" s="24">
        <v>1</v>
      </c>
      <c r="AH103" s="24">
        <v>3</v>
      </c>
      <c r="AI103" s="24">
        <v>2</v>
      </c>
      <c r="AJ103" s="24">
        <v>3</v>
      </c>
      <c r="AK103" s="24">
        <v>1</v>
      </c>
      <c r="AL103" s="24">
        <v>3</v>
      </c>
      <c r="AM103" s="24">
        <f>AL103*AK103*AJ103*AI103*AH103*AG103</f>
        <v>54</v>
      </c>
      <c r="AN103" s="22"/>
      <c r="AO103" s="40">
        <v>45078</v>
      </c>
    </row>
    <row r="104" spans="1:41" ht="38.25" hidden="1" x14ac:dyDescent="0.2">
      <c r="A104" s="22" t="s">
        <v>35</v>
      </c>
      <c r="B104" s="22" t="s">
        <v>456</v>
      </c>
      <c r="C104" s="22"/>
      <c r="D104" s="22" t="s">
        <v>60</v>
      </c>
      <c r="E104" s="22" t="s">
        <v>457</v>
      </c>
      <c r="F104" s="22"/>
      <c r="G104" s="97" t="s">
        <v>962</v>
      </c>
      <c r="H104" s="22"/>
      <c r="I104" s="22" t="s">
        <v>458</v>
      </c>
      <c r="J104" s="22" t="s">
        <v>459</v>
      </c>
      <c r="K104" s="22" t="s">
        <v>460</v>
      </c>
      <c r="L104" s="24">
        <v>2018</v>
      </c>
      <c r="M104" s="24"/>
      <c r="N104" s="51">
        <f>130/81500000*8500000</f>
        <v>13.558282208588956</v>
      </c>
      <c r="O104" s="39"/>
      <c r="P104" s="27">
        <f t="shared" si="11"/>
        <v>0</v>
      </c>
      <c r="Q104" s="28"/>
      <c r="R104" s="28">
        <f t="shared" si="12"/>
        <v>4</v>
      </c>
      <c r="S104" s="29">
        <f t="shared" si="13"/>
        <v>0</v>
      </c>
      <c r="T104" s="24"/>
      <c r="U104" s="24"/>
      <c r="V104" s="24"/>
      <c r="W104" s="24"/>
      <c r="X104" s="24"/>
      <c r="Y104" s="24"/>
      <c r="Z104" s="22"/>
      <c r="AA104" s="22"/>
      <c r="AB104" s="22"/>
      <c r="AC104" s="22" t="s">
        <v>42</v>
      </c>
      <c r="AD104" s="22"/>
      <c r="AE104" s="40" t="s">
        <v>70</v>
      </c>
      <c r="AF104" s="71" t="s">
        <v>461</v>
      </c>
      <c r="AG104" s="24">
        <v>1</v>
      </c>
      <c r="AH104" s="24">
        <v>1</v>
      </c>
      <c r="AI104" s="24">
        <v>1</v>
      </c>
      <c r="AJ104" s="24">
        <v>3</v>
      </c>
      <c r="AK104" s="24">
        <v>1</v>
      </c>
      <c r="AL104" s="24">
        <v>2</v>
      </c>
      <c r="AM104" s="24">
        <v>6</v>
      </c>
      <c r="AN104" s="22" t="s">
        <v>48</v>
      </c>
      <c r="AO104" s="22"/>
    </row>
    <row r="105" spans="1:41" ht="38.25" hidden="1" x14ac:dyDescent="0.2">
      <c r="A105" s="22" t="s">
        <v>35</v>
      </c>
      <c r="B105" s="22" t="s">
        <v>744</v>
      </c>
      <c r="C105" s="22"/>
      <c r="D105" s="22" t="s">
        <v>37</v>
      </c>
      <c r="E105" s="22" t="s">
        <v>457</v>
      </c>
      <c r="F105" s="22"/>
      <c r="G105" s="97" t="s">
        <v>962</v>
      </c>
      <c r="H105" s="22"/>
      <c r="I105" s="22" t="s">
        <v>745</v>
      </c>
      <c r="J105" s="22" t="s">
        <v>746</v>
      </c>
      <c r="K105" s="22" t="s">
        <v>42</v>
      </c>
      <c r="L105" s="24">
        <v>2018</v>
      </c>
      <c r="M105" s="24"/>
      <c r="N105" s="51">
        <v>990</v>
      </c>
      <c r="O105" s="39"/>
      <c r="P105" s="27">
        <f t="shared" si="11"/>
        <v>0</v>
      </c>
      <c r="Q105" s="28"/>
      <c r="R105" s="28">
        <f t="shared" si="12"/>
        <v>4</v>
      </c>
      <c r="S105" s="29">
        <f t="shared" si="13"/>
        <v>0</v>
      </c>
      <c r="T105" s="24"/>
      <c r="U105" s="24"/>
      <c r="V105" s="24"/>
      <c r="W105" s="24"/>
      <c r="X105" s="24"/>
      <c r="Y105" s="24"/>
      <c r="Z105" s="22"/>
      <c r="AA105" s="22"/>
      <c r="AB105" s="22"/>
      <c r="AC105" s="22" t="s">
        <v>42</v>
      </c>
      <c r="AD105" s="22" t="s">
        <v>43</v>
      </c>
      <c r="AE105" s="40" t="s">
        <v>56</v>
      </c>
      <c r="AF105" s="71" t="s">
        <v>747</v>
      </c>
      <c r="AG105" s="24">
        <v>1</v>
      </c>
      <c r="AH105" s="24">
        <v>2</v>
      </c>
      <c r="AI105" s="24">
        <v>2</v>
      </c>
      <c r="AJ105" s="24">
        <v>2</v>
      </c>
      <c r="AK105" s="24">
        <v>1</v>
      </c>
      <c r="AL105" s="24">
        <v>2</v>
      </c>
      <c r="AM105" s="24">
        <v>16</v>
      </c>
      <c r="AN105" s="22" t="s">
        <v>48</v>
      </c>
      <c r="AO105" s="22"/>
    </row>
    <row r="106" spans="1:41" ht="38.25" x14ac:dyDescent="0.2">
      <c r="A106" s="30" t="s">
        <v>58</v>
      </c>
      <c r="B106" s="30" t="s">
        <v>133</v>
      </c>
      <c r="C106" s="30"/>
      <c r="D106" s="30" t="s">
        <v>98</v>
      </c>
      <c r="E106" s="30" t="s">
        <v>134</v>
      </c>
      <c r="F106" s="30"/>
      <c r="G106" s="30"/>
      <c r="H106" s="72" t="s">
        <v>930</v>
      </c>
      <c r="I106" s="30" t="s">
        <v>135</v>
      </c>
      <c r="J106" s="30"/>
      <c r="K106" s="30" t="s">
        <v>64</v>
      </c>
      <c r="L106" s="31">
        <v>2024</v>
      </c>
      <c r="M106" s="31"/>
      <c r="N106" s="32">
        <f>8500000/100000*20</f>
        <v>1700</v>
      </c>
      <c r="O106" s="33"/>
      <c r="P106" s="34">
        <f t="shared" si="11"/>
        <v>0</v>
      </c>
      <c r="Q106" s="35"/>
      <c r="R106" s="35">
        <f t="shared" si="12"/>
        <v>4</v>
      </c>
      <c r="S106" s="36">
        <f t="shared" si="13"/>
        <v>0</v>
      </c>
      <c r="T106" s="31"/>
      <c r="U106" s="31"/>
      <c r="V106" s="31"/>
      <c r="W106" s="31"/>
      <c r="X106" s="31"/>
      <c r="Y106" s="31"/>
      <c r="Z106" s="30"/>
      <c r="AA106" s="30"/>
      <c r="AB106" s="30"/>
      <c r="AC106" s="30" t="s">
        <v>64</v>
      </c>
      <c r="AD106" s="30"/>
      <c r="AE106" s="30" t="s">
        <v>56</v>
      </c>
      <c r="AF106" s="72" t="s">
        <v>1342</v>
      </c>
      <c r="AG106" s="31">
        <v>1</v>
      </c>
      <c r="AH106" s="31">
        <v>2</v>
      </c>
      <c r="AI106" s="31">
        <v>1</v>
      </c>
      <c r="AJ106" s="31">
        <v>3</v>
      </c>
      <c r="AK106" s="31">
        <v>3</v>
      </c>
      <c r="AL106" s="31">
        <v>1</v>
      </c>
      <c r="AM106" s="31">
        <v>18</v>
      </c>
      <c r="AN106" s="30" t="s">
        <v>48</v>
      </c>
      <c r="AO106" s="30"/>
    </row>
    <row r="107" spans="1:41" ht="38.25" hidden="1" x14ac:dyDescent="0.2">
      <c r="A107" s="22" t="s">
        <v>86</v>
      </c>
      <c r="B107" s="22" t="s">
        <v>105</v>
      </c>
      <c r="C107" s="22"/>
      <c r="D107" s="22" t="s">
        <v>98</v>
      </c>
      <c r="E107" s="22" t="s">
        <v>540</v>
      </c>
      <c r="F107" s="80" t="s">
        <v>971</v>
      </c>
      <c r="G107" s="22"/>
      <c r="H107" s="22"/>
      <c r="I107" s="22" t="s">
        <v>541</v>
      </c>
      <c r="J107" s="22"/>
      <c r="K107" s="22" t="s">
        <v>42</v>
      </c>
      <c r="L107" s="24">
        <v>2021</v>
      </c>
      <c r="M107" s="24"/>
      <c r="N107" s="38">
        <f>8000000*0.04</f>
        <v>320000</v>
      </c>
      <c r="O107" s="39"/>
      <c r="P107" s="27">
        <f t="shared" si="11"/>
        <v>0</v>
      </c>
      <c r="Q107" s="28"/>
      <c r="R107" s="28">
        <f t="shared" si="12"/>
        <v>4</v>
      </c>
      <c r="S107" s="29">
        <f t="shared" si="13"/>
        <v>0</v>
      </c>
      <c r="T107" s="24"/>
      <c r="U107" s="24"/>
      <c r="V107" s="24"/>
      <c r="W107" s="24"/>
      <c r="X107" s="24"/>
      <c r="Y107" s="24"/>
      <c r="Z107" s="22"/>
      <c r="AA107" s="22"/>
      <c r="AB107" s="22"/>
      <c r="AC107" s="22" t="s">
        <v>42</v>
      </c>
      <c r="AD107" s="22" t="s">
        <v>43</v>
      </c>
      <c r="AE107" s="22"/>
      <c r="AF107" s="71" t="s">
        <v>542</v>
      </c>
      <c r="AG107" s="24">
        <v>2</v>
      </c>
      <c r="AH107" s="24">
        <v>2</v>
      </c>
      <c r="AI107" s="24">
        <v>2</v>
      </c>
      <c r="AJ107" s="24">
        <v>1</v>
      </c>
      <c r="AK107" s="24">
        <v>2</v>
      </c>
      <c r="AL107" s="24">
        <v>1</v>
      </c>
      <c r="AM107" s="24">
        <v>16</v>
      </c>
      <c r="AN107" s="22" t="s">
        <v>45</v>
      </c>
      <c r="AO107" s="40">
        <v>43556</v>
      </c>
    </row>
    <row r="108" spans="1:41" ht="38.25" hidden="1" x14ac:dyDescent="0.2">
      <c r="A108" s="22" t="s">
        <v>58</v>
      </c>
      <c r="B108" s="22" t="s">
        <v>122</v>
      </c>
      <c r="C108" s="22"/>
      <c r="D108" s="22" t="s">
        <v>37</v>
      </c>
      <c r="E108" s="22" t="s">
        <v>798</v>
      </c>
      <c r="F108" s="22"/>
      <c r="G108" s="22"/>
      <c r="H108" s="78" t="s">
        <v>1000</v>
      </c>
      <c r="I108" s="22"/>
      <c r="J108" s="22" t="s">
        <v>799</v>
      </c>
      <c r="K108" s="22" t="s">
        <v>64</v>
      </c>
      <c r="L108" s="24">
        <v>2022</v>
      </c>
      <c r="M108" s="24"/>
      <c r="N108" s="38">
        <f>0.025*8000000</f>
        <v>200000</v>
      </c>
      <c r="O108" s="39"/>
      <c r="P108" s="27">
        <f t="shared" si="11"/>
        <v>0</v>
      </c>
      <c r="Q108" s="28"/>
      <c r="R108" s="28">
        <f t="shared" si="12"/>
        <v>4</v>
      </c>
      <c r="S108" s="29">
        <f t="shared" si="13"/>
        <v>0</v>
      </c>
      <c r="T108" s="24"/>
      <c r="U108" s="24"/>
      <c r="V108" s="24"/>
      <c r="W108" s="24"/>
      <c r="X108" s="24"/>
      <c r="Y108" s="24"/>
      <c r="Z108" s="22"/>
      <c r="AA108" s="22"/>
      <c r="AB108" s="22"/>
      <c r="AC108" s="22" t="s">
        <v>64</v>
      </c>
      <c r="AD108" s="22"/>
      <c r="AE108" s="22"/>
      <c r="AF108" s="71" t="s">
        <v>800</v>
      </c>
      <c r="AG108" s="24">
        <v>1</v>
      </c>
      <c r="AH108" s="24">
        <v>3</v>
      </c>
      <c r="AI108" s="24">
        <v>1</v>
      </c>
      <c r="AJ108" s="24">
        <v>3</v>
      </c>
      <c r="AK108" s="24">
        <v>1</v>
      </c>
      <c r="AL108" s="24">
        <v>2</v>
      </c>
      <c r="AM108" s="24">
        <v>18</v>
      </c>
      <c r="AN108" s="22" t="s">
        <v>48</v>
      </c>
      <c r="AO108" s="22"/>
    </row>
    <row r="109" spans="1:41" s="129" customFormat="1" ht="38.25" hidden="1" x14ac:dyDescent="0.2">
      <c r="A109" s="22" t="s">
        <v>35</v>
      </c>
      <c r="B109" s="22" t="s">
        <v>642</v>
      </c>
      <c r="C109" s="22"/>
      <c r="D109" s="65" t="s">
        <v>60</v>
      </c>
      <c r="E109" s="88" t="s">
        <v>88</v>
      </c>
      <c r="F109" s="80" t="s">
        <v>913</v>
      </c>
      <c r="G109" s="88"/>
      <c r="H109" s="88"/>
      <c r="I109" s="65" t="s">
        <v>831</v>
      </c>
      <c r="J109" s="22"/>
      <c r="K109" s="22" t="s">
        <v>42</v>
      </c>
      <c r="L109" s="24">
        <v>2022</v>
      </c>
      <c r="M109" s="24"/>
      <c r="N109" s="38"/>
      <c r="O109" s="39"/>
      <c r="P109" s="27"/>
      <c r="Q109" s="28"/>
      <c r="R109" s="28"/>
      <c r="S109" s="29"/>
      <c r="T109" s="24"/>
      <c r="U109" s="24"/>
      <c r="V109" s="24"/>
      <c r="W109" s="24"/>
      <c r="X109" s="24"/>
      <c r="Y109" s="24"/>
      <c r="Z109" s="22"/>
      <c r="AA109" s="22"/>
      <c r="AB109" s="22"/>
      <c r="AC109" s="22" t="s">
        <v>42</v>
      </c>
      <c r="AD109" s="22"/>
      <c r="AE109" s="41"/>
      <c r="AF109" s="67" t="s">
        <v>194</v>
      </c>
      <c r="AG109" s="24">
        <v>1</v>
      </c>
      <c r="AH109" s="24">
        <v>1</v>
      </c>
      <c r="AI109" s="24">
        <v>2</v>
      </c>
      <c r="AJ109" s="24">
        <v>3</v>
      </c>
      <c r="AK109" s="24">
        <v>1</v>
      </c>
      <c r="AL109" s="24">
        <v>2</v>
      </c>
      <c r="AM109" s="24">
        <v>12</v>
      </c>
      <c r="AN109" s="22" t="s">
        <v>48</v>
      </c>
      <c r="AO109" s="69"/>
    </row>
    <row r="110" spans="1:41" ht="38.25" x14ac:dyDescent="0.2">
      <c r="A110" s="22" t="s">
        <v>58</v>
      </c>
      <c r="B110" s="22" t="s">
        <v>829</v>
      </c>
      <c r="C110" s="22"/>
      <c r="D110" s="65"/>
      <c r="E110" s="88" t="s">
        <v>88</v>
      </c>
      <c r="F110" s="80" t="s">
        <v>913</v>
      </c>
      <c r="G110" s="88"/>
      <c r="H110" s="88"/>
      <c r="I110" s="65" t="s">
        <v>830</v>
      </c>
      <c r="J110" s="22"/>
      <c r="K110" s="22" t="s">
        <v>42</v>
      </c>
      <c r="L110" s="24">
        <v>2023</v>
      </c>
      <c r="M110" s="24"/>
      <c r="N110" s="38"/>
      <c r="O110" s="39"/>
      <c r="P110" s="27"/>
      <c r="Q110" s="28"/>
      <c r="R110" s="28"/>
      <c r="S110" s="29"/>
      <c r="T110" s="24"/>
      <c r="U110" s="24"/>
      <c r="V110" s="24"/>
      <c r="W110" s="24"/>
      <c r="X110" s="24"/>
      <c r="Y110" s="24"/>
      <c r="Z110" s="22"/>
      <c r="AA110" s="22"/>
      <c r="AB110" s="22"/>
      <c r="AC110" s="22" t="s">
        <v>42</v>
      </c>
      <c r="AD110" s="22"/>
      <c r="AE110" s="41"/>
      <c r="AF110" s="67"/>
      <c r="AG110" s="24"/>
      <c r="AH110" s="24"/>
      <c r="AI110" s="24"/>
      <c r="AJ110" s="24"/>
      <c r="AK110" s="24"/>
      <c r="AL110" s="24"/>
      <c r="AM110" s="24">
        <v>0</v>
      </c>
      <c r="AN110" s="22"/>
      <c r="AO110" s="69"/>
    </row>
    <row r="111" spans="1:41" ht="38.25" hidden="1" x14ac:dyDescent="0.2">
      <c r="A111" s="22" t="s">
        <v>47</v>
      </c>
      <c r="B111" s="22" t="s">
        <v>827</v>
      </c>
      <c r="C111" s="22"/>
      <c r="D111" s="65" t="s">
        <v>37</v>
      </c>
      <c r="E111" s="88" t="s">
        <v>88</v>
      </c>
      <c r="F111" s="80" t="s">
        <v>913</v>
      </c>
      <c r="G111" s="88"/>
      <c r="H111" s="88"/>
      <c r="I111" s="65" t="s">
        <v>828</v>
      </c>
      <c r="J111" s="22"/>
      <c r="K111" s="22" t="s">
        <v>42</v>
      </c>
      <c r="L111" s="24">
        <v>2022</v>
      </c>
      <c r="M111" s="24"/>
      <c r="N111" s="38"/>
      <c r="O111" s="39"/>
      <c r="P111" s="27"/>
      <c r="Q111" s="28"/>
      <c r="R111" s="28"/>
      <c r="S111" s="29"/>
      <c r="T111" s="24"/>
      <c r="U111" s="24"/>
      <c r="V111" s="24"/>
      <c r="W111" s="24"/>
      <c r="X111" s="24"/>
      <c r="Y111" s="24"/>
      <c r="Z111" s="22"/>
      <c r="AA111" s="22"/>
      <c r="AB111" s="22"/>
      <c r="AC111" s="22" t="s">
        <v>42</v>
      </c>
      <c r="AD111" s="22"/>
      <c r="AE111" s="41"/>
      <c r="AF111" s="67"/>
      <c r="AG111" s="24"/>
      <c r="AH111" s="24"/>
      <c r="AI111" s="24"/>
      <c r="AJ111" s="24"/>
      <c r="AK111" s="24"/>
      <c r="AL111" s="24"/>
      <c r="AM111" s="24">
        <v>0</v>
      </c>
      <c r="AN111" s="22"/>
      <c r="AO111" s="69"/>
    </row>
    <row r="112" spans="1:41" hidden="1" x14ac:dyDescent="0.2">
      <c r="A112" s="13" t="s">
        <v>86</v>
      </c>
      <c r="B112" s="13" t="s">
        <v>1238</v>
      </c>
      <c r="C112" s="13"/>
      <c r="D112" s="13" t="s">
        <v>37</v>
      </c>
      <c r="E112" s="13" t="s">
        <v>1351</v>
      </c>
      <c r="F112" s="70"/>
      <c r="G112" s="13"/>
      <c r="H112" s="13"/>
      <c r="I112" s="13" t="s">
        <v>89</v>
      </c>
      <c r="J112" s="13" t="s">
        <v>1353</v>
      </c>
      <c r="K112" s="13" t="s">
        <v>42</v>
      </c>
      <c r="L112" s="14">
        <v>2020</v>
      </c>
      <c r="M112" s="14"/>
      <c r="N112" s="15">
        <v>16000</v>
      </c>
      <c r="O112" s="16"/>
      <c r="P112" s="17">
        <v>100</v>
      </c>
      <c r="Q112" s="18">
        <v>1300</v>
      </c>
      <c r="R112" s="18">
        <f>IF(Q112&lt;4.99,(Q112*12%+4),IF(Q112&lt;10.99,(Q112*12%+8),IF(Q112&lt;14.99,(Q112*12%+12),IF(Q112&lt;879.99,(Q112*12%+16),IF(Q112&lt;2569.99,(Q112*7%+60),240)))))</f>
        <v>151</v>
      </c>
      <c r="S112" s="19">
        <f>R112*P112</f>
        <v>15100</v>
      </c>
      <c r="T112" s="14"/>
      <c r="U112" s="14"/>
      <c r="V112" s="14"/>
      <c r="W112" s="14"/>
      <c r="X112" s="14"/>
      <c r="Y112" s="14"/>
      <c r="Z112" s="13"/>
      <c r="AA112" s="13"/>
      <c r="AB112" s="13"/>
      <c r="AC112" s="13" t="s">
        <v>42</v>
      </c>
      <c r="AD112" s="13"/>
      <c r="AE112" s="20"/>
      <c r="AF112" s="70" t="s">
        <v>1352</v>
      </c>
      <c r="AG112" s="14">
        <v>1</v>
      </c>
      <c r="AH112" s="14">
        <v>3</v>
      </c>
      <c r="AI112" s="14">
        <v>2</v>
      </c>
      <c r="AJ112" s="14">
        <v>1</v>
      </c>
      <c r="AK112" s="14">
        <v>2</v>
      </c>
      <c r="AL112" s="14">
        <v>2</v>
      </c>
      <c r="AM112" s="14">
        <v>24</v>
      </c>
      <c r="AN112" s="13" t="s">
        <v>48</v>
      </c>
      <c r="AO112" s="13"/>
    </row>
    <row r="113" spans="1:42" x14ac:dyDescent="0.2">
      <c r="A113" s="13" t="s">
        <v>47</v>
      </c>
      <c r="B113" s="13" t="s">
        <v>1343</v>
      </c>
      <c r="C113" s="13"/>
      <c r="D113" s="13" t="s">
        <v>98</v>
      </c>
      <c r="E113" s="13" t="s">
        <v>88</v>
      </c>
      <c r="F113" s="70"/>
      <c r="G113" s="13"/>
      <c r="H113" s="13"/>
      <c r="I113" s="13" t="s">
        <v>1344</v>
      </c>
      <c r="J113" s="13" t="s">
        <v>1345</v>
      </c>
      <c r="K113" s="13" t="s">
        <v>834</v>
      </c>
      <c r="L113" s="14">
        <v>2023</v>
      </c>
      <c r="M113" s="14"/>
      <c r="N113" s="15">
        <v>10</v>
      </c>
      <c r="O113" s="16"/>
      <c r="P113" s="17">
        <v>5</v>
      </c>
      <c r="Q113" s="18">
        <v>14000</v>
      </c>
      <c r="R113" s="18">
        <v>240</v>
      </c>
      <c r="S113" s="19"/>
      <c r="T113" s="14"/>
      <c r="U113" s="14"/>
      <c r="V113" s="14"/>
      <c r="W113" s="14"/>
      <c r="X113" s="14"/>
      <c r="Y113" s="14"/>
      <c r="Z113" s="13"/>
      <c r="AA113" s="13"/>
      <c r="AB113" s="13"/>
      <c r="AC113" s="13" t="s">
        <v>42</v>
      </c>
      <c r="AD113" s="13"/>
      <c r="AE113" s="20"/>
      <c r="AF113" s="70" t="s">
        <v>1346</v>
      </c>
      <c r="AG113" s="14">
        <v>1</v>
      </c>
      <c r="AH113" s="14">
        <v>1</v>
      </c>
      <c r="AI113" s="14">
        <v>2</v>
      </c>
      <c r="AJ113" s="14">
        <v>3</v>
      </c>
      <c r="AK113" s="14">
        <v>2</v>
      </c>
      <c r="AL113" s="14">
        <v>2</v>
      </c>
      <c r="AM113" s="14">
        <f>AL113*AK113*AJ113*AI113*AH113*AG113</f>
        <v>24</v>
      </c>
      <c r="AN113" s="13" t="s">
        <v>45</v>
      </c>
      <c r="AO113" s="13"/>
    </row>
    <row r="114" spans="1:42" ht="38.25" hidden="1" x14ac:dyDescent="0.2">
      <c r="A114" s="22" t="s">
        <v>35</v>
      </c>
      <c r="B114" s="22" t="s">
        <v>211</v>
      </c>
      <c r="C114" s="22"/>
      <c r="D114" s="22" t="s">
        <v>60</v>
      </c>
      <c r="E114" s="22" t="s">
        <v>88</v>
      </c>
      <c r="F114" s="71" t="s">
        <v>913</v>
      </c>
      <c r="G114" s="22"/>
      <c r="H114" s="22"/>
      <c r="I114" s="22" t="s">
        <v>212</v>
      </c>
      <c r="J114" s="22"/>
      <c r="K114" s="22" t="s">
        <v>42</v>
      </c>
      <c r="L114" s="24">
        <v>2020</v>
      </c>
      <c r="M114" s="24"/>
      <c r="N114" s="38">
        <f>8500000/100000*150</f>
        <v>12750</v>
      </c>
      <c r="O114" s="39"/>
      <c r="P114" s="27">
        <f>N114*O114</f>
        <v>0</v>
      </c>
      <c r="Q114" s="28"/>
      <c r="R114" s="28">
        <f>IF(Q114&lt;4.99,(Q114*12%+4),IF(Q114&lt;10.99,(Q114*12%+8),IF(Q114&lt;14.99,(Q114*12%+12),IF(Q114&lt;879.99,(Q114*12%+16),IF(Q114&lt;2569.99,(Q114*7%+60),240)))))</f>
        <v>4</v>
      </c>
      <c r="S114" s="29">
        <f>R114*P114</f>
        <v>0</v>
      </c>
      <c r="T114" s="24"/>
      <c r="U114" s="24"/>
      <c r="V114" s="24"/>
      <c r="W114" s="24"/>
      <c r="X114" s="24"/>
      <c r="Y114" s="24"/>
      <c r="Z114" s="22"/>
      <c r="AA114" s="22"/>
      <c r="AB114" s="22"/>
      <c r="AC114" s="22" t="s">
        <v>42</v>
      </c>
      <c r="AD114" s="22" t="s">
        <v>182</v>
      </c>
      <c r="AE114" s="40" t="s">
        <v>213</v>
      </c>
      <c r="AF114" s="71" t="s">
        <v>214</v>
      </c>
      <c r="AG114" s="24">
        <v>1</v>
      </c>
      <c r="AH114" s="24">
        <v>2</v>
      </c>
      <c r="AI114" s="24">
        <v>2</v>
      </c>
      <c r="AJ114" s="24">
        <v>3</v>
      </c>
      <c r="AK114" s="24">
        <v>1</v>
      </c>
      <c r="AL114" s="24">
        <v>2</v>
      </c>
      <c r="AM114" s="24">
        <v>24</v>
      </c>
      <c r="AN114" s="22" t="s">
        <v>45</v>
      </c>
      <c r="AO114" s="22"/>
    </row>
    <row r="115" spans="1:42" s="133" customFormat="1" hidden="1" x14ac:dyDescent="0.2">
      <c r="A115" s="30" t="s">
        <v>47</v>
      </c>
      <c r="B115" s="30" t="s">
        <v>1317</v>
      </c>
      <c r="C115" s="30"/>
      <c r="D115" s="30" t="s">
        <v>37</v>
      </c>
      <c r="E115" s="30" t="s">
        <v>706</v>
      </c>
      <c r="F115" s="72"/>
      <c r="G115" s="30"/>
      <c r="H115" s="30"/>
      <c r="I115" s="30" t="s">
        <v>1321</v>
      </c>
      <c r="J115" s="30"/>
      <c r="K115" s="30" t="s">
        <v>42</v>
      </c>
      <c r="L115" s="31">
        <v>2026</v>
      </c>
      <c r="M115" s="31"/>
      <c r="N115" s="32"/>
      <c r="O115" s="33"/>
      <c r="P115" s="34"/>
      <c r="Q115" s="35"/>
      <c r="R115" s="35"/>
      <c r="S115" s="36"/>
      <c r="T115" s="31"/>
      <c r="U115" s="31"/>
      <c r="V115" s="31"/>
      <c r="W115" s="31"/>
      <c r="X115" s="31"/>
      <c r="Y115" s="31"/>
      <c r="Z115" s="30"/>
      <c r="AA115" s="30"/>
      <c r="AB115" s="30"/>
      <c r="AC115" s="30"/>
      <c r="AD115" s="30"/>
      <c r="AE115" s="37"/>
      <c r="AF115" s="72"/>
      <c r="AG115" s="31"/>
      <c r="AH115" s="31"/>
      <c r="AI115" s="31"/>
      <c r="AJ115" s="31"/>
      <c r="AK115" s="31"/>
      <c r="AL115" s="31"/>
      <c r="AM115" s="31"/>
      <c r="AN115" s="30"/>
      <c r="AO115" s="30"/>
    </row>
    <row r="116" spans="1:42" ht="38.25" hidden="1" x14ac:dyDescent="0.2">
      <c r="A116" s="22" t="s">
        <v>35</v>
      </c>
      <c r="B116" s="22" t="s">
        <v>100</v>
      </c>
      <c r="C116" s="22"/>
      <c r="D116" s="65" t="s">
        <v>60</v>
      </c>
      <c r="E116" s="88" t="s">
        <v>706</v>
      </c>
      <c r="F116" s="78" t="s">
        <v>912</v>
      </c>
      <c r="G116" s="88"/>
      <c r="H116" s="88"/>
      <c r="I116" s="65" t="s">
        <v>832</v>
      </c>
      <c r="J116" s="22" t="s">
        <v>833</v>
      </c>
      <c r="K116" s="22" t="s">
        <v>834</v>
      </c>
      <c r="L116" s="24">
        <v>2021</v>
      </c>
      <c r="M116" s="24"/>
      <c r="N116" s="38"/>
      <c r="O116" s="39"/>
      <c r="P116" s="27"/>
      <c r="Q116" s="28"/>
      <c r="R116" s="28"/>
      <c r="S116" s="29"/>
      <c r="T116" s="24"/>
      <c r="U116" s="24"/>
      <c r="V116" s="24"/>
      <c r="W116" s="24"/>
      <c r="X116" s="24"/>
      <c r="Y116" s="24"/>
      <c r="Z116" s="22"/>
      <c r="AA116" s="22"/>
      <c r="AB116" s="22"/>
      <c r="AC116" s="22" t="s">
        <v>42</v>
      </c>
      <c r="AD116" s="22"/>
      <c r="AE116" s="41"/>
      <c r="AF116" s="67"/>
      <c r="AG116" s="24"/>
      <c r="AH116" s="24"/>
      <c r="AI116" s="24"/>
      <c r="AJ116" s="24"/>
      <c r="AK116" s="24"/>
      <c r="AL116" s="24"/>
      <c r="AM116" s="24">
        <v>0</v>
      </c>
      <c r="AN116" s="22"/>
      <c r="AO116" s="69"/>
    </row>
    <row r="117" spans="1:42" x14ac:dyDescent="0.2">
      <c r="A117" s="30" t="s">
        <v>47</v>
      </c>
      <c r="B117" s="30" t="s">
        <v>1136</v>
      </c>
      <c r="C117" s="30"/>
      <c r="D117" s="30" t="s">
        <v>37</v>
      </c>
      <c r="E117" s="30" t="s">
        <v>706</v>
      </c>
      <c r="F117" s="72"/>
      <c r="G117" s="30"/>
      <c r="H117" s="106"/>
      <c r="I117" s="30" t="s">
        <v>1137</v>
      </c>
      <c r="J117" s="30" t="s">
        <v>1138</v>
      </c>
      <c r="K117" s="30"/>
      <c r="L117" s="31">
        <v>2023</v>
      </c>
      <c r="M117" s="31"/>
      <c r="N117" s="32"/>
      <c r="O117" s="33"/>
      <c r="P117" s="34"/>
      <c r="Q117" s="35"/>
      <c r="R117" s="35"/>
      <c r="S117" s="36"/>
      <c r="T117" s="31"/>
      <c r="U117" s="31"/>
      <c r="V117" s="31"/>
      <c r="W117" s="31"/>
      <c r="X117" s="31"/>
      <c r="Y117" s="31"/>
      <c r="Z117" s="30"/>
      <c r="AA117" s="30"/>
      <c r="AB117" s="30"/>
      <c r="AC117" s="30"/>
      <c r="AD117" s="30"/>
      <c r="AE117" s="30"/>
      <c r="AF117" s="72"/>
      <c r="AG117" s="31"/>
      <c r="AH117" s="31"/>
      <c r="AI117" s="31"/>
      <c r="AJ117" s="31"/>
      <c r="AK117" s="31"/>
      <c r="AL117" s="31"/>
      <c r="AM117" s="31"/>
      <c r="AN117" s="30"/>
      <c r="AO117" s="30"/>
    </row>
    <row r="118" spans="1:42" ht="25.5" x14ac:dyDescent="0.2">
      <c r="A118" s="30" t="s">
        <v>35</v>
      </c>
      <c r="B118" s="30" t="s">
        <v>82</v>
      </c>
      <c r="C118" s="30"/>
      <c r="D118" s="30" t="s">
        <v>37</v>
      </c>
      <c r="E118" s="30" t="s">
        <v>706</v>
      </c>
      <c r="F118" s="72"/>
      <c r="G118" s="30"/>
      <c r="H118" s="106"/>
      <c r="I118" s="30" t="s">
        <v>1218</v>
      </c>
      <c r="J118" s="30" t="s">
        <v>1399</v>
      </c>
      <c r="K118" s="30" t="s">
        <v>63</v>
      </c>
      <c r="L118" s="31">
        <v>2023</v>
      </c>
      <c r="M118" s="31"/>
      <c r="N118" s="32">
        <v>85</v>
      </c>
      <c r="O118" s="33">
        <v>0.2</v>
      </c>
      <c r="P118" s="34">
        <v>15</v>
      </c>
      <c r="Q118" s="35">
        <v>5000</v>
      </c>
      <c r="R118" s="35">
        <v>240</v>
      </c>
      <c r="S118" s="36"/>
      <c r="T118" s="31"/>
      <c r="U118" s="31"/>
      <c r="V118" s="31"/>
      <c r="W118" s="31"/>
      <c r="X118" s="31"/>
      <c r="Y118" s="31"/>
      <c r="Z118" s="30"/>
      <c r="AA118" s="30"/>
      <c r="AB118" s="30"/>
      <c r="AC118" s="30" t="s">
        <v>42</v>
      </c>
      <c r="AD118" s="30"/>
      <c r="AE118" s="30"/>
      <c r="AF118" s="72" t="s">
        <v>1400</v>
      </c>
      <c r="AG118" s="31">
        <v>2</v>
      </c>
      <c r="AH118" s="31">
        <v>2</v>
      </c>
      <c r="AI118" s="31">
        <v>2</v>
      </c>
      <c r="AJ118" s="31">
        <v>3</v>
      </c>
      <c r="AK118" s="31">
        <v>1</v>
      </c>
      <c r="AL118" s="31">
        <v>2</v>
      </c>
      <c r="AM118" s="31">
        <f>AL118*AK118*AJ118*AI118*AH118*AG118</f>
        <v>48</v>
      </c>
      <c r="AN118" s="30" t="s">
        <v>45</v>
      </c>
      <c r="AO118" s="37">
        <v>44805</v>
      </c>
    </row>
    <row r="119" spans="1:42" ht="38.25" hidden="1" x14ac:dyDescent="0.2">
      <c r="A119" s="13" t="s">
        <v>35</v>
      </c>
      <c r="B119" s="13" t="s">
        <v>78</v>
      </c>
      <c r="C119" s="13"/>
      <c r="D119" s="13" t="s">
        <v>60</v>
      </c>
      <c r="E119" s="13" t="s">
        <v>79</v>
      </c>
      <c r="F119" s="70" t="s">
        <v>912</v>
      </c>
      <c r="G119" s="13"/>
      <c r="H119" s="108"/>
      <c r="I119" s="13" t="s">
        <v>80</v>
      </c>
      <c r="J119" s="13" t="s">
        <v>1125</v>
      </c>
      <c r="K119" s="13" t="s">
        <v>42</v>
      </c>
      <c r="L119" s="14">
        <v>2021</v>
      </c>
      <c r="M119" s="14"/>
      <c r="N119" s="15">
        <v>600</v>
      </c>
      <c r="O119" s="16"/>
      <c r="P119" s="17">
        <f t="shared" ref="P119:P126" si="14">N119*O119</f>
        <v>0</v>
      </c>
      <c r="Q119" s="18"/>
      <c r="R119" s="18">
        <f t="shared" ref="R119:R126" si="15">IF(Q119&lt;4.99,(Q119*12%+4),IF(Q119&lt;10.99,(Q119*12%+8),IF(Q119&lt;14.99,(Q119*12%+12),IF(Q119&lt;879.99,(Q119*12%+16),IF(Q119&lt;2569.99,(Q119*7%+60),240)))))</f>
        <v>4</v>
      </c>
      <c r="S119" s="19">
        <f t="shared" ref="S119:S126" si="16">R119*P119</f>
        <v>0</v>
      </c>
      <c r="T119" s="14"/>
      <c r="U119" s="14"/>
      <c r="V119" s="14"/>
      <c r="W119" s="14"/>
      <c r="X119" s="14"/>
      <c r="Y119" s="14"/>
      <c r="Z119" s="13"/>
      <c r="AA119" s="13"/>
      <c r="AB119" s="13"/>
      <c r="AC119" s="13" t="s">
        <v>201</v>
      </c>
      <c r="AD119" s="13"/>
      <c r="AE119" s="13"/>
      <c r="AF119" s="70" t="s">
        <v>81</v>
      </c>
      <c r="AG119" s="14">
        <v>3</v>
      </c>
      <c r="AH119" s="14">
        <v>2</v>
      </c>
      <c r="AI119" s="14">
        <v>1</v>
      </c>
      <c r="AJ119" s="14">
        <v>3</v>
      </c>
      <c r="AK119" s="14">
        <v>1</v>
      </c>
      <c r="AL119" s="14">
        <v>2</v>
      </c>
      <c r="AM119" s="14">
        <v>36</v>
      </c>
      <c r="AN119" s="13" t="s">
        <v>45</v>
      </c>
      <c r="AO119" s="13"/>
    </row>
    <row r="120" spans="1:42" ht="38.25" hidden="1" x14ac:dyDescent="0.2">
      <c r="A120" s="22" t="s">
        <v>58</v>
      </c>
      <c r="B120" s="23" t="s">
        <v>287</v>
      </c>
      <c r="C120" s="22"/>
      <c r="D120" s="23" t="s">
        <v>37</v>
      </c>
      <c r="E120" s="22" t="s">
        <v>288</v>
      </c>
      <c r="F120" s="88" t="s">
        <v>946</v>
      </c>
      <c r="G120" s="22"/>
      <c r="H120" s="95"/>
      <c r="I120" s="23" t="s">
        <v>289</v>
      </c>
      <c r="J120" s="22" t="s">
        <v>290</v>
      </c>
      <c r="K120" s="22" t="s">
        <v>63</v>
      </c>
      <c r="L120" s="24">
        <v>2021</v>
      </c>
      <c r="M120" s="24"/>
      <c r="N120" s="52">
        <f>8500000/100000*15</f>
        <v>1275</v>
      </c>
      <c r="O120" s="39"/>
      <c r="P120" s="27">
        <f t="shared" si="14"/>
        <v>0</v>
      </c>
      <c r="Q120" s="28"/>
      <c r="R120" s="28">
        <f t="shared" si="15"/>
        <v>4</v>
      </c>
      <c r="S120" s="29">
        <f t="shared" si="16"/>
        <v>0</v>
      </c>
      <c r="T120" s="24"/>
      <c r="U120" s="24"/>
      <c r="V120" s="24"/>
      <c r="W120" s="24"/>
      <c r="X120" s="24"/>
      <c r="Y120" s="24"/>
      <c r="Z120" s="22"/>
      <c r="AA120" s="22"/>
      <c r="AB120" s="22"/>
      <c r="AC120" s="22" t="s">
        <v>42</v>
      </c>
      <c r="AD120" s="22"/>
      <c r="AE120" s="40" t="s">
        <v>56</v>
      </c>
      <c r="AF120" s="71" t="s">
        <v>291</v>
      </c>
      <c r="AG120" s="24">
        <v>1</v>
      </c>
      <c r="AH120" s="24">
        <v>1</v>
      </c>
      <c r="AI120" s="24">
        <v>2</v>
      </c>
      <c r="AJ120" s="24">
        <v>3</v>
      </c>
      <c r="AK120" s="24">
        <v>1</v>
      </c>
      <c r="AL120" s="24">
        <v>2</v>
      </c>
      <c r="AM120" s="24">
        <v>12</v>
      </c>
      <c r="AN120" s="22" t="s">
        <v>48</v>
      </c>
      <c r="AO120" s="22"/>
    </row>
    <row r="121" spans="1:42" ht="38.25" hidden="1" x14ac:dyDescent="0.2">
      <c r="A121" s="22" t="s">
        <v>35</v>
      </c>
      <c r="B121" s="22" t="s">
        <v>116</v>
      </c>
      <c r="C121" s="22"/>
      <c r="D121" s="23" t="s">
        <v>311</v>
      </c>
      <c r="E121" s="22" t="s">
        <v>312</v>
      </c>
      <c r="F121" s="83" t="s">
        <v>948</v>
      </c>
      <c r="G121" s="22"/>
      <c r="H121" s="22"/>
      <c r="I121" s="23" t="s">
        <v>313</v>
      </c>
      <c r="J121" s="23" t="s">
        <v>314</v>
      </c>
      <c r="K121" s="23" t="s">
        <v>315</v>
      </c>
      <c r="L121" s="24">
        <v>2020</v>
      </c>
      <c r="M121" s="24"/>
      <c r="N121" s="38">
        <f>8500000/100000*56</f>
        <v>4760</v>
      </c>
      <c r="O121" s="39"/>
      <c r="P121" s="27">
        <f t="shared" si="14"/>
        <v>0</v>
      </c>
      <c r="Q121" s="28"/>
      <c r="R121" s="28">
        <f t="shared" si="15"/>
        <v>4</v>
      </c>
      <c r="S121" s="29">
        <f t="shared" si="16"/>
        <v>0</v>
      </c>
      <c r="T121" s="24"/>
      <c r="U121" s="24"/>
      <c r="V121" s="24"/>
      <c r="W121" s="24"/>
      <c r="X121" s="24"/>
      <c r="Y121" s="24"/>
      <c r="Z121" s="22"/>
      <c r="AA121" s="22"/>
      <c r="AB121" s="22"/>
      <c r="AC121" s="22" t="s">
        <v>42</v>
      </c>
      <c r="AD121" s="22"/>
      <c r="AE121" s="40" t="s">
        <v>95</v>
      </c>
      <c r="AF121" s="71" t="s">
        <v>316</v>
      </c>
      <c r="AG121" s="24">
        <v>1</v>
      </c>
      <c r="AH121" s="24">
        <v>1</v>
      </c>
      <c r="AI121" s="24">
        <v>1</v>
      </c>
      <c r="AJ121" s="24">
        <v>3</v>
      </c>
      <c r="AK121" s="24">
        <v>1</v>
      </c>
      <c r="AL121" s="24">
        <v>1</v>
      </c>
      <c r="AM121" s="24">
        <v>3</v>
      </c>
      <c r="AN121" s="22" t="s">
        <v>48</v>
      </c>
      <c r="AO121" s="22"/>
    </row>
    <row r="122" spans="1:42" s="133" customFormat="1" ht="38.25" x14ac:dyDescent="0.2">
      <c r="A122" s="30" t="s">
        <v>58</v>
      </c>
      <c r="B122" s="30" t="s">
        <v>234</v>
      </c>
      <c r="C122" s="30"/>
      <c r="D122" s="30" t="s">
        <v>37</v>
      </c>
      <c r="E122" s="30" t="s">
        <v>235</v>
      </c>
      <c r="F122" s="72" t="s">
        <v>939</v>
      </c>
      <c r="G122" s="30"/>
      <c r="H122" s="30"/>
      <c r="I122" s="30" t="s">
        <v>236</v>
      </c>
      <c r="J122" s="30"/>
      <c r="K122" s="30" t="s">
        <v>42</v>
      </c>
      <c r="L122" s="31">
        <v>2023</v>
      </c>
      <c r="M122" s="31"/>
      <c r="N122" s="32">
        <f>0.15*1500000</f>
        <v>225000</v>
      </c>
      <c r="O122" s="33"/>
      <c r="P122" s="34">
        <f t="shared" si="14"/>
        <v>0</v>
      </c>
      <c r="Q122" s="35"/>
      <c r="R122" s="35">
        <f t="shared" si="15"/>
        <v>4</v>
      </c>
      <c r="S122" s="36">
        <f t="shared" si="16"/>
        <v>0</v>
      </c>
      <c r="T122" s="31"/>
      <c r="U122" s="31"/>
      <c r="V122" s="31"/>
      <c r="W122" s="31"/>
      <c r="X122" s="31"/>
      <c r="Y122" s="31"/>
      <c r="Z122" s="30"/>
      <c r="AA122" s="30"/>
      <c r="AB122" s="30"/>
      <c r="AC122" s="30" t="s">
        <v>42</v>
      </c>
      <c r="AD122" s="30"/>
      <c r="AE122" s="37"/>
      <c r="AF122" s="72" t="s">
        <v>1358</v>
      </c>
      <c r="AG122" s="31">
        <v>2</v>
      </c>
      <c r="AH122" s="31">
        <v>3</v>
      </c>
      <c r="AI122" s="31">
        <v>3</v>
      </c>
      <c r="AJ122" s="31">
        <v>3</v>
      </c>
      <c r="AK122" s="31">
        <v>1</v>
      </c>
      <c r="AL122" s="31">
        <v>1</v>
      </c>
      <c r="AM122" s="31">
        <v>54</v>
      </c>
      <c r="AN122" s="30" t="s">
        <v>48</v>
      </c>
      <c r="AO122" s="30"/>
      <c r="AP122" s="133" t="s">
        <v>1357</v>
      </c>
    </row>
    <row r="123" spans="1:42" ht="38.25" hidden="1" x14ac:dyDescent="0.2">
      <c r="A123" s="22" t="s">
        <v>58</v>
      </c>
      <c r="B123" s="23" t="s">
        <v>515</v>
      </c>
      <c r="C123" s="22"/>
      <c r="D123" s="22" t="s">
        <v>37</v>
      </c>
      <c r="E123" s="22" t="s">
        <v>235</v>
      </c>
      <c r="F123" s="83" t="s">
        <v>939</v>
      </c>
      <c r="G123" s="22"/>
      <c r="H123" s="22"/>
      <c r="I123" s="22" t="s">
        <v>516</v>
      </c>
      <c r="J123" s="22"/>
      <c r="K123" s="22" t="s">
        <v>42</v>
      </c>
      <c r="L123" s="24">
        <v>2022</v>
      </c>
      <c r="M123" s="24"/>
      <c r="N123" s="38">
        <f>8500000/200000</f>
        <v>42.5</v>
      </c>
      <c r="O123" s="39"/>
      <c r="P123" s="27">
        <f t="shared" si="14"/>
        <v>0</v>
      </c>
      <c r="Q123" s="28"/>
      <c r="R123" s="28">
        <f t="shared" si="15"/>
        <v>4</v>
      </c>
      <c r="S123" s="29">
        <f t="shared" si="16"/>
        <v>0</v>
      </c>
      <c r="T123" s="24"/>
      <c r="U123" s="24"/>
      <c r="V123" s="24"/>
      <c r="W123" s="24"/>
      <c r="X123" s="24"/>
      <c r="Y123" s="24"/>
      <c r="Z123" s="22"/>
      <c r="AA123" s="22"/>
      <c r="AB123" s="22"/>
      <c r="AC123" s="22" t="s">
        <v>42</v>
      </c>
      <c r="AD123" s="22"/>
      <c r="AE123" s="40"/>
      <c r="AF123" s="71"/>
      <c r="AG123" s="24">
        <v>2</v>
      </c>
      <c r="AH123" s="24">
        <v>1</v>
      </c>
      <c r="AI123" s="24">
        <v>3</v>
      </c>
      <c r="AJ123" s="24">
        <v>2</v>
      </c>
      <c r="AK123" s="24">
        <v>2</v>
      </c>
      <c r="AL123" s="24">
        <v>2</v>
      </c>
      <c r="AM123" s="24">
        <v>48</v>
      </c>
      <c r="AN123" s="22" t="s">
        <v>48</v>
      </c>
      <c r="AO123" s="22"/>
    </row>
    <row r="124" spans="1:42" s="133" customFormat="1" ht="38.25" hidden="1" x14ac:dyDescent="0.2">
      <c r="A124" s="22" t="s">
        <v>35</v>
      </c>
      <c r="B124" s="22" t="s">
        <v>517</v>
      </c>
      <c r="C124" s="22"/>
      <c r="D124" s="22" t="s">
        <v>60</v>
      </c>
      <c r="E124" s="22" t="s">
        <v>679</v>
      </c>
      <c r="F124" s="95"/>
      <c r="G124" s="85" t="s">
        <v>989</v>
      </c>
      <c r="H124" s="22"/>
      <c r="I124" s="22" t="s">
        <v>680</v>
      </c>
      <c r="J124" s="22"/>
      <c r="K124" s="22" t="s">
        <v>63</v>
      </c>
      <c r="L124" s="24">
        <v>2020</v>
      </c>
      <c r="M124" s="24"/>
      <c r="N124" s="51">
        <v>6250</v>
      </c>
      <c r="O124" s="39"/>
      <c r="P124" s="27">
        <f t="shared" si="14"/>
        <v>0</v>
      </c>
      <c r="Q124" s="28"/>
      <c r="R124" s="28">
        <f t="shared" si="15"/>
        <v>4</v>
      </c>
      <c r="S124" s="29">
        <f t="shared" si="16"/>
        <v>0</v>
      </c>
      <c r="T124" s="24"/>
      <c r="U124" s="24"/>
      <c r="V124" s="24"/>
      <c r="W124" s="24"/>
      <c r="X124" s="24"/>
      <c r="Y124" s="24"/>
      <c r="Z124" s="22"/>
      <c r="AA124" s="22"/>
      <c r="AB124" s="22"/>
      <c r="AC124" s="22" t="s">
        <v>42</v>
      </c>
      <c r="AD124" s="22" t="s">
        <v>43</v>
      </c>
      <c r="AE124" s="40" t="s">
        <v>70</v>
      </c>
      <c r="AF124" s="71" t="s">
        <v>681</v>
      </c>
      <c r="AG124" s="24">
        <v>2</v>
      </c>
      <c r="AH124" s="24">
        <v>2</v>
      </c>
      <c r="AI124" s="24">
        <v>2</v>
      </c>
      <c r="AJ124" s="24">
        <v>3</v>
      </c>
      <c r="AK124" s="24">
        <v>1</v>
      </c>
      <c r="AL124" s="24">
        <v>1</v>
      </c>
      <c r="AM124" s="24">
        <v>24</v>
      </c>
      <c r="AN124" s="22" t="s">
        <v>48</v>
      </c>
      <c r="AO124" s="22"/>
    </row>
    <row r="125" spans="1:42" s="156" customFormat="1" ht="38.25" hidden="1" x14ac:dyDescent="0.2">
      <c r="A125" s="22" t="s">
        <v>35</v>
      </c>
      <c r="B125" s="22" t="s">
        <v>603</v>
      </c>
      <c r="C125" s="22"/>
      <c r="D125" s="22" t="s">
        <v>60</v>
      </c>
      <c r="E125" s="22" t="s">
        <v>679</v>
      </c>
      <c r="F125" s="22"/>
      <c r="G125" s="71" t="s">
        <v>989</v>
      </c>
      <c r="H125" s="22"/>
      <c r="I125" s="22" t="s">
        <v>781</v>
      </c>
      <c r="J125" s="22" t="s">
        <v>781</v>
      </c>
      <c r="K125" s="22" t="s">
        <v>128</v>
      </c>
      <c r="L125" s="24">
        <v>2020</v>
      </c>
      <c r="M125" s="24"/>
      <c r="N125" s="51">
        <v>1600</v>
      </c>
      <c r="O125" s="39"/>
      <c r="P125" s="27">
        <f t="shared" si="14"/>
        <v>0</v>
      </c>
      <c r="Q125" s="28"/>
      <c r="R125" s="28">
        <f t="shared" si="15"/>
        <v>4</v>
      </c>
      <c r="S125" s="29">
        <f t="shared" si="16"/>
        <v>0</v>
      </c>
      <c r="T125" s="24"/>
      <c r="U125" s="24"/>
      <c r="V125" s="24"/>
      <c r="W125" s="24"/>
      <c r="X125" s="24"/>
      <c r="Y125" s="24"/>
      <c r="Z125" s="22"/>
      <c r="AA125" s="22"/>
      <c r="AB125" s="22"/>
      <c r="AC125" s="22" t="s">
        <v>64</v>
      </c>
      <c r="AD125" s="22"/>
      <c r="AE125" s="22"/>
      <c r="AF125" s="71"/>
      <c r="AG125" s="24">
        <v>1</v>
      </c>
      <c r="AH125" s="24">
        <v>2</v>
      </c>
      <c r="AI125" s="24">
        <v>1</v>
      </c>
      <c r="AJ125" s="24">
        <v>3</v>
      </c>
      <c r="AK125" s="24">
        <v>1</v>
      </c>
      <c r="AL125" s="24">
        <v>1</v>
      </c>
      <c r="AM125" s="24">
        <v>6</v>
      </c>
      <c r="AN125" s="22" t="s">
        <v>48</v>
      </c>
      <c r="AO125" s="22"/>
    </row>
    <row r="126" spans="1:42" ht="38.25" hidden="1" x14ac:dyDescent="0.2">
      <c r="A126" s="22" t="s">
        <v>35</v>
      </c>
      <c r="B126" s="22" t="s">
        <v>263</v>
      </c>
      <c r="C126" s="22"/>
      <c r="D126" s="22" t="s">
        <v>37</v>
      </c>
      <c r="E126" s="22" t="s">
        <v>394</v>
      </c>
      <c r="F126" s="79" t="s">
        <v>956</v>
      </c>
      <c r="G126" s="22"/>
      <c r="H126" s="22"/>
      <c r="I126" s="22" t="s">
        <v>395</v>
      </c>
      <c r="J126" s="22"/>
      <c r="K126" s="22" t="s">
        <v>128</v>
      </c>
      <c r="L126" s="24">
        <v>2021</v>
      </c>
      <c r="M126" s="24"/>
      <c r="N126" s="51">
        <v>2800</v>
      </c>
      <c r="O126" s="39"/>
      <c r="P126" s="27">
        <f t="shared" si="14"/>
        <v>0</v>
      </c>
      <c r="Q126" s="28"/>
      <c r="R126" s="28">
        <f t="shared" si="15"/>
        <v>4</v>
      </c>
      <c r="S126" s="29">
        <f t="shared" si="16"/>
        <v>0</v>
      </c>
      <c r="T126" s="24"/>
      <c r="U126" s="24"/>
      <c r="V126" s="24"/>
      <c r="W126" s="24"/>
      <c r="X126" s="24"/>
      <c r="Y126" s="24"/>
      <c r="Z126" s="22"/>
      <c r="AA126" s="22"/>
      <c r="AB126" s="22"/>
      <c r="AC126" s="22" t="s">
        <v>42</v>
      </c>
      <c r="AD126" s="22" t="s">
        <v>182</v>
      </c>
      <c r="AE126" s="40" t="s">
        <v>129</v>
      </c>
      <c r="AF126" s="71" t="s">
        <v>396</v>
      </c>
      <c r="AG126" s="24">
        <v>2</v>
      </c>
      <c r="AH126" s="24">
        <v>2</v>
      </c>
      <c r="AI126" s="24">
        <v>1</v>
      </c>
      <c r="AJ126" s="24">
        <v>3</v>
      </c>
      <c r="AK126" s="24">
        <v>1</v>
      </c>
      <c r="AL126" s="24">
        <v>2</v>
      </c>
      <c r="AM126" s="24">
        <v>24</v>
      </c>
      <c r="AN126" s="22" t="s">
        <v>45</v>
      </c>
      <c r="AO126" s="22"/>
    </row>
    <row r="127" spans="1:42" hidden="1" x14ac:dyDescent="0.2">
      <c r="A127" s="22" t="s">
        <v>35</v>
      </c>
      <c r="B127" s="22" t="s">
        <v>558</v>
      </c>
      <c r="C127" s="22"/>
      <c r="D127" s="22" t="s">
        <v>37</v>
      </c>
      <c r="E127" s="22" t="s">
        <v>394</v>
      </c>
      <c r="F127" s="65"/>
      <c r="G127" s="22"/>
      <c r="H127" s="22"/>
      <c r="I127" s="22" t="s">
        <v>1139</v>
      </c>
      <c r="J127" s="22"/>
      <c r="K127" s="22"/>
      <c r="L127" s="24"/>
      <c r="M127" s="24"/>
      <c r="N127" s="51">
        <v>1600</v>
      </c>
      <c r="O127" s="39"/>
      <c r="P127" s="27">
        <v>15</v>
      </c>
      <c r="Q127" s="28"/>
      <c r="R127" s="28"/>
      <c r="S127" s="29"/>
      <c r="T127" s="24"/>
      <c r="U127" s="24"/>
      <c r="V127" s="24"/>
      <c r="W127" s="24"/>
      <c r="X127" s="24"/>
      <c r="Y127" s="24"/>
      <c r="Z127" s="22"/>
      <c r="AA127" s="22"/>
      <c r="AB127" s="22"/>
      <c r="AC127" s="22" t="s">
        <v>42</v>
      </c>
      <c r="AD127" s="22"/>
      <c r="AE127" s="40"/>
      <c r="AF127" s="71" t="s">
        <v>1140</v>
      </c>
      <c r="AG127" s="24"/>
      <c r="AH127" s="24"/>
      <c r="AI127" s="24"/>
      <c r="AJ127" s="24"/>
      <c r="AK127" s="24"/>
      <c r="AL127" s="24"/>
      <c r="AM127" s="24"/>
      <c r="AN127" s="22"/>
      <c r="AO127" s="22"/>
    </row>
    <row r="128" spans="1:42" s="129" customFormat="1" ht="38.25" hidden="1" x14ac:dyDescent="0.2">
      <c r="A128" s="22" t="s">
        <v>86</v>
      </c>
      <c r="B128" s="23" t="s">
        <v>462</v>
      </c>
      <c r="C128" s="22"/>
      <c r="D128" s="22" t="s">
        <v>37</v>
      </c>
      <c r="E128" s="22" t="s">
        <v>394</v>
      </c>
      <c r="F128" s="79" t="s">
        <v>956</v>
      </c>
      <c r="G128" s="22"/>
      <c r="H128" s="22"/>
      <c r="I128" s="22" t="s">
        <v>463</v>
      </c>
      <c r="J128" s="22"/>
      <c r="K128" s="22" t="s">
        <v>42</v>
      </c>
      <c r="L128" s="24">
        <v>2022</v>
      </c>
      <c r="M128" s="24"/>
      <c r="N128" s="25">
        <f>8500000/100000*5</f>
        <v>425</v>
      </c>
      <c r="O128" s="26"/>
      <c r="P128" s="27">
        <f>N128*O128</f>
        <v>0</v>
      </c>
      <c r="Q128" s="28"/>
      <c r="R128" s="28">
        <f>IF(Q128&lt;4.99,(Q128*12%+4),IF(Q128&lt;10.99,(Q128*12%+8),IF(Q128&lt;14.99,(Q128*12%+12),IF(Q128&lt;879.99,(Q128*12%+16),IF(Q128&lt;2569.99,(Q128*7%+60),240)))))</f>
        <v>4</v>
      </c>
      <c r="S128" s="29">
        <f>R128*P128</f>
        <v>0</v>
      </c>
      <c r="T128" s="24"/>
      <c r="U128" s="24"/>
      <c r="V128" s="24"/>
      <c r="W128" s="24"/>
      <c r="X128" s="24"/>
      <c r="Y128" s="24"/>
      <c r="Z128" s="22"/>
      <c r="AA128" s="22"/>
      <c r="AB128" s="22"/>
      <c r="AC128" s="22" t="s">
        <v>42</v>
      </c>
      <c r="AD128" s="22"/>
      <c r="AE128" s="40"/>
      <c r="AF128" s="71" t="s">
        <v>464</v>
      </c>
      <c r="AG128" s="24">
        <v>2</v>
      </c>
      <c r="AH128" s="24">
        <v>2</v>
      </c>
      <c r="AI128" s="24">
        <v>1</v>
      </c>
      <c r="AJ128" s="24">
        <v>3</v>
      </c>
      <c r="AK128" s="24">
        <v>1</v>
      </c>
      <c r="AL128" s="24">
        <v>2</v>
      </c>
      <c r="AM128" s="24">
        <v>24</v>
      </c>
      <c r="AN128" s="22" t="s">
        <v>45</v>
      </c>
      <c r="AO128" s="22"/>
    </row>
    <row r="129" spans="1:41" ht="51" x14ac:dyDescent="0.2">
      <c r="A129" s="13" t="s">
        <v>47</v>
      </c>
      <c r="B129" s="13" t="s">
        <v>122</v>
      </c>
      <c r="C129" s="13"/>
      <c r="D129" s="13" t="s">
        <v>37</v>
      </c>
      <c r="E129" s="13" t="s">
        <v>123</v>
      </c>
      <c r="F129" s="70" t="s">
        <v>929</v>
      </c>
      <c r="G129" s="13"/>
      <c r="H129" s="13"/>
      <c r="I129" s="13" t="s">
        <v>124</v>
      </c>
      <c r="J129" s="13"/>
      <c r="K129" s="13" t="s">
        <v>42</v>
      </c>
      <c r="L129" s="14">
        <v>2023</v>
      </c>
      <c r="M129" s="14"/>
      <c r="N129" s="15"/>
      <c r="O129" s="16"/>
      <c r="P129" s="14"/>
      <c r="Q129" s="18"/>
      <c r="R129" s="14"/>
      <c r="S129" s="14"/>
      <c r="T129" s="14"/>
      <c r="U129" s="14"/>
      <c r="V129" s="14"/>
      <c r="W129" s="14"/>
      <c r="X129" s="14"/>
      <c r="Y129" s="14"/>
      <c r="Z129" s="13"/>
      <c r="AA129" s="13"/>
      <c r="AB129" s="13"/>
      <c r="AC129" s="13"/>
      <c r="AD129" s="13"/>
      <c r="AE129" s="13"/>
      <c r="AF129" s="70"/>
      <c r="AG129" s="14">
        <v>3</v>
      </c>
      <c r="AH129" s="14">
        <v>2</v>
      </c>
      <c r="AI129" s="14">
        <v>1</v>
      </c>
      <c r="AJ129" s="14">
        <v>3</v>
      </c>
      <c r="AK129" s="14">
        <v>2</v>
      </c>
      <c r="AL129" s="14">
        <v>3</v>
      </c>
      <c r="AM129" s="14">
        <f>AG129*AH129*AI129*AJ129*AK129*AL129</f>
        <v>108</v>
      </c>
      <c r="AN129" s="13" t="s">
        <v>45</v>
      </c>
      <c r="AO129" s="13" t="s">
        <v>125</v>
      </c>
    </row>
    <row r="130" spans="1:41" x14ac:dyDescent="0.2">
      <c r="A130" s="30" t="s">
        <v>35</v>
      </c>
      <c r="B130" s="30" t="s">
        <v>1117</v>
      </c>
      <c r="C130" s="30"/>
      <c r="D130" s="30" t="s">
        <v>60</v>
      </c>
      <c r="E130" s="30" t="s">
        <v>381</v>
      </c>
      <c r="F130" s="30"/>
      <c r="G130" s="30"/>
      <c r="H130" s="72"/>
      <c r="I130" s="30" t="s">
        <v>1206</v>
      </c>
      <c r="J130" s="30" t="s">
        <v>1207</v>
      </c>
      <c r="K130" s="30" t="s">
        <v>63</v>
      </c>
      <c r="L130" s="31">
        <v>2023</v>
      </c>
      <c r="M130" s="31"/>
      <c r="N130" s="32"/>
      <c r="O130" s="33"/>
      <c r="P130" s="34"/>
      <c r="Q130" s="35"/>
      <c r="R130" s="35"/>
      <c r="S130" s="36"/>
      <c r="T130" s="31"/>
      <c r="U130" s="31"/>
      <c r="V130" s="31"/>
      <c r="W130" s="31"/>
      <c r="X130" s="31"/>
      <c r="Y130" s="31"/>
      <c r="Z130" s="30"/>
      <c r="AA130" s="30"/>
      <c r="AB130" s="30"/>
      <c r="AC130" s="30"/>
      <c r="AD130" s="30"/>
      <c r="AE130" s="30"/>
      <c r="AF130" s="72"/>
      <c r="AG130" s="31"/>
      <c r="AH130" s="31"/>
      <c r="AI130" s="31"/>
      <c r="AJ130" s="31"/>
      <c r="AK130" s="31"/>
      <c r="AL130" s="31"/>
      <c r="AM130" s="31"/>
      <c r="AN130" s="30" t="s">
        <v>45</v>
      </c>
      <c r="AO130" s="37">
        <v>44743</v>
      </c>
    </row>
    <row r="131" spans="1:41" ht="25.5" x14ac:dyDescent="0.2">
      <c r="A131" s="30" t="s">
        <v>35</v>
      </c>
      <c r="B131" s="30" t="s">
        <v>78</v>
      </c>
      <c r="C131" s="30"/>
      <c r="D131" s="30" t="s">
        <v>60</v>
      </c>
      <c r="E131" s="30" t="s">
        <v>1299</v>
      </c>
      <c r="F131" s="30"/>
      <c r="G131" s="30"/>
      <c r="H131" s="72"/>
      <c r="I131" s="30" t="s">
        <v>1300</v>
      </c>
      <c r="J131" s="30" t="s">
        <v>1301</v>
      </c>
      <c r="K131" s="30" t="s">
        <v>63</v>
      </c>
      <c r="L131" s="31">
        <v>2024</v>
      </c>
      <c r="M131" s="31"/>
      <c r="N131" s="32"/>
      <c r="O131" s="33"/>
      <c r="P131" s="34"/>
      <c r="Q131" s="35"/>
      <c r="R131" s="35"/>
      <c r="S131" s="36"/>
      <c r="T131" s="31"/>
      <c r="U131" s="31"/>
      <c r="V131" s="31"/>
      <c r="W131" s="31"/>
      <c r="X131" s="31"/>
      <c r="Y131" s="31"/>
      <c r="Z131" s="30"/>
      <c r="AA131" s="30"/>
      <c r="AB131" s="30"/>
      <c r="AC131" s="30"/>
      <c r="AD131" s="30"/>
      <c r="AE131" s="30"/>
      <c r="AF131" s="72" t="s">
        <v>1414</v>
      </c>
      <c r="AG131" s="31">
        <v>3</v>
      </c>
      <c r="AH131" s="31">
        <v>1</v>
      </c>
      <c r="AI131" s="31">
        <v>2</v>
      </c>
      <c r="AJ131" s="31">
        <v>3</v>
      </c>
      <c r="AK131" s="31">
        <v>1</v>
      </c>
      <c r="AL131" s="31">
        <v>2</v>
      </c>
      <c r="AM131" s="31">
        <f>AL131*AK131*AJ131*AI131*AH131*AG131</f>
        <v>36</v>
      </c>
      <c r="AN131" s="30" t="s">
        <v>45</v>
      </c>
      <c r="AO131" s="37">
        <v>44958</v>
      </c>
    </row>
    <row r="132" spans="1:41" ht="38.25" hidden="1" x14ac:dyDescent="0.2">
      <c r="A132" s="22" t="s">
        <v>58</v>
      </c>
      <c r="B132" s="23" t="s">
        <v>789</v>
      </c>
      <c r="C132" s="22"/>
      <c r="D132" s="22" t="s">
        <v>98</v>
      </c>
      <c r="E132" s="22" t="s">
        <v>452</v>
      </c>
      <c r="F132" s="22"/>
      <c r="G132" s="22"/>
      <c r="H132" s="71" t="s">
        <v>961</v>
      </c>
      <c r="I132" s="22" t="s">
        <v>790</v>
      </c>
      <c r="J132" s="22" t="s">
        <v>791</v>
      </c>
      <c r="K132" s="22" t="s">
        <v>792</v>
      </c>
      <c r="L132" s="24">
        <v>2018</v>
      </c>
      <c r="M132" s="24"/>
      <c r="N132" s="38">
        <v>8</v>
      </c>
      <c r="O132" s="39"/>
      <c r="P132" s="27">
        <f>N132*O132</f>
        <v>0</v>
      </c>
      <c r="Q132" s="28"/>
      <c r="R132" s="28">
        <f>IF(Q132&lt;4.99,(Q132*12%+4),IF(Q132&lt;10.99,(Q132*12%+8),IF(Q132&lt;14.99,(Q132*12%+12),IF(Q132&lt;879.99,(Q132*12%+16),IF(Q132&lt;2569.99,(Q132*7%+60),240)))))</f>
        <v>4</v>
      </c>
      <c r="S132" s="29">
        <f>R132*P132</f>
        <v>0</v>
      </c>
      <c r="T132" s="24"/>
      <c r="U132" s="24"/>
      <c r="V132" s="24"/>
      <c r="W132" s="24"/>
      <c r="X132" s="24"/>
      <c r="Y132" s="24"/>
      <c r="Z132" s="22"/>
      <c r="AA132" s="22"/>
      <c r="AB132" s="22"/>
      <c r="AC132" s="22" t="s">
        <v>128</v>
      </c>
      <c r="AD132" s="22" t="s">
        <v>182</v>
      </c>
      <c r="AE132" s="40" t="s">
        <v>132</v>
      </c>
      <c r="AF132" s="71" t="s">
        <v>793</v>
      </c>
      <c r="AG132" s="24">
        <v>1</v>
      </c>
      <c r="AH132" s="24">
        <v>1</v>
      </c>
      <c r="AI132" s="24">
        <v>2</v>
      </c>
      <c r="AJ132" s="24">
        <v>3</v>
      </c>
      <c r="AK132" s="24">
        <v>2</v>
      </c>
      <c r="AL132" s="24">
        <v>1</v>
      </c>
      <c r="AM132" s="24">
        <v>12</v>
      </c>
      <c r="AN132" s="22" t="s">
        <v>48</v>
      </c>
      <c r="AO132" s="22"/>
    </row>
    <row r="133" spans="1:41" x14ac:dyDescent="0.2">
      <c r="A133" s="22" t="s">
        <v>35</v>
      </c>
      <c r="B133" s="23" t="s">
        <v>1059</v>
      </c>
      <c r="C133" s="22"/>
      <c r="D133" s="22" t="s">
        <v>37</v>
      </c>
      <c r="E133" s="22" t="s">
        <v>1058</v>
      </c>
      <c r="F133" s="22"/>
      <c r="G133" s="22"/>
      <c r="H133" s="71"/>
      <c r="I133" s="22" t="s">
        <v>1060</v>
      </c>
      <c r="J133" s="22"/>
      <c r="K133" s="22" t="s">
        <v>42</v>
      </c>
      <c r="L133" s="24">
        <v>2023</v>
      </c>
      <c r="M133" s="24"/>
      <c r="N133" s="38">
        <v>40</v>
      </c>
      <c r="O133" s="39"/>
      <c r="P133" s="27"/>
      <c r="Q133" s="28"/>
      <c r="R133" s="28"/>
      <c r="S133" s="29"/>
      <c r="T133" s="24"/>
      <c r="U133" s="24"/>
      <c r="V133" s="24"/>
      <c r="W133" s="24"/>
      <c r="X133" s="24"/>
      <c r="Y133" s="24"/>
      <c r="Z133" s="22"/>
      <c r="AA133" s="22"/>
      <c r="AB133" s="22"/>
      <c r="AC133" s="22"/>
      <c r="AD133" s="22"/>
      <c r="AE133" s="40"/>
      <c r="AF133" s="71"/>
      <c r="AG133" s="24"/>
      <c r="AH133" s="24"/>
      <c r="AI133" s="24"/>
      <c r="AJ133" s="24"/>
      <c r="AK133" s="24"/>
      <c r="AL133" s="24"/>
      <c r="AM133" s="24"/>
      <c r="AN133" s="22"/>
      <c r="AO133" s="22"/>
    </row>
    <row r="134" spans="1:41" hidden="1" x14ac:dyDescent="0.2">
      <c r="A134" s="22" t="s">
        <v>58</v>
      </c>
      <c r="B134" s="23" t="s">
        <v>1385</v>
      </c>
      <c r="C134" s="22"/>
      <c r="D134" s="22" t="s">
        <v>37</v>
      </c>
      <c r="E134" s="22" t="s">
        <v>477</v>
      </c>
      <c r="F134" s="22"/>
      <c r="G134" s="22"/>
      <c r="H134" s="71"/>
      <c r="I134" s="22" t="s">
        <v>1386</v>
      </c>
      <c r="J134" s="22"/>
      <c r="K134" s="22" t="s">
        <v>42</v>
      </c>
      <c r="L134" s="24">
        <v>2025</v>
      </c>
      <c r="M134" s="24"/>
      <c r="N134" s="38">
        <v>450</v>
      </c>
      <c r="O134" s="39">
        <v>0.1</v>
      </c>
      <c r="P134" s="27">
        <v>20</v>
      </c>
      <c r="Q134" s="28">
        <v>1200</v>
      </c>
      <c r="R134" s="28">
        <v>120</v>
      </c>
      <c r="S134" s="29"/>
      <c r="T134" s="24"/>
      <c r="U134" s="24" t="s">
        <v>45</v>
      </c>
      <c r="V134" s="24" t="s">
        <v>48</v>
      </c>
      <c r="W134" s="24" t="s">
        <v>45</v>
      </c>
      <c r="X134" s="24"/>
      <c r="Y134" s="24"/>
      <c r="Z134" s="22"/>
      <c r="AA134" s="22"/>
      <c r="AB134" s="22"/>
      <c r="AC134" s="22"/>
      <c r="AD134" s="22"/>
      <c r="AE134" s="40"/>
      <c r="AF134" s="71"/>
      <c r="AG134" s="24">
        <v>1</v>
      </c>
      <c r="AH134" s="24">
        <v>2</v>
      </c>
      <c r="AI134" s="24">
        <v>3</v>
      </c>
      <c r="AJ134" s="24">
        <v>2</v>
      </c>
      <c r="AK134" s="24">
        <v>2</v>
      </c>
      <c r="AL134" s="24">
        <v>2</v>
      </c>
      <c r="AM134" s="24">
        <f>AL134*AK134*AJ134*AI134*AH134*AG134</f>
        <v>48</v>
      </c>
      <c r="AN134" s="22"/>
      <c r="AO134" s="40">
        <v>45078</v>
      </c>
    </row>
    <row r="135" spans="1:41" s="133" customFormat="1" hidden="1" x14ac:dyDescent="0.2">
      <c r="A135" s="22" t="s">
        <v>58</v>
      </c>
      <c r="B135" s="23" t="s">
        <v>1022</v>
      </c>
      <c r="C135" s="22"/>
      <c r="D135" s="22" t="s">
        <v>37</v>
      </c>
      <c r="E135" s="22" t="s">
        <v>477</v>
      </c>
      <c r="F135" s="22"/>
      <c r="G135" s="22"/>
      <c r="H135" s="71"/>
      <c r="I135" s="22" t="s">
        <v>1023</v>
      </c>
      <c r="J135" s="22" t="s">
        <v>1074</v>
      </c>
      <c r="K135" s="22" t="s">
        <v>63</v>
      </c>
      <c r="L135" s="24"/>
      <c r="M135" s="24"/>
      <c r="N135" s="38">
        <v>5</v>
      </c>
      <c r="O135" s="39"/>
      <c r="P135" s="27">
        <v>5</v>
      </c>
      <c r="Q135" s="28">
        <v>20000</v>
      </c>
      <c r="R135" s="28">
        <v>240</v>
      </c>
      <c r="S135" s="29">
        <f>Q135*P135*12</f>
        <v>1200000</v>
      </c>
      <c r="T135" s="24"/>
      <c r="U135" s="24"/>
      <c r="V135" s="24"/>
      <c r="W135" s="24" t="s">
        <v>45</v>
      </c>
      <c r="X135" s="24"/>
      <c r="Y135" s="24"/>
      <c r="Z135" s="22" t="e">
        <f>#REF!</f>
        <v>#REF!</v>
      </c>
      <c r="AA135" s="22"/>
      <c r="AB135" s="22"/>
      <c r="AC135" s="22"/>
      <c r="AD135" s="22"/>
      <c r="AE135" s="40"/>
      <c r="AF135" s="71" t="s">
        <v>1384</v>
      </c>
      <c r="AG135" s="24"/>
      <c r="AH135" s="24"/>
      <c r="AI135" s="24"/>
      <c r="AJ135" s="24"/>
      <c r="AK135" s="24"/>
      <c r="AL135" s="24"/>
      <c r="AM135" s="24"/>
      <c r="AN135" s="22"/>
      <c r="AO135" s="22"/>
    </row>
    <row r="136" spans="1:41" ht="38.25" hidden="1" x14ac:dyDescent="0.2">
      <c r="A136" s="30" t="s">
        <v>35</v>
      </c>
      <c r="B136" s="30" t="s">
        <v>476</v>
      </c>
      <c r="C136" s="30"/>
      <c r="D136" s="30" t="s">
        <v>98</v>
      </c>
      <c r="E136" s="30" t="s">
        <v>477</v>
      </c>
      <c r="F136" s="30"/>
      <c r="G136" s="72" t="s">
        <v>964</v>
      </c>
      <c r="H136" s="30"/>
      <c r="I136" s="30" t="s">
        <v>478</v>
      </c>
      <c r="J136" s="30" t="s">
        <v>479</v>
      </c>
      <c r="K136" s="30" t="s">
        <v>201</v>
      </c>
      <c r="L136" s="31">
        <v>2016</v>
      </c>
      <c r="M136" s="31"/>
      <c r="N136" s="32">
        <v>140</v>
      </c>
      <c r="O136" s="33"/>
      <c r="P136" s="34">
        <f>N136*O136</f>
        <v>0</v>
      </c>
      <c r="Q136" s="35"/>
      <c r="R136" s="35">
        <f>IF(Q136&lt;4.99,(Q136*12%+4),IF(Q136&lt;10.99,(Q136*12%+8),IF(Q136&lt;14.99,(Q136*12%+12),IF(Q136&lt;879.99,(Q136*12%+16),IF(Q136&lt;2569.99,(Q136*7%+60),240)))))</f>
        <v>4</v>
      </c>
      <c r="S136" s="36">
        <f>R136*P136</f>
        <v>0</v>
      </c>
      <c r="T136" s="31"/>
      <c r="U136" s="31"/>
      <c r="V136" s="31"/>
      <c r="W136" s="31"/>
      <c r="X136" s="31"/>
      <c r="Y136" s="31"/>
      <c r="Z136" s="30"/>
      <c r="AA136" s="30"/>
      <c r="AB136" s="30"/>
      <c r="AC136" s="30" t="s">
        <v>201</v>
      </c>
      <c r="AD136" s="30"/>
      <c r="AE136" s="37" t="s">
        <v>95</v>
      </c>
      <c r="AF136" s="72" t="s">
        <v>480</v>
      </c>
      <c r="AG136" s="31">
        <v>1</v>
      </c>
      <c r="AH136" s="31">
        <v>3</v>
      </c>
      <c r="AI136" s="31">
        <v>2</v>
      </c>
      <c r="AJ136" s="31">
        <v>2</v>
      </c>
      <c r="AK136" s="31">
        <v>2</v>
      </c>
      <c r="AL136" s="31">
        <v>2</v>
      </c>
      <c r="AM136" s="31">
        <v>48</v>
      </c>
      <c r="AN136" s="30" t="s">
        <v>45</v>
      </c>
      <c r="AO136" s="37">
        <v>43466</v>
      </c>
    </row>
    <row r="137" spans="1:41" ht="38.25" hidden="1" x14ac:dyDescent="0.2">
      <c r="A137" s="22" t="s">
        <v>35</v>
      </c>
      <c r="B137" s="22" t="s">
        <v>219</v>
      </c>
      <c r="C137" s="22"/>
      <c r="D137" s="65" t="s">
        <v>60</v>
      </c>
      <c r="E137" s="88" t="s">
        <v>835</v>
      </c>
      <c r="F137" s="65" t="s">
        <v>911</v>
      </c>
      <c r="G137" s="88"/>
      <c r="H137" s="88"/>
      <c r="I137" s="65" t="s">
        <v>842</v>
      </c>
      <c r="J137" s="22"/>
      <c r="K137" s="22" t="s">
        <v>42</v>
      </c>
      <c r="L137" s="24">
        <v>2022</v>
      </c>
      <c r="M137" s="24"/>
      <c r="N137" s="38"/>
      <c r="O137" s="39"/>
      <c r="P137" s="27"/>
      <c r="Q137" s="28"/>
      <c r="R137" s="28"/>
      <c r="S137" s="29"/>
      <c r="T137" s="24"/>
      <c r="U137" s="24"/>
      <c r="V137" s="24"/>
      <c r="W137" s="24"/>
      <c r="X137" s="24"/>
      <c r="Y137" s="24"/>
      <c r="Z137" s="22"/>
      <c r="AA137" s="22"/>
      <c r="AB137" s="22"/>
      <c r="AC137" s="22" t="s">
        <v>42</v>
      </c>
      <c r="AD137" s="22"/>
      <c r="AE137" s="41"/>
      <c r="AF137" s="67"/>
      <c r="AG137" s="24"/>
      <c r="AH137" s="24"/>
      <c r="AI137" s="24"/>
      <c r="AJ137" s="24"/>
      <c r="AK137" s="24"/>
      <c r="AL137" s="24"/>
      <c r="AM137" s="24">
        <v>0</v>
      </c>
      <c r="AN137" s="22"/>
      <c r="AO137" s="69"/>
    </row>
    <row r="138" spans="1:41" ht="38.25" x14ac:dyDescent="0.2">
      <c r="A138" s="22" t="s">
        <v>35</v>
      </c>
      <c r="B138" s="22" t="s">
        <v>268</v>
      </c>
      <c r="C138" s="22"/>
      <c r="D138" s="65" t="s">
        <v>60</v>
      </c>
      <c r="E138" s="88" t="s">
        <v>835</v>
      </c>
      <c r="F138" s="65" t="s">
        <v>911</v>
      </c>
      <c r="G138" s="88"/>
      <c r="H138" s="88"/>
      <c r="I138" s="65" t="s">
        <v>841</v>
      </c>
      <c r="J138" s="22"/>
      <c r="K138" s="22" t="s">
        <v>64</v>
      </c>
      <c r="L138" s="24">
        <v>2023</v>
      </c>
      <c r="M138" s="24"/>
      <c r="N138" s="38"/>
      <c r="O138" s="39"/>
      <c r="P138" s="27"/>
      <c r="Q138" s="28"/>
      <c r="R138" s="28"/>
      <c r="S138" s="29"/>
      <c r="T138" s="24"/>
      <c r="U138" s="24"/>
      <c r="V138" s="24"/>
      <c r="W138" s="24"/>
      <c r="X138" s="24"/>
      <c r="Y138" s="24"/>
      <c r="Z138" s="22"/>
      <c r="AA138" s="22"/>
      <c r="AB138" s="22"/>
      <c r="AC138" s="22" t="s">
        <v>64</v>
      </c>
      <c r="AD138" s="22"/>
      <c r="AE138" s="41"/>
      <c r="AF138" s="67"/>
      <c r="AG138" s="24"/>
      <c r="AH138" s="24"/>
      <c r="AI138" s="24"/>
      <c r="AJ138" s="24"/>
      <c r="AK138" s="24"/>
      <c r="AL138" s="24"/>
      <c r="AM138" s="24">
        <v>0</v>
      </c>
      <c r="AN138" s="22"/>
      <c r="AO138" s="69"/>
    </row>
    <row r="139" spans="1:41" ht="38.25" hidden="1" x14ac:dyDescent="0.2">
      <c r="A139" s="22" t="s">
        <v>35</v>
      </c>
      <c r="B139" s="22" t="s">
        <v>838</v>
      </c>
      <c r="C139" s="22"/>
      <c r="D139" s="65" t="s">
        <v>37</v>
      </c>
      <c r="E139" s="88" t="s">
        <v>835</v>
      </c>
      <c r="F139" s="65" t="s">
        <v>911</v>
      </c>
      <c r="G139" s="88"/>
      <c r="H139" s="88"/>
      <c r="I139" s="65" t="s">
        <v>839</v>
      </c>
      <c r="J139" s="22" t="s">
        <v>840</v>
      </c>
      <c r="K139" s="22" t="s">
        <v>63</v>
      </c>
      <c r="L139" s="24">
        <v>2022</v>
      </c>
      <c r="M139" s="24"/>
      <c r="N139" s="38"/>
      <c r="O139" s="39"/>
      <c r="P139" s="27"/>
      <c r="Q139" s="28"/>
      <c r="R139" s="28"/>
      <c r="S139" s="29"/>
      <c r="T139" s="24"/>
      <c r="U139" s="24"/>
      <c r="V139" s="24"/>
      <c r="W139" s="24"/>
      <c r="X139" s="24"/>
      <c r="Y139" s="24"/>
      <c r="Z139" s="22"/>
      <c r="AA139" s="22"/>
      <c r="AB139" s="22"/>
      <c r="AC139" s="22" t="s">
        <v>42</v>
      </c>
      <c r="AD139" s="22"/>
      <c r="AE139" s="41"/>
      <c r="AF139" s="67"/>
      <c r="AG139" s="24"/>
      <c r="AH139" s="24"/>
      <c r="AI139" s="24"/>
      <c r="AJ139" s="24"/>
      <c r="AK139" s="24"/>
      <c r="AL139" s="24"/>
      <c r="AM139" s="24">
        <v>0</v>
      </c>
      <c r="AN139" s="22"/>
      <c r="AO139" s="69"/>
    </row>
    <row r="140" spans="1:41" s="133" customFormat="1" x14ac:dyDescent="0.2">
      <c r="A140" s="30" t="s">
        <v>35</v>
      </c>
      <c r="B140" s="30" t="s">
        <v>1239</v>
      </c>
      <c r="C140" s="30"/>
      <c r="D140" s="139" t="s">
        <v>37</v>
      </c>
      <c r="E140" s="139" t="s">
        <v>835</v>
      </c>
      <c r="F140" s="139"/>
      <c r="G140" s="139"/>
      <c r="H140" s="139"/>
      <c r="I140" s="139" t="s">
        <v>1240</v>
      </c>
      <c r="J140" s="30" t="s">
        <v>1392</v>
      </c>
      <c r="K140" s="30" t="s">
        <v>1393</v>
      </c>
      <c r="L140" s="31">
        <v>2023</v>
      </c>
      <c r="M140" s="31"/>
      <c r="N140" s="32">
        <v>1600</v>
      </c>
      <c r="O140" s="33"/>
      <c r="P140" s="34">
        <v>20</v>
      </c>
      <c r="Q140" s="35">
        <v>5000</v>
      </c>
      <c r="R140" s="35">
        <v>240</v>
      </c>
      <c r="S140" s="36"/>
      <c r="T140" s="31"/>
      <c r="U140" s="31"/>
      <c r="V140" s="31"/>
      <c r="W140" s="31"/>
      <c r="X140" s="31"/>
      <c r="Y140" s="31"/>
      <c r="Z140" s="132">
        <f>Q140*P140*12*0.3</f>
        <v>360000</v>
      </c>
      <c r="AA140" s="30"/>
      <c r="AB140" s="30"/>
      <c r="AC140" s="30" t="s">
        <v>42</v>
      </c>
      <c r="AD140" s="30"/>
      <c r="AE140" s="50"/>
      <c r="AF140" s="141" t="s">
        <v>1394</v>
      </c>
      <c r="AG140" s="31">
        <v>1</v>
      </c>
      <c r="AH140" s="31">
        <v>3</v>
      </c>
      <c r="AI140" s="31">
        <v>3</v>
      </c>
      <c r="AJ140" s="31">
        <v>2</v>
      </c>
      <c r="AK140" s="31">
        <v>1</v>
      </c>
      <c r="AL140" s="31">
        <v>3</v>
      </c>
      <c r="AM140" s="31">
        <f>AL140*AK140*AJ140*AI140*AH140*AG140</f>
        <v>54</v>
      </c>
      <c r="AN140" s="30" t="s">
        <v>48</v>
      </c>
      <c r="AO140" s="142"/>
    </row>
    <row r="141" spans="1:41" ht="38.25" hidden="1" x14ac:dyDescent="0.2">
      <c r="A141" s="22" t="s">
        <v>35</v>
      </c>
      <c r="B141" s="22" t="s">
        <v>255</v>
      </c>
      <c r="C141" s="22"/>
      <c r="D141" s="65" t="s">
        <v>98</v>
      </c>
      <c r="E141" s="88" t="s">
        <v>835</v>
      </c>
      <c r="F141" s="65" t="s">
        <v>911</v>
      </c>
      <c r="G141" s="88"/>
      <c r="H141" s="88"/>
      <c r="I141" s="65" t="s">
        <v>257</v>
      </c>
      <c r="J141" s="22"/>
      <c r="K141" s="22" t="s">
        <v>42</v>
      </c>
      <c r="L141" s="24">
        <v>2020</v>
      </c>
      <c r="M141" s="24"/>
      <c r="N141" s="38"/>
      <c r="O141" s="39"/>
      <c r="P141" s="27"/>
      <c r="Q141" s="28"/>
      <c r="R141" s="28"/>
      <c r="S141" s="29"/>
      <c r="T141" s="24"/>
      <c r="U141" s="24"/>
      <c r="V141" s="24"/>
      <c r="W141" s="24"/>
      <c r="X141" s="24"/>
      <c r="Y141" s="24"/>
      <c r="Z141" s="22"/>
      <c r="AA141" s="22"/>
      <c r="AB141" s="22"/>
      <c r="AC141" s="22" t="s">
        <v>42</v>
      </c>
      <c r="AD141" s="22"/>
      <c r="AE141" s="41"/>
      <c r="AF141" s="67" t="s">
        <v>258</v>
      </c>
      <c r="AG141" s="24">
        <v>1</v>
      </c>
      <c r="AH141" s="24">
        <v>2</v>
      </c>
      <c r="AI141" s="24">
        <v>1</v>
      </c>
      <c r="AJ141" s="24">
        <v>3</v>
      </c>
      <c r="AK141" s="24">
        <v>2</v>
      </c>
      <c r="AL141" s="24">
        <v>2</v>
      </c>
      <c r="AM141" s="24">
        <v>24</v>
      </c>
      <c r="AN141" s="22" t="s">
        <v>48</v>
      </c>
      <c r="AO141" s="69"/>
    </row>
    <row r="142" spans="1:41" ht="38.25" hidden="1" x14ac:dyDescent="0.2">
      <c r="A142" s="30" t="s">
        <v>72</v>
      </c>
      <c r="B142" s="30" t="s">
        <v>73</v>
      </c>
      <c r="C142" s="30"/>
      <c r="D142" s="139" t="s">
        <v>37</v>
      </c>
      <c r="E142" s="139" t="s">
        <v>835</v>
      </c>
      <c r="F142" s="139" t="s">
        <v>911</v>
      </c>
      <c r="G142" s="139"/>
      <c r="H142" s="139"/>
      <c r="I142" s="139" t="s">
        <v>836</v>
      </c>
      <c r="J142" s="30" t="s">
        <v>1167</v>
      </c>
      <c r="K142" s="30" t="s">
        <v>42</v>
      </c>
      <c r="L142" s="31">
        <v>2021</v>
      </c>
      <c r="M142" s="31"/>
      <c r="N142" s="32"/>
      <c r="O142" s="33"/>
      <c r="P142" s="34"/>
      <c r="Q142" s="35"/>
      <c r="R142" s="35"/>
      <c r="S142" s="36"/>
      <c r="T142" s="31"/>
      <c r="U142" s="31"/>
      <c r="V142" s="31"/>
      <c r="W142" s="31"/>
      <c r="X142" s="31"/>
      <c r="Y142" s="31"/>
      <c r="Z142" s="30"/>
      <c r="AA142" s="30"/>
      <c r="AB142" s="30"/>
      <c r="AC142" s="30" t="s">
        <v>42</v>
      </c>
      <c r="AD142" s="30"/>
      <c r="AE142" s="50"/>
      <c r="AF142" s="141" t="s">
        <v>837</v>
      </c>
      <c r="AG142" s="31">
        <v>3</v>
      </c>
      <c r="AH142" s="31">
        <v>3</v>
      </c>
      <c r="AI142" s="31">
        <v>3</v>
      </c>
      <c r="AJ142" s="31">
        <v>1</v>
      </c>
      <c r="AK142" s="31">
        <v>2</v>
      </c>
      <c r="AL142" s="31">
        <v>2</v>
      </c>
      <c r="AM142" s="31">
        <v>108</v>
      </c>
      <c r="AN142" s="30" t="s">
        <v>45</v>
      </c>
      <c r="AO142" s="142"/>
    </row>
    <row r="143" spans="1:41" ht="38.25" x14ac:dyDescent="0.2">
      <c r="A143" s="22" t="s">
        <v>35</v>
      </c>
      <c r="B143" s="22" t="s">
        <v>526</v>
      </c>
      <c r="C143" s="22"/>
      <c r="D143" s="22" t="s">
        <v>37</v>
      </c>
      <c r="E143" s="22" t="s">
        <v>696</v>
      </c>
      <c r="F143" s="22"/>
      <c r="G143" s="83" t="s">
        <v>991</v>
      </c>
      <c r="H143" s="22"/>
      <c r="I143" s="22" t="s">
        <v>697</v>
      </c>
      <c r="J143" s="22" t="s">
        <v>698</v>
      </c>
      <c r="K143" s="22" t="s">
        <v>63</v>
      </c>
      <c r="L143" s="24">
        <v>2023</v>
      </c>
      <c r="M143" s="24"/>
      <c r="N143" s="51">
        <v>622</v>
      </c>
      <c r="O143" s="39"/>
      <c r="P143" s="27">
        <f t="shared" ref="P143:P146" si="17">N143*O143</f>
        <v>0</v>
      </c>
      <c r="Q143" s="28"/>
      <c r="R143" s="28">
        <f t="shared" ref="R143:R146" si="18">IF(Q143&lt;4.99,(Q143*12%+4),IF(Q143&lt;10.99,(Q143*12%+8),IF(Q143&lt;14.99,(Q143*12%+12),IF(Q143&lt;879.99,(Q143*12%+16),IF(Q143&lt;2569.99,(Q143*7%+60),240)))))</f>
        <v>4</v>
      </c>
      <c r="S143" s="29">
        <f t="shared" ref="S143:S146" si="19">R143*P143</f>
        <v>0</v>
      </c>
      <c r="T143" s="24"/>
      <c r="U143" s="24"/>
      <c r="V143" s="24"/>
      <c r="W143" s="24"/>
      <c r="X143" s="24"/>
      <c r="Y143" s="24"/>
      <c r="Z143" s="22"/>
      <c r="AA143" s="22">
        <v>100000</v>
      </c>
      <c r="AB143" s="22"/>
      <c r="AC143" s="22" t="s">
        <v>42</v>
      </c>
      <c r="AD143" s="22"/>
      <c r="AE143" s="22" t="s">
        <v>44</v>
      </c>
      <c r="AF143" s="71" t="s">
        <v>1221</v>
      </c>
      <c r="AG143" s="24">
        <v>1</v>
      </c>
      <c r="AH143" s="24">
        <v>2</v>
      </c>
      <c r="AI143" s="24">
        <v>2</v>
      </c>
      <c r="AJ143" s="24">
        <v>3</v>
      </c>
      <c r="AK143" s="24">
        <v>1</v>
      </c>
      <c r="AL143" s="24">
        <v>1</v>
      </c>
      <c r="AM143" s="24">
        <v>12</v>
      </c>
      <c r="AN143" s="22" t="s">
        <v>48</v>
      </c>
      <c r="AO143" s="22"/>
    </row>
    <row r="144" spans="1:41" s="156" customFormat="1" ht="38.25" hidden="1" x14ac:dyDescent="0.2">
      <c r="A144" s="22" t="s">
        <v>86</v>
      </c>
      <c r="B144" s="22" t="s">
        <v>281</v>
      </c>
      <c r="C144" s="22"/>
      <c r="D144" s="22" t="s">
        <v>98</v>
      </c>
      <c r="E144" s="22" t="s">
        <v>282</v>
      </c>
      <c r="F144" s="98" t="s">
        <v>910</v>
      </c>
      <c r="G144" s="22"/>
      <c r="H144" s="22"/>
      <c r="I144" s="22" t="s">
        <v>283</v>
      </c>
      <c r="J144" s="22" t="s">
        <v>284</v>
      </c>
      <c r="K144" s="22" t="s">
        <v>285</v>
      </c>
      <c r="L144" s="24">
        <v>2020</v>
      </c>
      <c r="M144" s="24"/>
      <c r="N144" s="52">
        <f>0.8*150000</f>
        <v>120000</v>
      </c>
      <c r="O144" s="39"/>
      <c r="P144" s="27">
        <f t="shared" si="17"/>
        <v>0</v>
      </c>
      <c r="Q144" s="28"/>
      <c r="R144" s="28">
        <f t="shared" si="18"/>
        <v>4</v>
      </c>
      <c r="S144" s="29">
        <f t="shared" si="19"/>
        <v>0</v>
      </c>
      <c r="T144" s="24"/>
      <c r="U144" s="24"/>
      <c r="V144" s="24"/>
      <c r="W144" s="24"/>
      <c r="X144" s="24"/>
      <c r="Y144" s="24"/>
      <c r="Z144" s="22"/>
      <c r="AA144" s="22"/>
      <c r="AB144" s="22"/>
      <c r="AC144" s="22" t="s">
        <v>42</v>
      </c>
      <c r="AD144" s="22"/>
      <c r="AE144" s="22" t="s">
        <v>132</v>
      </c>
      <c r="AF144" s="71" t="s">
        <v>286</v>
      </c>
      <c r="AG144" s="24">
        <v>1</v>
      </c>
      <c r="AH144" s="24">
        <v>3</v>
      </c>
      <c r="AI144" s="24">
        <v>1</v>
      </c>
      <c r="AJ144" s="24">
        <v>2</v>
      </c>
      <c r="AK144" s="24">
        <v>2</v>
      </c>
      <c r="AL144" s="24">
        <v>1</v>
      </c>
      <c r="AM144" s="24">
        <v>12</v>
      </c>
      <c r="AN144" s="22" t="s">
        <v>48</v>
      </c>
      <c r="AO144" s="22"/>
    </row>
    <row r="145" spans="1:16382" s="156" customFormat="1" ht="38.25" hidden="1" x14ac:dyDescent="0.2">
      <c r="A145" s="22" t="s">
        <v>72</v>
      </c>
      <c r="B145" s="22" t="s">
        <v>229</v>
      </c>
      <c r="C145" s="22"/>
      <c r="D145" s="22" t="s">
        <v>498</v>
      </c>
      <c r="E145" s="22" t="s">
        <v>499</v>
      </c>
      <c r="F145" s="95"/>
      <c r="G145" s="65" t="s">
        <v>967</v>
      </c>
      <c r="H145" s="22"/>
      <c r="I145" s="22" t="s">
        <v>500</v>
      </c>
      <c r="J145" s="22" t="s">
        <v>501</v>
      </c>
      <c r="K145" s="22" t="s">
        <v>502</v>
      </c>
      <c r="L145" s="24">
        <v>2020</v>
      </c>
      <c r="M145" s="24"/>
      <c r="N145" s="52">
        <v>15000</v>
      </c>
      <c r="O145" s="39"/>
      <c r="P145" s="27">
        <f t="shared" si="17"/>
        <v>0</v>
      </c>
      <c r="Q145" s="28"/>
      <c r="R145" s="28">
        <f t="shared" si="18"/>
        <v>4</v>
      </c>
      <c r="S145" s="29">
        <f t="shared" si="19"/>
        <v>0</v>
      </c>
      <c r="T145" s="24"/>
      <c r="U145" s="24"/>
      <c r="V145" s="24"/>
      <c r="W145" s="24"/>
      <c r="X145" s="24"/>
      <c r="Y145" s="24"/>
      <c r="Z145" s="22"/>
      <c r="AA145" s="22"/>
      <c r="AB145" s="22"/>
      <c r="AC145" s="22" t="s">
        <v>42</v>
      </c>
      <c r="AD145" s="22"/>
      <c r="AE145" s="40"/>
      <c r="AF145" s="71" t="s">
        <v>503</v>
      </c>
      <c r="AG145" s="24">
        <v>1</v>
      </c>
      <c r="AH145" s="24">
        <v>2</v>
      </c>
      <c r="AI145" s="24">
        <v>1</v>
      </c>
      <c r="AJ145" s="24">
        <v>3</v>
      </c>
      <c r="AK145" s="24">
        <v>3</v>
      </c>
      <c r="AL145" s="24">
        <v>1</v>
      </c>
      <c r="AM145" s="24">
        <v>18</v>
      </c>
      <c r="AN145" s="22" t="s">
        <v>48</v>
      </c>
      <c r="AO145" s="22"/>
    </row>
    <row r="146" spans="1:16382" ht="38.25" hidden="1" x14ac:dyDescent="0.2">
      <c r="A146" s="22" t="s">
        <v>72</v>
      </c>
      <c r="B146" s="22" t="s">
        <v>153</v>
      </c>
      <c r="C146" s="22"/>
      <c r="D146" s="22" t="s">
        <v>60</v>
      </c>
      <c r="E146" s="22" t="s">
        <v>403</v>
      </c>
      <c r="F146" s="65" t="s">
        <v>957</v>
      </c>
      <c r="G146" s="22"/>
      <c r="H146" s="22"/>
      <c r="I146" s="22" t="s">
        <v>404</v>
      </c>
      <c r="J146" s="22"/>
      <c r="K146" s="22" t="s">
        <v>63</v>
      </c>
      <c r="L146" s="24">
        <v>2020</v>
      </c>
      <c r="M146" s="24"/>
      <c r="N146" s="38">
        <v>1000000</v>
      </c>
      <c r="O146" s="39"/>
      <c r="P146" s="27">
        <f t="shared" si="17"/>
        <v>0</v>
      </c>
      <c r="Q146" s="28"/>
      <c r="R146" s="28">
        <f t="shared" si="18"/>
        <v>4</v>
      </c>
      <c r="S146" s="29">
        <f t="shared" si="19"/>
        <v>0</v>
      </c>
      <c r="T146" s="24"/>
      <c r="U146" s="24"/>
      <c r="V146" s="24"/>
      <c r="W146" s="24"/>
      <c r="X146" s="24"/>
      <c r="Y146" s="24"/>
      <c r="Z146" s="22"/>
      <c r="AA146" s="22"/>
      <c r="AB146" s="22"/>
      <c r="AC146" s="22" t="s">
        <v>42</v>
      </c>
      <c r="AD146" s="22"/>
      <c r="AE146" s="22" t="s">
        <v>56</v>
      </c>
      <c r="AF146" s="71" t="s">
        <v>405</v>
      </c>
      <c r="AG146" s="24">
        <v>1</v>
      </c>
      <c r="AH146" s="24">
        <v>3</v>
      </c>
      <c r="AI146" s="24">
        <v>1</v>
      </c>
      <c r="AJ146" s="24">
        <v>1</v>
      </c>
      <c r="AK146" s="24">
        <v>3</v>
      </c>
      <c r="AL146" s="24">
        <v>2</v>
      </c>
      <c r="AM146" s="24">
        <v>18</v>
      </c>
      <c r="AN146" s="22" t="s">
        <v>45</v>
      </c>
      <c r="AO146" s="22"/>
    </row>
    <row r="147" spans="1:16382" s="133" customFormat="1" x14ac:dyDescent="0.2">
      <c r="A147" s="30" t="s">
        <v>47</v>
      </c>
      <c r="B147" s="30" t="s">
        <v>122</v>
      </c>
      <c r="C147" s="30"/>
      <c r="D147" s="30" t="s">
        <v>37</v>
      </c>
      <c r="E147" s="30" t="s">
        <v>1262</v>
      </c>
      <c r="F147" s="139"/>
      <c r="G147" s="30"/>
      <c r="H147" s="30"/>
      <c r="I147" s="30" t="s">
        <v>1263</v>
      </c>
      <c r="J147" s="30"/>
      <c r="K147" s="30" t="s">
        <v>42</v>
      </c>
      <c r="L147" s="31">
        <v>2024</v>
      </c>
      <c r="M147" s="31"/>
      <c r="N147" s="32">
        <v>200000</v>
      </c>
      <c r="O147" s="33"/>
      <c r="P147" s="34">
        <v>300</v>
      </c>
      <c r="Q147" s="35">
        <v>3000</v>
      </c>
      <c r="R147" s="35">
        <v>240</v>
      </c>
      <c r="S147" s="36"/>
      <c r="T147" s="31"/>
      <c r="U147" s="31"/>
      <c r="V147" s="31"/>
      <c r="W147" s="31"/>
      <c r="X147" s="31"/>
      <c r="Y147" s="31"/>
      <c r="Z147" s="30"/>
      <c r="AA147" s="30"/>
      <c r="AB147" s="30"/>
      <c r="AC147" s="30" t="s">
        <v>42</v>
      </c>
      <c r="AD147" s="30"/>
      <c r="AE147" s="30"/>
      <c r="AF147" s="72"/>
      <c r="AG147" s="31">
        <v>1</v>
      </c>
      <c r="AH147" s="31">
        <v>3</v>
      </c>
      <c r="AI147" s="31">
        <v>3</v>
      </c>
      <c r="AJ147" s="31">
        <v>3</v>
      </c>
      <c r="AK147" s="31">
        <v>1</v>
      </c>
      <c r="AL147" s="31">
        <v>2</v>
      </c>
      <c r="AM147" s="31">
        <f>AL147*AK147*AJ147*AI147*AH147*AG147</f>
        <v>54</v>
      </c>
      <c r="AN147" s="30" t="s">
        <v>45</v>
      </c>
      <c r="AO147" s="37">
        <v>44896</v>
      </c>
    </row>
    <row r="148" spans="1:16382" s="129" customFormat="1" x14ac:dyDescent="0.2">
      <c r="A148" s="13" t="s">
        <v>35</v>
      </c>
      <c r="B148" s="13" t="s">
        <v>543</v>
      </c>
      <c r="C148" s="13"/>
      <c r="D148" s="13" t="s">
        <v>37</v>
      </c>
      <c r="E148" s="13" t="s">
        <v>1226</v>
      </c>
      <c r="F148" s="136"/>
      <c r="G148" s="13"/>
      <c r="H148" s="13"/>
      <c r="I148" s="13" t="s">
        <v>1227</v>
      </c>
      <c r="J148" s="13"/>
      <c r="K148" s="13" t="s">
        <v>834</v>
      </c>
      <c r="L148" s="14">
        <v>2023</v>
      </c>
      <c r="M148" s="14"/>
      <c r="N148" s="15"/>
      <c r="O148" s="16"/>
      <c r="P148" s="17">
        <v>20</v>
      </c>
      <c r="Q148" s="18"/>
      <c r="R148" s="18"/>
      <c r="S148" s="19"/>
      <c r="T148" s="14"/>
      <c r="U148" s="14"/>
      <c r="V148" s="14"/>
      <c r="W148" s="14"/>
      <c r="X148" s="14"/>
      <c r="Y148" s="14"/>
      <c r="Z148" s="13"/>
      <c r="AA148" s="13"/>
      <c r="AB148" s="13"/>
      <c r="AC148" s="13"/>
      <c r="AD148" s="13"/>
      <c r="AE148" s="13"/>
      <c r="AF148" s="70"/>
      <c r="AG148" s="14"/>
      <c r="AH148" s="14"/>
      <c r="AI148" s="14"/>
      <c r="AJ148" s="14"/>
      <c r="AK148" s="14"/>
      <c r="AL148" s="14"/>
      <c r="AM148" s="14"/>
      <c r="AN148" s="13"/>
      <c r="AO148" s="13"/>
    </row>
    <row r="149" spans="1:16382" x14ac:dyDescent="0.2">
      <c r="A149" s="22" t="s">
        <v>35</v>
      </c>
      <c r="B149" s="22" t="s">
        <v>268</v>
      </c>
      <c r="C149" s="22"/>
      <c r="D149" s="22" t="s">
        <v>37</v>
      </c>
      <c r="E149" s="22" t="s">
        <v>1181</v>
      </c>
      <c r="F149" s="65"/>
      <c r="G149" s="22"/>
      <c r="H149" s="22"/>
      <c r="I149" s="22" t="s">
        <v>1182</v>
      </c>
      <c r="J149" s="22" t="s">
        <v>1258</v>
      </c>
      <c r="K149" s="22" t="s">
        <v>63</v>
      </c>
      <c r="L149" s="24">
        <v>2023</v>
      </c>
      <c r="M149" s="24"/>
      <c r="N149" s="38"/>
      <c r="O149" s="39"/>
      <c r="P149" s="27"/>
      <c r="Q149" s="28"/>
      <c r="R149" s="28"/>
      <c r="S149" s="29"/>
      <c r="T149" s="24"/>
      <c r="U149" s="24"/>
      <c r="V149" s="24"/>
      <c r="W149" s="24"/>
      <c r="X149" s="24"/>
      <c r="Y149" s="24"/>
      <c r="Z149" s="22"/>
      <c r="AA149" s="22"/>
      <c r="AB149" s="22"/>
      <c r="AC149" s="22"/>
      <c r="AD149" s="22"/>
      <c r="AE149" s="22"/>
      <c r="AF149" s="71"/>
      <c r="AG149" s="24"/>
      <c r="AH149" s="24"/>
      <c r="AI149" s="24"/>
      <c r="AJ149" s="24"/>
      <c r="AK149" s="24"/>
      <c r="AL149" s="24"/>
      <c r="AM149" s="24"/>
      <c r="AN149" s="22"/>
      <c r="AO149" s="22"/>
    </row>
    <row r="150" spans="1:16382" ht="38.25" hidden="1" x14ac:dyDescent="0.2">
      <c r="A150" s="22" t="s">
        <v>35</v>
      </c>
      <c r="B150" s="22" t="s">
        <v>268</v>
      </c>
      <c r="C150" s="22"/>
      <c r="D150" s="65" t="s">
        <v>37</v>
      </c>
      <c r="E150" s="88" t="s">
        <v>317</v>
      </c>
      <c r="F150" s="65" t="s">
        <v>909</v>
      </c>
      <c r="G150" s="88"/>
      <c r="H150" s="88"/>
      <c r="I150" s="65" t="s">
        <v>843</v>
      </c>
      <c r="J150" s="22" t="s">
        <v>844</v>
      </c>
      <c r="K150" s="22" t="s">
        <v>42</v>
      </c>
      <c r="L150" s="24">
        <v>2022</v>
      </c>
      <c r="M150" s="24"/>
      <c r="N150" s="38"/>
      <c r="O150" s="39"/>
      <c r="P150" s="27"/>
      <c r="Q150" s="28"/>
      <c r="R150" s="28"/>
      <c r="S150" s="29"/>
      <c r="T150" s="24"/>
      <c r="U150" s="24"/>
      <c r="V150" s="24"/>
      <c r="W150" s="24"/>
      <c r="X150" s="24"/>
      <c r="Y150" s="24"/>
      <c r="Z150" s="22"/>
      <c r="AA150" s="22"/>
      <c r="AB150" s="22"/>
      <c r="AC150" s="22" t="s">
        <v>42</v>
      </c>
      <c r="AD150" s="22"/>
      <c r="AE150" s="41"/>
      <c r="AF150" s="67" t="s">
        <v>845</v>
      </c>
      <c r="AG150" s="24">
        <v>2</v>
      </c>
      <c r="AH150" s="24">
        <v>1</v>
      </c>
      <c r="AI150" s="24">
        <v>2</v>
      </c>
      <c r="AJ150" s="24">
        <v>3</v>
      </c>
      <c r="AK150" s="24">
        <v>2</v>
      </c>
      <c r="AL150" s="24">
        <v>1</v>
      </c>
      <c r="AM150" s="24">
        <v>24</v>
      </c>
      <c r="AN150" s="22" t="s">
        <v>45</v>
      </c>
      <c r="AO150" s="69">
        <v>44197</v>
      </c>
    </row>
    <row r="151" spans="1:16382" x14ac:dyDescent="0.2">
      <c r="A151" s="30" t="s">
        <v>58</v>
      </c>
      <c r="B151" s="30" t="s">
        <v>1051</v>
      </c>
      <c r="C151" s="30"/>
      <c r="D151" s="30" t="s">
        <v>37</v>
      </c>
      <c r="E151" s="30" t="s">
        <v>1050</v>
      </c>
      <c r="F151" s="72"/>
      <c r="G151" s="30"/>
      <c r="H151" s="30"/>
      <c r="I151" s="30" t="s">
        <v>1052</v>
      </c>
      <c r="J151" s="30" t="s">
        <v>1127</v>
      </c>
      <c r="K151" s="30" t="s">
        <v>42</v>
      </c>
      <c r="L151" s="31">
        <v>2023</v>
      </c>
      <c r="M151" s="31"/>
      <c r="N151" s="32">
        <v>80</v>
      </c>
      <c r="O151" s="33"/>
      <c r="P151" s="34">
        <v>40</v>
      </c>
      <c r="Q151" s="35">
        <v>2000</v>
      </c>
      <c r="R151" s="35"/>
      <c r="S151" s="36"/>
      <c r="T151" s="31"/>
      <c r="U151" s="31"/>
      <c r="V151" s="31"/>
      <c r="W151" s="31"/>
      <c r="X151" s="31"/>
      <c r="Y151" s="31"/>
      <c r="Z151" s="132" t="e">
        <f>#REF!</f>
        <v>#REF!</v>
      </c>
      <c r="AA151" s="30"/>
      <c r="AB151" s="30"/>
      <c r="AC151" s="30"/>
      <c r="AD151" s="30"/>
      <c r="AE151" s="30"/>
      <c r="AF151" s="72"/>
      <c r="AG151" s="31"/>
      <c r="AH151" s="31"/>
      <c r="AI151" s="31"/>
      <c r="AJ151" s="31"/>
      <c r="AK151" s="31"/>
      <c r="AL151" s="31"/>
      <c r="AM151" s="31"/>
      <c r="AN151" s="30"/>
      <c r="AO151" s="30"/>
    </row>
    <row r="152" spans="1:16382" x14ac:dyDescent="0.2">
      <c r="A152" s="30" t="s">
        <v>72</v>
      </c>
      <c r="B152" s="30" t="s">
        <v>363</v>
      </c>
      <c r="C152" s="30"/>
      <c r="D152" s="30" t="s">
        <v>37</v>
      </c>
      <c r="E152" s="30" t="s">
        <v>1215</v>
      </c>
      <c r="F152" s="72"/>
      <c r="G152" s="30"/>
      <c r="H152" s="30"/>
      <c r="I152" s="30" t="s">
        <v>1216</v>
      </c>
      <c r="J152" s="30" t="s">
        <v>1217</v>
      </c>
      <c r="K152" s="30" t="s">
        <v>42</v>
      </c>
      <c r="L152" s="31">
        <v>2023</v>
      </c>
      <c r="M152" s="31"/>
      <c r="N152" s="32"/>
      <c r="O152" s="33"/>
      <c r="P152" s="34">
        <v>50</v>
      </c>
      <c r="Q152" s="35">
        <v>18000</v>
      </c>
      <c r="R152" s="35"/>
      <c r="S152" s="36"/>
      <c r="T152" s="31"/>
      <c r="U152" s="31"/>
      <c r="V152" s="31"/>
      <c r="W152" s="31"/>
      <c r="X152" s="31"/>
      <c r="Y152" s="31"/>
      <c r="Z152" s="132">
        <f>P152*Q152*7</f>
        <v>6300000</v>
      </c>
      <c r="AA152" s="30"/>
      <c r="AB152" s="30"/>
      <c r="AC152" s="30" t="s">
        <v>42</v>
      </c>
      <c r="AD152" s="30"/>
      <c r="AE152" s="30"/>
      <c r="AF152" s="72"/>
      <c r="AG152" s="31"/>
      <c r="AH152" s="31"/>
      <c r="AI152" s="31"/>
      <c r="AJ152" s="31"/>
      <c r="AK152" s="31"/>
      <c r="AL152" s="31"/>
      <c r="AM152" s="31"/>
      <c r="AN152" s="30"/>
      <c r="AO152" s="37">
        <v>44805</v>
      </c>
    </row>
    <row r="153" spans="1:16382" ht="38.25" hidden="1" x14ac:dyDescent="0.2">
      <c r="A153" s="22" t="s">
        <v>35</v>
      </c>
      <c r="B153" s="22" t="s">
        <v>219</v>
      </c>
      <c r="C153" s="22"/>
      <c r="D153" s="22" t="s">
        <v>220</v>
      </c>
      <c r="E153" s="22" t="s">
        <v>221</v>
      </c>
      <c r="F153" s="22"/>
      <c r="G153" s="22"/>
      <c r="H153" s="97" t="s">
        <v>937</v>
      </c>
      <c r="I153" s="22" t="s">
        <v>222</v>
      </c>
      <c r="J153" s="22"/>
      <c r="K153" s="22" t="s">
        <v>168</v>
      </c>
      <c r="L153" s="24">
        <v>2019</v>
      </c>
      <c r="M153" s="24"/>
      <c r="N153" s="38">
        <f>80/1.5</f>
        <v>53.333333333333336</v>
      </c>
      <c r="O153" s="39"/>
      <c r="P153" s="27">
        <f>N153*O153</f>
        <v>0</v>
      </c>
      <c r="Q153" s="28"/>
      <c r="R153" s="28">
        <f>IF(Q153&lt;4.99,(Q153*12%+4),IF(Q153&lt;10.99,(Q153*12%+8),IF(Q153&lt;14.99,(Q153*12%+12),IF(Q153&lt;879.99,(Q153*12%+16),IF(Q153&lt;2569.99,(Q153*7%+60),240)))))</f>
        <v>4</v>
      </c>
      <c r="S153" s="29">
        <f>R153*P153</f>
        <v>0</v>
      </c>
      <c r="T153" s="24"/>
      <c r="U153" s="24"/>
      <c r="V153" s="24"/>
      <c r="W153" s="24"/>
      <c r="X153" s="24"/>
      <c r="Y153" s="24"/>
      <c r="Z153" s="22"/>
      <c r="AA153" s="22"/>
      <c r="AB153" s="22"/>
      <c r="AC153" s="22" t="s">
        <v>64</v>
      </c>
      <c r="AD153" s="22"/>
      <c r="AE153" s="22" t="s">
        <v>213</v>
      </c>
      <c r="AF153" s="71"/>
      <c r="AG153" s="24">
        <v>1</v>
      </c>
      <c r="AH153" s="24">
        <v>2</v>
      </c>
      <c r="AI153" s="24">
        <v>0</v>
      </c>
      <c r="AJ153" s="24">
        <v>3</v>
      </c>
      <c r="AK153" s="24">
        <v>1</v>
      </c>
      <c r="AL153" s="24">
        <v>1</v>
      </c>
      <c r="AM153" s="24">
        <v>0</v>
      </c>
      <c r="AN153" s="22" t="s">
        <v>48</v>
      </c>
      <c r="AO153" s="22"/>
    </row>
    <row r="154" spans="1:16382" x14ac:dyDescent="0.2">
      <c r="A154" s="22" t="s">
        <v>35</v>
      </c>
      <c r="B154" s="22" t="s">
        <v>1354</v>
      </c>
      <c r="C154" s="22"/>
      <c r="D154" s="22" t="s">
        <v>37</v>
      </c>
      <c r="E154" s="22" t="s">
        <v>1280</v>
      </c>
      <c r="F154" s="22"/>
      <c r="G154" s="22"/>
      <c r="H154" s="97"/>
      <c r="I154" s="22" t="s">
        <v>1355</v>
      </c>
      <c r="J154" s="22" t="s">
        <v>1356</v>
      </c>
      <c r="K154" s="22" t="s">
        <v>42</v>
      </c>
      <c r="L154" s="24">
        <v>2023</v>
      </c>
      <c r="M154" s="24"/>
      <c r="N154" s="38">
        <v>250</v>
      </c>
      <c r="O154" s="39"/>
      <c r="P154" s="27">
        <v>25</v>
      </c>
      <c r="Q154" s="28">
        <v>15000</v>
      </c>
      <c r="R154" s="28">
        <v>240</v>
      </c>
      <c r="S154" s="29"/>
      <c r="T154" s="24"/>
      <c r="U154" s="24"/>
      <c r="V154" s="24"/>
      <c r="W154" s="24"/>
      <c r="X154" s="24"/>
      <c r="Y154" s="24"/>
      <c r="Z154" s="22">
        <f>15000*25*0.3</f>
        <v>112500</v>
      </c>
      <c r="AA154" s="22"/>
      <c r="AB154" s="22"/>
      <c r="AC154" s="22"/>
      <c r="AD154" s="22"/>
      <c r="AE154" s="22"/>
      <c r="AF154" s="71"/>
      <c r="AG154" s="24"/>
      <c r="AH154" s="24"/>
      <c r="AI154" s="24"/>
      <c r="AJ154" s="24"/>
      <c r="AK154" s="24"/>
      <c r="AL154" s="24"/>
      <c r="AM154" s="24"/>
      <c r="AN154" s="22"/>
      <c r="AO154" s="22"/>
    </row>
    <row r="155" spans="1:16382" x14ac:dyDescent="0.2">
      <c r="A155" s="30" t="s">
        <v>58</v>
      </c>
      <c r="B155" s="30" t="s">
        <v>625</v>
      </c>
      <c r="C155" s="30"/>
      <c r="D155" s="30" t="s">
        <v>98</v>
      </c>
      <c r="E155" s="30" t="s">
        <v>1280</v>
      </c>
      <c r="F155" s="30"/>
      <c r="G155" s="30"/>
      <c r="H155" s="139"/>
      <c r="I155" s="30" t="s">
        <v>1281</v>
      </c>
      <c r="J155" s="30"/>
      <c r="K155" s="30" t="s">
        <v>42</v>
      </c>
      <c r="L155" s="31">
        <v>2024</v>
      </c>
      <c r="M155" s="31"/>
      <c r="N155" s="32">
        <v>2000</v>
      </c>
      <c r="O155" s="33"/>
      <c r="P155" s="34"/>
      <c r="Q155" s="35"/>
      <c r="R155" s="35"/>
      <c r="S155" s="36"/>
      <c r="T155" s="31"/>
      <c r="U155" s="31"/>
      <c r="V155" s="31"/>
      <c r="W155" s="31"/>
      <c r="X155" s="31"/>
      <c r="Y155" s="31"/>
      <c r="Z155" s="30"/>
      <c r="AA155" s="30"/>
      <c r="AB155" s="30"/>
      <c r="AC155" s="30" t="s">
        <v>42</v>
      </c>
      <c r="AD155" s="72"/>
      <c r="AE155" s="31"/>
      <c r="AF155" s="31"/>
      <c r="AG155" s="31">
        <v>3</v>
      </c>
      <c r="AH155" s="31">
        <v>2</v>
      </c>
      <c r="AI155" s="31">
        <v>2</v>
      </c>
      <c r="AJ155" s="31">
        <v>3</v>
      </c>
      <c r="AK155" s="31">
        <v>1</v>
      </c>
      <c r="AL155" s="30">
        <v>2</v>
      </c>
      <c r="AM155" s="37">
        <f>AL155*AK155*AJ155*AI155*AH155*AG155</f>
        <v>72</v>
      </c>
      <c r="AN155" s="133" t="s">
        <v>45</v>
      </c>
      <c r="AO155" s="133">
        <v>44958</v>
      </c>
      <c r="AP155" s="133"/>
      <c r="AQ155" s="133"/>
      <c r="AR155" s="133"/>
      <c r="AS155" s="133"/>
      <c r="AT155" s="133"/>
      <c r="AU155" s="133"/>
      <c r="AV155" s="133"/>
      <c r="AW155" s="133"/>
      <c r="AX155" s="133"/>
      <c r="AY155" s="133"/>
      <c r="AZ155" s="133"/>
      <c r="BA155" s="133"/>
      <c r="BB155" s="133"/>
      <c r="BC155" s="133"/>
      <c r="BD155" s="133"/>
      <c r="BE155" s="133"/>
      <c r="BF155" s="133"/>
      <c r="BG155" s="133"/>
      <c r="BH155" s="133"/>
      <c r="BI155" s="133"/>
      <c r="BJ155" s="133"/>
      <c r="BK155" s="133"/>
      <c r="BL155" s="133"/>
      <c r="BM155" s="133"/>
      <c r="BN155" s="133"/>
      <c r="BO155" s="133"/>
      <c r="BP155" s="133"/>
      <c r="BQ155" s="133"/>
      <c r="BR155" s="133"/>
      <c r="BS155" s="133"/>
      <c r="BT155" s="133"/>
      <c r="BU155" s="133"/>
      <c r="BV155" s="133"/>
      <c r="BW155" s="133"/>
      <c r="BX155" s="133"/>
      <c r="BY155" s="133"/>
      <c r="BZ155" s="133"/>
      <c r="CA155" s="133"/>
      <c r="CB155" s="133"/>
      <c r="CC155" s="133"/>
      <c r="CD155" s="133"/>
      <c r="CE155" s="133"/>
      <c r="CF155" s="133"/>
      <c r="CG155" s="133"/>
      <c r="CH155" s="133"/>
      <c r="CI155" s="133"/>
      <c r="CJ155" s="133"/>
      <c r="CK155" s="133"/>
      <c r="CL155" s="133"/>
      <c r="CM155" s="133"/>
      <c r="CN155" s="133"/>
      <c r="CO155" s="133"/>
      <c r="CP155" s="133"/>
      <c r="CQ155" s="133"/>
      <c r="CR155" s="133"/>
      <c r="CS155" s="133"/>
      <c r="CT155" s="133"/>
      <c r="CU155" s="133"/>
      <c r="CV155" s="133"/>
      <c r="CW155" s="133"/>
      <c r="CX155" s="133"/>
      <c r="CY155" s="133"/>
      <c r="CZ155" s="133"/>
      <c r="DA155" s="133"/>
      <c r="DB155" s="133"/>
      <c r="DC155" s="133"/>
      <c r="DD155" s="133"/>
      <c r="DE155" s="133"/>
      <c r="DF155" s="133"/>
      <c r="DG155" s="133"/>
      <c r="DH155" s="133"/>
      <c r="DI155" s="133"/>
      <c r="DJ155" s="133"/>
      <c r="DK155" s="133"/>
      <c r="DL155" s="133"/>
      <c r="DM155" s="133"/>
      <c r="DN155" s="133"/>
      <c r="DO155" s="133"/>
      <c r="DP155" s="133"/>
      <c r="DQ155" s="133"/>
      <c r="DR155" s="133"/>
      <c r="DS155" s="133"/>
      <c r="DT155" s="133"/>
      <c r="DU155" s="133"/>
      <c r="DV155" s="133"/>
      <c r="DW155" s="133"/>
      <c r="DX155" s="133"/>
      <c r="DY155" s="133"/>
      <c r="DZ155" s="133"/>
      <c r="EA155" s="133"/>
      <c r="EB155" s="133"/>
      <c r="EC155" s="133"/>
      <c r="ED155" s="133"/>
      <c r="EE155" s="133"/>
      <c r="EF155" s="133"/>
      <c r="EG155" s="133"/>
      <c r="EH155" s="133"/>
      <c r="EI155" s="133"/>
      <c r="EJ155" s="133"/>
      <c r="EK155" s="133"/>
      <c r="EL155" s="133"/>
      <c r="EM155" s="133"/>
      <c r="EN155" s="133"/>
      <c r="EO155" s="133"/>
      <c r="EP155" s="133"/>
      <c r="EQ155" s="133"/>
      <c r="ER155" s="133"/>
      <c r="ES155" s="133"/>
      <c r="ET155" s="133"/>
      <c r="EU155" s="133"/>
      <c r="EV155" s="133"/>
      <c r="EW155" s="133"/>
      <c r="EX155" s="133"/>
      <c r="EY155" s="133"/>
      <c r="EZ155" s="133"/>
      <c r="FA155" s="133"/>
      <c r="FB155" s="133"/>
      <c r="FC155" s="133"/>
      <c r="FD155" s="133"/>
      <c r="FE155" s="133"/>
      <c r="FF155" s="133"/>
      <c r="FG155" s="133"/>
      <c r="FH155" s="133"/>
      <c r="FI155" s="133"/>
      <c r="FJ155" s="133"/>
      <c r="FK155" s="133"/>
      <c r="FL155" s="133"/>
      <c r="FM155" s="133"/>
      <c r="FN155" s="133"/>
      <c r="FO155" s="133"/>
      <c r="FP155" s="133"/>
      <c r="FQ155" s="133"/>
      <c r="FR155" s="133"/>
      <c r="FS155" s="133"/>
      <c r="FT155" s="133"/>
      <c r="FU155" s="133"/>
      <c r="FV155" s="133"/>
      <c r="FW155" s="133"/>
      <c r="FX155" s="133"/>
      <c r="FY155" s="133"/>
      <c r="FZ155" s="133"/>
      <c r="GA155" s="133"/>
      <c r="GB155" s="133"/>
      <c r="GC155" s="133"/>
      <c r="GD155" s="133"/>
      <c r="GE155" s="133"/>
      <c r="GF155" s="133"/>
      <c r="GG155" s="133"/>
      <c r="GH155" s="133"/>
      <c r="GI155" s="133"/>
      <c r="GJ155" s="133"/>
      <c r="GK155" s="133"/>
      <c r="GL155" s="133"/>
      <c r="GM155" s="133"/>
      <c r="GN155" s="133"/>
      <c r="GO155" s="133"/>
      <c r="GP155" s="133"/>
      <c r="GQ155" s="133"/>
      <c r="GR155" s="133"/>
      <c r="GS155" s="133"/>
      <c r="GT155" s="133"/>
      <c r="GU155" s="133"/>
      <c r="GV155" s="133"/>
      <c r="GW155" s="133"/>
      <c r="GX155" s="133"/>
      <c r="GY155" s="133"/>
      <c r="GZ155" s="133"/>
      <c r="HA155" s="133"/>
      <c r="HB155" s="133"/>
      <c r="HC155" s="133"/>
      <c r="HD155" s="133"/>
      <c r="HE155" s="133"/>
      <c r="HF155" s="133"/>
      <c r="HG155" s="133"/>
      <c r="HH155" s="133"/>
      <c r="HI155" s="133"/>
      <c r="HJ155" s="133"/>
      <c r="HK155" s="133"/>
      <c r="HL155" s="133"/>
      <c r="HM155" s="133"/>
      <c r="HN155" s="133"/>
      <c r="HO155" s="133"/>
      <c r="HP155" s="133"/>
      <c r="HQ155" s="133"/>
      <c r="HR155" s="133"/>
      <c r="HS155" s="133"/>
      <c r="HT155" s="133"/>
      <c r="HU155" s="133"/>
      <c r="HV155" s="133"/>
      <c r="HW155" s="133"/>
      <c r="HX155" s="133"/>
      <c r="HY155" s="133"/>
      <c r="HZ155" s="133"/>
      <c r="IA155" s="133"/>
      <c r="IB155" s="133"/>
      <c r="IC155" s="133"/>
      <c r="ID155" s="133"/>
      <c r="IE155" s="133"/>
      <c r="IF155" s="133"/>
      <c r="IG155" s="133"/>
      <c r="IH155" s="133"/>
      <c r="II155" s="133"/>
      <c r="IJ155" s="133"/>
      <c r="IK155" s="133"/>
      <c r="IL155" s="133"/>
      <c r="IM155" s="133"/>
      <c r="IN155" s="133"/>
      <c r="IO155" s="133"/>
      <c r="IP155" s="133"/>
      <c r="IQ155" s="133"/>
      <c r="IR155" s="133"/>
      <c r="IS155" s="133"/>
      <c r="IT155" s="133"/>
      <c r="IU155" s="133"/>
      <c r="IV155" s="133"/>
      <c r="IW155" s="133"/>
      <c r="IX155" s="133"/>
      <c r="IY155" s="133"/>
      <c r="IZ155" s="133"/>
      <c r="JA155" s="133"/>
      <c r="JB155" s="133"/>
      <c r="JC155" s="133"/>
      <c r="JD155" s="133"/>
      <c r="JE155" s="133"/>
      <c r="JF155" s="133"/>
      <c r="JG155" s="133"/>
      <c r="JH155" s="133"/>
      <c r="JI155" s="133"/>
      <c r="JJ155" s="133"/>
      <c r="JK155" s="133"/>
      <c r="JL155" s="133"/>
      <c r="JM155" s="133"/>
      <c r="JN155" s="133"/>
      <c r="JO155" s="133"/>
      <c r="JP155" s="133"/>
      <c r="JQ155" s="133"/>
      <c r="JR155" s="133"/>
      <c r="JS155" s="133"/>
      <c r="JT155" s="133"/>
      <c r="JU155" s="133"/>
      <c r="JV155" s="133"/>
      <c r="JW155" s="133"/>
      <c r="JX155" s="133"/>
      <c r="JY155" s="133"/>
      <c r="JZ155" s="133"/>
      <c r="KA155" s="133"/>
      <c r="KB155" s="133"/>
      <c r="KC155" s="133"/>
      <c r="KD155" s="133"/>
      <c r="KE155" s="133"/>
      <c r="KF155" s="133"/>
      <c r="KG155" s="133"/>
      <c r="KH155" s="133"/>
      <c r="KI155" s="133"/>
      <c r="KJ155" s="133"/>
      <c r="KK155" s="133"/>
      <c r="KL155" s="133"/>
      <c r="KM155" s="133"/>
      <c r="KN155" s="133"/>
      <c r="KO155" s="133"/>
      <c r="KP155" s="133"/>
      <c r="KQ155" s="133"/>
      <c r="KR155" s="133"/>
      <c r="KS155" s="133"/>
      <c r="KT155" s="133"/>
      <c r="KU155" s="133"/>
      <c r="KV155" s="133"/>
      <c r="KW155" s="133"/>
      <c r="KX155" s="133"/>
      <c r="KY155" s="133"/>
      <c r="KZ155" s="133"/>
      <c r="LA155" s="133"/>
      <c r="LB155" s="133"/>
      <c r="LC155" s="133"/>
      <c r="LD155" s="133"/>
      <c r="LE155" s="133"/>
      <c r="LF155" s="133"/>
      <c r="LG155" s="133"/>
      <c r="LH155" s="133"/>
      <c r="LI155" s="133"/>
      <c r="LJ155" s="133"/>
      <c r="LK155" s="133"/>
      <c r="LL155" s="133"/>
      <c r="LM155" s="133"/>
      <c r="LN155" s="133"/>
      <c r="LO155" s="133"/>
      <c r="LP155" s="133"/>
      <c r="LQ155" s="133"/>
      <c r="LR155" s="133"/>
      <c r="LS155" s="133"/>
      <c r="LT155" s="133"/>
      <c r="LU155" s="133"/>
      <c r="LV155" s="133"/>
      <c r="LW155" s="133"/>
      <c r="LX155" s="133"/>
      <c r="LY155" s="133"/>
      <c r="LZ155" s="133"/>
      <c r="MA155" s="133"/>
      <c r="MB155" s="133"/>
      <c r="MC155" s="133"/>
      <c r="MD155" s="133"/>
      <c r="ME155" s="133"/>
      <c r="MF155" s="133"/>
      <c r="MG155" s="133"/>
      <c r="MH155" s="133"/>
      <c r="MI155" s="133"/>
      <c r="MJ155" s="133"/>
      <c r="MK155" s="133"/>
      <c r="ML155" s="133"/>
      <c r="MM155" s="133"/>
      <c r="MN155" s="133"/>
      <c r="MO155" s="133"/>
      <c r="MP155" s="133"/>
      <c r="MQ155" s="133"/>
      <c r="MR155" s="133"/>
      <c r="MS155" s="133"/>
      <c r="MT155" s="133"/>
      <c r="MU155" s="133"/>
      <c r="MV155" s="133"/>
      <c r="MW155" s="133"/>
      <c r="MX155" s="133"/>
      <c r="MY155" s="133"/>
      <c r="MZ155" s="133"/>
      <c r="NA155" s="133"/>
      <c r="NB155" s="133"/>
      <c r="NC155" s="133"/>
      <c r="ND155" s="133"/>
      <c r="NE155" s="133"/>
      <c r="NF155" s="133"/>
      <c r="NG155" s="133"/>
      <c r="NH155" s="133"/>
      <c r="NI155" s="133"/>
      <c r="NJ155" s="133"/>
      <c r="NK155" s="133"/>
      <c r="NL155" s="133"/>
      <c r="NM155" s="133"/>
      <c r="NN155" s="133"/>
      <c r="NO155" s="133"/>
      <c r="NP155" s="133"/>
      <c r="NQ155" s="133"/>
      <c r="NR155" s="133"/>
      <c r="NS155" s="133"/>
      <c r="NT155" s="133"/>
      <c r="NU155" s="133"/>
      <c r="NV155" s="133"/>
      <c r="NW155" s="133"/>
      <c r="NX155" s="133"/>
      <c r="NY155" s="133"/>
      <c r="NZ155" s="133"/>
      <c r="OA155" s="133"/>
      <c r="OB155" s="133"/>
      <c r="OC155" s="133"/>
      <c r="OD155" s="133"/>
      <c r="OE155" s="133"/>
      <c r="OF155" s="133"/>
      <c r="OG155" s="133"/>
      <c r="OH155" s="133"/>
      <c r="OI155" s="133"/>
      <c r="OJ155" s="133"/>
      <c r="OK155" s="133"/>
      <c r="OL155" s="133"/>
      <c r="OM155" s="133"/>
      <c r="ON155" s="133"/>
      <c r="OO155" s="133"/>
      <c r="OP155" s="133"/>
      <c r="OQ155" s="133"/>
      <c r="OR155" s="133"/>
      <c r="OS155" s="133"/>
      <c r="OT155" s="133"/>
      <c r="OU155" s="133"/>
      <c r="OV155" s="133"/>
      <c r="OW155" s="133"/>
      <c r="OX155" s="133"/>
      <c r="OY155" s="133"/>
      <c r="OZ155" s="133"/>
      <c r="PA155" s="133"/>
      <c r="PB155" s="133"/>
      <c r="PC155" s="133"/>
      <c r="PD155" s="133"/>
      <c r="PE155" s="133"/>
      <c r="PF155" s="133"/>
      <c r="PG155" s="133"/>
      <c r="PH155" s="133"/>
      <c r="PI155" s="133"/>
      <c r="PJ155" s="133"/>
      <c r="PK155" s="133"/>
      <c r="PL155" s="133"/>
      <c r="PM155" s="133"/>
      <c r="PN155" s="133"/>
      <c r="PO155" s="133"/>
      <c r="PP155" s="133"/>
      <c r="PQ155" s="133"/>
      <c r="PR155" s="133"/>
      <c r="PS155" s="133"/>
      <c r="PT155" s="133"/>
      <c r="PU155" s="133"/>
      <c r="PV155" s="133"/>
      <c r="PW155" s="133"/>
      <c r="PX155" s="133"/>
      <c r="PY155" s="133"/>
      <c r="PZ155" s="133"/>
      <c r="QA155" s="133"/>
      <c r="QB155" s="133"/>
      <c r="QC155" s="133"/>
      <c r="QD155" s="133"/>
      <c r="QE155" s="133"/>
      <c r="QF155" s="133"/>
      <c r="QG155" s="133"/>
      <c r="QH155" s="133"/>
      <c r="QI155" s="133"/>
      <c r="QJ155" s="133"/>
      <c r="QK155" s="133"/>
      <c r="QL155" s="133"/>
      <c r="QM155" s="133"/>
      <c r="QN155" s="133"/>
      <c r="QO155" s="133"/>
      <c r="QP155" s="133"/>
      <c r="QQ155" s="133"/>
      <c r="QR155" s="133"/>
      <c r="QS155" s="133"/>
      <c r="QT155" s="133"/>
      <c r="QU155" s="133"/>
      <c r="QV155" s="133"/>
      <c r="QW155" s="133"/>
      <c r="QX155" s="133"/>
      <c r="QY155" s="133"/>
      <c r="QZ155" s="133"/>
      <c r="RA155" s="133"/>
      <c r="RB155" s="133"/>
      <c r="RC155" s="133"/>
      <c r="RD155" s="133"/>
      <c r="RE155" s="133"/>
      <c r="RF155" s="133"/>
      <c r="RG155" s="133"/>
      <c r="RH155" s="133"/>
      <c r="RI155" s="133"/>
      <c r="RJ155" s="133"/>
      <c r="RK155" s="133"/>
      <c r="RL155" s="133"/>
      <c r="RM155" s="133"/>
      <c r="RN155" s="133"/>
      <c r="RO155" s="133"/>
      <c r="RP155" s="133"/>
      <c r="RQ155" s="133"/>
      <c r="RR155" s="133"/>
      <c r="RS155" s="133"/>
      <c r="RT155" s="133"/>
      <c r="RU155" s="133"/>
      <c r="RV155" s="133"/>
      <c r="RW155" s="133"/>
      <c r="RX155" s="133"/>
      <c r="RY155" s="133"/>
      <c r="RZ155" s="133"/>
      <c r="SA155" s="133"/>
      <c r="SB155" s="133"/>
      <c r="SC155" s="133"/>
      <c r="SD155" s="133"/>
      <c r="SE155" s="133"/>
      <c r="SF155" s="133"/>
      <c r="SG155" s="133"/>
      <c r="SH155" s="133"/>
      <c r="SI155" s="133"/>
      <c r="SJ155" s="133"/>
      <c r="SK155" s="133"/>
      <c r="SL155" s="133"/>
      <c r="SM155" s="133"/>
      <c r="SN155" s="133"/>
      <c r="SO155" s="133"/>
      <c r="SP155" s="133"/>
      <c r="SQ155" s="133"/>
      <c r="SR155" s="133"/>
      <c r="SS155" s="133"/>
      <c r="ST155" s="133"/>
      <c r="SU155" s="133"/>
      <c r="SV155" s="133"/>
      <c r="SW155" s="133"/>
      <c r="SX155" s="133"/>
      <c r="SY155" s="133"/>
      <c r="SZ155" s="133"/>
      <c r="TA155" s="133"/>
      <c r="TB155" s="133"/>
      <c r="TC155" s="133"/>
      <c r="TD155" s="133"/>
      <c r="TE155" s="133"/>
      <c r="TF155" s="133"/>
      <c r="TG155" s="133"/>
      <c r="TH155" s="133"/>
      <c r="TI155" s="133"/>
      <c r="TJ155" s="133"/>
      <c r="TK155" s="133"/>
      <c r="TL155" s="133"/>
      <c r="TM155" s="133"/>
      <c r="TN155" s="133"/>
      <c r="TO155" s="133"/>
      <c r="TP155" s="133"/>
      <c r="TQ155" s="133"/>
      <c r="TR155" s="133"/>
      <c r="TS155" s="133"/>
      <c r="TT155" s="133"/>
      <c r="TU155" s="133"/>
      <c r="TV155" s="133"/>
      <c r="TW155" s="133"/>
      <c r="TX155" s="133"/>
      <c r="TY155" s="133"/>
      <c r="TZ155" s="133"/>
      <c r="UA155" s="133"/>
      <c r="UB155" s="133"/>
      <c r="UC155" s="133"/>
      <c r="UD155" s="133"/>
      <c r="UE155" s="133"/>
      <c r="UF155" s="133"/>
      <c r="UG155" s="133"/>
      <c r="UH155" s="133"/>
      <c r="UI155" s="133"/>
      <c r="UJ155" s="133"/>
      <c r="UK155" s="133"/>
      <c r="UL155" s="133"/>
      <c r="UM155" s="133"/>
      <c r="UN155" s="133"/>
      <c r="UO155" s="133"/>
      <c r="UP155" s="133"/>
      <c r="UQ155" s="133"/>
      <c r="UR155" s="133"/>
      <c r="US155" s="133"/>
      <c r="UT155" s="133"/>
      <c r="UU155" s="133"/>
      <c r="UV155" s="133"/>
      <c r="UW155" s="133"/>
      <c r="UX155" s="133"/>
      <c r="UY155" s="133"/>
      <c r="UZ155" s="133"/>
      <c r="VA155" s="133"/>
      <c r="VB155" s="133"/>
      <c r="VC155" s="133"/>
      <c r="VD155" s="133"/>
      <c r="VE155" s="133"/>
      <c r="VF155" s="133"/>
      <c r="VG155" s="133"/>
      <c r="VH155" s="133"/>
      <c r="VI155" s="133"/>
      <c r="VJ155" s="133"/>
      <c r="VK155" s="133"/>
      <c r="VL155" s="133"/>
      <c r="VM155" s="133"/>
      <c r="VN155" s="133"/>
      <c r="VO155" s="133"/>
      <c r="VP155" s="133"/>
      <c r="VQ155" s="133"/>
      <c r="VR155" s="133"/>
      <c r="VS155" s="133"/>
      <c r="VT155" s="133"/>
      <c r="VU155" s="133"/>
      <c r="VV155" s="133"/>
      <c r="VW155" s="133"/>
      <c r="VX155" s="133"/>
      <c r="VY155" s="133"/>
      <c r="VZ155" s="133"/>
      <c r="WA155" s="133"/>
      <c r="WB155" s="133"/>
      <c r="WC155" s="133"/>
      <c r="WD155" s="133"/>
      <c r="WE155" s="133"/>
      <c r="WF155" s="133"/>
      <c r="WG155" s="133"/>
      <c r="WH155" s="133"/>
      <c r="WI155" s="133"/>
      <c r="WJ155" s="133"/>
      <c r="WK155" s="133"/>
      <c r="WL155" s="133"/>
      <c r="WM155" s="133"/>
      <c r="WN155" s="133"/>
      <c r="WO155" s="133"/>
      <c r="WP155" s="133"/>
      <c r="WQ155" s="133"/>
      <c r="WR155" s="133"/>
      <c r="WS155" s="133"/>
      <c r="WT155" s="133"/>
      <c r="WU155" s="133"/>
      <c r="WV155" s="133"/>
      <c r="WW155" s="133"/>
      <c r="WX155" s="133"/>
      <c r="WY155" s="133"/>
      <c r="WZ155" s="133"/>
      <c r="XA155" s="133"/>
      <c r="XB155" s="133"/>
      <c r="XC155" s="133"/>
      <c r="XD155" s="133"/>
      <c r="XE155" s="133"/>
      <c r="XF155" s="133"/>
      <c r="XG155" s="133"/>
      <c r="XH155" s="133"/>
      <c r="XI155" s="133"/>
      <c r="XJ155" s="133"/>
      <c r="XK155" s="133"/>
      <c r="XL155" s="133"/>
      <c r="XM155" s="133"/>
      <c r="XN155" s="133"/>
      <c r="XO155" s="133"/>
      <c r="XP155" s="133"/>
      <c r="XQ155" s="133"/>
      <c r="XR155" s="133"/>
      <c r="XS155" s="133"/>
      <c r="XT155" s="133"/>
      <c r="XU155" s="133"/>
      <c r="XV155" s="133"/>
      <c r="XW155" s="133"/>
      <c r="XX155" s="133"/>
      <c r="XY155" s="133"/>
      <c r="XZ155" s="133"/>
      <c r="YA155" s="133"/>
      <c r="YB155" s="133"/>
      <c r="YC155" s="133"/>
      <c r="YD155" s="133"/>
      <c r="YE155" s="133"/>
      <c r="YF155" s="133"/>
      <c r="YG155" s="133"/>
      <c r="YH155" s="133"/>
      <c r="YI155" s="133"/>
      <c r="YJ155" s="133"/>
      <c r="YK155" s="133"/>
      <c r="YL155" s="133"/>
      <c r="YM155" s="133"/>
      <c r="YN155" s="133"/>
      <c r="YO155" s="133"/>
      <c r="YP155" s="133"/>
      <c r="YQ155" s="133"/>
      <c r="YR155" s="133"/>
      <c r="YS155" s="133"/>
      <c r="YT155" s="133"/>
      <c r="YU155" s="133"/>
      <c r="YV155" s="133"/>
      <c r="YW155" s="133"/>
      <c r="YX155" s="133"/>
      <c r="YY155" s="133"/>
      <c r="YZ155" s="133"/>
      <c r="ZA155" s="133"/>
      <c r="ZB155" s="133"/>
      <c r="ZC155" s="133"/>
      <c r="ZD155" s="133"/>
      <c r="ZE155" s="133"/>
      <c r="ZF155" s="133"/>
      <c r="ZG155" s="133"/>
      <c r="ZH155" s="133"/>
      <c r="ZI155" s="133"/>
      <c r="ZJ155" s="133"/>
      <c r="ZK155" s="133"/>
      <c r="ZL155" s="133"/>
      <c r="ZM155" s="133"/>
      <c r="ZN155" s="133"/>
      <c r="ZO155" s="133"/>
      <c r="ZP155" s="133"/>
      <c r="ZQ155" s="133"/>
      <c r="ZR155" s="133"/>
      <c r="ZS155" s="133"/>
      <c r="ZT155" s="133"/>
      <c r="ZU155" s="133"/>
      <c r="ZV155" s="133"/>
      <c r="ZW155" s="133"/>
      <c r="ZX155" s="133"/>
      <c r="ZY155" s="133"/>
      <c r="ZZ155" s="133"/>
      <c r="AAA155" s="133"/>
      <c r="AAB155" s="133"/>
      <c r="AAC155" s="133"/>
      <c r="AAD155" s="133"/>
      <c r="AAE155" s="133"/>
      <c r="AAF155" s="133"/>
      <c r="AAG155" s="133"/>
      <c r="AAH155" s="133"/>
      <c r="AAI155" s="133"/>
      <c r="AAJ155" s="133"/>
      <c r="AAK155" s="133"/>
      <c r="AAL155" s="133"/>
      <c r="AAM155" s="133"/>
      <c r="AAN155" s="133"/>
      <c r="AAO155" s="133"/>
      <c r="AAP155" s="133"/>
      <c r="AAQ155" s="133"/>
      <c r="AAR155" s="133"/>
      <c r="AAS155" s="133"/>
      <c r="AAT155" s="133"/>
      <c r="AAU155" s="133"/>
      <c r="AAV155" s="133"/>
      <c r="AAW155" s="133"/>
      <c r="AAX155" s="133"/>
      <c r="AAY155" s="133"/>
      <c r="AAZ155" s="133"/>
      <c r="ABA155" s="133"/>
      <c r="ABB155" s="133"/>
      <c r="ABC155" s="133"/>
      <c r="ABD155" s="133"/>
      <c r="ABE155" s="133"/>
      <c r="ABF155" s="133"/>
      <c r="ABG155" s="133"/>
      <c r="ABH155" s="133"/>
      <c r="ABI155" s="133"/>
      <c r="ABJ155" s="133"/>
      <c r="ABK155" s="133"/>
      <c r="ABL155" s="133"/>
      <c r="ABM155" s="133"/>
      <c r="ABN155" s="133"/>
      <c r="ABO155" s="133"/>
      <c r="ABP155" s="133"/>
      <c r="ABQ155" s="133"/>
      <c r="ABR155" s="133"/>
      <c r="ABS155" s="133"/>
      <c r="ABT155" s="133"/>
      <c r="ABU155" s="133"/>
      <c r="ABV155" s="133"/>
      <c r="ABW155" s="133"/>
      <c r="ABX155" s="133"/>
      <c r="ABY155" s="133"/>
      <c r="ABZ155" s="133"/>
      <c r="ACA155" s="133"/>
      <c r="ACB155" s="133"/>
      <c r="ACC155" s="133"/>
      <c r="ACD155" s="133"/>
      <c r="ACE155" s="133"/>
      <c r="ACF155" s="133"/>
      <c r="ACG155" s="133"/>
      <c r="ACH155" s="133"/>
      <c r="ACI155" s="133"/>
      <c r="ACJ155" s="133"/>
      <c r="ACK155" s="133"/>
      <c r="ACL155" s="133"/>
      <c r="ACM155" s="133"/>
      <c r="ACN155" s="133"/>
      <c r="ACO155" s="133"/>
      <c r="ACP155" s="133"/>
      <c r="ACQ155" s="133"/>
      <c r="ACR155" s="133"/>
      <c r="ACS155" s="133"/>
      <c r="ACT155" s="133"/>
      <c r="ACU155" s="133"/>
      <c r="ACV155" s="133"/>
      <c r="ACW155" s="133"/>
      <c r="ACX155" s="133"/>
      <c r="ACY155" s="133"/>
      <c r="ACZ155" s="133"/>
      <c r="ADA155" s="133"/>
      <c r="ADB155" s="133"/>
      <c r="ADC155" s="133"/>
      <c r="ADD155" s="133"/>
      <c r="ADE155" s="133"/>
      <c r="ADF155" s="133"/>
      <c r="ADG155" s="133"/>
      <c r="ADH155" s="133"/>
      <c r="ADI155" s="133"/>
      <c r="ADJ155" s="133"/>
      <c r="ADK155" s="133"/>
      <c r="ADL155" s="133"/>
      <c r="ADM155" s="133"/>
      <c r="ADN155" s="133"/>
      <c r="ADO155" s="133"/>
      <c r="ADP155" s="133"/>
      <c r="ADQ155" s="133"/>
      <c r="ADR155" s="133"/>
      <c r="ADS155" s="133"/>
      <c r="ADT155" s="133"/>
      <c r="ADU155" s="133"/>
      <c r="ADV155" s="133"/>
      <c r="ADW155" s="133"/>
      <c r="ADX155" s="133"/>
      <c r="ADY155" s="133"/>
      <c r="ADZ155" s="133"/>
      <c r="AEA155" s="133"/>
      <c r="AEB155" s="133"/>
      <c r="AEC155" s="133"/>
      <c r="AED155" s="133"/>
      <c r="AEE155" s="133"/>
      <c r="AEF155" s="133"/>
      <c r="AEG155" s="133"/>
      <c r="AEH155" s="133"/>
      <c r="AEI155" s="133"/>
      <c r="AEJ155" s="133"/>
      <c r="AEK155" s="133"/>
      <c r="AEL155" s="133"/>
      <c r="AEM155" s="133"/>
      <c r="AEN155" s="133"/>
      <c r="AEO155" s="133"/>
      <c r="AEP155" s="133"/>
      <c r="AEQ155" s="133"/>
      <c r="AER155" s="133"/>
      <c r="AES155" s="133"/>
      <c r="AET155" s="133"/>
      <c r="AEU155" s="133"/>
      <c r="AEV155" s="133"/>
      <c r="AEW155" s="133"/>
      <c r="AEX155" s="133"/>
      <c r="AEY155" s="133"/>
      <c r="AEZ155" s="133"/>
      <c r="AFA155" s="133"/>
      <c r="AFB155" s="133"/>
      <c r="AFC155" s="133"/>
      <c r="AFD155" s="133"/>
      <c r="AFE155" s="133"/>
      <c r="AFF155" s="133"/>
      <c r="AFG155" s="133"/>
      <c r="AFH155" s="133"/>
      <c r="AFI155" s="133"/>
      <c r="AFJ155" s="133"/>
      <c r="AFK155" s="133"/>
      <c r="AFL155" s="133"/>
      <c r="AFM155" s="133"/>
      <c r="AFN155" s="133"/>
      <c r="AFO155" s="133"/>
      <c r="AFP155" s="133"/>
      <c r="AFQ155" s="133"/>
      <c r="AFR155" s="133"/>
      <c r="AFS155" s="133"/>
      <c r="AFT155" s="133"/>
      <c r="AFU155" s="133"/>
      <c r="AFV155" s="133"/>
      <c r="AFW155" s="133"/>
      <c r="AFX155" s="133"/>
      <c r="AFY155" s="133"/>
      <c r="AFZ155" s="133"/>
      <c r="AGA155" s="133"/>
      <c r="AGB155" s="133"/>
      <c r="AGC155" s="133"/>
      <c r="AGD155" s="133"/>
      <c r="AGE155" s="133"/>
      <c r="AGF155" s="133"/>
      <c r="AGG155" s="133"/>
      <c r="AGH155" s="133"/>
      <c r="AGI155" s="133"/>
      <c r="AGJ155" s="133"/>
      <c r="AGK155" s="133"/>
      <c r="AGL155" s="133"/>
      <c r="AGM155" s="133"/>
      <c r="AGN155" s="133"/>
      <c r="AGO155" s="133"/>
      <c r="AGP155" s="133"/>
      <c r="AGQ155" s="133"/>
      <c r="AGR155" s="133"/>
      <c r="AGS155" s="133"/>
      <c r="AGT155" s="133"/>
      <c r="AGU155" s="133"/>
      <c r="AGV155" s="133"/>
      <c r="AGW155" s="133"/>
      <c r="AGX155" s="133"/>
      <c r="AGY155" s="133"/>
      <c r="AGZ155" s="133"/>
      <c r="AHA155" s="133"/>
      <c r="AHB155" s="133"/>
      <c r="AHC155" s="133"/>
      <c r="AHD155" s="133"/>
      <c r="AHE155" s="133"/>
      <c r="AHF155" s="133"/>
      <c r="AHG155" s="133"/>
      <c r="AHH155" s="133"/>
      <c r="AHI155" s="133"/>
      <c r="AHJ155" s="133"/>
      <c r="AHK155" s="133"/>
      <c r="AHL155" s="133"/>
      <c r="AHM155" s="133"/>
      <c r="AHN155" s="133"/>
      <c r="AHO155" s="133"/>
      <c r="AHP155" s="133"/>
      <c r="AHQ155" s="133"/>
      <c r="AHR155" s="133"/>
      <c r="AHS155" s="133"/>
      <c r="AHT155" s="133"/>
      <c r="AHU155" s="133"/>
      <c r="AHV155" s="133"/>
      <c r="AHW155" s="133"/>
      <c r="AHX155" s="133"/>
      <c r="AHY155" s="133"/>
      <c r="AHZ155" s="133"/>
      <c r="AIA155" s="133"/>
      <c r="AIB155" s="133"/>
      <c r="AIC155" s="133"/>
      <c r="AID155" s="133"/>
      <c r="AIE155" s="133"/>
      <c r="AIF155" s="133"/>
      <c r="AIG155" s="133"/>
      <c r="AIH155" s="133"/>
      <c r="AII155" s="133"/>
      <c r="AIJ155" s="133"/>
      <c r="AIK155" s="133"/>
      <c r="AIL155" s="133"/>
      <c r="AIM155" s="133"/>
      <c r="AIN155" s="133"/>
      <c r="AIO155" s="133"/>
      <c r="AIP155" s="133"/>
      <c r="AIQ155" s="133"/>
      <c r="AIR155" s="133"/>
      <c r="AIS155" s="133"/>
      <c r="AIT155" s="133"/>
      <c r="AIU155" s="133"/>
      <c r="AIV155" s="133"/>
      <c r="AIW155" s="133"/>
      <c r="AIX155" s="133"/>
      <c r="AIY155" s="133"/>
      <c r="AIZ155" s="133"/>
      <c r="AJA155" s="133"/>
      <c r="AJB155" s="133"/>
      <c r="AJC155" s="133"/>
      <c r="AJD155" s="133"/>
      <c r="AJE155" s="133"/>
      <c r="AJF155" s="133"/>
      <c r="AJG155" s="133"/>
      <c r="AJH155" s="133"/>
      <c r="AJI155" s="133"/>
      <c r="AJJ155" s="133"/>
      <c r="AJK155" s="133"/>
      <c r="AJL155" s="133"/>
      <c r="AJM155" s="133"/>
      <c r="AJN155" s="133"/>
      <c r="AJO155" s="133"/>
      <c r="AJP155" s="133"/>
      <c r="AJQ155" s="133"/>
      <c r="AJR155" s="133"/>
      <c r="AJS155" s="133"/>
      <c r="AJT155" s="133"/>
      <c r="AJU155" s="133"/>
      <c r="AJV155" s="133"/>
      <c r="AJW155" s="133"/>
      <c r="AJX155" s="133"/>
      <c r="AJY155" s="133"/>
      <c r="AJZ155" s="133"/>
      <c r="AKA155" s="133"/>
      <c r="AKB155" s="133"/>
      <c r="AKC155" s="133"/>
      <c r="AKD155" s="133"/>
      <c r="AKE155" s="133"/>
      <c r="AKF155" s="133"/>
      <c r="AKG155" s="133"/>
      <c r="AKH155" s="133"/>
      <c r="AKI155" s="133"/>
      <c r="AKJ155" s="133"/>
      <c r="AKK155" s="133"/>
      <c r="AKL155" s="133"/>
      <c r="AKM155" s="133"/>
      <c r="AKN155" s="133"/>
      <c r="AKO155" s="133"/>
      <c r="AKP155" s="133"/>
      <c r="AKQ155" s="133"/>
      <c r="AKR155" s="133"/>
      <c r="AKS155" s="133"/>
      <c r="AKT155" s="133"/>
      <c r="AKU155" s="133"/>
      <c r="AKV155" s="133"/>
      <c r="AKW155" s="133"/>
      <c r="AKX155" s="133"/>
      <c r="AKY155" s="133"/>
      <c r="AKZ155" s="133"/>
      <c r="ALA155" s="133"/>
      <c r="ALB155" s="133"/>
      <c r="ALC155" s="133"/>
      <c r="ALD155" s="133"/>
      <c r="ALE155" s="133"/>
      <c r="ALF155" s="133"/>
      <c r="ALG155" s="133"/>
      <c r="ALH155" s="133"/>
      <c r="ALI155" s="133"/>
      <c r="ALJ155" s="133"/>
      <c r="ALK155" s="133"/>
      <c r="ALL155" s="133"/>
      <c r="ALM155" s="133"/>
      <c r="ALN155" s="133"/>
      <c r="ALO155" s="133"/>
      <c r="ALP155" s="133"/>
      <c r="ALQ155" s="133"/>
      <c r="ALR155" s="133"/>
      <c r="ALS155" s="133"/>
      <c r="ALT155" s="133"/>
      <c r="ALU155" s="133"/>
      <c r="ALV155" s="133"/>
      <c r="ALW155" s="133"/>
      <c r="ALX155" s="133"/>
      <c r="ALY155" s="133"/>
      <c r="ALZ155" s="133"/>
      <c r="AMA155" s="133"/>
      <c r="AMB155" s="133"/>
      <c r="AMC155" s="133"/>
      <c r="AMD155" s="133"/>
      <c r="AME155" s="133"/>
      <c r="AMF155" s="133"/>
      <c r="AMG155" s="133"/>
      <c r="AMH155" s="133"/>
      <c r="AMI155" s="133"/>
      <c r="AMJ155" s="133"/>
      <c r="AMK155" s="133"/>
      <c r="AML155" s="133"/>
      <c r="AMM155" s="133"/>
      <c r="AMN155" s="133"/>
      <c r="AMO155" s="133"/>
      <c r="AMP155" s="133"/>
      <c r="AMQ155" s="133"/>
      <c r="AMR155" s="133"/>
      <c r="AMS155" s="133"/>
      <c r="AMT155" s="133"/>
      <c r="AMU155" s="133"/>
      <c r="AMV155" s="133"/>
      <c r="AMW155" s="133"/>
      <c r="AMX155" s="133"/>
      <c r="AMY155" s="133"/>
      <c r="AMZ155" s="133"/>
      <c r="ANA155" s="133"/>
      <c r="ANB155" s="133"/>
      <c r="ANC155" s="133"/>
      <c r="AND155" s="133"/>
      <c r="ANE155" s="133"/>
      <c r="ANF155" s="133"/>
      <c r="ANG155" s="133"/>
      <c r="ANH155" s="133"/>
      <c r="ANI155" s="133"/>
      <c r="ANJ155" s="133"/>
      <c r="ANK155" s="133"/>
      <c r="ANL155" s="133"/>
      <c r="ANM155" s="133"/>
      <c r="ANN155" s="133"/>
      <c r="ANO155" s="133"/>
      <c r="ANP155" s="133"/>
      <c r="ANQ155" s="133"/>
      <c r="ANR155" s="133"/>
      <c r="ANS155" s="133"/>
      <c r="ANT155" s="133"/>
      <c r="ANU155" s="133"/>
      <c r="ANV155" s="133"/>
      <c r="ANW155" s="133"/>
      <c r="ANX155" s="133"/>
      <c r="ANY155" s="133"/>
      <c r="ANZ155" s="133"/>
      <c r="AOA155" s="133"/>
      <c r="AOB155" s="133"/>
      <c r="AOC155" s="133"/>
      <c r="AOD155" s="133"/>
      <c r="AOE155" s="133"/>
      <c r="AOF155" s="133"/>
      <c r="AOG155" s="133"/>
      <c r="AOH155" s="133"/>
      <c r="AOI155" s="133"/>
      <c r="AOJ155" s="133"/>
      <c r="AOK155" s="133"/>
      <c r="AOL155" s="133"/>
      <c r="AOM155" s="133"/>
      <c r="AON155" s="133"/>
      <c r="AOO155" s="133"/>
      <c r="AOP155" s="133"/>
      <c r="AOQ155" s="133"/>
      <c r="AOR155" s="133"/>
      <c r="AOS155" s="133"/>
      <c r="AOT155" s="133"/>
      <c r="AOU155" s="133"/>
      <c r="AOV155" s="133"/>
      <c r="AOW155" s="133"/>
      <c r="AOX155" s="133"/>
      <c r="AOY155" s="133"/>
      <c r="AOZ155" s="133"/>
      <c r="APA155" s="133"/>
      <c r="APB155" s="133"/>
      <c r="APC155" s="133"/>
      <c r="APD155" s="133"/>
      <c r="APE155" s="133"/>
      <c r="APF155" s="133"/>
      <c r="APG155" s="133"/>
      <c r="APH155" s="133"/>
      <c r="API155" s="133"/>
      <c r="APJ155" s="133"/>
      <c r="APK155" s="133"/>
      <c r="APL155" s="133"/>
      <c r="APM155" s="133"/>
      <c r="APN155" s="133"/>
      <c r="APO155" s="133"/>
      <c r="APP155" s="133"/>
      <c r="APQ155" s="133"/>
      <c r="APR155" s="133"/>
      <c r="APS155" s="133"/>
      <c r="APT155" s="133"/>
      <c r="APU155" s="133"/>
      <c r="APV155" s="133"/>
      <c r="APW155" s="133"/>
      <c r="APX155" s="133"/>
      <c r="APY155" s="133"/>
      <c r="APZ155" s="133"/>
      <c r="AQA155" s="133"/>
      <c r="AQB155" s="133"/>
      <c r="AQC155" s="133"/>
      <c r="AQD155" s="133"/>
      <c r="AQE155" s="133"/>
      <c r="AQF155" s="133"/>
      <c r="AQG155" s="133"/>
      <c r="AQH155" s="133"/>
      <c r="AQI155" s="133"/>
      <c r="AQJ155" s="133"/>
      <c r="AQK155" s="133"/>
      <c r="AQL155" s="133"/>
      <c r="AQM155" s="133"/>
      <c r="AQN155" s="133"/>
      <c r="AQO155" s="133"/>
      <c r="AQP155" s="133"/>
      <c r="AQQ155" s="133"/>
      <c r="AQR155" s="133"/>
      <c r="AQS155" s="133"/>
      <c r="AQT155" s="133"/>
      <c r="AQU155" s="133"/>
      <c r="AQV155" s="133"/>
      <c r="AQW155" s="133"/>
      <c r="AQX155" s="133"/>
      <c r="AQY155" s="133"/>
      <c r="AQZ155" s="133"/>
      <c r="ARA155" s="133"/>
      <c r="ARB155" s="133"/>
      <c r="ARC155" s="133"/>
      <c r="ARD155" s="133"/>
      <c r="ARE155" s="133"/>
      <c r="ARF155" s="133"/>
      <c r="ARG155" s="133"/>
      <c r="ARH155" s="133"/>
      <c r="ARI155" s="133"/>
      <c r="ARJ155" s="133"/>
      <c r="ARK155" s="133"/>
      <c r="ARL155" s="133"/>
      <c r="ARM155" s="133"/>
      <c r="ARN155" s="133"/>
      <c r="ARO155" s="133"/>
      <c r="ARP155" s="133"/>
      <c r="ARQ155" s="133"/>
      <c r="ARR155" s="133"/>
      <c r="ARS155" s="133"/>
      <c r="ART155" s="133"/>
      <c r="ARU155" s="133"/>
      <c r="ARV155" s="133"/>
      <c r="ARW155" s="133"/>
      <c r="ARX155" s="133"/>
      <c r="ARY155" s="133"/>
      <c r="ARZ155" s="133"/>
      <c r="ASA155" s="133"/>
      <c r="ASB155" s="133"/>
      <c r="ASC155" s="133"/>
      <c r="ASD155" s="133"/>
      <c r="ASE155" s="133"/>
      <c r="ASF155" s="133"/>
      <c r="ASG155" s="133"/>
      <c r="ASH155" s="133"/>
      <c r="ASI155" s="133"/>
      <c r="ASJ155" s="133"/>
      <c r="ASK155" s="133"/>
      <c r="ASL155" s="133"/>
      <c r="ASM155" s="133"/>
      <c r="ASN155" s="133"/>
      <c r="ASO155" s="133"/>
      <c r="ASP155" s="133"/>
      <c r="ASQ155" s="133"/>
      <c r="ASR155" s="133"/>
      <c r="ASS155" s="133"/>
      <c r="AST155" s="133"/>
      <c r="ASU155" s="133"/>
      <c r="ASV155" s="133"/>
      <c r="ASW155" s="133"/>
      <c r="ASX155" s="133"/>
      <c r="ASY155" s="133"/>
      <c r="ASZ155" s="133"/>
      <c r="ATA155" s="133"/>
      <c r="ATB155" s="133"/>
      <c r="ATC155" s="133"/>
      <c r="ATD155" s="133"/>
      <c r="ATE155" s="133"/>
      <c r="ATF155" s="133"/>
      <c r="ATG155" s="133"/>
      <c r="ATH155" s="133"/>
      <c r="ATI155" s="133"/>
      <c r="ATJ155" s="133"/>
      <c r="ATK155" s="133"/>
      <c r="ATL155" s="133"/>
      <c r="ATM155" s="133"/>
      <c r="ATN155" s="133"/>
      <c r="ATO155" s="133"/>
      <c r="ATP155" s="133"/>
      <c r="ATQ155" s="133"/>
      <c r="ATR155" s="133"/>
      <c r="ATS155" s="133"/>
      <c r="ATT155" s="133"/>
      <c r="ATU155" s="133"/>
      <c r="ATV155" s="133"/>
      <c r="ATW155" s="133"/>
      <c r="ATX155" s="133"/>
      <c r="ATY155" s="133"/>
      <c r="ATZ155" s="133"/>
      <c r="AUA155" s="133"/>
      <c r="AUB155" s="133"/>
      <c r="AUC155" s="133"/>
      <c r="AUD155" s="133"/>
      <c r="AUE155" s="133"/>
      <c r="AUF155" s="133"/>
      <c r="AUG155" s="133"/>
      <c r="AUH155" s="133"/>
      <c r="AUI155" s="133"/>
      <c r="AUJ155" s="133"/>
      <c r="AUK155" s="133"/>
      <c r="AUL155" s="133"/>
      <c r="AUM155" s="133"/>
      <c r="AUN155" s="133"/>
      <c r="AUO155" s="133"/>
      <c r="AUP155" s="133"/>
      <c r="AUQ155" s="133"/>
      <c r="AUR155" s="133"/>
      <c r="AUS155" s="133"/>
      <c r="AUT155" s="133"/>
      <c r="AUU155" s="133"/>
      <c r="AUV155" s="133"/>
      <c r="AUW155" s="133"/>
      <c r="AUX155" s="133"/>
      <c r="AUY155" s="133"/>
      <c r="AUZ155" s="133"/>
      <c r="AVA155" s="133"/>
      <c r="AVB155" s="133"/>
      <c r="AVC155" s="133"/>
      <c r="AVD155" s="133"/>
      <c r="AVE155" s="133"/>
      <c r="AVF155" s="133"/>
      <c r="AVG155" s="133"/>
      <c r="AVH155" s="133"/>
      <c r="AVI155" s="133"/>
      <c r="AVJ155" s="133"/>
      <c r="AVK155" s="133"/>
      <c r="AVL155" s="133"/>
      <c r="AVM155" s="133"/>
      <c r="AVN155" s="133"/>
      <c r="AVO155" s="133"/>
      <c r="AVP155" s="133"/>
      <c r="AVQ155" s="133"/>
      <c r="AVR155" s="133"/>
      <c r="AVS155" s="133"/>
      <c r="AVT155" s="133"/>
      <c r="AVU155" s="133"/>
      <c r="AVV155" s="133"/>
      <c r="AVW155" s="133"/>
      <c r="AVX155" s="133"/>
      <c r="AVY155" s="133"/>
      <c r="AVZ155" s="133"/>
      <c r="AWA155" s="133"/>
      <c r="AWB155" s="133"/>
      <c r="AWC155" s="133"/>
      <c r="AWD155" s="133"/>
      <c r="AWE155" s="133"/>
      <c r="AWF155" s="133"/>
      <c r="AWG155" s="133"/>
      <c r="AWH155" s="133"/>
      <c r="AWI155" s="133"/>
      <c r="AWJ155" s="133"/>
      <c r="AWK155" s="133"/>
      <c r="AWL155" s="133"/>
      <c r="AWM155" s="133"/>
      <c r="AWN155" s="133"/>
      <c r="AWO155" s="133"/>
      <c r="AWP155" s="133"/>
      <c r="AWQ155" s="133"/>
      <c r="AWR155" s="133"/>
      <c r="AWS155" s="133"/>
      <c r="AWT155" s="133"/>
      <c r="AWU155" s="133"/>
      <c r="AWV155" s="133"/>
      <c r="AWW155" s="133"/>
      <c r="AWX155" s="133"/>
      <c r="AWY155" s="133"/>
      <c r="AWZ155" s="133"/>
      <c r="AXA155" s="133"/>
      <c r="AXB155" s="133"/>
      <c r="AXC155" s="133"/>
      <c r="AXD155" s="133"/>
      <c r="AXE155" s="133"/>
      <c r="AXF155" s="133"/>
      <c r="AXG155" s="133"/>
      <c r="AXH155" s="133"/>
      <c r="AXI155" s="133"/>
      <c r="AXJ155" s="133"/>
      <c r="AXK155" s="133"/>
      <c r="AXL155" s="133"/>
      <c r="AXM155" s="133"/>
      <c r="AXN155" s="133"/>
      <c r="AXO155" s="133"/>
      <c r="AXP155" s="133"/>
      <c r="AXQ155" s="133"/>
      <c r="AXR155" s="133"/>
      <c r="AXS155" s="133"/>
      <c r="AXT155" s="133"/>
      <c r="AXU155" s="133"/>
      <c r="AXV155" s="133"/>
      <c r="AXW155" s="133"/>
      <c r="AXX155" s="133"/>
      <c r="AXY155" s="133"/>
      <c r="AXZ155" s="133"/>
      <c r="AYA155" s="133"/>
      <c r="AYB155" s="133"/>
      <c r="AYC155" s="133"/>
      <c r="AYD155" s="133"/>
      <c r="AYE155" s="133"/>
      <c r="AYF155" s="133"/>
      <c r="AYG155" s="133"/>
      <c r="AYH155" s="133"/>
      <c r="AYI155" s="133"/>
      <c r="AYJ155" s="133"/>
      <c r="AYK155" s="133"/>
      <c r="AYL155" s="133"/>
      <c r="AYM155" s="133"/>
      <c r="AYN155" s="133"/>
      <c r="AYO155" s="133"/>
      <c r="AYP155" s="133"/>
      <c r="AYQ155" s="133"/>
      <c r="AYR155" s="133"/>
      <c r="AYS155" s="133"/>
      <c r="AYT155" s="133"/>
      <c r="AYU155" s="133"/>
      <c r="AYV155" s="133"/>
      <c r="AYW155" s="133"/>
      <c r="AYX155" s="133"/>
      <c r="AYY155" s="133"/>
      <c r="AYZ155" s="133"/>
      <c r="AZA155" s="133"/>
      <c r="AZB155" s="133"/>
      <c r="AZC155" s="133"/>
      <c r="AZD155" s="133"/>
      <c r="AZE155" s="133"/>
      <c r="AZF155" s="133"/>
      <c r="AZG155" s="133"/>
      <c r="AZH155" s="133"/>
      <c r="AZI155" s="133"/>
      <c r="AZJ155" s="133"/>
      <c r="AZK155" s="133"/>
      <c r="AZL155" s="133"/>
      <c r="AZM155" s="133"/>
      <c r="AZN155" s="133"/>
      <c r="AZO155" s="133"/>
      <c r="AZP155" s="133"/>
      <c r="AZQ155" s="133"/>
      <c r="AZR155" s="133"/>
      <c r="AZS155" s="133"/>
      <c r="AZT155" s="133"/>
      <c r="AZU155" s="133"/>
      <c r="AZV155" s="133"/>
      <c r="AZW155" s="133"/>
      <c r="AZX155" s="133"/>
      <c r="AZY155" s="133"/>
      <c r="AZZ155" s="133"/>
      <c r="BAA155" s="133"/>
      <c r="BAB155" s="133"/>
      <c r="BAC155" s="133"/>
      <c r="BAD155" s="133"/>
      <c r="BAE155" s="133"/>
      <c r="BAF155" s="133"/>
      <c r="BAG155" s="133"/>
      <c r="BAH155" s="133"/>
      <c r="BAI155" s="133"/>
      <c r="BAJ155" s="133"/>
      <c r="BAK155" s="133"/>
      <c r="BAL155" s="133"/>
      <c r="BAM155" s="133"/>
      <c r="BAN155" s="133"/>
      <c r="BAO155" s="133"/>
      <c r="BAP155" s="133"/>
      <c r="BAQ155" s="133"/>
      <c r="BAR155" s="133"/>
      <c r="BAS155" s="133"/>
      <c r="BAT155" s="133"/>
      <c r="BAU155" s="133"/>
      <c r="BAV155" s="133"/>
      <c r="BAW155" s="133"/>
      <c r="BAX155" s="133"/>
      <c r="BAY155" s="133"/>
      <c r="BAZ155" s="133"/>
      <c r="BBA155" s="133"/>
      <c r="BBB155" s="133"/>
      <c r="BBC155" s="133"/>
      <c r="BBD155" s="133"/>
      <c r="BBE155" s="133"/>
      <c r="BBF155" s="133"/>
      <c r="BBG155" s="133"/>
      <c r="BBH155" s="133"/>
      <c r="BBI155" s="133"/>
      <c r="BBJ155" s="133"/>
      <c r="BBK155" s="133"/>
      <c r="BBL155" s="133"/>
      <c r="BBM155" s="133"/>
      <c r="BBN155" s="133"/>
      <c r="BBO155" s="133"/>
      <c r="BBP155" s="133"/>
      <c r="BBQ155" s="133"/>
      <c r="BBR155" s="133"/>
      <c r="BBS155" s="133"/>
      <c r="BBT155" s="133"/>
      <c r="BBU155" s="133"/>
      <c r="BBV155" s="133"/>
      <c r="BBW155" s="133"/>
      <c r="BBX155" s="133"/>
      <c r="BBY155" s="133"/>
      <c r="BBZ155" s="133"/>
      <c r="BCA155" s="133"/>
      <c r="BCB155" s="133"/>
      <c r="BCC155" s="133"/>
      <c r="BCD155" s="133"/>
      <c r="BCE155" s="133"/>
      <c r="BCF155" s="133"/>
      <c r="BCG155" s="133"/>
      <c r="BCH155" s="133"/>
      <c r="BCI155" s="133"/>
      <c r="BCJ155" s="133"/>
      <c r="BCK155" s="133"/>
      <c r="BCL155" s="133"/>
      <c r="BCM155" s="133"/>
      <c r="BCN155" s="133"/>
      <c r="BCO155" s="133"/>
      <c r="BCP155" s="133"/>
      <c r="BCQ155" s="133"/>
      <c r="BCR155" s="133"/>
      <c r="BCS155" s="133"/>
      <c r="BCT155" s="133"/>
      <c r="BCU155" s="133"/>
      <c r="BCV155" s="133"/>
      <c r="BCW155" s="133"/>
      <c r="BCX155" s="133"/>
      <c r="BCY155" s="133"/>
      <c r="BCZ155" s="133"/>
      <c r="BDA155" s="133"/>
      <c r="BDB155" s="133"/>
      <c r="BDC155" s="133"/>
      <c r="BDD155" s="133"/>
      <c r="BDE155" s="133"/>
      <c r="BDF155" s="133"/>
      <c r="BDG155" s="133"/>
      <c r="BDH155" s="133"/>
      <c r="BDI155" s="133"/>
      <c r="BDJ155" s="133"/>
      <c r="BDK155" s="133"/>
      <c r="BDL155" s="133"/>
      <c r="BDM155" s="133"/>
      <c r="BDN155" s="133"/>
      <c r="BDO155" s="133"/>
      <c r="BDP155" s="133"/>
      <c r="BDQ155" s="133"/>
      <c r="BDR155" s="133"/>
      <c r="BDS155" s="133"/>
      <c r="BDT155" s="133"/>
      <c r="BDU155" s="133"/>
      <c r="BDV155" s="133"/>
      <c r="BDW155" s="133"/>
      <c r="BDX155" s="133"/>
      <c r="BDY155" s="133"/>
      <c r="BDZ155" s="133"/>
      <c r="BEA155" s="133"/>
      <c r="BEB155" s="133"/>
      <c r="BEC155" s="133"/>
      <c r="BED155" s="133"/>
      <c r="BEE155" s="133"/>
      <c r="BEF155" s="133"/>
      <c r="BEG155" s="133"/>
      <c r="BEH155" s="133"/>
      <c r="BEI155" s="133"/>
      <c r="BEJ155" s="133"/>
      <c r="BEK155" s="133"/>
      <c r="BEL155" s="133"/>
      <c r="BEM155" s="133"/>
      <c r="BEN155" s="133"/>
      <c r="BEO155" s="133"/>
      <c r="BEP155" s="133"/>
      <c r="BEQ155" s="133"/>
      <c r="BER155" s="133"/>
      <c r="BES155" s="133"/>
      <c r="BET155" s="133"/>
      <c r="BEU155" s="133"/>
      <c r="BEV155" s="133"/>
      <c r="BEW155" s="133"/>
      <c r="BEX155" s="133"/>
      <c r="BEY155" s="133"/>
      <c r="BEZ155" s="133"/>
      <c r="BFA155" s="133"/>
      <c r="BFB155" s="133"/>
      <c r="BFC155" s="133"/>
      <c r="BFD155" s="133"/>
      <c r="BFE155" s="133"/>
      <c r="BFF155" s="133"/>
      <c r="BFG155" s="133"/>
      <c r="BFH155" s="133"/>
      <c r="BFI155" s="133"/>
      <c r="BFJ155" s="133"/>
      <c r="BFK155" s="133"/>
      <c r="BFL155" s="133"/>
      <c r="BFM155" s="133"/>
      <c r="BFN155" s="133"/>
      <c r="BFO155" s="133"/>
      <c r="BFP155" s="133"/>
      <c r="BFQ155" s="133"/>
      <c r="BFR155" s="133"/>
      <c r="BFS155" s="133"/>
      <c r="BFT155" s="133"/>
      <c r="BFU155" s="133"/>
      <c r="BFV155" s="133"/>
      <c r="BFW155" s="133"/>
      <c r="BFX155" s="133"/>
      <c r="BFY155" s="133"/>
      <c r="BFZ155" s="133"/>
      <c r="BGA155" s="133"/>
      <c r="BGB155" s="133"/>
      <c r="BGC155" s="133"/>
      <c r="BGD155" s="133"/>
      <c r="BGE155" s="133"/>
      <c r="BGF155" s="133"/>
      <c r="BGG155" s="133"/>
      <c r="BGH155" s="133"/>
      <c r="BGI155" s="133"/>
      <c r="BGJ155" s="133"/>
      <c r="BGK155" s="133"/>
      <c r="BGL155" s="133"/>
      <c r="BGM155" s="133"/>
      <c r="BGN155" s="133"/>
      <c r="BGO155" s="133"/>
      <c r="BGP155" s="133"/>
      <c r="BGQ155" s="133"/>
      <c r="BGR155" s="133"/>
      <c r="BGS155" s="133"/>
      <c r="BGT155" s="133"/>
      <c r="BGU155" s="133"/>
      <c r="BGV155" s="133"/>
      <c r="BGW155" s="133"/>
      <c r="BGX155" s="133"/>
      <c r="BGY155" s="133"/>
      <c r="BGZ155" s="133"/>
      <c r="BHA155" s="133"/>
      <c r="BHB155" s="133"/>
      <c r="BHC155" s="133"/>
      <c r="BHD155" s="133"/>
      <c r="BHE155" s="133"/>
      <c r="BHF155" s="133"/>
      <c r="BHG155" s="133"/>
      <c r="BHH155" s="133"/>
      <c r="BHI155" s="133"/>
      <c r="BHJ155" s="133"/>
      <c r="BHK155" s="133"/>
      <c r="BHL155" s="133"/>
      <c r="BHM155" s="133"/>
      <c r="BHN155" s="133"/>
      <c r="BHO155" s="133"/>
      <c r="BHP155" s="133"/>
      <c r="BHQ155" s="133"/>
      <c r="BHR155" s="133"/>
      <c r="BHS155" s="133"/>
      <c r="BHT155" s="133"/>
      <c r="BHU155" s="133"/>
      <c r="BHV155" s="133"/>
      <c r="BHW155" s="133"/>
      <c r="BHX155" s="133"/>
      <c r="BHY155" s="133"/>
      <c r="BHZ155" s="133"/>
      <c r="BIA155" s="133"/>
      <c r="BIB155" s="133"/>
      <c r="BIC155" s="133"/>
      <c r="BID155" s="133"/>
      <c r="BIE155" s="133"/>
      <c r="BIF155" s="133"/>
      <c r="BIG155" s="133"/>
      <c r="BIH155" s="133"/>
      <c r="BII155" s="133"/>
      <c r="BIJ155" s="133"/>
      <c r="BIK155" s="133"/>
      <c r="BIL155" s="133"/>
      <c r="BIM155" s="133"/>
      <c r="BIN155" s="133"/>
      <c r="BIO155" s="133"/>
      <c r="BIP155" s="133"/>
      <c r="BIQ155" s="133"/>
      <c r="BIR155" s="133"/>
      <c r="BIS155" s="133"/>
      <c r="BIT155" s="133"/>
      <c r="BIU155" s="133"/>
      <c r="BIV155" s="133"/>
      <c r="BIW155" s="133"/>
      <c r="BIX155" s="133"/>
      <c r="BIY155" s="133"/>
      <c r="BIZ155" s="133"/>
      <c r="BJA155" s="133"/>
      <c r="BJB155" s="133"/>
      <c r="BJC155" s="133"/>
      <c r="BJD155" s="133"/>
      <c r="BJE155" s="133"/>
      <c r="BJF155" s="133"/>
      <c r="BJG155" s="133"/>
      <c r="BJH155" s="133"/>
      <c r="BJI155" s="133"/>
      <c r="BJJ155" s="133"/>
      <c r="BJK155" s="133"/>
      <c r="BJL155" s="133"/>
      <c r="BJM155" s="133"/>
      <c r="BJN155" s="133"/>
      <c r="BJO155" s="133"/>
      <c r="BJP155" s="133"/>
      <c r="BJQ155" s="133"/>
      <c r="BJR155" s="133"/>
      <c r="BJS155" s="133"/>
      <c r="BJT155" s="133"/>
      <c r="BJU155" s="133"/>
      <c r="BJV155" s="133"/>
      <c r="BJW155" s="133"/>
      <c r="BJX155" s="133"/>
      <c r="BJY155" s="133"/>
      <c r="BJZ155" s="133"/>
      <c r="BKA155" s="133"/>
      <c r="BKB155" s="133"/>
      <c r="BKC155" s="133"/>
      <c r="BKD155" s="133"/>
      <c r="BKE155" s="133"/>
      <c r="BKF155" s="133"/>
      <c r="BKG155" s="133"/>
      <c r="BKH155" s="133"/>
      <c r="BKI155" s="133"/>
      <c r="BKJ155" s="133"/>
      <c r="BKK155" s="133"/>
      <c r="BKL155" s="133"/>
      <c r="BKM155" s="133"/>
      <c r="BKN155" s="133"/>
      <c r="BKO155" s="133"/>
      <c r="BKP155" s="133"/>
      <c r="BKQ155" s="133"/>
      <c r="BKR155" s="133"/>
      <c r="BKS155" s="133"/>
      <c r="BKT155" s="133"/>
      <c r="BKU155" s="133"/>
      <c r="BKV155" s="133"/>
      <c r="BKW155" s="133"/>
      <c r="BKX155" s="133"/>
      <c r="BKY155" s="133"/>
      <c r="BKZ155" s="133"/>
      <c r="BLA155" s="133"/>
      <c r="BLB155" s="133"/>
      <c r="BLC155" s="133"/>
      <c r="BLD155" s="133"/>
      <c r="BLE155" s="133"/>
      <c r="BLF155" s="133"/>
      <c r="BLG155" s="133"/>
      <c r="BLH155" s="133"/>
      <c r="BLI155" s="133"/>
      <c r="BLJ155" s="133"/>
      <c r="BLK155" s="133"/>
      <c r="BLL155" s="133"/>
      <c r="BLM155" s="133"/>
      <c r="BLN155" s="133"/>
      <c r="BLO155" s="133"/>
      <c r="BLP155" s="133"/>
      <c r="BLQ155" s="133"/>
      <c r="BLR155" s="133"/>
      <c r="BLS155" s="133"/>
      <c r="BLT155" s="133"/>
      <c r="BLU155" s="133"/>
      <c r="BLV155" s="133"/>
      <c r="BLW155" s="133"/>
      <c r="BLX155" s="133"/>
      <c r="BLY155" s="133"/>
      <c r="BLZ155" s="133"/>
      <c r="BMA155" s="133"/>
      <c r="BMB155" s="133"/>
      <c r="BMC155" s="133"/>
      <c r="BMD155" s="133"/>
      <c r="BME155" s="133"/>
      <c r="BMF155" s="133"/>
      <c r="BMG155" s="133"/>
      <c r="BMH155" s="133"/>
      <c r="BMI155" s="133"/>
      <c r="BMJ155" s="133"/>
      <c r="BMK155" s="133"/>
      <c r="BML155" s="133"/>
      <c r="BMM155" s="133"/>
      <c r="BMN155" s="133"/>
      <c r="BMO155" s="133"/>
      <c r="BMP155" s="133"/>
      <c r="BMQ155" s="133"/>
      <c r="BMR155" s="133"/>
      <c r="BMS155" s="133"/>
      <c r="BMT155" s="133"/>
      <c r="BMU155" s="133"/>
      <c r="BMV155" s="133"/>
      <c r="BMW155" s="133"/>
      <c r="BMX155" s="133"/>
      <c r="BMY155" s="133"/>
      <c r="BMZ155" s="133"/>
      <c r="BNA155" s="133"/>
      <c r="BNB155" s="133"/>
      <c r="BNC155" s="133"/>
      <c r="BND155" s="133"/>
      <c r="BNE155" s="133"/>
      <c r="BNF155" s="133"/>
      <c r="BNG155" s="133"/>
      <c r="BNH155" s="133"/>
      <c r="BNI155" s="133"/>
      <c r="BNJ155" s="133"/>
      <c r="BNK155" s="133"/>
      <c r="BNL155" s="133"/>
      <c r="BNM155" s="133"/>
      <c r="BNN155" s="133"/>
      <c r="BNO155" s="133"/>
      <c r="BNP155" s="133"/>
      <c r="BNQ155" s="133"/>
      <c r="BNR155" s="133"/>
      <c r="BNS155" s="133"/>
      <c r="BNT155" s="133"/>
      <c r="BNU155" s="133"/>
      <c r="BNV155" s="133"/>
      <c r="BNW155" s="133"/>
      <c r="BNX155" s="133"/>
      <c r="BNY155" s="133"/>
      <c r="BNZ155" s="133"/>
      <c r="BOA155" s="133"/>
      <c r="BOB155" s="133"/>
      <c r="BOC155" s="133"/>
      <c r="BOD155" s="133"/>
      <c r="BOE155" s="133"/>
      <c r="BOF155" s="133"/>
      <c r="BOG155" s="133"/>
      <c r="BOH155" s="133"/>
      <c r="BOI155" s="133"/>
      <c r="BOJ155" s="133"/>
      <c r="BOK155" s="133"/>
      <c r="BOL155" s="133"/>
      <c r="BOM155" s="133"/>
      <c r="BON155" s="133"/>
      <c r="BOO155" s="133"/>
      <c r="BOP155" s="133"/>
      <c r="BOQ155" s="133"/>
      <c r="BOR155" s="133"/>
      <c r="BOS155" s="133"/>
      <c r="BOT155" s="133"/>
      <c r="BOU155" s="133"/>
      <c r="BOV155" s="133"/>
      <c r="BOW155" s="133"/>
      <c r="BOX155" s="133"/>
      <c r="BOY155" s="133"/>
      <c r="BOZ155" s="133"/>
      <c r="BPA155" s="133"/>
      <c r="BPB155" s="133"/>
      <c r="BPC155" s="133"/>
      <c r="BPD155" s="133"/>
      <c r="BPE155" s="133"/>
      <c r="BPF155" s="133"/>
      <c r="BPG155" s="133"/>
      <c r="BPH155" s="133"/>
      <c r="BPI155" s="133"/>
      <c r="BPJ155" s="133"/>
      <c r="BPK155" s="133"/>
      <c r="BPL155" s="133"/>
      <c r="BPM155" s="133"/>
      <c r="BPN155" s="133"/>
      <c r="BPO155" s="133"/>
      <c r="BPP155" s="133"/>
      <c r="BPQ155" s="133"/>
      <c r="BPR155" s="133"/>
      <c r="BPS155" s="133"/>
      <c r="BPT155" s="133"/>
      <c r="BPU155" s="133"/>
      <c r="BPV155" s="133"/>
      <c r="BPW155" s="133"/>
      <c r="BPX155" s="133"/>
      <c r="BPY155" s="133"/>
      <c r="BPZ155" s="133"/>
      <c r="BQA155" s="133"/>
      <c r="BQB155" s="133"/>
      <c r="BQC155" s="133"/>
      <c r="BQD155" s="133"/>
      <c r="BQE155" s="133"/>
      <c r="BQF155" s="133"/>
      <c r="BQG155" s="133"/>
      <c r="BQH155" s="133"/>
      <c r="BQI155" s="133"/>
      <c r="BQJ155" s="133"/>
      <c r="BQK155" s="133"/>
      <c r="BQL155" s="133"/>
      <c r="BQM155" s="133"/>
      <c r="BQN155" s="133"/>
      <c r="BQO155" s="133"/>
      <c r="BQP155" s="133"/>
      <c r="BQQ155" s="133"/>
      <c r="BQR155" s="133"/>
      <c r="BQS155" s="133"/>
      <c r="BQT155" s="133"/>
      <c r="BQU155" s="133"/>
      <c r="BQV155" s="133"/>
      <c r="BQW155" s="133"/>
      <c r="BQX155" s="133"/>
      <c r="BQY155" s="133"/>
      <c r="BQZ155" s="133"/>
      <c r="BRA155" s="133"/>
      <c r="BRB155" s="133"/>
      <c r="BRC155" s="133"/>
      <c r="BRD155" s="133"/>
      <c r="BRE155" s="133"/>
      <c r="BRF155" s="133"/>
      <c r="BRG155" s="133"/>
      <c r="BRH155" s="133"/>
      <c r="BRI155" s="133"/>
      <c r="BRJ155" s="133"/>
      <c r="BRK155" s="133"/>
      <c r="BRL155" s="133"/>
      <c r="BRM155" s="133"/>
      <c r="BRN155" s="133"/>
      <c r="BRO155" s="133"/>
      <c r="BRP155" s="133"/>
      <c r="BRQ155" s="133"/>
      <c r="BRR155" s="133"/>
      <c r="BRS155" s="133"/>
      <c r="BRT155" s="133"/>
      <c r="BRU155" s="133"/>
      <c r="BRV155" s="133"/>
      <c r="BRW155" s="133"/>
      <c r="BRX155" s="133"/>
      <c r="BRY155" s="133"/>
      <c r="BRZ155" s="133"/>
      <c r="BSA155" s="133"/>
      <c r="BSB155" s="133"/>
      <c r="BSC155" s="133"/>
      <c r="BSD155" s="133"/>
      <c r="BSE155" s="133"/>
      <c r="BSF155" s="133"/>
      <c r="BSG155" s="133"/>
      <c r="BSH155" s="133"/>
      <c r="BSI155" s="133"/>
      <c r="BSJ155" s="133"/>
      <c r="BSK155" s="133"/>
      <c r="BSL155" s="133"/>
      <c r="BSM155" s="133"/>
      <c r="BSN155" s="133"/>
      <c r="BSO155" s="133"/>
      <c r="BSP155" s="133"/>
      <c r="BSQ155" s="133"/>
      <c r="BSR155" s="133"/>
      <c r="BSS155" s="133"/>
      <c r="BST155" s="133"/>
      <c r="BSU155" s="133"/>
      <c r="BSV155" s="133"/>
      <c r="BSW155" s="133"/>
      <c r="BSX155" s="133"/>
      <c r="BSY155" s="133"/>
      <c r="BSZ155" s="133"/>
      <c r="BTA155" s="133"/>
      <c r="BTB155" s="133"/>
      <c r="BTC155" s="133"/>
      <c r="BTD155" s="133"/>
      <c r="BTE155" s="133"/>
      <c r="BTF155" s="133"/>
      <c r="BTG155" s="133"/>
      <c r="BTH155" s="133"/>
      <c r="BTI155" s="133"/>
      <c r="BTJ155" s="133"/>
      <c r="BTK155" s="133"/>
      <c r="BTL155" s="133"/>
      <c r="BTM155" s="133"/>
      <c r="BTN155" s="133"/>
      <c r="BTO155" s="133"/>
      <c r="BTP155" s="133"/>
      <c r="BTQ155" s="133"/>
      <c r="BTR155" s="133"/>
      <c r="BTS155" s="133"/>
      <c r="BTT155" s="133"/>
      <c r="BTU155" s="133"/>
      <c r="BTV155" s="133"/>
      <c r="BTW155" s="133"/>
      <c r="BTX155" s="133"/>
      <c r="BTY155" s="133"/>
      <c r="BTZ155" s="133"/>
      <c r="BUA155" s="133"/>
      <c r="BUB155" s="133"/>
      <c r="BUC155" s="133"/>
      <c r="BUD155" s="133"/>
      <c r="BUE155" s="133"/>
      <c r="BUF155" s="133"/>
      <c r="BUG155" s="133"/>
      <c r="BUH155" s="133"/>
      <c r="BUI155" s="133"/>
      <c r="BUJ155" s="133"/>
      <c r="BUK155" s="133"/>
      <c r="BUL155" s="133"/>
      <c r="BUM155" s="133"/>
      <c r="BUN155" s="133"/>
      <c r="BUO155" s="133"/>
      <c r="BUP155" s="133"/>
      <c r="BUQ155" s="133"/>
      <c r="BUR155" s="133"/>
      <c r="BUS155" s="133"/>
      <c r="BUT155" s="133"/>
      <c r="BUU155" s="133"/>
      <c r="BUV155" s="133"/>
      <c r="BUW155" s="133"/>
      <c r="BUX155" s="133"/>
      <c r="BUY155" s="133"/>
      <c r="BUZ155" s="133"/>
      <c r="BVA155" s="133"/>
      <c r="BVB155" s="133"/>
      <c r="BVC155" s="133"/>
      <c r="BVD155" s="133"/>
      <c r="BVE155" s="133"/>
      <c r="BVF155" s="133"/>
      <c r="BVG155" s="133"/>
      <c r="BVH155" s="133"/>
      <c r="BVI155" s="133"/>
      <c r="BVJ155" s="133"/>
      <c r="BVK155" s="133"/>
      <c r="BVL155" s="133"/>
      <c r="BVM155" s="133"/>
      <c r="BVN155" s="133"/>
      <c r="BVO155" s="133"/>
      <c r="BVP155" s="133"/>
      <c r="BVQ155" s="133"/>
      <c r="BVR155" s="133"/>
      <c r="BVS155" s="133"/>
      <c r="BVT155" s="133"/>
      <c r="BVU155" s="133"/>
      <c r="BVV155" s="133"/>
      <c r="BVW155" s="133"/>
      <c r="BVX155" s="133"/>
      <c r="BVY155" s="133"/>
      <c r="BVZ155" s="133"/>
      <c r="BWA155" s="133"/>
      <c r="BWB155" s="133"/>
      <c r="BWC155" s="133"/>
      <c r="BWD155" s="133"/>
      <c r="BWE155" s="133"/>
      <c r="BWF155" s="133"/>
      <c r="BWG155" s="133"/>
      <c r="BWH155" s="133"/>
      <c r="BWI155" s="133"/>
      <c r="BWJ155" s="133"/>
      <c r="BWK155" s="133"/>
      <c r="BWL155" s="133"/>
      <c r="BWM155" s="133"/>
      <c r="BWN155" s="133"/>
      <c r="BWO155" s="133"/>
      <c r="BWP155" s="133"/>
      <c r="BWQ155" s="133"/>
      <c r="BWR155" s="133"/>
      <c r="BWS155" s="133"/>
      <c r="BWT155" s="133"/>
      <c r="BWU155" s="133"/>
      <c r="BWV155" s="133"/>
      <c r="BWW155" s="133"/>
      <c r="BWX155" s="133"/>
      <c r="BWY155" s="133"/>
      <c r="BWZ155" s="133"/>
      <c r="BXA155" s="133"/>
      <c r="BXB155" s="133"/>
      <c r="BXC155" s="133"/>
      <c r="BXD155" s="133"/>
      <c r="BXE155" s="133"/>
      <c r="BXF155" s="133"/>
      <c r="BXG155" s="133"/>
      <c r="BXH155" s="133"/>
      <c r="BXI155" s="133"/>
      <c r="BXJ155" s="133"/>
      <c r="BXK155" s="133"/>
      <c r="BXL155" s="133"/>
      <c r="BXM155" s="133"/>
      <c r="BXN155" s="133"/>
      <c r="BXO155" s="133"/>
      <c r="BXP155" s="133"/>
      <c r="BXQ155" s="133"/>
      <c r="BXR155" s="133"/>
      <c r="BXS155" s="133"/>
      <c r="BXT155" s="133"/>
      <c r="BXU155" s="133"/>
      <c r="BXV155" s="133"/>
      <c r="BXW155" s="133"/>
      <c r="BXX155" s="133"/>
      <c r="BXY155" s="133"/>
      <c r="BXZ155" s="133"/>
      <c r="BYA155" s="133"/>
      <c r="BYB155" s="133"/>
      <c r="BYC155" s="133"/>
      <c r="BYD155" s="133"/>
      <c r="BYE155" s="133"/>
      <c r="BYF155" s="133"/>
      <c r="BYG155" s="133"/>
      <c r="BYH155" s="133"/>
      <c r="BYI155" s="133"/>
      <c r="BYJ155" s="133"/>
      <c r="BYK155" s="133"/>
      <c r="BYL155" s="133"/>
      <c r="BYM155" s="133"/>
      <c r="BYN155" s="133"/>
      <c r="BYO155" s="133"/>
      <c r="BYP155" s="133"/>
      <c r="BYQ155" s="133"/>
      <c r="BYR155" s="133"/>
      <c r="BYS155" s="133"/>
      <c r="BYT155" s="133"/>
      <c r="BYU155" s="133"/>
      <c r="BYV155" s="133"/>
      <c r="BYW155" s="133"/>
      <c r="BYX155" s="133"/>
      <c r="BYY155" s="133"/>
      <c r="BYZ155" s="133"/>
      <c r="BZA155" s="133"/>
      <c r="BZB155" s="133"/>
      <c r="BZC155" s="133"/>
      <c r="BZD155" s="133"/>
      <c r="BZE155" s="133"/>
      <c r="BZF155" s="133"/>
      <c r="BZG155" s="133"/>
      <c r="BZH155" s="133"/>
      <c r="BZI155" s="133"/>
      <c r="BZJ155" s="133"/>
      <c r="BZK155" s="133"/>
      <c r="BZL155" s="133"/>
      <c r="BZM155" s="133"/>
      <c r="BZN155" s="133"/>
      <c r="BZO155" s="133"/>
      <c r="BZP155" s="133"/>
      <c r="BZQ155" s="133"/>
      <c r="BZR155" s="133"/>
      <c r="BZS155" s="133"/>
      <c r="BZT155" s="133"/>
      <c r="BZU155" s="133"/>
      <c r="BZV155" s="133"/>
      <c r="BZW155" s="133"/>
      <c r="BZX155" s="133"/>
      <c r="BZY155" s="133"/>
      <c r="BZZ155" s="133"/>
      <c r="CAA155" s="133"/>
      <c r="CAB155" s="133"/>
      <c r="CAC155" s="133"/>
      <c r="CAD155" s="133"/>
      <c r="CAE155" s="133"/>
      <c r="CAF155" s="133"/>
      <c r="CAG155" s="133"/>
      <c r="CAH155" s="133"/>
      <c r="CAI155" s="133"/>
      <c r="CAJ155" s="133"/>
      <c r="CAK155" s="133"/>
      <c r="CAL155" s="133"/>
      <c r="CAM155" s="133"/>
      <c r="CAN155" s="133"/>
      <c r="CAO155" s="133"/>
      <c r="CAP155" s="133"/>
      <c r="CAQ155" s="133"/>
      <c r="CAR155" s="133"/>
      <c r="CAS155" s="133"/>
      <c r="CAT155" s="133"/>
      <c r="CAU155" s="133"/>
      <c r="CAV155" s="133"/>
      <c r="CAW155" s="133"/>
      <c r="CAX155" s="133"/>
      <c r="CAY155" s="133"/>
      <c r="CAZ155" s="133"/>
      <c r="CBA155" s="133"/>
      <c r="CBB155" s="133"/>
      <c r="CBC155" s="133"/>
      <c r="CBD155" s="133"/>
      <c r="CBE155" s="133"/>
      <c r="CBF155" s="133"/>
      <c r="CBG155" s="133"/>
      <c r="CBH155" s="133"/>
      <c r="CBI155" s="133"/>
      <c r="CBJ155" s="133"/>
      <c r="CBK155" s="133"/>
      <c r="CBL155" s="133"/>
      <c r="CBM155" s="133"/>
      <c r="CBN155" s="133"/>
      <c r="CBO155" s="133"/>
      <c r="CBP155" s="133"/>
      <c r="CBQ155" s="133"/>
      <c r="CBR155" s="133"/>
      <c r="CBS155" s="133"/>
      <c r="CBT155" s="133"/>
      <c r="CBU155" s="133"/>
      <c r="CBV155" s="133"/>
      <c r="CBW155" s="133"/>
      <c r="CBX155" s="133"/>
      <c r="CBY155" s="133"/>
      <c r="CBZ155" s="133"/>
      <c r="CCA155" s="133"/>
      <c r="CCB155" s="133"/>
      <c r="CCC155" s="133"/>
      <c r="CCD155" s="133"/>
      <c r="CCE155" s="133"/>
      <c r="CCF155" s="133"/>
      <c r="CCG155" s="133"/>
      <c r="CCH155" s="133"/>
      <c r="CCI155" s="133"/>
      <c r="CCJ155" s="133"/>
      <c r="CCK155" s="133"/>
      <c r="CCL155" s="133"/>
      <c r="CCM155" s="133"/>
      <c r="CCN155" s="133"/>
      <c r="CCO155" s="133"/>
      <c r="CCP155" s="133"/>
      <c r="CCQ155" s="133"/>
      <c r="CCR155" s="133"/>
      <c r="CCS155" s="133"/>
      <c r="CCT155" s="133"/>
      <c r="CCU155" s="133"/>
      <c r="CCV155" s="133"/>
      <c r="CCW155" s="133"/>
      <c r="CCX155" s="133"/>
      <c r="CCY155" s="133"/>
      <c r="CCZ155" s="133"/>
      <c r="CDA155" s="133"/>
      <c r="CDB155" s="133"/>
      <c r="CDC155" s="133"/>
      <c r="CDD155" s="133"/>
      <c r="CDE155" s="133"/>
      <c r="CDF155" s="133"/>
      <c r="CDG155" s="133"/>
      <c r="CDH155" s="133"/>
      <c r="CDI155" s="133"/>
      <c r="CDJ155" s="133"/>
      <c r="CDK155" s="133"/>
      <c r="CDL155" s="133"/>
      <c r="CDM155" s="133"/>
      <c r="CDN155" s="133"/>
      <c r="CDO155" s="133"/>
      <c r="CDP155" s="133"/>
      <c r="CDQ155" s="133"/>
      <c r="CDR155" s="133"/>
      <c r="CDS155" s="133"/>
      <c r="CDT155" s="133"/>
      <c r="CDU155" s="133"/>
      <c r="CDV155" s="133"/>
      <c r="CDW155" s="133"/>
      <c r="CDX155" s="133"/>
      <c r="CDY155" s="133"/>
      <c r="CDZ155" s="133"/>
      <c r="CEA155" s="133"/>
      <c r="CEB155" s="133"/>
      <c r="CEC155" s="133"/>
      <c r="CED155" s="133"/>
      <c r="CEE155" s="133"/>
      <c r="CEF155" s="133"/>
      <c r="CEG155" s="133"/>
      <c r="CEH155" s="133"/>
      <c r="CEI155" s="133"/>
      <c r="CEJ155" s="133"/>
      <c r="CEK155" s="133"/>
      <c r="CEL155" s="133"/>
      <c r="CEM155" s="133"/>
      <c r="CEN155" s="133"/>
      <c r="CEO155" s="133"/>
      <c r="CEP155" s="133"/>
      <c r="CEQ155" s="133"/>
      <c r="CER155" s="133"/>
      <c r="CES155" s="133"/>
      <c r="CET155" s="133"/>
      <c r="CEU155" s="133"/>
      <c r="CEV155" s="133"/>
      <c r="CEW155" s="133"/>
      <c r="CEX155" s="133"/>
      <c r="CEY155" s="133"/>
      <c r="CEZ155" s="133"/>
      <c r="CFA155" s="133"/>
      <c r="CFB155" s="133"/>
      <c r="CFC155" s="133"/>
      <c r="CFD155" s="133"/>
      <c r="CFE155" s="133"/>
      <c r="CFF155" s="133"/>
      <c r="CFG155" s="133"/>
      <c r="CFH155" s="133"/>
      <c r="CFI155" s="133"/>
      <c r="CFJ155" s="133"/>
      <c r="CFK155" s="133"/>
      <c r="CFL155" s="133"/>
      <c r="CFM155" s="133"/>
      <c r="CFN155" s="133"/>
      <c r="CFO155" s="133"/>
      <c r="CFP155" s="133"/>
      <c r="CFQ155" s="133"/>
      <c r="CFR155" s="133"/>
      <c r="CFS155" s="133"/>
      <c r="CFT155" s="133"/>
      <c r="CFU155" s="133"/>
      <c r="CFV155" s="133"/>
      <c r="CFW155" s="133"/>
      <c r="CFX155" s="133"/>
      <c r="CFY155" s="133"/>
      <c r="CFZ155" s="133"/>
      <c r="CGA155" s="133"/>
      <c r="CGB155" s="133"/>
      <c r="CGC155" s="133"/>
      <c r="CGD155" s="133"/>
      <c r="CGE155" s="133"/>
      <c r="CGF155" s="133"/>
      <c r="CGG155" s="133"/>
      <c r="CGH155" s="133"/>
      <c r="CGI155" s="133"/>
      <c r="CGJ155" s="133"/>
      <c r="CGK155" s="133"/>
      <c r="CGL155" s="133"/>
      <c r="CGM155" s="133"/>
      <c r="CGN155" s="133"/>
      <c r="CGO155" s="133"/>
      <c r="CGP155" s="133"/>
      <c r="CGQ155" s="133"/>
      <c r="CGR155" s="133"/>
      <c r="CGS155" s="133"/>
      <c r="CGT155" s="133"/>
      <c r="CGU155" s="133"/>
      <c r="CGV155" s="133"/>
      <c r="CGW155" s="133"/>
      <c r="CGX155" s="133"/>
      <c r="CGY155" s="133"/>
      <c r="CGZ155" s="133"/>
      <c r="CHA155" s="133"/>
      <c r="CHB155" s="133"/>
      <c r="CHC155" s="133"/>
      <c r="CHD155" s="133"/>
      <c r="CHE155" s="133"/>
      <c r="CHF155" s="133"/>
      <c r="CHG155" s="133"/>
      <c r="CHH155" s="133"/>
      <c r="CHI155" s="133"/>
      <c r="CHJ155" s="133"/>
      <c r="CHK155" s="133"/>
      <c r="CHL155" s="133"/>
      <c r="CHM155" s="133"/>
      <c r="CHN155" s="133"/>
      <c r="CHO155" s="133"/>
      <c r="CHP155" s="133"/>
      <c r="CHQ155" s="133"/>
      <c r="CHR155" s="133"/>
      <c r="CHS155" s="133"/>
      <c r="CHT155" s="133"/>
      <c r="CHU155" s="133"/>
      <c r="CHV155" s="133"/>
      <c r="CHW155" s="133"/>
      <c r="CHX155" s="133"/>
      <c r="CHY155" s="133"/>
      <c r="CHZ155" s="133"/>
      <c r="CIA155" s="133"/>
      <c r="CIB155" s="133"/>
      <c r="CIC155" s="133"/>
      <c r="CID155" s="133"/>
      <c r="CIE155" s="133"/>
      <c r="CIF155" s="133"/>
      <c r="CIG155" s="133"/>
      <c r="CIH155" s="133"/>
      <c r="CII155" s="133"/>
      <c r="CIJ155" s="133"/>
      <c r="CIK155" s="133"/>
      <c r="CIL155" s="133"/>
      <c r="CIM155" s="133"/>
      <c r="CIN155" s="133"/>
      <c r="CIO155" s="133"/>
      <c r="CIP155" s="133"/>
      <c r="CIQ155" s="133"/>
      <c r="CIR155" s="133"/>
      <c r="CIS155" s="133"/>
      <c r="CIT155" s="133"/>
      <c r="CIU155" s="133"/>
      <c r="CIV155" s="133"/>
      <c r="CIW155" s="133"/>
      <c r="CIX155" s="133"/>
      <c r="CIY155" s="133"/>
      <c r="CIZ155" s="133"/>
      <c r="CJA155" s="133"/>
      <c r="CJB155" s="133"/>
      <c r="CJC155" s="133"/>
      <c r="CJD155" s="133"/>
      <c r="CJE155" s="133"/>
      <c r="CJF155" s="133"/>
      <c r="CJG155" s="133"/>
      <c r="CJH155" s="133"/>
      <c r="CJI155" s="133"/>
      <c r="CJJ155" s="133"/>
      <c r="CJK155" s="133"/>
      <c r="CJL155" s="133"/>
      <c r="CJM155" s="133"/>
      <c r="CJN155" s="133"/>
      <c r="CJO155" s="133"/>
      <c r="CJP155" s="133"/>
      <c r="CJQ155" s="133"/>
      <c r="CJR155" s="133"/>
      <c r="CJS155" s="133"/>
      <c r="CJT155" s="133"/>
      <c r="CJU155" s="133"/>
      <c r="CJV155" s="133"/>
      <c r="CJW155" s="133"/>
      <c r="CJX155" s="133"/>
      <c r="CJY155" s="133"/>
      <c r="CJZ155" s="133"/>
      <c r="CKA155" s="133"/>
      <c r="CKB155" s="133"/>
      <c r="CKC155" s="133"/>
      <c r="CKD155" s="133"/>
      <c r="CKE155" s="133"/>
      <c r="CKF155" s="133"/>
      <c r="CKG155" s="133"/>
      <c r="CKH155" s="133"/>
      <c r="CKI155" s="133"/>
      <c r="CKJ155" s="133"/>
      <c r="CKK155" s="133"/>
      <c r="CKL155" s="133"/>
      <c r="CKM155" s="133"/>
      <c r="CKN155" s="133"/>
      <c r="CKO155" s="133"/>
      <c r="CKP155" s="133"/>
      <c r="CKQ155" s="133"/>
      <c r="CKR155" s="133"/>
      <c r="CKS155" s="133"/>
      <c r="CKT155" s="133"/>
      <c r="CKU155" s="133"/>
      <c r="CKV155" s="133"/>
      <c r="CKW155" s="133"/>
      <c r="CKX155" s="133"/>
      <c r="CKY155" s="133"/>
      <c r="CKZ155" s="133"/>
      <c r="CLA155" s="133"/>
      <c r="CLB155" s="133"/>
      <c r="CLC155" s="133"/>
      <c r="CLD155" s="133"/>
      <c r="CLE155" s="133"/>
      <c r="CLF155" s="133"/>
      <c r="CLG155" s="133"/>
      <c r="CLH155" s="133"/>
      <c r="CLI155" s="133"/>
      <c r="CLJ155" s="133"/>
      <c r="CLK155" s="133"/>
      <c r="CLL155" s="133"/>
      <c r="CLM155" s="133"/>
      <c r="CLN155" s="133"/>
      <c r="CLO155" s="133"/>
      <c r="CLP155" s="133"/>
      <c r="CLQ155" s="133"/>
      <c r="CLR155" s="133"/>
      <c r="CLS155" s="133"/>
      <c r="CLT155" s="133"/>
      <c r="CLU155" s="133"/>
      <c r="CLV155" s="133"/>
      <c r="CLW155" s="133"/>
      <c r="CLX155" s="133"/>
      <c r="CLY155" s="133"/>
      <c r="CLZ155" s="133"/>
      <c r="CMA155" s="133"/>
      <c r="CMB155" s="133"/>
      <c r="CMC155" s="133"/>
      <c r="CMD155" s="133"/>
      <c r="CME155" s="133"/>
      <c r="CMF155" s="133"/>
      <c r="CMG155" s="133"/>
      <c r="CMH155" s="133"/>
      <c r="CMI155" s="133"/>
      <c r="CMJ155" s="133"/>
      <c r="CMK155" s="133"/>
      <c r="CML155" s="133"/>
      <c r="CMM155" s="133"/>
      <c r="CMN155" s="133"/>
      <c r="CMO155" s="133"/>
      <c r="CMP155" s="133"/>
      <c r="CMQ155" s="133"/>
      <c r="CMR155" s="133"/>
      <c r="CMS155" s="133"/>
      <c r="CMT155" s="133"/>
      <c r="CMU155" s="133"/>
      <c r="CMV155" s="133"/>
      <c r="CMW155" s="133"/>
      <c r="CMX155" s="133"/>
      <c r="CMY155" s="133"/>
      <c r="CMZ155" s="133"/>
      <c r="CNA155" s="133"/>
      <c r="CNB155" s="133"/>
      <c r="CNC155" s="133"/>
      <c r="CND155" s="133"/>
      <c r="CNE155" s="133"/>
      <c r="CNF155" s="133"/>
      <c r="CNG155" s="133"/>
      <c r="CNH155" s="133"/>
      <c r="CNI155" s="133"/>
      <c r="CNJ155" s="133"/>
      <c r="CNK155" s="133"/>
      <c r="CNL155" s="133"/>
      <c r="CNM155" s="133"/>
      <c r="CNN155" s="133"/>
      <c r="CNO155" s="133"/>
      <c r="CNP155" s="133"/>
      <c r="CNQ155" s="133"/>
      <c r="CNR155" s="133"/>
      <c r="CNS155" s="133"/>
      <c r="CNT155" s="133"/>
      <c r="CNU155" s="133"/>
      <c r="CNV155" s="133"/>
      <c r="CNW155" s="133"/>
      <c r="CNX155" s="133"/>
      <c r="CNY155" s="133"/>
      <c r="CNZ155" s="133"/>
      <c r="COA155" s="133"/>
      <c r="COB155" s="133"/>
      <c r="COC155" s="133"/>
      <c r="COD155" s="133"/>
      <c r="COE155" s="133"/>
      <c r="COF155" s="133"/>
      <c r="COG155" s="133"/>
      <c r="COH155" s="133"/>
      <c r="COI155" s="133"/>
      <c r="COJ155" s="133"/>
      <c r="COK155" s="133"/>
      <c r="COL155" s="133"/>
      <c r="COM155" s="133"/>
      <c r="CON155" s="133"/>
      <c r="COO155" s="133"/>
      <c r="COP155" s="133"/>
      <c r="COQ155" s="133"/>
      <c r="COR155" s="133"/>
      <c r="COS155" s="133"/>
      <c r="COT155" s="133"/>
      <c r="COU155" s="133"/>
      <c r="COV155" s="133"/>
      <c r="COW155" s="133"/>
      <c r="COX155" s="133"/>
      <c r="COY155" s="133"/>
      <c r="COZ155" s="133"/>
      <c r="CPA155" s="133"/>
      <c r="CPB155" s="133"/>
      <c r="CPC155" s="133"/>
      <c r="CPD155" s="133"/>
      <c r="CPE155" s="133"/>
      <c r="CPF155" s="133"/>
      <c r="CPG155" s="133"/>
      <c r="CPH155" s="133"/>
      <c r="CPI155" s="133"/>
      <c r="CPJ155" s="133"/>
      <c r="CPK155" s="133"/>
      <c r="CPL155" s="133"/>
      <c r="CPM155" s="133"/>
      <c r="CPN155" s="133"/>
      <c r="CPO155" s="133"/>
      <c r="CPP155" s="133"/>
      <c r="CPQ155" s="133"/>
      <c r="CPR155" s="133"/>
      <c r="CPS155" s="133"/>
      <c r="CPT155" s="133"/>
      <c r="CPU155" s="133"/>
      <c r="CPV155" s="133"/>
      <c r="CPW155" s="133"/>
      <c r="CPX155" s="133"/>
      <c r="CPY155" s="133"/>
      <c r="CPZ155" s="133"/>
      <c r="CQA155" s="133"/>
      <c r="CQB155" s="133"/>
      <c r="CQC155" s="133"/>
      <c r="CQD155" s="133"/>
      <c r="CQE155" s="133"/>
      <c r="CQF155" s="133"/>
      <c r="CQG155" s="133"/>
      <c r="CQH155" s="133"/>
      <c r="CQI155" s="133"/>
      <c r="CQJ155" s="133"/>
      <c r="CQK155" s="133"/>
      <c r="CQL155" s="133"/>
      <c r="CQM155" s="133"/>
      <c r="CQN155" s="133"/>
      <c r="CQO155" s="133"/>
      <c r="CQP155" s="133"/>
      <c r="CQQ155" s="133"/>
      <c r="CQR155" s="133"/>
      <c r="CQS155" s="133"/>
      <c r="CQT155" s="133"/>
      <c r="CQU155" s="133"/>
      <c r="CQV155" s="133"/>
      <c r="CQW155" s="133"/>
      <c r="CQX155" s="133"/>
      <c r="CQY155" s="133"/>
      <c r="CQZ155" s="133"/>
      <c r="CRA155" s="133"/>
      <c r="CRB155" s="133"/>
      <c r="CRC155" s="133"/>
      <c r="CRD155" s="133"/>
      <c r="CRE155" s="133"/>
      <c r="CRF155" s="133"/>
      <c r="CRG155" s="133"/>
      <c r="CRH155" s="133"/>
      <c r="CRI155" s="133"/>
      <c r="CRJ155" s="133"/>
      <c r="CRK155" s="133"/>
      <c r="CRL155" s="133"/>
      <c r="CRM155" s="133"/>
      <c r="CRN155" s="133"/>
      <c r="CRO155" s="133"/>
      <c r="CRP155" s="133"/>
      <c r="CRQ155" s="133"/>
      <c r="CRR155" s="133"/>
      <c r="CRS155" s="133"/>
      <c r="CRT155" s="133"/>
      <c r="CRU155" s="133"/>
      <c r="CRV155" s="133"/>
      <c r="CRW155" s="133"/>
      <c r="CRX155" s="133"/>
      <c r="CRY155" s="133"/>
      <c r="CRZ155" s="133"/>
      <c r="CSA155" s="133"/>
      <c r="CSB155" s="133"/>
      <c r="CSC155" s="133"/>
      <c r="CSD155" s="133"/>
      <c r="CSE155" s="133"/>
      <c r="CSF155" s="133"/>
      <c r="CSG155" s="133"/>
      <c r="CSH155" s="133"/>
      <c r="CSI155" s="133"/>
      <c r="CSJ155" s="133"/>
      <c r="CSK155" s="133"/>
      <c r="CSL155" s="133"/>
      <c r="CSM155" s="133"/>
      <c r="CSN155" s="133"/>
      <c r="CSO155" s="133"/>
      <c r="CSP155" s="133"/>
      <c r="CSQ155" s="133"/>
      <c r="CSR155" s="133"/>
      <c r="CSS155" s="133"/>
      <c r="CST155" s="133"/>
      <c r="CSU155" s="133"/>
      <c r="CSV155" s="133"/>
      <c r="CSW155" s="133"/>
      <c r="CSX155" s="133"/>
      <c r="CSY155" s="133"/>
      <c r="CSZ155" s="133"/>
      <c r="CTA155" s="133"/>
      <c r="CTB155" s="133"/>
      <c r="CTC155" s="133"/>
      <c r="CTD155" s="133"/>
      <c r="CTE155" s="133"/>
      <c r="CTF155" s="133"/>
      <c r="CTG155" s="133"/>
      <c r="CTH155" s="133"/>
      <c r="CTI155" s="133"/>
      <c r="CTJ155" s="133"/>
      <c r="CTK155" s="133"/>
      <c r="CTL155" s="133"/>
      <c r="CTM155" s="133"/>
      <c r="CTN155" s="133"/>
      <c r="CTO155" s="133"/>
      <c r="CTP155" s="133"/>
      <c r="CTQ155" s="133"/>
      <c r="CTR155" s="133"/>
      <c r="CTS155" s="133"/>
      <c r="CTT155" s="133"/>
      <c r="CTU155" s="133"/>
      <c r="CTV155" s="133"/>
      <c r="CTW155" s="133"/>
      <c r="CTX155" s="133"/>
      <c r="CTY155" s="133"/>
      <c r="CTZ155" s="133"/>
      <c r="CUA155" s="133"/>
      <c r="CUB155" s="133"/>
      <c r="CUC155" s="133"/>
      <c r="CUD155" s="133"/>
      <c r="CUE155" s="133"/>
      <c r="CUF155" s="133"/>
      <c r="CUG155" s="133"/>
      <c r="CUH155" s="133"/>
      <c r="CUI155" s="133"/>
      <c r="CUJ155" s="133"/>
      <c r="CUK155" s="133"/>
      <c r="CUL155" s="133"/>
      <c r="CUM155" s="133"/>
      <c r="CUN155" s="133"/>
      <c r="CUO155" s="133"/>
      <c r="CUP155" s="133"/>
      <c r="CUQ155" s="133"/>
      <c r="CUR155" s="133"/>
      <c r="CUS155" s="133"/>
      <c r="CUT155" s="133"/>
      <c r="CUU155" s="133"/>
      <c r="CUV155" s="133"/>
      <c r="CUW155" s="133"/>
      <c r="CUX155" s="133"/>
      <c r="CUY155" s="133"/>
      <c r="CUZ155" s="133"/>
      <c r="CVA155" s="133"/>
      <c r="CVB155" s="133"/>
      <c r="CVC155" s="133"/>
      <c r="CVD155" s="133"/>
      <c r="CVE155" s="133"/>
      <c r="CVF155" s="133"/>
      <c r="CVG155" s="133"/>
      <c r="CVH155" s="133"/>
      <c r="CVI155" s="133"/>
      <c r="CVJ155" s="133"/>
      <c r="CVK155" s="133"/>
      <c r="CVL155" s="133"/>
      <c r="CVM155" s="133"/>
      <c r="CVN155" s="133"/>
      <c r="CVO155" s="133"/>
      <c r="CVP155" s="133"/>
      <c r="CVQ155" s="133"/>
      <c r="CVR155" s="133"/>
      <c r="CVS155" s="133"/>
      <c r="CVT155" s="133"/>
      <c r="CVU155" s="133"/>
      <c r="CVV155" s="133"/>
      <c r="CVW155" s="133"/>
      <c r="CVX155" s="133"/>
      <c r="CVY155" s="133"/>
      <c r="CVZ155" s="133"/>
      <c r="CWA155" s="133"/>
      <c r="CWB155" s="133"/>
      <c r="CWC155" s="133"/>
      <c r="CWD155" s="133"/>
      <c r="CWE155" s="133"/>
      <c r="CWF155" s="133"/>
      <c r="CWG155" s="133"/>
      <c r="CWH155" s="133"/>
      <c r="CWI155" s="133"/>
      <c r="CWJ155" s="133"/>
      <c r="CWK155" s="133"/>
      <c r="CWL155" s="133"/>
      <c r="CWM155" s="133"/>
      <c r="CWN155" s="133"/>
      <c r="CWO155" s="133"/>
      <c r="CWP155" s="133"/>
      <c r="CWQ155" s="133"/>
      <c r="CWR155" s="133"/>
      <c r="CWS155" s="133"/>
      <c r="CWT155" s="133"/>
      <c r="CWU155" s="133"/>
      <c r="CWV155" s="133"/>
      <c r="CWW155" s="133"/>
      <c r="CWX155" s="133"/>
      <c r="CWY155" s="133"/>
      <c r="CWZ155" s="133"/>
      <c r="CXA155" s="133"/>
      <c r="CXB155" s="133"/>
      <c r="CXC155" s="133"/>
      <c r="CXD155" s="133"/>
      <c r="CXE155" s="133"/>
      <c r="CXF155" s="133"/>
      <c r="CXG155" s="133"/>
      <c r="CXH155" s="133"/>
      <c r="CXI155" s="133"/>
      <c r="CXJ155" s="133"/>
      <c r="CXK155" s="133"/>
      <c r="CXL155" s="133"/>
      <c r="CXM155" s="133"/>
      <c r="CXN155" s="133"/>
      <c r="CXO155" s="133"/>
      <c r="CXP155" s="133"/>
      <c r="CXQ155" s="133"/>
      <c r="CXR155" s="133"/>
      <c r="CXS155" s="133"/>
      <c r="CXT155" s="133"/>
      <c r="CXU155" s="133"/>
      <c r="CXV155" s="133"/>
      <c r="CXW155" s="133"/>
      <c r="CXX155" s="133"/>
      <c r="CXY155" s="133"/>
      <c r="CXZ155" s="133"/>
      <c r="CYA155" s="133"/>
      <c r="CYB155" s="133"/>
      <c r="CYC155" s="133"/>
      <c r="CYD155" s="133"/>
      <c r="CYE155" s="133"/>
      <c r="CYF155" s="133"/>
      <c r="CYG155" s="133"/>
      <c r="CYH155" s="133"/>
      <c r="CYI155" s="133"/>
      <c r="CYJ155" s="133"/>
      <c r="CYK155" s="133"/>
      <c r="CYL155" s="133"/>
      <c r="CYM155" s="133"/>
      <c r="CYN155" s="133"/>
      <c r="CYO155" s="133"/>
      <c r="CYP155" s="133"/>
      <c r="CYQ155" s="133"/>
      <c r="CYR155" s="133"/>
      <c r="CYS155" s="133"/>
      <c r="CYT155" s="133"/>
      <c r="CYU155" s="133"/>
      <c r="CYV155" s="133"/>
      <c r="CYW155" s="133"/>
      <c r="CYX155" s="133"/>
      <c r="CYY155" s="133"/>
      <c r="CYZ155" s="133"/>
      <c r="CZA155" s="133"/>
      <c r="CZB155" s="133"/>
      <c r="CZC155" s="133"/>
      <c r="CZD155" s="133"/>
      <c r="CZE155" s="133"/>
      <c r="CZF155" s="133"/>
      <c r="CZG155" s="133"/>
      <c r="CZH155" s="133"/>
      <c r="CZI155" s="133"/>
      <c r="CZJ155" s="133"/>
      <c r="CZK155" s="133"/>
      <c r="CZL155" s="133"/>
      <c r="CZM155" s="133"/>
      <c r="CZN155" s="133"/>
      <c r="CZO155" s="133"/>
      <c r="CZP155" s="133"/>
      <c r="CZQ155" s="133"/>
      <c r="CZR155" s="133"/>
      <c r="CZS155" s="133"/>
      <c r="CZT155" s="133"/>
      <c r="CZU155" s="133"/>
      <c r="CZV155" s="133"/>
      <c r="CZW155" s="133"/>
      <c r="CZX155" s="133"/>
      <c r="CZY155" s="133"/>
      <c r="CZZ155" s="133"/>
      <c r="DAA155" s="133"/>
      <c r="DAB155" s="133"/>
      <c r="DAC155" s="133"/>
      <c r="DAD155" s="133"/>
      <c r="DAE155" s="133"/>
      <c r="DAF155" s="133"/>
      <c r="DAG155" s="133"/>
      <c r="DAH155" s="133"/>
      <c r="DAI155" s="133"/>
      <c r="DAJ155" s="133"/>
      <c r="DAK155" s="133"/>
      <c r="DAL155" s="133"/>
      <c r="DAM155" s="133"/>
      <c r="DAN155" s="133"/>
      <c r="DAO155" s="133"/>
      <c r="DAP155" s="133"/>
      <c r="DAQ155" s="133"/>
      <c r="DAR155" s="133"/>
      <c r="DAS155" s="133"/>
      <c r="DAT155" s="133"/>
      <c r="DAU155" s="133"/>
      <c r="DAV155" s="133"/>
      <c r="DAW155" s="133"/>
      <c r="DAX155" s="133"/>
      <c r="DAY155" s="133"/>
      <c r="DAZ155" s="133"/>
      <c r="DBA155" s="133"/>
      <c r="DBB155" s="133"/>
      <c r="DBC155" s="133"/>
      <c r="DBD155" s="133"/>
      <c r="DBE155" s="133"/>
      <c r="DBF155" s="133"/>
      <c r="DBG155" s="133"/>
      <c r="DBH155" s="133"/>
      <c r="DBI155" s="133"/>
      <c r="DBJ155" s="133"/>
      <c r="DBK155" s="133"/>
      <c r="DBL155" s="133"/>
      <c r="DBM155" s="133"/>
      <c r="DBN155" s="133"/>
      <c r="DBO155" s="133"/>
      <c r="DBP155" s="133"/>
      <c r="DBQ155" s="133"/>
      <c r="DBR155" s="133"/>
      <c r="DBS155" s="133"/>
      <c r="DBT155" s="133"/>
      <c r="DBU155" s="133"/>
      <c r="DBV155" s="133"/>
      <c r="DBW155" s="133"/>
      <c r="DBX155" s="133"/>
      <c r="DBY155" s="133"/>
      <c r="DBZ155" s="133"/>
      <c r="DCA155" s="133"/>
      <c r="DCB155" s="133"/>
      <c r="DCC155" s="133"/>
      <c r="DCD155" s="133"/>
      <c r="DCE155" s="133"/>
      <c r="DCF155" s="133"/>
      <c r="DCG155" s="133"/>
      <c r="DCH155" s="133"/>
      <c r="DCI155" s="133"/>
      <c r="DCJ155" s="133"/>
      <c r="DCK155" s="133"/>
      <c r="DCL155" s="133"/>
      <c r="DCM155" s="133"/>
      <c r="DCN155" s="133"/>
      <c r="DCO155" s="133"/>
      <c r="DCP155" s="133"/>
      <c r="DCQ155" s="133"/>
      <c r="DCR155" s="133"/>
      <c r="DCS155" s="133"/>
      <c r="DCT155" s="133"/>
      <c r="DCU155" s="133"/>
      <c r="DCV155" s="133"/>
      <c r="DCW155" s="133"/>
      <c r="DCX155" s="133"/>
      <c r="DCY155" s="133"/>
      <c r="DCZ155" s="133"/>
      <c r="DDA155" s="133"/>
      <c r="DDB155" s="133"/>
      <c r="DDC155" s="133"/>
      <c r="DDD155" s="133"/>
      <c r="DDE155" s="133"/>
      <c r="DDF155" s="133"/>
      <c r="DDG155" s="133"/>
      <c r="DDH155" s="133"/>
      <c r="DDI155" s="133"/>
      <c r="DDJ155" s="133"/>
      <c r="DDK155" s="133"/>
      <c r="DDL155" s="133"/>
      <c r="DDM155" s="133"/>
      <c r="DDN155" s="133"/>
      <c r="DDO155" s="133"/>
      <c r="DDP155" s="133"/>
      <c r="DDQ155" s="133"/>
      <c r="DDR155" s="133"/>
      <c r="DDS155" s="133"/>
      <c r="DDT155" s="133"/>
      <c r="DDU155" s="133"/>
      <c r="DDV155" s="133"/>
      <c r="DDW155" s="133"/>
      <c r="DDX155" s="133"/>
      <c r="DDY155" s="133"/>
      <c r="DDZ155" s="133"/>
      <c r="DEA155" s="133"/>
      <c r="DEB155" s="133"/>
      <c r="DEC155" s="133"/>
      <c r="DED155" s="133"/>
      <c r="DEE155" s="133"/>
      <c r="DEF155" s="133"/>
      <c r="DEG155" s="133"/>
      <c r="DEH155" s="133"/>
      <c r="DEI155" s="133"/>
      <c r="DEJ155" s="133"/>
      <c r="DEK155" s="133"/>
      <c r="DEL155" s="133"/>
      <c r="DEM155" s="133"/>
      <c r="DEN155" s="133"/>
      <c r="DEO155" s="133"/>
      <c r="DEP155" s="133"/>
      <c r="DEQ155" s="133"/>
      <c r="DER155" s="133"/>
      <c r="DES155" s="133"/>
      <c r="DET155" s="133"/>
      <c r="DEU155" s="133"/>
      <c r="DEV155" s="133"/>
      <c r="DEW155" s="133"/>
      <c r="DEX155" s="133"/>
      <c r="DEY155" s="133"/>
      <c r="DEZ155" s="133"/>
      <c r="DFA155" s="133"/>
      <c r="DFB155" s="133"/>
      <c r="DFC155" s="133"/>
      <c r="DFD155" s="133"/>
      <c r="DFE155" s="133"/>
      <c r="DFF155" s="133"/>
      <c r="DFG155" s="133"/>
      <c r="DFH155" s="133"/>
      <c r="DFI155" s="133"/>
      <c r="DFJ155" s="133"/>
      <c r="DFK155" s="133"/>
      <c r="DFL155" s="133"/>
      <c r="DFM155" s="133"/>
      <c r="DFN155" s="133"/>
      <c r="DFO155" s="133"/>
      <c r="DFP155" s="133"/>
      <c r="DFQ155" s="133"/>
      <c r="DFR155" s="133"/>
      <c r="DFS155" s="133"/>
      <c r="DFT155" s="133"/>
      <c r="DFU155" s="133"/>
      <c r="DFV155" s="133"/>
      <c r="DFW155" s="133"/>
      <c r="DFX155" s="133"/>
      <c r="DFY155" s="133"/>
      <c r="DFZ155" s="133"/>
      <c r="DGA155" s="133"/>
      <c r="DGB155" s="133"/>
      <c r="DGC155" s="133"/>
      <c r="DGD155" s="133"/>
      <c r="DGE155" s="133"/>
      <c r="DGF155" s="133"/>
      <c r="DGG155" s="133"/>
      <c r="DGH155" s="133"/>
      <c r="DGI155" s="133"/>
      <c r="DGJ155" s="133"/>
      <c r="DGK155" s="133"/>
      <c r="DGL155" s="133"/>
      <c r="DGM155" s="133"/>
      <c r="DGN155" s="133"/>
      <c r="DGO155" s="133"/>
      <c r="DGP155" s="133"/>
      <c r="DGQ155" s="133"/>
      <c r="DGR155" s="133"/>
      <c r="DGS155" s="133"/>
      <c r="DGT155" s="133"/>
      <c r="DGU155" s="133"/>
      <c r="DGV155" s="133"/>
      <c r="DGW155" s="133"/>
      <c r="DGX155" s="133"/>
      <c r="DGY155" s="133"/>
      <c r="DGZ155" s="133"/>
      <c r="DHA155" s="133"/>
      <c r="DHB155" s="133"/>
      <c r="DHC155" s="133"/>
      <c r="DHD155" s="133"/>
      <c r="DHE155" s="133"/>
      <c r="DHF155" s="133"/>
      <c r="DHG155" s="133"/>
      <c r="DHH155" s="133"/>
      <c r="DHI155" s="133"/>
      <c r="DHJ155" s="133"/>
      <c r="DHK155" s="133"/>
      <c r="DHL155" s="133"/>
      <c r="DHM155" s="133"/>
      <c r="DHN155" s="133"/>
      <c r="DHO155" s="133"/>
      <c r="DHP155" s="133"/>
      <c r="DHQ155" s="133"/>
      <c r="DHR155" s="133"/>
      <c r="DHS155" s="133"/>
      <c r="DHT155" s="133"/>
      <c r="DHU155" s="133"/>
      <c r="DHV155" s="133"/>
      <c r="DHW155" s="133"/>
      <c r="DHX155" s="133"/>
      <c r="DHY155" s="133"/>
      <c r="DHZ155" s="133"/>
      <c r="DIA155" s="133"/>
      <c r="DIB155" s="133"/>
      <c r="DIC155" s="133"/>
      <c r="DID155" s="133"/>
      <c r="DIE155" s="133"/>
      <c r="DIF155" s="133"/>
      <c r="DIG155" s="133"/>
      <c r="DIH155" s="133"/>
      <c r="DII155" s="133"/>
      <c r="DIJ155" s="133"/>
      <c r="DIK155" s="133"/>
      <c r="DIL155" s="133"/>
      <c r="DIM155" s="133"/>
      <c r="DIN155" s="133"/>
      <c r="DIO155" s="133"/>
      <c r="DIP155" s="133"/>
      <c r="DIQ155" s="133"/>
      <c r="DIR155" s="133"/>
      <c r="DIS155" s="133"/>
      <c r="DIT155" s="133"/>
      <c r="DIU155" s="133"/>
      <c r="DIV155" s="133"/>
      <c r="DIW155" s="133"/>
      <c r="DIX155" s="133"/>
      <c r="DIY155" s="133"/>
      <c r="DIZ155" s="133"/>
      <c r="DJA155" s="133"/>
      <c r="DJB155" s="133"/>
      <c r="DJC155" s="133"/>
      <c r="DJD155" s="133"/>
      <c r="DJE155" s="133"/>
      <c r="DJF155" s="133"/>
      <c r="DJG155" s="133"/>
      <c r="DJH155" s="133"/>
      <c r="DJI155" s="133"/>
      <c r="DJJ155" s="133"/>
      <c r="DJK155" s="133"/>
      <c r="DJL155" s="133"/>
      <c r="DJM155" s="133"/>
      <c r="DJN155" s="133"/>
      <c r="DJO155" s="133"/>
      <c r="DJP155" s="133"/>
      <c r="DJQ155" s="133"/>
      <c r="DJR155" s="133"/>
      <c r="DJS155" s="133"/>
      <c r="DJT155" s="133"/>
      <c r="DJU155" s="133"/>
      <c r="DJV155" s="133"/>
      <c r="DJW155" s="133"/>
      <c r="DJX155" s="133"/>
      <c r="DJY155" s="133"/>
      <c r="DJZ155" s="133"/>
      <c r="DKA155" s="133"/>
      <c r="DKB155" s="133"/>
      <c r="DKC155" s="133"/>
      <c r="DKD155" s="133"/>
      <c r="DKE155" s="133"/>
      <c r="DKF155" s="133"/>
      <c r="DKG155" s="133"/>
      <c r="DKH155" s="133"/>
      <c r="DKI155" s="133"/>
      <c r="DKJ155" s="133"/>
      <c r="DKK155" s="133"/>
      <c r="DKL155" s="133"/>
      <c r="DKM155" s="133"/>
      <c r="DKN155" s="133"/>
      <c r="DKO155" s="133"/>
      <c r="DKP155" s="133"/>
      <c r="DKQ155" s="133"/>
      <c r="DKR155" s="133"/>
      <c r="DKS155" s="133"/>
      <c r="DKT155" s="133"/>
      <c r="DKU155" s="133"/>
      <c r="DKV155" s="133"/>
      <c r="DKW155" s="133"/>
      <c r="DKX155" s="133"/>
      <c r="DKY155" s="133"/>
      <c r="DKZ155" s="133"/>
      <c r="DLA155" s="133"/>
      <c r="DLB155" s="133"/>
      <c r="DLC155" s="133"/>
      <c r="DLD155" s="133"/>
      <c r="DLE155" s="133"/>
      <c r="DLF155" s="133"/>
      <c r="DLG155" s="133"/>
      <c r="DLH155" s="133"/>
      <c r="DLI155" s="133"/>
      <c r="DLJ155" s="133"/>
      <c r="DLK155" s="133"/>
      <c r="DLL155" s="133"/>
      <c r="DLM155" s="133"/>
      <c r="DLN155" s="133"/>
      <c r="DLO155" s="133"/>
      <c r="DLP155" s="133"/>
      <c r="DLQ155" s="133"/>
      <c r="DLR155" s="133"/>
      <c r="DLS155" s="133"/>
      <c r="DLT155" s="133"/>
      <c r="DLU155" s="133"/>
      <c r="DLV155" s="133"/>
      <c r="DLW155" s="133"/>
      <c r="DLX155" s="133"/>
      <c r="DLY155" s="133"/>
      <c r="DLZ155" s="133"/>
      <c r="DMA155" s="133"/>
      <c r="DMB155" s="133"/>
      <c r="DMC155" s="133"/>
      <c r="DMD155" s="133"/>
      <c r="DME155" s="133"/>
      <c r="DMF155" s="133"/>
      <c r="DMG155" s="133"/>
      <c r="DMH155" s="133"/>
      <c r="DMI155" s="133"/>
      <c r="DMJ155" s="133"/>
      <c r="DMK155" s="133"/>
      <c r="DML155" s="133"/>
      <c r="DMM155" s="133"/>
      <c r="DMN155" s="133"/>
      <c r="DMO155" s="133"/>
      <c r="DMP155" s="133"/>
      <c r="DMQ155" s="133"/>
      <c r="DMR155" s="133"/>
      <c r="DMS155" s="133"/>
      <c r="DMT155" s="133"/>
      <c r="DMU155" s="133"/>
      <c r="DMV155" s="133"/>
      <c r="DMW155" s="133"/>
      <c r="DMX155" s="133"/>
      <c r="DMY155" s="133"/>
      <c r="DMZ155" s="133"/>
      <c r="DNA155" s="133"/>
      <c r="DNB155" s="133"/>
      <c r="DNC155" s="133"/>
      <c r="DND155" s="133"/>
      <c r="DNE155" s="133"/>
      <c r="DNF155" s="133"/>
      <c r="DNG155" s="133"/>
      <c r="DNH155" s="133"/>
      <c r="DNI155" s="133"/>
      <c r="DNJ155" s="133"/>
      <c r="DNK155" s="133"/>
      <c r="DNL155" s="133"/>
      <c r="DNM155" s="133"/>
      <c r="DNN155" s="133"/>
      <c r="DNO155" s="133"/>
      <c r="DNP155" s="133"/>
      <c r="DNQ155" s="133"/>
      <c r="DNR155" s="133"/>
      <c r="DNS155" s="133"/>
      <c r="DNT155" s="133"/>
      <c r="DNU155" s="133"/>
      <c r="DNV155" s="133"/>
      <c r="DNW155" s="133"/>
      <c r="DNX155" s="133"/>
      <c r="DNY155" s="133"/>
      <c r="DNZ155" s="133"/>
      <c r="DOA155" s="133"/>
      <c r="DOB155" s="133"/>
      <c r="DOC155" s="133"/>
      <c r="DOD155" s="133"/>
      <c r="DOE155" s="133"/>
      <c r="DOF155" s="133"/>
      <c r="DOG155" s="133"/>
      <c r="DOH155" s="133"/>
      <c r="DOI155" s="133"/>
      <c r="DOJ155" s="133"/>
      <c r="DOK155" s="133"/>
      <c r="DOL155" s="133"/>
      <c r="DOM155" s="133"/>
      <c r="DON155" s="133"/>
      <c r="DOO155" s="133"/>
      <c r="DOP155" s="133"/>
      <c r="DOQ155" s="133"/>
      <c r="DOR155" s="133"/>
      <c r="DOS155" s="133"/>
      <c r="DOT155" s="133"/>
      <c r="DOU155" s="133"/>
      <c r="DOV155" s="133"/>
      <c r="DOW155" s="133"/>
      <c r="DOX155" s="133"/>
      <c r="DOY155" s="133"/>
      <c r="DOZ155" s="133"/>
      <c r="DPA155" s="133"/>
      <c r="DPB155" s="133"/>
      <c r="DPC155" s="133"/>
      <c r="DPD155" s="133"/>
      <c r="DPE155" s="133"/>
      <c r="DPF155" s="133"/>
      <c r="DPG155" s="133"/>
      <c r="DPH155" s="133"/>
      <c r="DPI155" s="133"/>
      <c r="DPJ155" s="133"/>
      <c r="DPK155" s="133"/>
      <c r="DPL155" s="133"/>
      <c r="DPM155" s="133"/>
      <c r="DPN155" s="133"/>
      <c r="DPO155" s="133"/>
      <c r="DPP155" s="133"/>
      <c r="DPQ155" s="133"/>
      <c r="DPR155" s="133"/>
      <c r="DPS155" s="133"/>
      <c r="DPT155" s="133"/>
      <c r="DPU155" s="133"/>
      <c r="DPV155" s="133"/>
      <c r="DPW155" s="133"/>
      <c r="DPX155" s="133"/>
      <c r="DPY155" s="133"/>
      <c r="DPZ155" s="133"/>
      <c r="DQA155" s="133"/>
      <c r="DQB155" s="133"/>
      <c r="DQC155" s="133"/>
      <c r="DQD155" s="133"/>
      <c r="DQE155" s="133"/>
      <c r="DQF155" s="133"/>
      <c r="DQG155" s="133"/>
      <c r="DQH155" s="133"/>
      <c r="DQI155" s="133"/>
      <c r="DQJ155" s="133"/>
      <c r="DQK155" s="133"/>
      <c r="DQL155" s="133"/>
      <c r="DQM155" s="133"/>
      <c r="DQN155" s="133"/>
      <c r="DQO155" s="133"/>
      <c r="DQP155" s="133"/>
      <c r="DQQ155" s="133"/>
      <c r="DQR155" s="133"/>
      <c r="DQS155" s="133"/>
      <c r="DQT155" s="133"/>
      <c r="DQU155" s="133"/>
      <c r="DQV155" s="133"/>
      <c r="DQW155" s="133"/>
      <c r="DQX155" s="133"/>
      <c r="DQY155" s="133"/>
      <c r="DQZ155" s="133"/>
      <c r="DRA155" s="133"/>
      <c r="DRB155" s="133"/>
      <c r="DRC155" s="133"/>
      <c r="DRD155" s="133"/>
      <c r="DRE155" s="133"/>
      <c r="DRF155" s="133"/>
      <c r="DRG155" s="133"/>
      <c r="DRH155" s="133"/>
      <c r="DRI155" s="133"/>
      <c r="DRJ155" s="133"/>
      <c r="DRK155" s="133"/>
      <c r="DRL155" s="133"/>
      <c r="DRM155" s="133"/>
      <c r="DRN155" s="133"/>
      <c r="DRO155" s="133"/>
      <c r="DRP155" s="133"/>
      <c r="DRQ155" s="133"/>
      <c r="DRR155" s="133"/>
      <c r="DRS155" s="133"/>
      <c r="DRT155" s="133"/>
      <c r="DRU155" s="133"/>
      <c r="DRV155" s="133"/>
      <c r="DRW155" s="133"/>
      <c r="DRX155" s="133"/>
      <c r="DRY155" s="133"/>
      <c r="DRZ155" s="133"/>
      <c r="DSA155" s="133"/>
      <c r="DSB155" s="133"/>
      <c r="DSC155" s="133"/>
      <c r="DSD155" s="133"/>
      <c r="DSE155" s="133"/>
      <c r="DSF155" s="133"/>
      <c r="DSG155" s="133"/>
      <c r="DSH155" s="133"/>
      <c r="DSI155" s="133"/>
      <c r="DSJ155" s="133"/>
      <c r="DSK155" s="133"/>
      <c r="DSL155" s="133"/>
      <c r="DSM155" s="133"/>
      <c r="DSN155" s="133"/>
      <c r="DSO155" s="133"/>
      <c r="DSP155" s="133"/>
      <c r="DSQ155" s="133"/>
      <c r="DSR155" s="133"/>
      <c r="DSS155" s="133"/>
      <c r="DST155" s="133"/>
      <c r="DSU155" s="133"/>
      <c r="DSV155" s="133"/>
      <c r="DSW155" s="133"/>
      <c r="DSX155" s="133"/>
      <c r="DSY155" s="133"/>
      <c r="DSZ155" s="133"/>
      <c r="DTA155" s="133"/>
      <c r="DTB155" s="133"/>
      <c r="DTC155" s="133"/>
      <c r="DTD155" s="133"/>
      <c r="DTE155" s="133"/>
      <c r="DTF155" s="133"/>
      <c r="DTG155" s="133"/>
      <c r="DTH155" s="133"/>
      <c r="DTI155" s="133"/>
      <c r="DTJ155" s="133"/>
      <c r="DTK155" s="133"/>
      <c r="DTL155" s="133"/>
      <c r="DTM155" s="133"/>
      <c r="DTN155" s="133"/>
      <c r="DTO155" s="133"/>
      <c r="DTP155" s="133"/>
      <c r="DTQ155" s="133"/>
      <c r="DTR155" s="133"/>
      <c r="DTS155" s="133"/>
      <c r="DTT155" s="133"/>
      <c r="DTU155" s="133"/>
      <c r="DTV155" s="133"/>
      <c r="DTW155" s="133"/>
      <c r="DTX155" s="133"/>
      <c r="DTY155" s="133"/>
      <c r="DTZ155" s="133"/>
      <c r="DUA155" s="133"/>
      <c r="DUB155" s="133"/>
      <c r="DUC155" s="133"/>
      <c r="DUD155" s="133"/>
      <c r="DUE155" s="133"/>
      <c r="DUF155" s="133"/>
      <c r="DUG155" s="133"/>
      <c r="DUH155" s="133"/>
      <c r="DUI155" s="133"/>
      <c r="DUJ155" s="133"/>
      <c r="DUK155" s="133"/>
      <c r="DUL155" s="133"/>
      <c r="DUM155" s="133"/>
      <c r="DUN155" s="133"/>
      <c r="DUO155" s="133"/>
      <c r="DUP155" s="133"/>
      <c r="DUQ155" s="133"/>
      <c r="DUR155" s="133"/>
      <c r="DUS155" s="133"/>
      <c r="DUT155" s="133"/>
      <c r="DUU155" s="133"/>
      <c r="DUV155" s="133"/>
      <c r="DUW155" s="133"/>
      <c r="DUX155" s="133"/>
      <c r="DUY155" s="133"/>
      <c r="DUZ155" s="133"/>
      <c r="DVA155" s="133"/>
      <c r="DVB155" s="133"/>
      <c r="DVC155" s="133"/>
      <c r="DVD155" s="133"/>
      <c r="DVE155" s="133"/>
      <c r="DVF155" s="133"/>
      <c r="DVG155" s="133"/>
      <c r="DVH155" s="133"/>
      <c r="DVI155" s="133"/>
      <c r="DVJ155" s="133"/>
      <c r="DVK155" s="133"/>
      <c r="DVL155" s="133"/>
      <c r="DVM155" s="133"/>
      <c r="DVN155" s="133"/>
      <c r="DVO155" s="133"/>
      <c r="DVP155" s="133"/>
      <c r="DVQ155" s="133"/>
      <c r="DVR155" s="133"/>
      <c r="DVS155" s="133"/>
      <c r="DVT155" s="133"/>
      <c r="DVU155" s="133"/>
      <c r="DVV155" s="133"/>
      <c r="DVW155" s="133"/>
      <c r="DVX155" s="133"/>
      <c r="DVY155" s="133"/>
      <c r="DVZ155" s="133"/>
      <c r="DWA155" s="133"/>
      <c r="DWB155" s="133"/>
      <c r="DWC155" s="133"/>
      <c r="DWD155" s="133"/>
      <c r="DWE155" s="133"/>
      <c r="DWF155" s="133"/>
      <c r="DWG155" s="133"/>
      <c r="DWH155" s="133"/>
      <c r="DWI155" s="133"/>
      <c r="DWJ155" s="133"/>
      <c r="DWK155" s="133"/>
      <c r="DWL155" s="133"/>
      <c r="DWM155" s="133"/>
      <c r="DWN155" s="133"/>
      <c r="DWO155" s="133"/>
      <c r="DWP155" s="133"/>
      <c r="DWQ155" s="133"/>
      <c r="DWR155" s="133"/>
      <c r="DWS155" s="133"/>
      <c r="DWT155" s="133"/>
      <c r="DWU155" s="133"/>
      <c r="DWV155" s="133"/>
      <c r="DWW155" s="133"/>
      <c r="DWX155" s="133"/>
      <c r="DWY155" s="133"/>
      <c r="DWZ155" s="133"/>
      <c r="DXA155" s="133"/>
      <c r="DXB155" s="133"/>
      <c r="DXC155" s="133"/>
      <c r="DXD155" s="133"/>
      <c r="DXE155" s="133"/>
      <c r="DXF155" s="133"/>
      <c r="DXG155" s="133"/>
      <c r="DXH155" s="133"/>
      <c r="DXI155" s="133"/>
      <c r="DXJ155" s="133"/>
      <c r="DXK155" s="133"/>
      <c r="DXL155" s="133"/>
      <c r="DXM155" s="133"/>
      <c r="DXN155" s="133"/>
      <c r="DXO155" s="133"/>
      <c r="DXP155" s="133"/>
      <c r="DXQ155" s="133"/>
      <c r="DXR155" s="133"/>
      <c r="DXS155" s="133"/>
      <c r="DXT155" s="133"/>
      <c r="DXU155" s="133"/>
      <c r="DXV155" s="133"/>
      <c r="DXW155" s="133"/>
      <c r="DXX155" s="133"/>
      <c r="DXY155" s="133"/>
      <c r="DXZ155" s="133"/>
      <c r="DYA155" s="133"/>
      <c r="DYB155" s="133"/>
      <c r="DYC155" s="133"/>
      <c r="DYD155" s="133"/>
      <c r="DYE155" s="133"/>
      <c r="DYF155" s="133"/>
      <c r="DYG155" s="133"/>
      <c r="DYH155" s="133"/>
      <c r="DYI155" s="133"/>
      <c r="DYJ155" s="133"/>
      <c r="DYK155" s="133"/>
      <c r="DYL155" s="133"/>
      <c r="DYM155" s="133"/>
      <c r="DYN155" s="133"/>
      <c r="DYO155" s="133"/>
      <c r="DYP155" s="133"/>
      <c r="DYQ155" s="133"/>
      <c r="DYR155" s="133"/>
      <c r="DYS155" s="133"/>
      <c r="DYT155" s="133"/>
      <c r="DYU155" s="133"/>
      <c r="DYV155" s="133"/>
      <c r="DYW155" s="133"/>
      <c r="DYX155" s="133"/>
      <c r="DYY155" s="133"/>
      <c r="DYZ155" s="133"/>
      <c r="DZA155" s="133"/>
      <c r="DZB155" s="133"/>
      <c r="DZC155" s="133"/>
      <c r="DZD155" s="133"/>
      <c r="DZE155" s="133"/>
      <c r="DZF155" s="133"/>
      <c r="DZG155" s="133"/>
      <c r="DZH155" s="133"/>
      <c r="DZI155" s="133"/>
      <c r="DZJ155" s="133"/>
      <c r="DZK155" s="133"/>
      <c r="DZL155" s="133"/>
      <c r="DZM155" s="133"/>
      <c r="DZN155" s="133"/>
      <c r="DZO155" s="133"/>
      <c r="DZP155" s="133"/>
      <c r="DZQ155" s="133"/>
      <c r="DZR155" s="133"/>
      <c r="DZS155" s="133"/>
      <c r="DZT155" s="133"/>
      <c r="DZU155" s="133"/>
      <c r="DZV155" s="133"/>
      <c r="DZW155" s="133"/>
      <c r="DZX155" s="133"/>
      <c r="DZY155" s="133"/>
      <c r="DZZ155" s="133"/>
      <c r="EAA155" s="133"/>
      <c r="EAB155" s="133"/>
      <c r="EAC155" s="133"/>
      <c r="EAD155" s="133"/>
      <c r="EAE155" s="133"/>
      <c r="EAF155" s="133"/>
      <c r="EAG155" s="133"/>
      <c r="EAH155" s="133"/>
      <c r="EAI155" s="133"/>
      <c r="EAJ155" s="133"/>
      <c r="EAK155" s="133"/>
      <c r="EAL155" s="133"/>
      <c r="EAM155" s="133"/>
      <c r="EAN155" s="133"/>
      <c r="EAO155" s="133"/>
      <c r="EAP155" s="133"/>
      <c r="EAQ155" s="133"/>
      <c r="EAR155" s="133"/>
      <c r="EAS155" s="133"/>
      <c r="EAT155" s="133"/>
      <c r="EAU155" s="133"/>
      <c r="EAV155" s="133"/>
      <c r="EAW155" s="133"/>
      <c r="EAX155" s="133"/>
      <c r="EAY155" s="133"/>
      <c r="EAZ155" s="133"/>
      <c r="EBA155" s="133"/>
      <c r="EBB155" s="133"/>
      <c r="EBC155" s="133"/>
      <c r="EBD155" s="133"/>
      <c r="EBE155" s="133"/>
      <c r="EBF155" s="133"/>
      <c r="EBG155" s="133"/>
      <c r="EBH155" s="133"/>
      <c r="EBI155" s="133"/>
      <c r="EBJ155" s="133"/>
      <c r="EBK155" s="133"/>
      <c r="EBL155" s="133"/>
      <c r="EBM155" s="133"/>
      <c r="EBN155" s="133"/>
      <c r="EBO155" s="133"/>
      <c r="EBP155" s="133"/>
      <c r="EBQ155" s="133"/>
      <c r="EBR155" s="133"/>
      <c r="EBS155" s="133"/>
      <c r="EBT155" s="133"/>
      <c r="EBU155" s="133"/>
      <c r="EBV155" s="133"/>
      <c r="EBW155" s="133"/>
      <c r="EBX155" s="133"/>
      <c r="EBY155" s="133"/>
      <c r="EBZ155" s="133"/>
      <c r="ECA155" s="133"/>
      <c r="ECB155" s="133"/>
      <c r="ECC155" s="133"/>
      <c r="ECD155" s="133"/>
      <c r="ECE155" s="133"/>
      <c r="ECF155" s="133"/>
      <c r="ECG155" s="133"/>
      <c r="ECH155" s="133"/>
      <c r="ECI155" s="133"/>
      <c r="ECJ155" s="133"/>
      <c r="ECK155" s="133"/>
      <c r="ECL155" s="133"/>
      <c r="ECM155" s="133"/>
      <c r="ECN155" s="133"/>
      <c r="ECO155" s="133"/>
      <c r="ECP155" s="133"/>
      <c r="ECQ155" s="133"/>
      <c r="ECR155" s="133"/>
      <c r="ECS155" s="133"/>
      <c r="ECT155" s="133"/>
      <c r="ECU155" s="133"/>
      <c r="ECV155" s="133"/>
      <c r="ECW155" s="133"/>
      <c r="ECX155" s="133"/>
      <c r="ECY155" s="133"/>
      <c r="ECZ155" s="133"/>
      <c r="EDA155" s="133"/>
      <c r="EDB155" s="133"/>
      <c r="EDC155" s="133"/>
      <c r="EDD155" s="133"/>
      <c r="EDE155" s="133"/>
      <c r="EDF155" s="133"/>
      <c r="EDG155" s="133"/>
      <c r="EDH155" s="133"/>
      <c r="EDI155" s="133"/>
      <c r="EDJ155" s="133"/>
      <c r="EDK155" s="133"/>
      <c r="EDL155" s="133"/>
      <c r="EDM155" s="133"/>
      <c r="EDN155" s="133"/>
      <c r="EDO155" s="133"/>
      <c r="EDP155" s="133"/>
      <c r="EDQ155" s="133"/>
      <c r="EDR155" s="133"/>
      <c r="EDS155" s="133"/>
      <c r="EDT155" s="133"/>
      <c r="EDU155" s="133"/>
      <c r="EDV155" s="133"/>
      <c r="EDW155" s="133"/>
      <c r="EDX155" s="133"/>
      <c r="EDY155" s="133"/>
      <c r="EDZ155" s="133"/>
      <c r="EEA155" s="133"/>
      <c r="EEB155" s="133"/>
      <c r="EEC155" s="133"/>
      <c r="EED155" s="133"/>
      <c r="EEE155" s="133"/>
      <c r="EEF155" s="133"/>
      <c r="EEG155" s="133"/>
      <c r="EEH155" s="133"/>
      <c r="EEI155" s="133"/>
      <c r="EEJ155" s="133"/>
      <c r="EEK155" s="133"/>
      <c r="EEL155" s="133"/>
      <c r="EEM155" s="133"/>
      <c r="EEN155" s="133"/>
      <c r="EEO155" s="133"/>
      <c r="EEP155" s="133"/>
      <c r="EEQ155" s="133"/>
      <c r="EER155" s="133"/>
      <c r="EES155" s="133"/>
      <c r="EET155" s="133"/>
      <c r="EEU155" s="133"/>
      <c r="EEV155" s="133"/>
      <c r="EEW155" s="133"/>
      <c r="EEX155" s="133"/>
      <c r="EEY155" s="133"/>
      <c r="EEZ155" s="133"/>
      <c r="EFA155" s="133"/>
      <c r="EFB155" s="133"/>
      <c r="EFC155" s="133"/>
      <c r="EFD155" s="133"/>
      <c r="EFE155" s="133"/>
      <c r="EFF155" s="133"/>
      <c r="EFG155" s="133"/>
      <c r="EFH155" s="133"/>
      <c r="EFI155" s="133"/>
      <c r="EFJ155" s="133"/>
      <c r="EFK155" s="133"/>
      <c r="EFL155" s="133"/>
      <c r="EFM155" s="133"/>
      <c r="EFN155" s="133"/>
      <c r="EFO155" s="133"/>
      <c r="EFP155" s="133"/>
      <c r="EFQ155" s="133"/>
      <c r="EFR155" s="133"/>
      <c r="EFS155" s="133"/>
      <c r="EFT155" s="133"/>
      <c r="EFU155" s="133"/>
      <c r="EFV155" s="133"/>
      <c r="EFW155" s="133"/>
      <c r="EFX155" s="133"/>
      <c r="EFY155" s="133"/>
      <c r="EFZ155" s="133"/>
      <c r="EGA155" s="133"/>
      <c r="EGB155" s="133"/>
      <c r="EGC155" s="133"/>
      <c r="EGD155" s="133"/>
      <c r="EGE155" s="133"/>
      <c r="EGF155" s="133"/>
      <c r="EGG155" s="133"/>
      <c r="EGH155" s="133"/>
      <c r="EGI155" s="133"/>
      <c r="EGJ155" s="133"/>
      <c r="EGK155" s="133"/>
      <c r="EGL155" s="133"/>
      <c r="EGM155" s="133"/>
      <c r="EGN155" s="133"/>
      <c r="EGO155" s="133"/>
      <c r="EGP155" s="133"/>
      <c r="EGQ155" s="133"/>
      <c r="EGR155" s="133"/>
      <c r="EGS155" s="133"/>
      <c r="EGT155" s="133"/>
      <c r="EGU155" s="133"/>
      <c r="EGV155" s="133"/>
      <c r="EGW155" s="133"/>
      <c r="EGX155" s="133"/>
      <c r="EGY155" s="133"/>
      <c r="EGZ155" s="133"/>
      <c r="EHA155" s="133"/>
      <c r="EHB155" s="133"/>
      <c r="EHC155" s="133"/>
      <c r="EHD155" s="133"/>
      <c r="EHE155" s="133"/>
      <c r="EHF155" s="133"/>
      <c r="EHG155" s="133"/>
      <c r="EHH155" s="133"/>
      <c r="EHI155" s="133"/>
      <c r="EHJ155" s="133"/>
      <c r="EHK155" s="133"/>
      <c r="EHL155" s="133"/>
      <c r="EHM155" s="133"/>
      <c r="EHN155" s="133"/>
      <c r="EHO155" s="133"/>
      <c r="EHP155" s="133"/>
      <c r="EHQ155" s="133"/>
      <c r="EHR155" s="133"/>
      <c r="EHS155" s="133"/>
      <c r="EHT155" s="133"/>
      <c r="EHU155" s="133"/>
      <c r="EHV155" s="133"/>
      <c r="EHW155" s="133"/>
      <c r="EHX155" s="133"/>
      <c r="EHY155" s="133"/>
      <c r="EHZ155" s="133"/>
      <c r="EIA155" s="133"/>
      <c r="EIB155" s="133"/>
      <c r="EIC155" s="133"/>
      <c r="EID155" s="133"/>
      <c r="EIE155" s="133"/>
      <c r="EIF155" s="133"/>
      <c r="EIG155" s="133"/>
      <c r="EIH155" s="133"/>
      <c r="EII155" s="133"/>
      <c r="EIJ155" s="133"/>
      <c r="EIK155" s="133"/>
      <c r="EIL155" s="133"/>
      <c r="EIM155" s="133"/>
      <c r="EIN155" s="133"/>
      <c r="EIO155" s="133"/>
      <c r="EIP155" s="133"/>
      <c r="EIQ155" s="133"/>
      <c r="EIR155" s="133"/>
      <c r="EIS155" s="133"/>
      <c r="EIT155" s="133"/>
      <c r="EIU155" s="133"/>
      <c r="EIV155" s="133"/>
      <c r="EIW155" s="133"/>
      <c r="EIX155" s="133"/>
      <c r="EIY155" s="133"/>
      <c r="EIZ155" s="133"/>
      <c r="EJA155" s="133"/>
      <c r="EJB155" s="133"/>
      <c r="EJC155" s="133"/>
      <c r="EJD155" s="133"/>
      <c r="EJE155" s="133"/>
      <c r="EJF155" s="133"/>
      <c r="EJG155" s="133"/>
      <c r="EJH155" s="133"/>
      <c r="EJI155" s="133"/>
      <c r="EJJ155" s="133"/>
      <c r="EJK155" s="133"/>
      <c r="EJL155" s="133"/>
      <c r="EJM155" s="133"/>
      <c r="EJN155" s="133"/>
      <c r="EJO155" s="133"/>
      <c r="EJP155" s="133"/>
      <c r="EJQ155" s="133"/>
      <c r="EJR155" s="133"/>
      <c r="EJS155" s="133"/>
      <c r="EJT155" s="133"/>
      <c r="EJU155" s="133"/>
      <c r="EJV155" s="133"/>
      <c r="EJW155" s="133"/>
      <c r="EJX155" s="133"/>
      <c r="EJY155" s="133"/>
      <c r="EJZ155" s="133"/>
      <c r="EKA155" s="133"/>
      <c r="EKB155" s="133"/>
      <c r="EKC155" s="133"/>
      <c r="EKD155" s="133"/>
      <c r="EKE155" s="133"/>
      <c r="EKF155" s="133"/>
      <c r="EKG155" s="133"/>
      <c r="EKH155" s="133"/>
      <c r="EKI155" s="133"/>
      <c r="EKJ155" s="133"/>
      <c r="EKK155" s="133"/>
      <c r="EKL155" s="133"/>
      <c r="EKM155" s="133"/>
      <c r="EKN155" s="133"/>
      <c r="EKO155" s="133"/>
      <c r="EKP155" s="133"/>
      <c r="EKQ155" s="133"/>
      <c r="EKR155" s="133"/>
      <c r="EKS155" s="133"/>
      <c r="EKT155" s="133"/>
      <c r="EKU155" s="133"/>
      <c r="EKV155" s="133"/>
      <c r="EKW155" s="133"/>
      <c r="EKX155" s="133"/>
      <c r="EKY155" s="133"/>
      <c r="EKZ155" s="133"/>
      <c r="ELA155" s="133"/>
      <c r="ELB155" s="133"/>
      <c r="ELC155" s="133"/>
      <c r="ELD155" s="133"/>
      <c r="ELE155" s="133"/>
      <c r="ELF155" s="133"/>
      <c r="ELG155" s="133"/>
      <c r="ELH155" s="133"/>
      <c r="ELI155" s="133"/>
      <c r="ELJ155" s="133"/>
      <c r="ELK155" s="133"/>
      <c r="ELL155" s="133"/>
      <c r="ELM155" s="133"/>
      <c r="ELN155" s="133"/>
      <c r="ELO155" s="133"/>
      <c r="ELP155" s="133"/>
      <c r="ELQ155" s="133"/>
      <c r="ELR155" s="133"/>
      <c r="ELS155" s="133"/>
      <c r="ELT155" s="133"/>
      <c r="ELU155" s="133"/>
      <c r="ELV155" s="133"/>
      <c r="ELW155" s="133"/>
      <c r="ELX155" s="133"/>
      <c r="ELY155" s="133"/>
      <c r="ELZ155" s="133"/>
      <c r="EMA155" s="133"/>
      <c r="EMB155" s="133"/>
      <c r="EMC155" s="133"/>
      <c r="EMD155" s="133"/>
      <c r="EME155" s="133"/>
      <c r="EMF155" s="133"/>
      <c r="EMG155" s="133"/>
      <c r="EMH155" s="133"/>
      <c r="EMI155" s="133"/>
      <c r="EMJ155" s="133"/>
      <c r="EMK155" s="133"/>
      <c r="EML155" s="133"/>
      <c r="EMM155" s="133"/>
      <c r="EMN155" s="133"/>
      <c r="EMO155" s="133"/>
      <c r="EMP155" s="133"/>
      <c r="EMQ155" s="133"/>
      <c r="EMR155" s="133"/>
      <c r="EMS155" s="133"/>
      <c r="EMT155" s="133"/>
      <c r="EMU155" s="133"/>
      <c r="EMV155" s="133"/>
      <c r="EMW155" s="133"/>
      <c r="EMX155" s="133"/>
      <c r="EMY155" s="133"/>
      <c r="EMZ155" s="133"/>
      <c r="ENA155" s="133"/>
      <c r="ENB155" s="133"/>
      <c r="ENC155" s="133"/>
      <c r="END155" s="133"/>
      <c r="ENE155" s="133"/>
      <c r="ENF155" s="133"/>
      <c r="ENG155" s="133"/>
      <c r="ENH155" s="133"/>
      <c r="ENI155" s="133"/>
      <c r="ENJ155" s="133"/>
      <c r="ENK155" s="133"/>
      <c r="ENL155" s="133"/>
      <c r="ENM155" s="133"/>
      <c r="ENN155" s="133"/>
      <c r="ENO155" s="133"/>
      <c r="ENP155" s="133"/>
      <c r="ENQ155" s="133"/>
      <c r="ENR155" s="133"/>
      <c r="ENS155" s="133"/>
      <c r="ENT155" s="133"/>
      <c r="ENU155" s="133"/>
      <c r="ENV155" s="133"/>
      <c r="ENW155" s="133"/>
      <c r="ENX155" s="133"/>
      <c r="ENY155" s="133"/>
      <c r="ENZ155" s="133"/>
      <c r="EOA155" s="133"/>
      <c r="EOB155" s="133"/>
      <c r="EOC155" s="133"/>
      <c r="EOD155" s="133"/>
      <c r="EOE155" s="133"/>
      <c r="EOF155" s="133"/>
      <c r="EOG155" s="133"/>
      <c r="EOH155" s="133"/>
      <c r="EOI155" s="133"/>
      <c r="EOJ155" s="133"/>
      <c r="EOK155" s="133"/>
      <c r="EOL155" s="133"/>
      <c r="EOM155" s="133"/>
      <c r="EON155" s="133"/>
      <c r="EOO155" s="133"/>
      <c r="EOP155" s="133"/>
      <c r="EOQ155" s="133"/>
      <c r="EOR155" s="133"/>
      <c r="EOS155" s="133"/>
      <c r="EOT155" s="133"/>
      <c r="EOU155" s="133"/>
      <c r="EOV155" s="133"/>
      <c r="EOW155" s="133"/>
      <c r="EOX155" s="133"/>
      <c r="EOY155" s="133"/>
      <c r="EOZ155" s="133"/>
      <c r="EPA155" s="133"/>
      <c r="EPB155" s="133"/>
      <c r="EPC155" s="133"/>
      <c r="EPD155" s="133"/>
      <c r="EPE155" s="133"/>
      <c r="EPF155" s="133"/>
      <c r="EPG155" s="133"/>
      <c r="EPH155" s="133"/>
      <c r="EPI155" s="133"/>
      <c r="EPJ155" s="133"/>
      <c r="EPK155" s="133"/>
      <c r="EPL155" s="133"/>
      <c r="EPM155" s="133"/>
      <c r="EPN155" s="133"/>
      <c r="EPO155" s="133"/>
      <c r="EPP155" s="133"/>
      <c r="EPQ155" s="133"/>
      <c r="EPR155" s="133"/>
      <c r="EPS155" s="133"/>
      <c r="EPT155" s="133"/>
      <c r="EPU155" s="133"/>
      <c r="EPV155" s="133"/>
      <c r="EPW155" s="133"/>
      <c r="EPX155" s="133"/>
      <c r="EPY155" s="133"/>
      <c r="EPZ155" s="133"/>
      <c r="EQA155" s="133"/>
      <c r="EQB155" s="133"/>
      <c r="EQC155" s="133"/>
      <c r="EQD155" s="133"/>
      <c r="EQE155" s="133"/>
      <c r="EQF155" s="133"/>
      <c r="EQG155" s="133"/>
      <c r="EQH155" s="133"/>
      <c r="EQI155" s="133"/>
      <c r="EQJ155" s="133"/>
      <c r="EQK155" s="133"/>
      <c r="EQL155" s="133"/>
      <c r="EQM155" s="133"/>
      <c r="EQN155" s="133"/>
      <c r="EQO155" s="133"/>
      <c r="EQP155" s="133"/>
      <c r="EQQ155" s="133"/>
      <c r="EQR155" s="133"/>
      <c r="EQS155" s="133"/>
      <c r="EQT155" s="133"/>
      <c r="EQU155" s="133"/>
      <c r="EQV155" s="133"/>
      <c r="EQW155" s="133"/>
      <c r="EQX155" s="133"/>
      <c r="EQY155" s="133"/>
      <c r="EQZ155" s="133"/>
      <c r="ERA155" s="133"/>
      <c r="ERB155" s="133"/>
      <c r="ERC155" s="133"/>
      <c r="ERD155" s="133"/>
      <c r="ERE155" s="133"/>
      <c r="ERF155" s="133"/>
      <c r="ERG155" s="133"/>
      <c r="ERH155" s="133"/>
      <c r="ERI155" s="133"/>
      <c r="ERJ155" s="133"/>
      <c r="ERK155" s="133"/>
      <c r="ERL155" s="133"/>
      <c r="ERM155" s="133"/>
      <c r="ERN155" s="133"/>
      <c r="ERO155" s="133"/>
      <c r="ERP155" s="133"/>
      <c r="ERQ155" s="133"/>
      <c r="ERR155" s="133"/>
      <c r="ERS155" s="133"/>
      <c r="ERT155" s="133"/>
      <c r="ERU155" s="133"/>
      <c r="ERV155" s="133"/>
      <c r="ERW155" s="133"/>
      <c r="ERX155" s="133"/>
      <c r="ERY155" s="133"/>
      <c r="ERZ155" s="133"/>
      <c r="ESA155" s="133"/>
      <c r="ESB155" s="133"/>
      <c r="ESC155" s="133"/>
      <c r="ESD155" s="133"/>
      <c r="ESE155" s="133"/>
      <c r="ESF155" s="133"/>
      <c r="ESG155" s="133"/>
      <c r="ESH155" s="133"/>
      <c r="ESI155" s="133"/>
      <c r="ESJ155" s="133"/>
      <c r="ESK155" s="133"/>
      <c r="ESL155" s="133"/>
      <c r="ESM155" s="133"/>
      <c r="ESN155" s="133"/>
      <c r="ESO155" s="133"/>
      <c r="ESP155" s="133"/>
      <c r="ESQ155" s="133"/>
      <c r="ESR155" s="133"/>
      <c r="ESS155" s="133"/>
      <c r="EST155" s="133"/>
      <c r="ESU155" s="133"/>
      <c r="ESV155" s="133"/>
      <c r="ESW155" s="133"/>
      <c r="ESX155" s="133"/>
      <c r="ESY155" s="133"/>
      <c r="ESZ155" s="133"/>
      <c r="ETA155" s="133"/>
      <c r="ETB155" s="133"/>
      <c r="ETC155" s="133"/>
      <c r="ETD155" s="133"/>
      <c r="ETE155" s="133"/>
      <c r="ETF155" s="133"/>
      <c r="ETG155" s="133"/>
      <c r="ETH155" s="133"/>
      <c r="ETI155" s="133"/>
      <c r="ETJ155" s="133"/>
      <c r="ETK155" s="133"/>
      <c r="ETL155" s="133"/>
      <c r="ETM155" s="133"/>
      <c r="ETN155" s="133"/>
      <c r="ETO155" s="133"/>
      <c r="ETP155" s="133"/>
      <c r="ETQ155" s="133"/>
      <c r="ETR155" s="133"/>
      <c r="ETS155" s="133"/>
      <c r="ETT155" s="133"/>
      <c r="ETU155" s="133"/>
      <c r="ETV155" s="133"/>
      <c r="ETW155" s="133"/>
      <c r="ETX155" s="133"/>
      <c r="ETY155" s="133"/>
      <c r="ETZ155" s="133"/>
      <c r="EUA155" s="133"/>
      <c r="EUB155" s="133"/>
      <c r="EUC155" s="133"/>
      <c r="EUD155" s="133"/>
      <c r="EUE155" s="133"/>
      <c r="EUF155" s="133"/>
      <c r="EUG155" s="133"/>
      <c r="EUH155" s="133"/>
      <c r="EUI155" s="133"/>
      <c r="EUJ155" s="133"/>
      <c r="EUK155" s="133"/>
      <c r="EUL155" s="133"/>
      <c r="EUM155" s="133"/>
      <c r="EUN155" s="133"/>
      <c r="EUO155" s="133"/>
      <c r="EUP155" s="133"/>
      <c r="EUQ155" s="133"/>
      <c r="EUR155" s="133"/>
      <c r="EUS155" s="133"/>
      <c r="EUT155" s="133"/>
      <c r="EUU155" s="133"/>
      <c r="EUV155" s="133"/>
      <c r="EUW155" s="133"/>
      <c r="EUX155" s="133"/>
      <c r="EUY155" s="133"/>
      <c r="EUZ155" s="133"/>
      <c r="EVA155" s="133"/>
      <c r="EVB155" s="133"/>
      <c r="EVC155" s="133"/>
      <c r="EVD155" s="133"/>
      <c r="EVE155" s="133"/>
      <c r="EVF155" s="133"/>
      <c r="EVG155" s="133"/>
      <c r="EVH155" s="133"/>
      <c r="EVI155" s="133"/>
      <c r="EVJ155" s="133"/>
      <c r="EVK155" s="133"/>
      <c r="EVL155" s="133"/>
      <c r="EVM155" s="133"/>
      <c r="EVN155" s="133"/>
      <c r="EVO155" s="133"/>
      <c r="EVP155" s="133"/>
      <c r="EVQ155" s="133"/>
      <c r="EVR155" s="133"/>
      <c r="EVS155" s="133"/>
      <c r="EVT155" s="133"/>
      <c r="EVU155" s="133"/>
      <c r="EVV155" s="133"/>
      <c r="EVW155" s="133"/>
      <c r="EVX155" s="133"/>
      <c r="EVY155" s="133"/>
      <c r="EVZ155" s="133"/>
      <c r="EWA155" s="133"/>
      <c r="EWB155" s="133"/>
      <c r="EWC155" s="133"/>
      <c r="EWD155" s="133"/>
      <c r="EWE155" s="133"/>
      <c r="EWF155" s="133"/>
      <c r="EWG155" s="133"/>
      <c r="EWH155" s="133"/>
      <c r="EWI155" s="133"/>
      <c r="EWJ155" s="133"/>
      <c r="EWK155" s="133"/>
      <c r="EWL155" s="133"/>
      <c r="EWM155" s="133"/>
      <c r="EWN155" s="133"/>
      <c r="EWO155" s="133"/>
      <c r="EWP155" s="133"/>
      <c r="EWQ155" s="133"/>
      <c r="EWR155" s="133"/>
      <c r="EWS155" s="133"/>
      <c r="EWT155" s="133"/>
      <c r="EWU155" s="133"/>
      <c r="EWV155" s="133"/>
      <c r="EWW155" s="133"/>
      <c r="EWX155" s="133"/>
      <c r="EWY155" s="133"/>
      <c r="EWZ155" s="133"/>
      <c r="EXA155" s="133"/>
      <c r="EXB155" s="133"/>
      <c r="EXC155" s="133"/>
      <c r="EXD155" s="133"/>
      <c r="EXE155" s="133"/>
      <c r="EXF155" s="133"/>
      <c r="EXG155" s="133"/>
      <c r="EXH155" s="133"/>
      <c r="EXI155" s="133"/>
      <c r="EXJ155" s="133"/>
      <c r="EXK155" s="133"/>
      <c r="EXL155" s="133"/>
      <c r="EXM155" s="133"/>
      <c r="EXN155" s="133"/>
      <c r="EXO155" s="133"/>
      <c r="EXP155" s="133"/>
      <c r="EXQ155" s="133"/>
      <c r="EXR155" s="133"/>
      <c r="EXS155" s="133"/>
      <c r="EXT155" s="133"/>
      <c r="EXU155" s="133"/>
      <c r="EXV155" s="133"/>
      <c r="EXW155" s="133"/>
      <c r="EXX155" s="133"/>
      <c r="EXY155" s="133"/>
      <c r="EXZ155" s="133"/>
      <c r="EYA155" s="133"/>
      <c r="EYB155" s="133"/>
      <c r="EYC155" s="133"/>
      <c r="EYD155" s="133"/>
      <c r="EYE155" s="133"/>
      <c r="EYF155" s="133"/>
      <c r="EYG155" s="133"/>
      <c r="EYH155" s="133"/>
      <c r="EYI155" s="133"/>
      <c r="EYJ155" s="133"/>
      <c r="EYK155" s="133"/>
      <c r="EYL155" s="133"/>
      <c r="EYM155" s="133"/>
      <c r="EYN155" s="133"/>
      <c r="EYO155" s="133"/>
      <c r="EYP155" s="133"/>
      <c r="EYQ155" s="133"/>
      <c r="EYR155" s="133"/>
      <c r="EYS155" s="133"/>
      <c r="EYT155" s="133"/>
      <c r="EYU155" s="133"/>
      <c r="EYV155" s="133"/>
      <c r="EYW155" s="133"/>
      <c r="EYX155" s="133"/>
      <c r="EYY155" s="133"/>
      <c r="EYZ155" s="133"/>
      <c r="EZA155" s="133"/>
      <c r="EZB155" s="133"/>
      <c r="EZC155" s="133"/>
      <c r="EZD155" s="133"/>
      <c r="EZE155" s="133"/>
      <c r="EZF155" s="133"/>
      <c r="EZG155" s="133"/>
      <c r="EZH155" s="133"/>
      <c r="EZI155" s="133"/>
      <c r="EZJ155" s="133"/>
      <c r="EZK155" s="133"/>
      <c r="EZL155" s="133"/>
      <c r="EZM155" s="133"/>
      <c r="EZN155" s="133"/>
      <c r="EZO155" s="133"/>
      <c r="EZP155" s="133"/>
      <c r="EZQ155" s="133"/>
      <c r="EZR155" s="133"/>
      <c r="EZS155" s="133"/>
      <c r="EZT155" s="133"/>
      <c r="EZU155" s="133"/>
      <c r="EZV155" s="133"/>
      <c r="EZW155" s="133"/>
      <c r="EZX155" s="133"/>
      <c r="EZY155" s="133"/>
      <c r="EZZ155" s="133"/>
      <c r="FAA155" s="133"/>
      <c r="FAB155" s="133"/>
      <c r="FAC155" s="133"/>
      <c r="FAD155" s="133"/>
      <c r="FAE155" s="133"/>
      <c r="FAF155" s="133"/>
      <c r="FAG155" s="133"/>
      <c r="FAH155" s="133"/>
      <c r="FAI155" s="133"/>
      <c r="FAJ155" s="133"/>
      <c r="FAK155" s="133"/>
      <c r="FAL155" s="133"/>
      <c r="FAM155" s="133"/>
      <c r="FAN155" s="133"/>
      <c r="FAO155" s="133"/>
      <c r="FAP155" s="133"/>
      <c r="FAQ155" s="133"/>
      <c r="FAR155" s="133"/>
      <c r="FAS155" s="133"/>
      <c r="FAT155" s="133"/>
      <c r="FAU155" s="133"/>
      <c r="FAV155" s="133"/>
      <c r="FAW155" s="133"/>
      <c r="FAX155" s="133"/>
      <c r="FAY155" s="133"/>
      <c r="FAZ155" s="133"/>
      <c r="FBA155" s="133"/>
      <c r="FBB155" s="133"/>
      <c r="FBC155" s="133"/>
      <c r="FBD155" s="133"/>
      <c r="FBE155" s="133"/>
      <c r="FBF155" s="133"/>
      <c r="FBG155" s="133"/>
      <c r="FBH155" s="133"/>
      <c r="FBI155" s="133"/>
      <c r="FBJ155" s="133"/>
      <c r="FBK155" s="133"/>
      <c r="FBL155" s="133"/>
      <c r="FBM155" s="133"/>
      <c r="FBN155" s="133"/>
      <c r="FBO155" s="133"/>
      <c r="FBP155" s="133"/>
      <c r="FBQ155" s="133"/>
      <c r="FBR155" s="133"/>
      <c r="FBS155" s="133"/>
      <c r="FBT155" s="133"/>
      <c r="FBU155" s="133"/>
      <c r="FBV155" s="133"/>
      <c r="FBW155" s="133"/>
      <c r="FBX155" s="133"/>
      <c r="FBY155" s="133"/>
      <c r="FBZ155" s="133"/>
      <c r="FCA155" s="133"/>
      <c r="FCB155" s="133"/>
      <c r="FCC155" s="133"/>
      <c r="FCD155" s="133"/>
      <c r="FCE155" s="133"/>
      <c r="FCF155" s="133"/>
      <c r="FCG155" s="133"/>
      <c r="FCH155" s="133"/>
      <c r="FCI155" s="133"/>
      <c r="FCJ155" s="133"/>
      <c r="FCK155" s="133"/>
      <c r="FCL155" s="133"/>
      <c r="FCM155" s="133"/>
      <c r="FCN155" s="133"/>
      <c r="FCO155" s="133"/>
      <c r="FCP155" s="133"/>
      <c r="FCQ155" s="133"/>
      <c r="FCR155" s="133"/>
      <c r="FCS155" s="133"/>
      <c r="FCT155" s="133"/>
      <c r="FCU155" s="133"/>
      <c r="FCV155" s="133"/>
      <c r="FCW155" s="133"/>
      <c r="FCX155" s="133"/>
      <c r="FCY155" s="133"/>
      <c r="FCZ155" s="133"/>
      <c r="FDA155" s="133"/>
      <c r="FDB155" s="133"/>
      <c r="FDC155" s="133"/>
      <c r="FDD155" s="133"/>
      <c r="FDE155" s="133"/>
      <c r="FDF155" s="133"/>
      <c r="FDG155" s="133"/>
      <c r="FDH155" s="133"/>
      <c r="FDI155" s="133"/>
      <c r="FDJ155" s="133"/>
      <c r="FDK155" s="133"/>
      <c r="FDL155" s="133"/>
      <c r="FDM155" s="133"/>
      <c r="FDN155" s="133"/>
      <c r="FDO155" s="133"/>
      <c r="FDP155" s="133"/>
      <c r="FDQ155" s="133"/>
      <c r="FDR155" s="133"/>
      <c r="FDS155" s="133"/>
      <c r="FDT155" s="133"/>
      <c r="FDU155" s="133"/>
      <c r="FDV155" s="133"/>
      <c r="FDW155" s="133"/>
      <c r="FDX155" s="133"/>
      <c r="FDY155" s="133"/>
      <c r="FDZ155" s="133"/>
      <c r="FEA155" s="133"/>
      <c r="FEB155" s="133"/>
      <c r="FEC155" s="133"/>
      <c r="FED155" s="133"/>
      <c r="FEE155" s="133"/>
      <c r="FEF155" s="133"/>
      <c r="FEG155" s="133"/>
      <c r="FEH155" s="133"/>
      <c r="FEI155" s="133"/>
      <c r="FEJ155" s="133"/>
      <c r="FEK155" s="133"/>
      <c r="FEL155" s="133"/>
      <c r="FEM155" s="133"/>
      <c r="FEN155" s="133"/>
      <c r="FEO155" s="133"/>
      <c r="FEP155" s="133"/>
      <c r="FEQ155" s="133"/>
      <c r="FER155" s="133"/>
      <c r="FES155" s="133"/>
      <c r="FET155" s="133"/>
      <c r="FEU155" s="133"/>
      <c r="FEV155" s="133"/>
      <c r="FEW155" s="133"/>
      <c r="FEX155" s="133"/>
      <c r="FEY155" s="133"/>
      <c r="FEZ155" s="133"/>
      <c r="FFA155" s="133"/>
      <c r="FFB155" s="133"/>
      <c r="FFC155" s="133"/>
      <c r="FFD155" s="133"/>
      <c r="FFE155" s="133"/>
      <c r="FFF155" s="133"/>
      <c r="FFG155" s="133"/>
      <c r="FFH155" s="133"/>
      <c r="FFI155" s="133"/>
      <c r="FFJ155" s="133"/>
      <c r="FFK155" s="133"/>
      <c r="FFL155" s="133"/>
      <c r="FFM155" s="133"/>
      <c r="FFN155" s="133"/>
      <c r="FFO155" s="133"/>
      <c r="FFP155" s="133"/>
      <c r="FFQ155" s="133"/>
      <c r="FFR155" s="133"/>
      <c r="FFS155" s="133"/>
      <c r="FFT155" s="133"/>
      <c r="FFU155" s="133"/>
      <c r="FFV155" s="133"/>
      <c r="FFW155" s="133"/>
      <c r="FFX155" s="133"/>
      <c r="FFY155" s="133"/>
      <c r="FFZ155" s="133"/>
      <c r="FGA155" s="133"/>
      <c r="FGB155" s="133"/>
      <c r="FGC155" s="133"/>
      <c r="FGD155" s="133"/>
      <c r="FGE155" s="133"/>
      <c r="FGF155" s="133"/>
      <c r="FGG155" s="133"/>
      <c r="FGH155" s="133"/>
      <c r="FGI155" s="133"/>
      <c r="FGJ155" s="133"/>
      <c r="FGK155" s="133"/>
      <c r="FGL155" s="133"/>
      <c r="FGM155" s="133"/>
      <c r="FGN155" s="133"/>
      <c r="FGO155" s="133"/>
      <c r="FGP155" s="133"/>
      <c r="FGQ155" s="133"/>
      <c r="FGR155" s="133"/>
      <c r="FGS155" s="133"/>
      <c r="FGT155" s="133"/>
      <c r="FGU155" s="133"/>
      <c r="FGV155" s="133"/>
      <c r="FGW155" s="133"/>
      <c r="FGX155" s="133"/>
      <c r="FGY155" s="133"/>
      <c r="FGZ155" s="133"/>
      <c r="FHA155" s="133"/>
      <c r="FHB155" s="133"/>
      <c r="FHC155" s="133"/>
      <c r="FHD155" s="133"/>
      <c r="FHE155" s="133"/>
      <c r="FHF155" s="133"/>
      <c r="FHG155" s="133"/>
      <c r="FHH155" s="133"/>
      <c r="FHI155" s="133"/>
      <c r="FHJ155" s="133"/>
      <c r="FHK155" s="133"/>
      <c r="FHL155" s="133"/>
      <c r="FHM155" s="133"/>
      <c r="FHN155" s="133"/>
      <c r="FHO155" s="133"/>
      <c r="FHP155" s="133"/>
      <c r="FHQ155" s="133"/>
      <c r="FHR155" s="133"/>
      <c r="FHS155" s="133"/>
      <c r="FHT155" s="133"/>
      <c r="FHU155" s="133"/>
      <c r="FHV155" s="133"/>
      <c r="FHW155" s="133"/>
      <c r="FHX155" s="133"/>
      <c r="FHY155" s="133"/>
      <c r="FHZ155" s="133"/>
      <c r="FIA155" s="133"/>
      <c r="FIB155" s="133"/>
      <c r="FIC155" s="133"/>
      <c r="FID155" s="133"/>
      <c r="FIE155" s="133"/>
      <c r="FIF155" s="133"/>
      <c r="FIG155" s="133"/>
      <c r="FIH155" s="133"/>
      <c r="FII155" s="133"/>
      <c r="FIJ155" s="133"/>
      <c r="FIK155" s="133"/>
      <c r="FIL155" s="133"/>
      <c r="FIM155" s="133"/>
      <c r="FIN155" s="133"/>
      <c r="FIO155" s="133"/>
      <c r="FIP155" s="133"/>
      <c r="FIQ155" s="133"/>
      <c r="FIR155" s="133"/>
      <c r="FIS155" s="133"/>
      <c r="FIT155" s="133"/>
      <c r="FIU155" s="133"/>
      <c r="FIV155" s="133"/>
      <c r="FIW155" s="133"/>
      <c r="FIX155" s="133"/>
      <c r="FIY155" s="133"/>
      <c r="FIZ155" s="133"/>
      <c r="FJA155" s="133"/>
      <c r="FJB155" s="133"/>
      <c r="FJC155" s="133"/>
      <c r="FJD155" s="133"/>
      <c r="FJE155" s="133"/>
      <c r="FJF155" s="133"/>
      <c r="FJG155" s="133"/>
      <c r="FJH155" s="133"/>
      <c r="FJI155" s="133"/>
      <c r="FJJ155" s="133"/>
      <c r="FJK155" s="133"/>
      <c r="FJL155" s="133"/>
      <c r="FJM155" s="133"/>
      <c r="FJN155" s="133"/>
      <c r="FJO155" s="133"/>
      <c r="FJP155" s="133"/>
      <c r="FJQ155" s="133"/>
      <c r="FJR155" s="133"/>
      <c r="FJS155" s="133"/>
      <c r="FJT155" s="133"/>
      <c r="FJU155" s="133"/>
      <c r="FJV155" s="133"/>
      <c r="FJW155" s="133"/>
      <c r="FJX155" s="133"/>
      <c r="FJY155" s="133"/>
      <c r="FJZ155" s="133"/>
      <c r="FKA155" s="133"/>
      <c r="FKB155" s="133"/>
      <c r="FKC155" s="133"/>
      <c r="FKD155" s="133"/>
      <c r="FKE155" s="133"/>
      <c r="FKF155" s="133"/>
      <c r="FKG155" s="133"/>
      <c r="FKH155" s="133"/>
      <c r="FKI155" s="133"/>
      <c r="FKJ155" s="133"/>
      <c r="FKK155" s="133"/>
      <c r="FKL155" s="133"/>
      <c r="FKM155" s="133"/>
      <c r="FKN155" s="133"/>
      <c r="FKO155" s="133"/>
      <c r="FKP155" s="133"/>
      <c r="FKQ155" s="133"/>
      <c r="FKR155" s="133"/>
      <c r="FKS155" s="133"/>
      <c r="FKT155" s="133"/>
      <c r="FKU155" s="133"/>
      <c r="FKV155" s="133"/>
      <c r="FKW155" s="133"/>
      <c r="FKX155" s="133"/>
      <c r="FKY155" s="133"/>
      <c r="FKZ155" s="133"/>
      <c r="FLA155" s="133"/>
      <c r="FLB155" s="133"/>
      <c r="FLC155" s="133"/>
      <c r="FLD155" s="133"/>
      <c r="FLE155" s="133"/>
      <c r="FLF155" s="133"/>
      <c r="FLG155" s="133"/>
      <c r="FLH155" s="133"/>
      <c r="FLI155" s="133"/>
      <c r="FLJ155" s="133"/>
      <c r="FLK155" s="133"/>
      <c r="FLL155" s="133"/>
      <c r="FLM155" s="133"/>
      <c r="FLN155" s="133"/>
      <c r="FLO155" s="133"/>
      <c r="FLP155" s="133"/>
      <c r="FLQ155" s="133"/>
      <c r="FLR155" s="133"/>
      <c r="FLS155" s="133"/>
      <c r="FLT155" s="133"/>
      <c r="FLU155" s="133"/>
      <c r="FLV155" s="133"/>
      <c r="FLW155" s="133"/>
      <c r="FLX155" s="133"/>
      <c r="FLY155" s="133"/>
      <c r="FLZ155" s="133"/>
      <c r="FMA155" s="133"/>
      <c r="FMB155" s="133"/>
      <c r="FMC155" s="133"/>
      <c r="FMD155" s="133"/>
      <c r="FME155" s="133"/>
      <c r="FMF155" s="133"/>
      <c r="FMG155" s="133"/>
      <c r="FMH155" s="133"/>
      <c r="FMI155" s="133"/>
      <c r="FMJ155" s="133"/>
      <c r="FMK155" s="133"/>
      <c r="FML155" s="133"/>
      <c r="FMM155" s="133"/>
      <c r="FMN155" s="133"/>
      <c r="FMO155" s="133"/>
      <c r="FMP155" s="133"/>
      <c r="FMQ155" s="133"/>
      <c r="FMR155" s="133"/>
      <c r="FMS155" s="133"/>
      <c r="FMT155" s="133"/>
      <c r="FMU155" s="133"/>
      <c r="FMV155" s="133"/>
      <c r="FMW155" s="133"/>
      <c r="FMX155" s="133"/>
      <c r="FMY155" s="133"/>
      <c r="FMZ155" s="133"/>
      <c r="FNA155" s="133"/>
      <c r="FNB155" s="133"/>
      <c r="FNC155" s="133"/>
      <c r="FND155" s="133"/>
      <c r="FNE155" s="133"/>
      <c r="FNF155" s="133"/>
      <c r="FNG155" s="133"/>
      <c r="FNH155" s="133"/>
      <c r="FNI155" s="133"/>
      <c r="FNJ155" s="133"/>
      <c r="FNK155" s="133"/>
      <c r="FNL155" s="133"/>
      <c r="FNM155" s="133"/>
      <c r="FNN155" s="133"/>
      <c r="FNO155" s="133"/>
      <c r="FNP155" s="133"/>
      <c r="FNQ155" s="133"/>
      <c r="FNR155" s="133"/>
      <c r="FNS155" s="133"/>
      <c r="FNT155" s="133"/>
      <c r="FNU155" s="133"/>
      <c r="FNV155" s="133"/>
      <c r="FNW155" s="133"/>
      <c r="FNX155" s="133"/>
      <c r="FNY155" s="133"/>
      <c r="FNZ155" s="133"/>
      <c r="FOA155" s="133"/>
      <c r="FOB155" s="133"/>
      <c r="FOC155" s="133"/>
      <c r="FOD155" s="133"/>
      <c r="FOE155" s="133"/>
      <c r="FOF155" s="133"/>
      <c r="FOG155" s="133"/>
      <c r="FOH155" s="133"/>
      <c r="FOI155" s="133"/>
      <c r="FOJ155" s="133"/>
      <c r="FOK155" s="133"/>
      <c r="FOL155" s="133"/>
      <c r="FOM155" s="133"/>
      <c r="FON155" s="133"/>
      <c r="FOO155" s="133"/>
      <c r="FOP155" s="133"/>
      <c r="FOQ155" s="133"/>
      <c r="FOR155" s="133"/>
      <c r="FOS155" s="133"/>
      <c r="FOT155" s="133"/>
      <c r="FOU155" s="133"/>
      <c r="FOV155" s="133"/>
      <c r="FOW155" s="133"/>
      <c r="FOX155" s="133"/>
      <c r="FOY155" s="133"/>
      <c r="FOZ155" s="133"/>
      <c r="FPA155" s="133"/>
      <c r="FPB155" s="133"/>
      <c r="FPC155" s="133"/>
      <c r="FPD155" s="133"/>
      <c r="FPE155" s="133"/>
      <c r="FPF155" s="133"/>
      <c r="FPG155" s="133"/>
      <c r="FPH155" s="133"/>
      <c r="FPI155" s="133"/>
      <c r="FPJ155" s="133"/>
      <c r="FPK155" s="133"/>
      <c r="FPL155" s="133"/>
      <c r="FPM155" s="133"/>
      <c r="FPN155" s="133"/>
      <c r="FPO155" s="133"/>
      <c r="FPP155" s="133"/>
      <c r="FPQ155" s="133"/>
      <c r="FPR155" s="133"/>
      <c r="FPS155" s="133"/>
      <c r="FPT155" s="133"/>
      <c r="FPU155" s="133"/>
      <c r="FPV155" s="133"/>
      <c r="FPW155" s="133"/>
      <c r="FPX155" s="133"/>
      <c r="FPY155" s="133"/>
      <c r="FPZ155" s="133"/>
      <c r="FQA155" s="133"/>
      <c r="FQB155" s="133"/>
      <c r="FQC155" s="133"/>
      <c r="FQD155" s="133"/>
      <c r="FQE155" s="133"/>
      <c r="FQF155" s="133"/>
      <c r="FQG155" s="133"/>
      <c r="FQH155" s="133"/>
      <c r="FQI155" s="133"/>
      <c r="FQJ155" s="133"/>
      <c r="FQK155" s="133"/>
      <c r="FQL155" s="133"/>
      <c r="FQM155" s="133"/>
      <c r="FQN155" s="133"/>
      <c r="FQO155" s="133"/>
      <c r="FQP155" s="133"/>
      <c r="FQQ155" s="133"/>
      <c r="FQR155" s="133"/>
      <c r="FQS155" s="133"/>
      <c r="FQT155" s="133"/>
      <c r="FQU155" s="133"/>
      <c r="FQV155" s="133"/>
      <c r="FQW155" s="133"/>
      <c r="FQX155" s="133"/>
      <c r="FQY155" s="133"/>
      <c r="FQZ155" s="133"/>
      <c r="FRA155" s="133"/>
      <c r="FRB155" s="133"/>
      <c r="FRC155" s="133"/>
      <c r="FRD155" s="133"/>
      <c r="FRE155" s="133"/>
      <c r="FRF155" s="133"/>
      <c r="FRG155" s="133"/>
      <c r="FRH155" s="133"/>
      <c r="FRI155" s="133"/>
      <c r="FRJ155" s="133"/>
      <c r="FRK155" s="133"/>
      <c r="FRL155" s="133"/>
      <c r="FRM155" s="133"/>
      <c r="FRN155" s="133"/>
      <c r="FRO155" s="133"/>
      <c r="FRP155" s="133"/>
      <c r="FRQ155" s="133"/>
      <c r="FRR155" s="133"/>
      <c r="FRS155" s="133"/>
      <c r="FRT155" s="133"/>
      <c r="FRU155" s="133"/>
      <c r="FRV155" s="133"/>
      <c r="FRW155" s="133"/>
      <c r="FRX155" s="133"/>
      <c r="FRY155" s="133"/>
      <c r="FRZ155" s="133"/>
      <c r="FSA155" s="133"/>
      <c r="FSB155" s="133"/>
      <c r="FSC155" s="133"/>
      <c r="FSD155" s="133"/>
      <c r="FSE155" s="133"/>
      <c r="FSF155" s="133"/>
      <c r="FSG155" s="133"/>
      <c r="FSH155" s="133"/>
      <c r="FSI155" s="133"/>
      <c r="FSJ155" s="133"/>
      <c r="FSK155" s="133"/>
      <c r="FSL155" s="133"/>
      <c r="FSM155" s="133"/>
      <c r="FSN155" s="133"/>
      <c r="FSO155" s="133"/>
      <c r="FSP155" s="133"/>
      <c r="FSQ155" s="133"/>
      <c r="FSR155" s="133"/>
      <c r="FSS155" s="133"/>
      <c r="FST155" s="133"/>
      <c r="FSU155" s="133"/>
      <c r="FSV155" s="133"/>
      <c r="FSW155" s="133"/>
      <c r="FSX155" s="133"/>
      <c r="FSY155" s="133"/>
      <c r="FSZ155" s="133"/>
      <c r="FTA155" s="133"/>
      <c r="FTB155" s="133"/>
      <c r="FTC155" s="133"/>
      <c r="FTD155" s="133"/>
      <c r="FTE155" s="133"/>
      <c r="FTF155" s="133"/>
      <c r="FTG155" s="133"/>
      <c r="FTH155" s="133"/>
      <c r="FTI155" s="133"/>
      <c r="FTJ155" s="133"/>
      <c r="FTK155" s="133"/>
      <c r="FTL155" s="133"/>
      <c r="FTM155" s="133"/>
      <c r="FTN155" s="133"/>
      <c r="FTO155" s="133"/>
      <c r="FTP155" s="133"/>
      <c r="FTQ155" s="133"/>
      <c r="FTR155" s="133"/>
      <c r="FTS155" s="133"/>
      <c r="FTT155" s="133"/>
      <c r="FTU155" s="133"/>
      <c r="FTV155" s="133"/>
      <c r="FTW155" s="133"/>
      <c r="FTX155" s="133"/>
      <c r="FTY155" s="133"/>
      <c r="FTZ155" s="133"/>
      <c r="FUA155" s="133"/>
      <c r="FUB155" s="133"/>
      <c r="FUC155" s="133"/>
      <c r="FUD155" s="133"/>
      <c r="FUE155" s="133"/>
      <c r="FUF155" s="133"/>
      <c r="FUG155" s="133"/>
      <c r="FUH155" s="133"/>
      <c r="FUI155" s="133"/>
      <c r="FUJ155" s="133"/>
      <c r="FUK155" s="133"/>
      <c r="FUL155" s="133"/>
      <c r="FUM155" s="133"/>
      <c r="FUN155" s="133"/>
      <c r="FUO155" s="133"/>
      <c r="FUP155" s="133"/>
      <c r="FUQ155" s="133"/>
      <c r="FUR155" s="133"/>
      <c r="FUS155" s="133"/>
      <c r="FUT155" s="133"/>
      <c r="FUU155" s="133"/>
      <c r="FUV155" s="133"/>
      <c r="FUW155" s="133"/>
      <c r="FUX155" s="133"/>
      <c r="FUY155" s="133"/>
      <c r="FUZ155" s="133"/>
      <c r="FVA155" s="133"/>
      <c r="FVB155" s="133"/>
      <c r="FVC155" s="133"/>
      <c r="FVD155" s="133"/>
      <c r="FVE155" s="133"/>
      <c r="FVF155" s="133"/>
      <c r="FVG155" s="133"/>
      <c r="FVH155" s="133"/>
      <c r="FVI155" s="133"/>
      <c r="FVJ155" s="133"/>
      <c r="FVK155" s="133"/>
      <c r="FVL155" s="133"/>
      <c r="FVM155" s="133"/>
      <c r="FVN155" s="133"/>
      <c r="FVO155" s="133"/>
      <c r="FVP155" s="133"/>
      <c r="FVQ155" s="133"/>
      <c r="FVR155" s="133"/>
      <c r="FVS155" s="133"/>
      <c r="FVT155" s="133"/>
      <c r="FVU155" s="133"/>
      <c r="FVV155" s="133"/>
      <c r="FVW155" s="133"/>
      <c r="FVX155" s="133"/>
      <c r="FVY155" s="133"/>
      <c r="FVZ155" s="133"/>
      <c r="FWA155" s="133"/>
      <c r="FWB155" s="133"/>
      <c r="FWC155" s="133"/>
      <c r="FWD155" s="133"/>
      <c r="FWE155" s="133"/>
      <c r="FWF155" s="133"/>
      <c r="FWG155" s="133"/>
      <c r="FWH155" s="133"/>
      <c r="FWI155" s="133"/>
      <c r="FWJ155" s="133"/>
      <c r="FWK155" s="133"/>
      <c r="FWL155" s="133"/>
      <c r="FWM155" s="133"/>
      <c r="FWN155" s="133"/>
      <c r="FWO155" s="133"/>
      <c r="FWP155" s="133"/>
      <c r="FWQ155" s="133"/>
      <c r="FWR155" s="133"/>
      <c r="FWS155" s="133"/>
      <c r="FWT155" s="133"/>
      <c r="FWU155" s="133"/>
      <c r="FWV155" s="133"/>
      <c r="FWW155" s="133"/>
      <c r="FWX155" s="133"/>
      <c r="FWY155" s="133"/>
      <c r="FWZ155" s="133"/>
      <c r="FXA155" s="133"/>
      <c r="FXB155" s="133"/>
      <c r="FXC155" s="133"/>
      <c r="FXD155" s="133"/>
      <c r="FXE155" s="133"/>
      <c r="FXF155" s="133"/>
      <c r="FXG155" s="133"/>
      <c r="FXH155" s="133"/>
      <c r="FXI155" s="133"/>
      <c r="FXJ155" s="133"/>
      <c r="FXK155" s="133"/>
      <c r="FXL155" s="133"/>
      <c r="FXM155" s="133"/>
      <c r="FXN155" s="133"/>
      <c r="FXO155" s="133"/>
      <c r="FXP155" s="133"/>
      <c r="FXQ155" s="133"/>
      <c r="FXR155" s="133"/>
      <c r="FXS155" s="133"/>
      <c r="FXT155" s="133"/>
      <c r="FXU155" s="133"/>
      <c r="FXV155" s="133"/>
      <c r="FXW155" s="133"/>
      <c r="FXX155" s="133"/>
      <c r="FXY155" s="133"/>
      <c r="FXZ155" s="133"/>
      <c r="FYA155" s="133"/>
      <c r="FYB155" s="133"/>
      <c r="FYC155" s="133"/>
      <c r="FYD155" s="133"/>
      <c r="FYE155" s="133"/>
      <c r="FYF155" s="133"/>
      <c r="FYG155" s="133"/>
      <c r="FYH155" s="133"/>
      <c r="FYI155" s="133"/>
      <c r="FYJ155" s="133"/>
      <c r="FYK155" s="133"/>
      <c r="FYL155" s="133"/>
      <c r="FYM155" s="133"/>
      <c r="FYN155" s="133"/>
      <c r="FYO155" s="133"/>
      <c r="FYP155" s="133"/>
      <c r="FYQ155" s="133"/>
      <c r="FYR155" s="133"/>
      <c r="FYS155" s="133"/>
      <c r="FYT155" s="133"/>
      <c r="FYU155" s="133"/>
      <c r="FYV155" s="133"/>
      <c r="FYW155" s="133"/>
      <c r="FYX155" s="133"/>
      <c r="FYY155" s="133"/>
      <c r="FYZ155" s="133"/>
      <c r="FZA155" s="133"/>
      <c r="FZB155" s="133"/>
      <c r="FZC155" s="133"/>
      <c r="FZD155" s="133"/>
      <c r="FZE155" s="133"/>
      <c r="FZF155" s="133"/>
      <c r="FZG155" s="133"/>
      <c r="FZH155" s="133"/>
      <c r="FZI155" s="133"/>
      <c r="FZJ155" s="133"/>
      <c r="FZK155" s="133"/>
      <c r="FZL155" s="133"/>
      <c r="FZM155" s="133"/>
      <c r="FZN155" s="133"/>
      <c r="FZO155" s="133"/>
      <c r="FZP155" s="133"/>
      <c r="FZQ155" s="133"/>
      <c r="FZR155" s="133"/>
      <c r="FZS155" s="133"/>
      <c r="FZT155" s="133"/>
      <c r="FZU155" s="133"/>
      <c r="FZV155" s="133"/>
      <c r="FZW155" s="133"/>
      <c r="FZX155" s="133"/>
      <c r="FZY155" s="133"/>
      <c r="FZZ155" s="133"/>
      <c r="GAA155" s="133"/>
      <c r="GAB155" s="133"/>
      <c r="GAC155" s="133"/>
      <c r="GAD155" s="133"/>
      <c r="GAE155" s="133"/>
      <c r="GAF155" s="133"/>
      <c r="GAG155" s="133"/>
      <c r="GAH155" s="133"/>
      <c r="GAI155" s="133"/>
      <c r="GAJ155" s="133"/>
      <c r="GAK155" s="133"/>
      <c r="GAL155" s="133"/>
      <c r="GAM155" s="133"/>
      <c r="GAN155" s="133"/>
      <c r="GAO155" s="133"/>
      <c r="GAP155" s="133"/>
      <c r="GAQ155" s="133"/>
      <c r="GAR155" s="133"/>
      <c r="GAS155" s="133"/>
      <c r="GAT155" s="133"/>
      <c r="GAU155" s="133"/>
      <c r="GAV155" s="133"/>
      <c r="GAW155" s="133"/>
      <c r="GAX155" s="133"/>
      <c r="GAY155" s="133"/>
      <c r="GAZ155" s="133"/>
      <c r="GBA155" s="133"/>
      <c r="GBB155" s="133"/>
      <c r="GBC155" s="133"/>
      <c r="GBD155" s="133"/>
      <c r="GBE155" s="133"/>
      <c r="GBF155" s="133"/>
      <c r="GBG155" s="133"/>
      <c r="GBH155" s="133"/>
      <c r="GBI155" s="133"/>
      <c r="GBJ155" s="133"/>
      <c r="GBK155" s="133"/>
      <c r="GBL155" s="133"/>
      <c r="GBM155" s="133"/>
      <c r="GBN155" s="133"/>
      <c r="GBO155" s="133"/>
      <c r="GBP155" s="133"/>
      <c r="GBQ155" s="133"/>
      <c r="GBR155" s="133"/>
      <c r="GBS155" s="133"/>
      <c r="GBT155" s="133"/>
      <c r="GBU155" s="133"/>
      <c r="GBV155" s="133"/>
      <c r="GBW155" s="133"/>
      <c r="GBX155" s="133"/>
      <c r="GBY155" s="133"/>
      <c r="GBZ155" s="133"/>
      <c r="GCA155" s="133"/>
      <c r="GCB155" s="133"/>
      <c r="GCC155" s="133"/>
      <c r="GCD155" s="133"/>
      <c r="GCE155" s="133"/>
      <c r="GCF155" s="133"/>
      <c r="GCG155" s="133"/>
      <c r="GCH155" s="133"/>
      <c r="GCI155" s="133"/>
      <c r="GCJ155" s="133"/>
      <c r="GCK155" s="133"/>
      <c r="GCL155" s="133"/>
      <c r="GCM155" s="133"/>
      <c r="GCN155" s="133"/>
      <c r="GCO155" s="133"/>
      <c r="GCP155" s="133"/>
      <c r="GCQ155" s="133"/>
      <c r="GCR155" s="133"/>
      <c r="GCS155" s="133"/>
      <c r="GCT155" s="133"/>
      <c r="GCU155" s="133"/>
      <c r="GCV155" s="133"/>
      <c r="GCW155" s="133"/>
      <c r="GCX155" s="133"/>
      <c r="GCY155" s="133"/>
      <c r="GCZ155" s="133"/>
      <c r="GDA155" s="133"/>
      <c r="GDB155" s="133"/>
      <c r="GDC155" s="133"/>
      <c r="GDD155" s="133"/>
      <c r="GDE155" s="133"/>
      <c r="GDF155" s="133"/>
      <c r="GDG155" s="133"/>
      <c r="GDH155" s="133"/>
      <c r="GDI155" s="133"/>
      <c r="GDJ155" s="133"/>
      <c r="GDK155" s="133"/>
      <c r="GDL155" s="133"/>
      <c r="GDM155" s="133"/>
      <c r="GDN155" s="133"/>
      <c r="GDO155" s="133"/>
      <c r="GDP155" s="133"/>
      <c r="GDQ155" s="133"/>
      <c r="GDR155" s="133"/>
      <c r="GDS155" s="133"/>
      <c r="GDT155" s="133"/>
      <c r="GDU155" s="133"/>
      <c r="GDV155" s="133"/>
      <c r="GDW155" s="133"/>
      <c r="GDX155" s="133"/>
      <c r="GDY155" s="133"/>
      <c r="GDZ155" s="133"/>
      <c r="GEA155" s="133"/>
      <c r="GEB155" s="133"/>
      <c r="GEC155" s="133"/>
      <c r="GED155" s="133"/>
      <c r="GEE155" s="133"/>
      <c r="GEF155" s="133"/>
      <c r="GEG155" s="133"/>
      <c r="GEH155" s="133"/>
      <c r="GEI155" s="133"/>
      <c r="GEJ155" s="133"/>
      <c r="GEK155" s="133"/>
      <c r="GEL155" s="133"/>
      <c r="GEM155" s="133"/>
      <c r="GEN155" s="133"/>
      <c r="GEO155" s="133"/>
      <c r="GEP155" s="133"/>
      <c r="GEQ155" s="133"/>
      <c r="GER155" s="133"/>
      <c r="GES155" s="133"/>
      <c r="GET155" s="133"/>
      <c r="GEU155" s="133"/>
      <c r="GEV155" s="133"/>
      <c r="GEW155" s="133"/>
      <c r="GEX155" s="133"/>
      <c r="GEY155" s="133"/>
      <c r="GEZ155" s="133"/>
      <c r="GFA155" s="133"/>
      <c r="GFB155" s="133"/>
      <c r="GFC155" s="133"/>
      <c r="GFD155" s="133"/>
      <c r="GFE155" s="133"/>
      <c r="GFF155" s="133"/>
      <c r="GFG155" s="133"/>
      <c r="GFH155" s="133"/>
      <c r="GFI155" s="133"/>
      <c r="GFJ155" s="133"/>
      <c r="GFK155" s="133"/>
      <c r="GFL155" s="133"/>
      <c r="GFM155" s="133"/>
      <c r="GFN155" s="133"/>
      <c r="GFO155" s="133"/>
      <c r="GFP155" s="133"/>
      <c r="GFQ155" s="133"/>
      <c r="GFR155" s="133"/>
      <c r="GFS155" s="133"/>
      <c r="GFT155" s="133"/>
      <c r="GFU155" s="133"/>
      <c r="GFV155" s="133"/>
      <c r="GFW155" s="133"/>
      <c r="GFX155" s="133"/>
      <c r="GFY155" s="133"/>
      <c r="GFZ155" s="133"/>
      <c r="GGA155" s="133"/>
      <c r="GGB155" s="133"/>
      <c r="GGC155" s="133"/>
      <c r="GGD155" s="133"/>
      <c r="GGE155" s="133"/>
      <c r="GGF155" s="133"/>
      <c r="GGG155" s="133"/>
      <c r="GGH155" s="133"/>
      <c r="GGI155" s="133"/>
      <c r="GGJ155" s="133"/>
      <c r="GGK155" s="133"/>
      <c r="GGL155" s="133"/>
      <c r="GGM155" s="133"/>
      <c r="GGN155" s="133"/>
      <c r="GGO155" s="133"/>
      <c r="GGP155" s="133"/>
      <c r="GGQ155" s="133"/>
      <c r="GGR155" s="133"/>
      <c r="GGS155" s="133"/>
      <c r="GGT155" s="133"/>
      <c r="GGU155" s="133"/>
      <c r="GGV155" s="133"/>
      <c r="GGW155" s="133"/>
      <c r="GGX155" s="133"/>
      <c r="GGY155" s="133"/>
      <c r="GGZ155" s="133"/>
      <c r="GHA155" s="133"/>
      <c r="GHB155" s="133"/>
      <c r="GHC155" s="133"/>
      <c r="GHD155" s="133"/>
      <c r="GHE155" s="133"/>
      <c r="GHF155" s="133"/>
      <c r="GHG155" s="133"/>
      <c r="GHH155" s="133"/>
      <c r="GHI155" s="133"/>
      <c r="GHJ155" s="133"/>
      <c r="GHK155" s="133"/>
      <c r="GHL155" s="133"/>
      <c r="GHM155" s="133"/>
      <c r="GHN155" s="133"/>
      <c r="GHO155" s="133"/>
      <c r="GHP155" s="133"/>
      <c r="GHQ155" s="133"/>
      <c r="GHR155" s="133"/>
      <c r="GHS155" s="133"/>
      <c r="GHT155" s="133"/>
      <c r="GHU155" s="133"/>
      <c r="GHV155" s="133"/>
      <c r="GHW155" s="133"/>
      <c r="GHX155" s="133"/>
      <c r="GHY155" s="133"/>
      <c r="GHZ155" s="133"/>
      <c r="GIA155" s="133"/>
      <c r="GIB155" s="133"/>
      <c r="GIC155" s="133"/>
      <c r="GID155" s="133"/>
      <c r="GIE155" s="133"/>
      <c r="GIF155" s="133"/>
      <c r="GIG155" s="133"/>
      <c r="GIH155" s="133"/>
      <c r="GII155" s="133"/>
      <c r="GIJ155" s="133"/>
      <c r="GIK155" s="133"/>
      <c r="GIL155" s="133"/>
      <c r="GIM155" s="133"/>
      <c r="GIN155" s="133"/>
      <c r="GIO155" s="133"/>
      <c r="GIP155" s="133"/>
      <c r="GIQ155" s="133"/>
      <c r="GIR155" s="133"/>
      <c r="GIS155" s="133"/>
      <c r="GIT155" s="133"/>
      <c r="GIU155" s="133"/>
      <c r="GIV155" s="133"/>
      <c r="GIW155" s="133"/>
      <c r="GIX155" s="133"/>
      <c r="GIY155" s="133"/>
      <c r="GIZ155" s="133"/>
      <c r="GJA155" s="133"/>
      <c r="GJB155" s="133"/>
      <c r="GJC155" s="133"/>
      <c r="GJD155" s="133"/>
      <c r="GJE155" s="133"/>
      <c r="GJF155" s="133"/>
      <c r="GJG155" s="133"/>
      <c r="GJH155" s="133"/>
      <c r="GJI155" s="133"/>
      <c r="GJJ155" s="133"/>
      <c r="GJK155" s="133"/>
      <c r="GJL155" s="133"/>
      <c r="GJM155" s="133"/>
      <c r="GJN155" s="133"/>
      <c r="GJO155" s="133"/>
      <c r="GJP155" s="133"/>
      <c r="GJQ155" s="133"/>
      <c r="GJR155" s="133"/>
      <c r="GJS155" s="133"/>
      <c r="GJT155" s="133"/>
      <c r="GJU155" s="133"/>
      <c r="GJV155" s="133"/>
      <c r="GJW155" s="133"/>
      <c r="GJX155" s="133"/>
      <c r="GJY155" s="133"/>
      <c r="GJZ155" s="133"/>
      <c r="GKA155" s="133"/>
      <c r="GKB155" s="133"/>
      <c r="GKC155" s="133"/>
      <c r="GKD155" s="133"/>
      <c r="GKE155" s="133"/>
      <c r="GKF155" s="133"/>
      <c r="GKG155" s="133"/>
      <c r="GKH155" s="133"/>
      <c r="GKI155" s="133"/>
      <c r="GKJ155" s="133"/>
      <c r="GKK155" s="133"/>
      <c r="GKL155" s="133"/>
      <c r="GKM155" s="133"/>
      <c r="GKN155" s="133"/>
      <c r="GKO155" s="133"/>
      <c r="GKP155" s="133"/>
      <c r="GKQ155" s="133"/>
      <c r="GKR155" s="133"/>
      <c r="GKS155" s="133"/>
      <c r="GKT155" s="133"/>
      <c r="GKU155" s="133"/>
      <c r="GKV155" s="133"/>
      <c r="GKW155" s="133"/>
      <c r="GKX155" s="133"/>
      <c r="GKY155" s="133"/>
      <c r="GKZ155" s="133"/>
      <c r="GLA155" s="133"/>
      <c r="GLB155" s="133"/>
      <c r="GLC155" s="133"/>
      <c r="GLD155" s="133"/>
      <c r="GLE155" s="133"/>
      <c r="GLF155" s="133"/>
      <c r="GLG155" s="133"/>
      <c r="GLH155" s="133"/>
      <c r="GLI155" s="133"/>
      <c r="GLJ155" s="133"/>
      <c r="GLK155" s="133"/>
      <c r="GLL155" s="133"/>
      <c r="GLM155" s="133"/>
      <c r="GLN155" s="133"/>
      <c r="GLO155" s="133"/>
      <c r="GLP155" s="133"/>
      <c r="GLQ155" s="133"/>
      <c r="GLR155" s="133"/>
      <c r="GLS155" s="133"/>
      <c r="GLT155" s="133"/>
      <c r="GLU155" s="133"/>
      <c r="GLV155" s="133"/>
      <c r="GLW155" s="133"/>
      <c r="GLX155" s="133"/>
      <c r="GLY155" s="133"/>
      <c r="GLZ155" s="133"/>
      <c r="GMA155" s="133"/>
      <c r="GMB155" s="133"/>
      <c r="GMC155" s="133"/>
      <c r="GMD155" s="133"/>
      <c r="GME155" s="133"/>
      <c r="GMF155" s="133"/>
      <c r="GMG155" s="133"/>
      <c r="GMH155" s="133"/>
      <c r="GMI155" s="133"/>
      <c r="GMJ155" s="133"/>
      <c r="GMK155" s="133"/>
      <c r="GML155" s="133"/>
      <c r="GMM155" s="133"/>
      <c r="GMN155" s="133"/>
      <c r="GMO155" s="133"/>
      <c r="GMP155" s="133"/>
      <c r="GMQ155" s="133"/>
      <c r="GMR155" s="133"/>
      <c r="GMS155" s="133"/>
      <c r="GMT155" s="133"/>
      <c r="GMU155" s="133"/>
      <c r="GMV155" s="133"/>
      <c r="GMW155" s="133"/>
      <c r="GMX155" s="133"/>
      <c r="GMY155" s="133"/>
      <c r="GMZ155" s="133"/>
      <c r="GNA155" s="133"/>
      <c r="GNB155" s="133"/>
      <c r="GNC155" s="133"/>
      <c r="GND155" s="133"/>
      <c r="GNE155" s="133"/>
      <c r="GNF155" s="133"/>
      <c r="GNG155" s="133"/>
      <c r="GNH155" s="133"/>
      <c r="GNI155" s="133"/>
      <c r="GNJ155" s="133"/>
      <c r="GNK155" s="133"/>
      <c r="GNL155" s="133"/>
      <c r="GNM155" s="133"/>
      <c r="GNN155" s="133"/>
      <c r="GNO155" s="133"/>
      <c r="GNP155" s="133"/>
      <c r="GNQ155" s="133"/>
      <c r="GNR155" s="133"/>
      <c r="GNS155" s="133"/>
      <c r="GNT155" s="133"/>
      <c r="GNU155" s="133"/>
      <c r="GNV155" s="133"/>
      <c r="GNW155" s="133"/>
      <c r="GNX155" s="133"/>
      <c r="GNY155" s="133"/>
      <c r="GNZ155" s="133"/>
      <c r="GOA155" s="133"/>
      <c r="GOB155" s="133"/>
      <c r="GOC155" s="133"/>
      <c r="GOD155" s="133"/>
      <c r="GOE155" s="133"/>
      <c r="GOF155" s="133"/>
      <c r="GOG155" s="133"/>
      <c r="GOH155" s="133"/>
      <c r="GOI155" s="133"/>
      <c r="GOJ155" s="133"/>
      <c r="GOK155" s="133"/>
      <c r="GOL155" s="133"/>
      <c r="GOM155" s="133"/>
      <c r="GON155" s="133"/>
      <c r="GOO155" s="133"/>
      <c r="GOP155" s="133"/>
      <c r="GOQ155" s="133"/>
      <c r="GOR155" s="133"/>
      <c r="GOS155" s="133"/>
      <c r="GOT155" s="133"/>
      <c r="GOU155" s="133"/>
      <c r="GOV155" s="133"/>
      <c r="GOW155" s="133"/>
      <c r="GOX155" s="133"/>
      <c r="GOY155" s="133"/>
      <c r="GOZ155" s="133"/>
      <c r="GPA155" s="133"/>
      <c r="GPB155" s="133"/>
      <c r="GPC155" s="133"/>
      <c r="GPD155" s="133"/>
      <c r="GPE155" s="133"/>
      <c r="GPF155" s="133"/>
      <c r="GPG155" s="133"/>
      <c r="GPH155" s="133"/>
      <c r="GPI155" s="133"/>
      <c r="GPJ155" s="133"/>
      <c r="GPK155" s="133"/>
      <c r="GPL155" s="133"/>
      <c r="GPM155" s="133"/>
      <c r="GPN155" s="133"/>
      <c r="GPO155" s="133"/>
      <c r="GPP155" s="133"/>
      <c r="GPQ155" s="133"/>
      <c r="GPR155" s="133"/>
      <c r="GPS155" s="133"/>
      <c r="GPT155" s="133"/>
      <c r="GPU155" s="133"/>
      <c r="GPV155" s="133"/>
      <c r="GPW155" s="133"/>
      <c r="GPX155" s="133"/>
      <c r="GPY155" s="133"/>
      <c r="GPZ155" s="133"/>
      <c r="GQA155" s="133"/>
      <c r="GQB155" s="133"/>
      <c r="GQC155" s="133"/>
      <c r="GQD155" s="133"/>
      <c r="GQE155" s="133"/>
      <c r="GQF155" s="133"/>
      <c r="GQG155" s="133"/>
      <c r="GQH155" s="133"/>
      <c r="GQI155" s="133"/>
      <c r="GQJ155" s="133"/>
      <c r="GQK155" s="133"/>
      <c r="GQL155" s="133"/>
      <c r="GQM155" s="133"/>
      <c r="GQN155" s="133"/>
      <c r="GQO155" s="133"/>
      <c r="GQP155" s="133"/>
      <c r="GQQ155" s="133"/>
      <c r="GQR155" s="133"/>
      <c r="GQS155" s="133"/>
      <c r="GQT155" s="133"/>
      <c r="GQU155" s="133"/>
      <c r="GQV155" s="133"/>
      <c r="GQW155" s="133"/>
      <c r="GQX155" s="133"/>
      <c r="GQY155" s="133"/>
      <c r="GQZ155" s="133"/>
      <c r="GRA155" s="133"/>
      <c r="GRB155" s="133"/>
      <c r="GRC155" s="133"/>
      <c r="GRD155" s="133"/>
      <c r="GRE155" s="133"/>
      <c r="GRF155" s="133"/>
      <c r="GRG155" s="133"/>
      <c r="GRH155" s="133"/>
      <c r="GRI155" s="133"/>
      <c r="GRJ155" s="133"/>
      <c r="GRK155" s="133"/>
      <c r="GRL155" s="133"/>
      <c r="GRM155" s="133"/>
      <c r="GRN155" s="133"/>
      <c r="GRO155" s="133"/>
      <c r="GRP155" s="133"/>
      <c r="GRQ155" s="133"/>
      <c r="GRR155" s="133"/>
      <c r="GRS155" s="133"/>
      <c r="GRT155" s="133"/>
      <c r="GRU155" s="133"/>
      <c r="GRV155" s="133"/>
      <c r="GRW155" s="133"/>
      <c r="GRX155" s="133"/>
      <c r="GRY155" s="133"/>
      <c r="GRZ155" s="133"/>
      <c r="GSA155" s="133"/>
      <c r="GSB155" s="133"/>
      <c r="GSC155" s="133"/>
      <c r="GSD155" s="133"/>
      <c r="GSE155" s="133"/>
      <c r="GSF155" s="133"/>
      <c r="GSG155" s="133"/>
      <c r="GSH155" s="133"/>
      <c r="GSI155" s="133"/>
      <c r="GSJ155" s="133"/>
      <c r="GSK155" s="133"/>
      <c r="GSL155" s="133"/>
      <c r="GSM155" s="133"/>
      <c r="GSN155" s="133"/>
      <c r="GSO155" s="133"/>
      <c r="GSP155" s="133"/>
      <c r="GSQ155" s="133"/>
      <c r="GSR155" s="133"/>
      <c r="GSS155" s="133"/>
      <c r="GST155" s="133"/>
      <c r="GSU155" s="133"/>
      <c r="GSV155" s="133"/>
      <c r="GSW155" s="133"/>
      <c r="GSX155" s="133"/>
      <c r="GSY155" s="133"/>
      <c r="GSZ155" s="133"/>
      <c r="GTA155" s="133"/>
      <c r="GTB155" s="133"/>
      <c r="GTC155" s="133"/>
      <c r="GTD155" s="133"/>
      <c r="GTE155" s="133"/>
      <c r="GTF155" s="133"/>
      <c r="GTG155" s="133"/>
      <c r="GTH155" s="133"/>
      <c r="GTI155" s="133"/>
      <c r="GTJ155" s="133"/>
      <c r="GTK155" s="133"/>
      <c r="GTL155" s="133"/>
      <c r="GTM155" s="133"/>
      <c r="GTN155" s="133"/>
      <c r="GTO155" s="133"/>
      <c r="GTP155" s="133"/>
      <c r="GTQ155" s="133"/>
      <c r="GTR155" s="133"/>
      <c r="GTS155" s="133"/>
      <c r="GTT155" s="133"/>
      <c r="GTU155" s="133"/>
      <c r="GTV155" s="133"/>
      <c r="GTW155" s="133"/>
      <c r="GTX155" s="133"/>
      <c r="GTY155" s="133"/>
      <c r="GTZ155" s="133"/>
      <c r="GUA155" s="133"/>
      <c r="GUB155" s="133"/>
      <c r="GUC155" s="133"/>
      <c r="GUD155" s="133"/>
      <c r="GUE155" s="133"/>
      <c r="GUF155" s="133"/>
      <c r="GUG155" s="133"/>
      <c r="GUH155" s="133"/>
      <c r="GUI155" s="133"/>
      <c r="GUJ155" s="133"/>
      <c r="GUK155" s="133"/>
      <c r="GUL155" s="133"/>
      <c r="GUM155" s="133"/>
      <c r="GUN155" s="133"/>
      <c r="GUO155" s="133"/>
      <c r="GUP155" s="133"/>
      <c r="GUQ155" s="133"/>
      <c r="GUR155" s="133"/>
      <c r="GUS155" s="133"/>
      <c r="GUT155" s="133"/>
      <c r="GUU155" s="133"/>
      <c r="GUV155" s="133"/>
      <c r="GUW155" s="133"/>
      <c r="GUX155" s="133"/>
      <c r="GUY155" s="133"/>
      <c r="GUZ155" s="133"/>
      <c r="GVA155" s="133"/>
      <c r="GVB155" s="133"/>
      <c r="GVC155" s="133"/>
      <c r="GVD155" s="133"/>
      <c r="GVE155" s="133"/>
      <c r="GVF155" s="133"/>
      <c r="GVG155" s="133"/>
      <c r="GVH155" s="133"/>
      <c r="GVI155" s="133"/>
      <c r="GVJ155" s="133"/>
      <c r="GVK155" s="133"/>
      <c r="GVL155" s="133"/>
      <c r="GVM155" s="133"/>
      <c r="GVN155" s="133"/>
      <c r="GVO155" s="133"/>
      <c r="GVP155" s="133"/>
      <c r="GVQ155" s="133"/>
      <c r="GVR155" s="133"/>
      <c r="GVS155" s="133"/>
      <c r="GVT155" s="133"/>
      <c r="GVU155" s="133"/>
      <c r="GVV155" s="133"/>
      <c r="GVW155" s="133"/>
      <c r="GVX155" s="133"/>
      <c r="GVY155" s="133"/>
      <c r="GVZ155" s="133"/>
      <c r="GWA155" s="133"/>
      <c r="GWB155" s="133"/>
      <c r="GWC155" s="133"/>
      <c r="GWD155" s="133"/>
      <c r="GWE155" s="133"/>
      <c r="GWF155" s="133"/>
      <c r="GWG155" s="133"/>
      <c r="GWH155" s="133"/>
      <c r="GWI155" s="133"/>
      <c r="GWJ155" s="133"/>
      <c r="GWK155" s="133"/>
      <c r="GWL155" s="133"/>
      <c r="GWM155" s="133"/>
      <c r="GWN155" s="133"/>
      <c r="GWO155" s="133"/>
      <c r="GWP155" s="133"/>
      <c r="GWQ155" s="133"/>
      <c r="GWR155" s="133"/>
      <c r="GWS155" s="133"/>
      <c r="GWT155" s="133"/>
      <c r="GWU155" s="133"/>
      <c r="GWV155" s="133"/>
      <c r="GWW155" s="133"/>
      <c r="GWX155" s="133"/>
      <c r="GWY155" s="133"/>
      <c r="GWZ155" s="133"/>
      <c r="GXA155" s="133"/>
      <c r="GXB155" s="133"/>
      <c r="GXC155" s="133"/>
      <c r="GXD155" s="133"/>
      <c r="GXE155" s="133"/>
      <c r="GXF155" s="133"/>
      <c r="GXG155" s="133"/>
      <c r="GXH155" s="133"/>
      <c r="GXI155" s="133"/>
      <c r="GXJ155" s="133"/>
      <c r="GXK155" s="133"/>
      <c r="GXL155" s="133"/>
      <c r="GXM155" s="133"/>
      <c r="GXN155" s="133"/>
      <c r="GXO155" s="133"/>
      <c r="GXP155" s="133"/>
      <c r="GXQ155" s="133"/>
      <c r="GXR155" s="133"/>
      <c r="GXS155" s="133"/>
      <c r="GXT155" s="133"/>
      <c r="GXU155" s="133"/>
      <c r="GXV155" s="133"/>
      <c r="GXW155" s="133"/>
      <c r="GXX155" s="133"/>
      <c r="GXY155" s="133"/>
      <c r="GXZ155" s="133"/>
      <c r="GYA155" s="133"/>
      <c r="GYB155" s="133"/>
      <c r="GYC155" s="133"/>
      <c r="GYD155" s="133"/>
      <c r="GYE155" s="133"/>
      <c r="GYF155" s="133"/>
      <c r="GYG155" s="133"/>
      <c r="GYH155" s="133"/>
      <c r="GYI155" s="133"/>
      <c r="GYJ155" s="133"/>
      <c r="GYK155" s="133"/>
      <c r="GYL155" s="133"/>
      <c r="GYM155" s="133"/>
      <c r="GYN155" s="133"/>
      <c r="GYO155" s="133"/>
      <c r="GYP155" s="133"/>
      <c r="GYQ155" s="133"/>
      <c r="GYR155" s="133"/>
      <c r="GYS155" s="133"/>
      <c r="GYT155" s="133"/>
      <c r="GYU155" s="133"/>
      <c r="GYV155" s="133"/>
      <c r="GYW155" s="133"/>
      <c r="GYX155" s="133"/>
      <c r="GYY155" s="133"/>
      <c r="GYZ155" s="133"/>
      <c r="GZA155" s="133"/>
      <c r="GZB155" s="133"/>
      <c r="GZC155" s="133"/>
      <c r="GZD155" s="133"/>
      <c r="GZE155" s="133"/>
      <c r="GZF155" s="133"/>
      <c r="GZG155" s="133"/>
      <c r="GZH155" s="133"/>
      <c r="GZI155" s="133"/>
      <c r="GZJ155" s="133"/>
      <c r="GZK155" s="133"/>
      <c r="GZL155" s="133"/>
      <c r="GZM155" s="133"/>
      <c r="GZN155" s="133"/>
      <c r="GZO155" s="133"/>
      <c r="GZP155" s="133"/>
      <c r="GZQ155" s="133"/>
      <c r="GZR155" s="133"/>
      <c r="GZS155" s="133"/>
      <c r="GZT155" s="133"/>
      <c r="GZU155" s="133"/>
      <c r="GZV155" s="133"/>
      <c r="GZW155" s="133"/>
      <c r="GZX155" s="133"/>
      <c r="GZY155" s="133"/>
      <c r="GZZ155" s="133"/>
      <c r="HAA155" s="133"/>
      <c r="HAB155" s="133"/>
      <c r="HAC155" s="133"/>
      <c r="HAD155" s="133"/>
      <c r="HAE155" s="133"/>
      <c r="HAF155" s="133"/>
      <c r="HAG155" s="133"/>
      <c r="HAH155" s="133"/>
      <c r="HAI155" s="133"/>
      <c r="HAJ155" s="133"/>
      <c r="HAK155" s="133"/>
      <c r="HAL155" s="133"/>
      <c r="HAM155" s="133"/>
      <c r="HAN155" s="133"/>
      <c r="HAO155" s="133"/>
      <c r="HAP155" s="133"/>
      <c r="HAQ155" s="133"/>
      <c r="HAR155" s="133"/>
      <c r="HAS155" s="133"/>
      <c r="HAT155" s="133"/>
      <c r="HAU155" s="133"/>
      <c r="HAV155" s="133"/>
      <c r="HAW155" s="133"/>
      <c r="HAX155" s="133"/>
      <c r="HAY155" s="133"/>
      <c r="HAZ155" s="133"/>
      <c r="HBA155" s="133"/>
      <c r="HBB155" s="133"/>
      <c r="HBC155" s="133"/>
      <c r="HBD155" s="133"/>
      <c r="HBE155" s="133"/>
      <c r="HBF155" s="133"/>
      <c r="HBG155" s="133"/>
      <c r="HBH155" s="133"/>
      <c r="HBI155" s="133"/>
      <c r="HBJ155" s="133"/>
      <c r="HBK155" s="133"/>
      <c r="HBL155" s="133"/>
      <c r="HBM155" s="133"/>
      <c r="HBN155" s="133"/>
      <c r="HBO155" s="133"/>
      <c r="HBP155" s="133"/>
      <c r="HBQ155" s="133"/>
      <c r="HBR155" s="133"/>
      <c r="HBS155" s="133"/>
      <c r="HBT155" s="133"/>
      <c r="HBU155" s="133"/>
      <c r="HBV155" s="133"/>
      <c r="HBW155" s="133"/>
      <c r="HBX155" s="133"/>
      <c r="HBY155" s="133"/>
      <c r="HBZ155" s="133"/>
      <c r="HCA155" s="133"/>
      <c r="HCB155" s="133"/>
      <c r="HCC155" s="133"/>
      <c r="HCD155" s="133"/>
      <c r="HCE155" s="133"/>
      <c r="HCF155" s="133"/>
      <c r="HCG155" s="133"/>
      <c r="HCH155" s="133"/>
      <c r="HCI155" s="133"/>
      <c r="HCJ155" s="133"/>
      <c r="HCK155" s="133"/>
      <c r="HCL155" s="133"/>
      <c r="HCM155" s="133"/>
      <c r="HCN155" s="133"/>
      <c r="HCO155" s="133"/>
      <c r="HCP155" s="133"/>
      <c r="HCQ155" s="133"/>
      <c r="HCR155" s="133"/>
      <c r="HCS155" s="133"/>
      <c r="HCT155" s="133"/>
      <c r="HCU155" s="133"/>
      <c r="HCV155" s="133"/>
      <c r="HCW155" s="133"/>
      <c r="HCX155" s="133"/>
      <c r="HCY155" s="133"/>
      <c r="HCZ155" s="133"/>
      <c r="HDA155" s="133"/>
      <c r="HDB155" s="133"/>
      <c r="HDC155" s="133"/>
      <c r="HDD155" s="133"/>
      <c r="HDE155" s="133"/>
      <c r="HDF155" s="133"/>
      <c r="HDG155" s="133"/>
      <c r="HDH155" s="133"/>
      <c r="HDI155" s="133"/>
      <c r="HDJ155" s="133"/>
      <c r="HDK155" s="133"/>
      <c r="HDL155" s="133"/>
      <c r="HDM155" s="133"/>
      <c r="HDN155" s="133"/>
      <c r="HDO155" s="133"/>
      <c r="HDP155" s="133"/>
      <c r="HDQ155" s="133"/>
      <c r="HDR155" s="133"/>
      <c r="HDS155" s="133"/>
      <c r="HDT155" s="133"/>
      <c r="HDU155" s="133"/>
      <c r="HDV155" s="133"/>
      <c r="HDW155" s="133"/>
      <c r="HDX155" s="133"/>
      <c r="HDY155" s="133"/>
      <c r="HDZ155" s="133"/>
      <c r="HEA155" s="133"/>
      <c r="HEB155" s="133"/>
      <c r="HEC155" s="133"/>
      <c r="HED155" s="133"/>
      <c r="HEE155" s="133"/>
      <c r="HEF155" s="133"/>
      <c r="HEG155" s="133"/>
      <c r="HEH155" s="133"/>
      <c r="HEI155" s="133"/>
      <c r="HEJ155" s="133"/>
      <c r="HEK155" s="133"/>
      <c r="HEL155" s="133"/>
      <c r="HEM155" s="133"/>
      <c r="HEN155" s="133"/>
      <c r="HEO155" s="133"/>
      <c r="HEP155" s="133"/>
      <c r="HEQ155" s="133"/>
      <c r="HER155" s="133"/>
      <c r="HES155" s="133"/>
      <c r="HET155" s="133"/>
      <c r="HEU155" s="133"/>
      <c r="HEV155" s="133"/>
      <c r="HEW155" s="133"/>
      <c r="HEX155" s="133"/>
      <c r="HEY155" s="133"/>
      <c r="HEZ155" s="133"/>
      <c r="HFA155" s="133"/>
      <c r="HFB155" s="133"/>
      <c r="HFC155" s="133"/>
      <c r="HFD155" s="133"/>
      <c r="HFE155" s="133"/>
      <c r="HFF155" s="133"/>
      <c r="HFG155" s="133"/>
      <c r="HFH155" s="133"/>
      <c r="HFI155" s="133"/>
      <c r="HFJ155" s="133"/>
      <c r="HFK155" s="133"/>
      <c r="HFL155" s="133"/>
      <c r="HFM155" s="133"/>
      <c r="HFN155" s="133"/>
      <c r="HFO155" s="133"/>
      <c r="HFP155" s="133"/>
      <c r="HFQ155" s="133"/>
      <c r="HFR155" s="133"/>
      <c r="HFS155" s="133"/>
      <c r="HFT155" s="133"/>
      <c r="HFU155" s="133"/>
      <c r="HFV155" s="133"/>
      <c r="HFW155" s="133"/>
      <c r="HFX155" s="133"/>
      <c r="HFY155" s="133"/>
      <c r="HFZ155" s="133"/>
      <c r="HGA155" s="133"/>
      <c r="HGB155" s="133"/>
      <c r="HGC155" s="133"/>
      <c r="HGD155" s="133"/>
      <c r="HGE155" s="133"/>
      <c r="HGF155" s="133"/>
      <c r="HGG155" s="133"/>
      <c r="HGH155" s="133"/>
      <c r="HGI155" s="133"/>
      <c r="HGJ155" s="133"/>
      <c r="HGK155" s="133"/>
      <c r="HGL155" s="133"/>
      <c r="HGM155" s="133"/>
      <c r="HGN155" s="133"/>
      <c r="HGO155" s="133"/>
      <c r="HGP155" s="133"/>
      <c r="HGQ155" s="133"/>
      <c r="HGR155" s="133"/>
      <c r="HGS155" s="133"/>
      <c r="HGT155" s="133"/>
      <c r="HGU155" s="133"/>
      <c r="HGV155" s="133"/>
      <c r="HGW155" s="133"/>
      <c r="HGX155" s="133"/>
      <c r="HGY155" s="133"/>
      <c r="HGZ155" s="133"/>
      <c r="HHA155" s="133"/>
      <c r="HHB155" s="133"/>
      <c r="HHC155" s="133"/>
      <c r="HHD155" s="133"/>
      <c r="HHE155" s="133"/>
      <c r="HHF155" s="133"/>
      <c r="HHG155" s="133"/>
      <c r="HHH155" s="133"/>
      <c r="HHI155" s="133"/>
      <c r="HHJ155" s="133"/>
      <c r="HHK155" s="133"/>
      <c r="HHL155" s="133"/>
      <c r="HHM155" s="133"/>
      <c r="HHN155" s="133"/>
      <c r="HHO155" s="133"/>
      <c r="HHP155" s="133"/>
      <c r="HHQ155" s="133"/>
      <c r="HHR155" s="133"/>
      <c r="HHS155" s="133"/>
      <c r="HHT155" s="133"/>
      <c r="HHU155" s="133"/>
      <c r="HHV155" s="133"/>
      <c r="HHW155" s="133"/>
      <c r="HHX155" s="133"/>
      <c r="HHY155" s="133"/>
      <c r="HHZ155" s="133"/>
      <c r="HIA155" s="133"/>
      <c r="HIB155" s="133"/>
      <c r="HIC155" s="133"/>
      <c r="HID155" s="133"/>
      <c r="HIE155" s="133"/>
      <c r="HIF155" s="133"/>
      <c r="HIG155" s="133"/>
      <c r="HIH155" s="133"/>
      <c r="HII155" s="133"/>
      <c r="HIJ155" s="133"/>
      <c r="HIK155" s="133"/>
      <c r="HIL155" s="133"/>
      <c r="HIM155" s="133"/>
      <c r="HIN155" s="133"/>
      <c r="HIO155" s="133"/>
      <c r="HIP155" s="133"/>
      <c r="HIQ155" s="133"/>
      <c r="HIR155" s="133"/>
      <c r="HIS155" s="133"/>
      <c r="HIT155" s="133"/>
      <c r="HIU155" s="133"/>
      <c r="HIV155" s="133"/>
      <c r="HIW155" s="133"/>
      <c r="HIX155" s="133"/>
      <c r="HIY155" s="133"/>
      <c r="HIZ155" s="133"/>
      <c r="HJA155" s="133"/>
      <c r="HJB155" s="133"/>
      <c r="HJC155" s="133"/>
      <c r="HJD155" s="133"/>
      <c r="HJE155" s="133"/>
      <c r="HJF155" s="133"/>
      <c r="HJG155" s="133"/>
      <c r="HJH155" s="133"/>
      <c r="HJI155" s="133"/>
      <c r="HJJ155" s="133"/>
      <c r="HJK155" s="133"/>
      <c r="HJL155" s="133"/>
      <c r="HJM155" s="133"/>
      <c r="HJN155" s="133"/>
      <c r="HJO155" s="133"/>
      <c r="HJP155" s="133"/>
      <c r="HJQ155" s="133"/>
      <c r="HJR155" s="133"/>
      <c r="HJS155" s="133"/>
      <c r="HJT155" s="133"/>
      <c r="HJU155" s="133"/>
      <c r="HJV155" s="133"/>
      <c r="HJW155" s="133"/>
      <c r="HJX155" s="133"/>
      <c r="HJY155" s="133"/>
      <c r="HJZ155" s="133"/>
      <c r="HKA155" s="133"/>
      <c r="HKB155" s="133"/>
      <c r="HKC155" s="133"/>
      <c r="HKD155" s="133"/>
      <c r="HKE155" s="133"/>
      <c r="HKF155" s="133"/>
      <c r="HKG155" s="133"/>
      <c r="HKH155" s="133"/>
      <c r="HKI155" s="133"/>
      <c r="HKJ155" s="133"/>
      <c r="HKK155" s="133"/>
      <c r="HKL155" s="133"/>
      <c r="HKM155" s="133"/>
      <c r="HKN155" s="133"/>
      <c r="HKO155" s="133"/>
      <c r="HKP155" s="133"/>
      <c r="HKQ155" s="133"/>
      <c r="HKR155" s="133"/>
      <c r="HKS155" s="133"/>
      <c r="HKT155" s="133"/>
      <c r="HKU155" s="133"/>
      <c r="HKV155" s="133"/>
      <c r="HKW155" s="133"/>
      <c r="HKX155" s="133"/>
      <c r="HKY155" s="133"/>
      <c r="HKZ155" s="133"/>
      <c r="HLA155" s="133"/>
      <c r="HLB155" s="133"/>
      <c r="HLC155" s="133"/>
      <c r="HLD155" s="133"/>
      <c r="HLE155" s="133"/>
      <c r="HLF155" s="133"/>
      <c r="HLG155" s="133"/>
      <c r="HLH155" s="133"/>
      <c r="HLI155" s="133"/>
      <c r="HLJ155" s="133"/>
      <c r="HLK155" s="133"/>
      <c r="HLL155" s="133"/>
      <c r="HLM155" s="133"/>
      <c r="HLN155" s="133"/>
      <c r="HLO155" s="133"/>
      <c r="HLP155" s="133"/>
      <c r="HLQ155" s="133"/>
      <c r="HLR155" s="133"/>
      <c r="HLS155" s="133"/>
      <c r="HLT155" s="133"/>
      <c r="HLU155" s="133"/>
      <c r="HLV155" s="133"/>
      <c r="HLW155" s="133"/>
      <c r="HLX155" s="133"/>
      <c r="HLY155" s="133"/>
      <c r="HLZ155" s="133"/>
      <c r="HMA155" s="133"/>
      <c r="HMB155" s="133"/>
      <c r="HMC155" s="133"/>
      <c r="HMD155" s="133"/>
      <c r="HME155" s="133"/>
      <c r="HMF155" s="133"/>
      <c r="HMG155" s="133"/>
      <c r="HMH155" s="133"/>
      <c r="HMI155" s="133"/>
      <c r="HMJ155" s="133"/>
      <c r="HMK155" s="133"/>
      <c r="HML155" s="133"/>
      <c r="HMM155" s="133"/>
      <c r="HMN155" s="133"/>
      <c r="HMO155" s="133"/>
      <c r="HMP155" s="133"/>
      <c r="HMQ155" s="133"/>
      <c r="HMR155" s="133"/>
      <c r="HMS155" s="133"/>
      <c r="HMT155" s="133"/>
      <c r="HMU155" s="133"/>
      <c r="HMV155" s="133"/>
      <c r="HMW155" s="133"/>
      <c r="HMX155" s="133"/>
      <c r="HMY155" s="133"/>
      <c r="HMZ155" s="133"/>
      <c r="HNA155" s="133"/>
      <c r="HNB155" s="133"/>
      <c r="HNC155" s="133"/>
      <c r="HND155" s="133"/>
      <c r="HNE155" s="133"/>
      <c r="HNF155" s="133"/>
      <c r="HNG155" s="133"/>
      <c r="HNH155" s="133"/>
      <c r="HNI155" s="133"/>
      <c r="HNJ155" s="133"/>
      <c r="HNK155" s="133"/>
      <c r="HNL155" s="133"/>
      <c r="HNM155" s="133"/>
      <c r="HNN155" s="133"/>
      <c r="HNO155" s="133"/>
      <c r="HNP155" s="133"/>
      <c r="HNQ155" s="133"/>
      <c r="HNR155" s="133"/>
      <c r="HNS155" s="133"/>
      <c r="HNT155" s="133"/>
      <c r="HNU155" s="133"/>
      <c r="HNV155" s="133"/>
      <c r="HNW155" s="133"/>
      <c r="HNX155" s="133"/>
      <c r="HNY155" s="133"/>
      <c r="HNZ155" s="133"/>
      <c r="HOA155" s="133"/>
      <c r="HOB155" s="133"/>
      <c r="HOC155" s="133"/>
      <c r="HOD155" s="133"/>
      <c r="HOE155" s="133"/>
      <c r="HOF155" s="133"/>
      <c r="HOG155" s="133"/>
      <c r="HOH155" s="133"/>
      <c r="HOI155" s="133"/>
      <c r="HOJ155" s="133"/>
      <c r="HOK155" s="133"/>
      <c r="HOL155" s="133"/>
      <c r="HOM155" s="133"/>
      <c r="HON155" s="133"/>
      <c r="HOO155" s="133"/>
      <c r="HOP155" s="133"/>
      <c r="HOQ155" s="133"/>
      <c r="HOR155" s="133"/>
      <c r="HOS155" s="133"/>
      <c r="HOT155" s="133"/>
      <c r="HOU155" s="133"/>
      <c r="HOV155" s="133"/>
      <c r="HOW155" s="133"/>
      <c r="HOX155" s="133"/>
      <c r="HOY155" s="133"/>
      <c r="HOZ155" s="133"/>
      <c r="HPA155" s="133"/>
      <c r="HPB155" s="133"/>
      <c r="HPC155" s="133"/>
      <c r="HPD155" s="133"/>
      <c r="HPE155" s="133"/>
      <c r="HPF155" s="133"/>
      <c r="HPG155" s="133"/>
      <c r="HPH155" s="133"/>
      <c r="HPI155" s="133"/>
      <c r="HPJ155" s="133"/>
      <c r="HPK155" s="133"/>
      <c r="HPL155" s="133"/>
      <c r="HPM155" s="133"/>
      <c r="HPN155" s="133"/>
      <c r="HPO155" s="133"/>
      <c r="HPP155" s="133"/>
      <c r="HPQ155" s="133"/>
      <c r="HPR155" s="133"/>
      <c r="HPS155" s="133"/>
      <c r="HPT155" s="133"/>
      <c r="HPU155" s="133"/>
      <c r="HPV155" s="133"/>
      <c r="HPW155" s="133"/>
      <c r="HPX155" s="133"/>
      <c r="HPY155" s="133"/>
      <c r="HPZ155" s="133"/>
      <c r="HQA155" s="133"/>
      <c r="HQB155" s="133"/>
      <c r="HQC155" s="133"/>
      <c r="HQD155" s="133"/>
      <c r="HQE155" s="133"/>
      <c r="HQF155" s="133"/>
      <c r="HQG155" s="133"/>
      <c r="HQH155" s="133"/>
      <c r="HQI155" s="133"/>
      <c r="HQJ155" s="133"/>
      <c r="HQK155" s="133"/>
      <c r="HQL155" s="133"/>
      <c r="HQM155" s="133"/>
      <c r="HQN155" s="133"/>
      <c r="HQO155" s="133"/>
      <c r="HQP155" s="133"/>
      <c r="HQQ155" s="133"/>
      <c r="HQR155" s="133"/>
      <c r="HQS155" s="133"/>
      <c r="HQT155" s="133"/>
      <c r="HQU155" s="133"/>
      <c r="HQV155" s="133"/>
      <c r="HQW155" s="133"/>
      <c r="HQX155" s="133"/>
      <c r="HQY155" s="133"/>
      <c r="HQZ155" s="133"/>
      <c r="HRA155" s="133"/>
      <c r="HRB155" s="133"/>
      <c r="HRC155" s="133"/>
      <c r="HRD155" s="133"/>
      <c r="HRE155" s="133"/>
      <c r="HRF155" s="133"/>
      <c r="HRG155" s="133"/>
      <c r="HRH155" s="133"/>
      <c r="HRI155" s="133"/>
      <c r="HRJ155" s="133"/>
      <c r="HRK155" s="133"/>
      <c r="HRL155" s="133"/>
      <c r="HRM155" s="133"/>
      <c r="HRN155" s="133"/>
      <c r="HRO155" s="133"/>
      <c r="HRP155" s="133"/>
      <c r="HRQ155" s="133"/>
      <c r="HRR155" s="133"/>
      <c r="HRS155" s="133"/>
      <c r="HRT155" s="133"/>
      <c r="HRU155" s="133"/>
      <c r="HRV155" s="133"/>
      <c r="HRW155" s="133"/>
      <c r="HRX155" s="133"/>
      <c r="HRY155" s="133"/>
      <c r="HRZ155" s="133"/>
      <c r="HSA155" s="133"/>
      <c r="HSB155" s="133"/>
      <c r="HSC155" s="133"/>
      <c r="HSD155" s="133"/>
      <c r="HSE155" s="133"/>
      <c r="HSF155" s="133"/>
      <c r="HSG155" s="133"/>
      <c r="HSH155" s="133"/>
      <c r="HSI155" s="133"/>
      <c r="HSJ155" s="133"/>
      <c r="HSK155" s="133"/>
      <c r="HSL155" s="133"/>
      <c r="HSM155" s="133"/>
      <c r="HSN155" s="133"/>
      <c r="HSO155" s="133"/>
      <c r="HSP155" s="133"/>
      <c r="HSQ155" s="133"/>
      <c r="HSR155" s="133"/>
      <c r="HSS155" s="133"/>
      <c r="HST155" s="133"/>
      <c r="HSU155" s="133"/>
      <c r="HSV155" s="133"/>
      <c r="HSW155" s="133"/>
      <c r="HSX155" s="133"/>
      <c r="HSY155" s="133"/>
      <c r="HSZ155" s="133"/>
      <c r="HTA155" s="133"/>
      <c r="HTB155" s="133"/>
      <c r="HTC155" s="133"/>
      <c r="HTD155" s="133"/>
      <c r="HTE155" s="133"/>
      <c r="HTF155" s="133"/>
      <c r="HTG155" s="133"/>
      <c r="HTH155" s="133"/>
      <c r="HTI155" s="133"/>
      <c r="HTJ155" s="133"/>
      <c r="HTK155" s="133"/>
      <c r="HTL155" s="133"/>
      <c r="HTM155" s="133"/>
      <c r="HTN155" s="133"/>
      <c r="HTO155" s="133"/>
      <c r="HTP155" s="133"/>
      <c r="HTQ155" s="133"/>
      <c r="HTR155" s="133"/>
      <c r="HTS155" s="133"/>
      <c r="HTT155" s="133"/>
      <c r="HTU155" s="133"/>
      <c r="HTV155" s="133"/>
      <c r="HTW155" s="133"/>
      <c r="HTX155" s="133"/>
      <c r="HTY155" s="133"/>
      <c r="HTZ155" s="133"/>
      <c r="HUA155" s="133"/>
      <c r="HUB155" s="133"/>
      <c r="HUC155" s="133"/>
      <c r="HUD155" s="133"/>
      <c r="HUE155" s="133"/>
      <c r="HUF155" s="133"/>
      <c r="HUG155" s="133"/>
      <c r="HUH155" s="133"/>
      <c r="HUI155" s="133"/>
      <c r="HUJ155" s="133"/>
      <c r="HUK155" s="133"/>
      <c r="HUL155" s="133"/>
      <c r="HUM155" s="133"/>
      <c r="HUN155" s="133"/>
      <c r="HUO155" s="133"/>
      <c r="HUP155" s="133"/>
      <c r="HUQ155" s="133"/>
      <c r="HUR155" s="133"/>
      <c r="HUS155" s="133"/>
      <c r="HUT155" s="133"/>
      <c r="HUU155" s="133"/>
      <c r="HUV155" s="133"/>
      <c r="HUW155" s="133"/>
      <c r="HUX155" s="133"/>
      <c r="HUY155" s="133"/>
      <c r="HUZ155" s="133"/>
      <c r="HVA155" s="133"/>
      <c r="HVB155" s="133"/>
      <c r="HVC155" s="133"/>
      <c r="HVD155" s="133"/>
      <c r="HVE155" s="133"/>
      <c r="HVF155" s="133"/>
      <c r="HVG155" s="133"/>
      <c r="HVH155" s="133"/>
      <c r="HVI155" s="133"/>
      <c r="HVJ155" s="133"/>
      <c r="HVK155" s="133"/>
      <c r="HVL155" s="133"/>
      <c r="HVM155" s="133"/>
      <c r="HVN155" s="133"/>
      <c r="HVO155" s="133"/>
      <c r="HVP155" s="133"/>
      <c r="HVQ155" s="133"/>
      <c r="HVR155" s="133"/>
      <c r="HVS155" s="133"/>
      <c r="HVT155" s="133"/>
      <c r="HVU155" s="133"/>
      <c r="HVV155" s="133"/>
      <c r="HVW155" s="133"/>
      <c r="HVX155" s="133"/>
      <c r="HVY155" s="133"/>
      <c r="HVZ155" s="133"/>
      <c r="HWA155" s="133"/>
      <c r="HWB155" s="133"/>
      <c r="HWC155" s="133"/>
      <c r="HWD155" s="133"/>
      <c r="HWE155" s="133"/>
      <c r="HWF155" s="133"/>
      <c r="HWG155" s="133"/>
      <c r="HWH155" s="133"/>
      <c r="HWI155" s="133"/>
      <c r="HWJ155" s="133"/>
      <c r="HWK155" s="133"/>
      <c r="HWL155" s="133"/>
      <c r="HWM155" s="133"/>
      <c r="HWN155" s="133"/>
      <c r="HWO155" s="133"/>
      <c r="HWP155" s="133"/>
      <c r="HWQ155" s="133"/>
      <c r="HWR155" s="133"/>
      <c r="HWS155" s="133"/>
      <c r="HWT155" s="133"/>
      <c r="HWU155" s="133"/>
      <c r="HWV155" s="133"/>
      <c r="HWW155" s="133"/>
      <c r="HWX155" s="133"/>
      <c r="HWY155" s="133"/>
      <c r="HWZ155" s="133"/>
      <c r="HXA155" s="133"/>
      <c r="HXB155" s="133"/>
      <c r="HXC155" s="133"/>
      <c r="HXD155" s="133"/>
      <c r="HXE155" s="133"/>
      <c r="HXF155" s="133"/>
      <c r="HXG155" s="133"/>
      <c r="HXH155" s="133"/>
      <c r="HXI155" s="133"/>
      <c r="HXJ155" s="133"/>
      <c r="HXK155" s="133"/>
      <c r="HXL155" s="133"/>
      <c r="HXM155" s="133"/>
      <c r="HXN155" s="133"/>
      <c r="HXO155" s="133"/>
      <c r="HXP155" s="133"/>
      <c r="HXQ155" s="133"/>
      <c r="HXR155" s="133"/>
      <c r="HXS155" s="133"/>
      <c r="HXT155" s="133"/>
      <c r="HXU155" s="133"/>
      <c r="HXV155" s="133"/>
      <c r="HXW155" s="133"/>
      <c r="HXX155" s="133"/>
      <c r="HXY155" s="133"/>
      <c r="HXZ155" s="133"/>
      <c r="HYA155" s="133"/>
      <c r="HYB155" s="133"/>
      <c r="HYC155" s="133"/>
      <c r="HYD155" s="133"/>
      <c r="HYE155" s="133"/>
      <c r="HYF155" s="133"/>
      <c r="HYG155" s="133"/>
      <c r="HYH155" s="133"/>
      <c r="HYI155" s="133"/>
      <c r="HYJ155" s="133"/>
      <c r="HYK155" s="133"/>
      <c r="HYL155" s="133"/>
      <c r="HYM155" s="133"/>
      <c r="HYN155" s="133"/>
      <c r="HYO155" s="133"/>
      <c r="HYP155" s="133"/>
      <c r="HYQ155" s="133"/>
      <c r="HYR155" s="133"/>
      <c r="HYS155" s="133"/>
      <c r="HYT155" s="133"/>
      <c r="HYU155" s="133"/>
      <c r="HYV155" s="133"/>
      <c r="HYW155" s="133"/>
      <c r="HYX155" s="133"/>
      <c r="HYY155" s="133"/>
      <c r="HYZ155" s="133"/>
      <c r="HZA155" s="133"/>
      <c r="HZB155" s="133"/>
      <c r="HZC155" s="133"/>
      <c r="HZD155" s="133"/>
      <c r="HZE155" s="133"/>
      <c r="HZF155" s="133"/>
      <c r="HZG155" s="133"/>
      <c r="HZH155" s="133"/>
      <c r="HZI155" s="133"/>
      <c r="HZJ155" s="133"/>
      <c r="HZK155" s="133"/>
      <c r="HZL155" s="133"/>
      <c r="HZM155" s="133"/>
      <c r="HZN155" s="133"/>
      <c r="HZO155" s="133"/>
      <c r="HZP155" s="133"/>
      <c r="HZQ155" s="133"/>
      <c r="HZR155" s="133"/>
      <c r="HZS155" s="133"/>
      <c r="HZT155" s="133"/>
      <c r="HZU155" s="133"/>
      <c r="HZV155" s="133"/>
      <c r="HZW155" s="133"/>
      <c r="HZX155" s="133"/>
      <c r="HZY155" s="133"/>
      <c r="HZZ155" s="133"/>
      <c r="IAA155" s="133"/>
      <c r="IAB155" s="133"/>
      <c r="IAC155" s="133"/>
      <c r="IAD155" s="133"/>
      <c r="IAE155" s="133"/>
      <c r="IAF155" s="133"/>
      <c r="IAG155" s="133"/>
      <c r="IAH155" s="133"/>
      <c r="IAI155" s="133"/>
      <c r="IAJ155" s="133"/>
      <c r="IAK155" s="133"/>
      <c r="IAL155" s="133"/>
      <c r="IAM155" s="133"/>
      <c r="IAN155" s="133"/>
      <c r="IAO155" s="133"/>
      <c r="IAP155" s="133"/>
      <c r="IAQ155" s="133"/>
      <c r="IAR155" s="133"/>
      <c r="IAS155" s="133"/>
      <c r="IAT155" s="133"/>
      <c r="IAU155" s="133"/>
      <c r="IAV155" s="133"/>
      <c r="IAW155" s="133"/>
      <c r="IAX155" s="133"/>
      <c r="IAY155" s="133"/>
      <c r="IAZ155" s="133"/>
      <c r="IBA155" s="133"/>
      <c r="IBB155" s="133"/>
      <c r="IBC155" s="133"/>
      <c r="IBD155" s="133"/>
      <c r="IBE155" s="133"/>
      <c r="IBF155" s="133"/>
      <c r="IBG155" s="133"/>
      <c r="IBH155" s="133"/>
      <c r="IBI155" s="133"/>
      <c r="IBJ155" s="133"/>
      <c r="IBK155" s="133"/>
      <c r="IBL155" s="133"/>
      <c r="IBM155" s="133"/>
      <c r="IBN155" s="133"/>
      <c r="IBO155" s="133"/>
      <c r="IBP155" s="133"/>
      <c r="IBQ155" s="133"/>
      <c r="IBR155" s="133"/>
      <c r="IBS155" s="133"/>
      <c r="IBT155" s="133"/>
      <c r="IBU155" s="133"/>
      <c r="IBV155" s="133"/>
      <c r="IBW155" s="133"/>
      <c r="IBX155" s="133"/>
      <c r="IBY155" s="133"/>
      <c r="IBZ155" s="133"/>
      <c r="ICA155" s="133"/>
      <c r="ICB155" s="133"/>
      <c r="ICC155" s="133"/>
      <c r="ICD155" s="133"/>
      <c r="ICE155" s="133"/>
      <c r="ICF155" s="133"/>
      <c r="ICG155" s="133"/>
      <c r="ICH155" s="133"/>
      <c r="ICI155" s="133"/>
      <c r="ICJ155" s="133"/>
      <c r="ICK155" s="133"/>
      <c r="ICL155" s="133"/>
      <c r="ICM155" s="133"/>
      <c r="ICN155" s="133"/>
      <c r="ICO155" s="133"/>
      <c r="ICP155" s="133"/>
      <c r="ICQ155" s="133"/>
      <c r="ICR155" s="133"/>
      <c r="ICS155" s="133"/>
      <c r="ICT155" s="133"/>
      <c r="ICU155" s="133"/>
      <c r="ICV155" s="133"/>
      <c r="ICW155" s="133"/>
      <c r="ICX155" s="133"/>
      <c r="ICY155" s="133"/>
      <c r="ICZ155" s="133"/>
      <c r="IDA155" s="133"/>
      <c r="IDB155" s="133"/>
      <c r="IDC155" s="133"/>
      <c r="IDD155" s="133"/>
      <c r="IDE155" s="133"/>
      <c r="IDF155" s="133"/>
      <c r="IDG155" s="133"/>
      <c r="IDH155" s="133"/>
      <c r="IDI155" s="133"/>
      <c r="IDJ155" s="133"/>
      <c r="IDK155" s="133"/>
      <c r="IDL155" s="133"/>
      <c r="IDM155" s="133"/>
      <c r="IDN155" s="133"/>
      <c r="IDO155" s="133"/>
      <c r="IDP155" s="133"/>
      <c r="IDQ155" s="133"/>
      <c r="IDR155" s="133"/>
      <c r="IDS155" s="133"/>
      <c r="IDT155" s="133"/>
      <c r="IDU155" s="133"/>
      <c r="IDV155" s="133"/>
      <c r="IDW155" s="133"/>
      <c r="IDX155" s="133"/>
      <c r="IDY155" s="133"/>
      <c r="IDZ155" s="133"/>
      <c r="IEA155" s="133"/>
      <c r="IEB155" s="133"/>
      <c r="IEC155" s="133"/>
      <c r="IED155" s="133"/>
      <c r="IEE155" s="133"/>
      <c r="IEF155" s="133"/>
      <c r="IEG155" s="133"/>
      <c r="IEH155" s="133"/>
      <c r="IEI155" s="133"/>
      <c r="IEJ155" s="133"/>
      <c r="IEK155" s="133"/>
      <c r="IEL155" s="133"/>
      <c r="IEM155" s="133"/>
      <c r="IEN155" s="133"/>
      <c r="IEO155" s="133"/>
      <c r="IEP155" s="133"/>
      <c r="IEQ155" s="133"/>
      <c r="IER155" s="133"/>
      <c r="IES155" s="133"/>
      <c r="IET155" s="133"/>
      <c r="IEU155" s="133"/>
      <c r="IEV155" s="133"/>
      <c r="IEW155" s="133"/>
      <c r="IEX155" s="133"/>
      <c r="IEY155" s="133"/>
      <c r="IEZ155" s="133"/>
      <c r="IFA155" s="133"/>
      <c r="IFB155" s="133"/>
      <c r="IFC155" s="133"/>
      <c r="IFD155" s="133"/>
      <c r="IFE155" s="133"/>
      <c r="IFF155" s="133"/>
      <c r="IFG155" s="133"/>
      <c r="IFH155" s="133"/>
      <c r="IFI155" s="133"/>
      <c r="IFJ155" s="133"/>
      <c r="IFK155" s="133"/>
      <c r="IFL155" s="133"/>
      <c r="IFM155" s="133"/>
      <c r="IFN155" s="133"/>
      <c r="IFO155" s="133"/>
      <c r="IFP155" s="133"/>
      <c r="IFQ155" s="133"/>
      <c r="IFR155" s="133"/>
      <c r="IFS155" s="133"/>
      <c r="IFT155" s="133"/>
      <c r="IFU155" s="133"/>
      <c r="IFV155" s="133"/>
      <c r="IFW155" s="133"/>
      <c r="IFX155" s="133"/>
      <c r="IFY155" s="133"/>
      <c r="IFZ155" s="133"/>
      <c r="IGA155" s="133"/>
      <c r="IGB155" s="133"/>
      <c r="IGC155" s="133"/>
      <c r="IGD155" s="133"/>
      <c r="IGE155" s="133"/>
      <c r="IGF155" s="133"/>
      <c r="IGG155" s="133"/>
      <c r="IGH155" s="133"/>
      <c r="IGI155" s="133"/>
      <c r="IGJ155" s="133"/>
      <c r="IGK155" s="133"/>
      <c r="IGL155" s="133"/>
      <c r="IGM155" s="133"/>
      <c r="IGN155" s="133"/>
      <c r="IGO155" s="133"/>
      <c r="IGP155" s="133"/>
      <c r="IGQ155" s="133"/>
      <c r="IGR155" s="133"/>
      <c r="IGS155" s="133"/>
      <c r="IGT155" s="133"/>
      <c r="IGU155" s="133"/>
      <c r="IGV155" s="133"/>
      <c r="IGW155" s="133"/>
      <c r="IGX155" s="133"/>
      <c r="IGY155" s="133"/>
      <c r="IGZ155" s="133"/>
      <c r="IHA155" s="133"/>
      <c r="IHB155" s="133"/>
      <c r="IHC155" s="133"/>
      <c r="IHD155" s="133"/>
      <c r="IHE155" s="133"/>
      <c r="IHF155" s="133"/>
      <c r="IHG155" s="133"/>
      <c r="IHH155" s="133"/>
      <c r="IHI155" s="133"/>
      <c r="IHJ155" s="133"/>
      <c r="IHK155" s="133"/>
      <c r="IHL155" s="133"/>
      <c r="IHM155" s="133"/>
      <c r="IHN155" s="133"/>
      <c r="IHO155" s="133"/>
      <c r="IHP155" s="133"/>
      <c r="IHQ155" s="133"/>
      <c r="IHR155" s="133"/>
      <c r="IHS155" s="133"/>
      <c r="IHT155" s="133"/>
      <c r="IHU155" s="133"/>
      <c r="IHV155" s="133"/>
      <c r="IHW155" s="133"/>
      <c r="IHX155" s="133"/>
      <c r="IHY155" s="133"/>
      <c r="IHZ155" s="133"/>
      <c r="IIA155" s="133"/>
      <c r="IIB155" s="133"/>
      <c r="IIC155" s="133"/>
      <c r="IID155" s="133"/>
      <c r="IIE155" s="133"/>
      <c r="IIF155" s="133"/>
      <c r="IIG155" s="133"/>
      <c r="IIH155" s="133"/>
      <c r="III155" s="133"/>
      <c r="IIJ155" s="133"/>
      <c r="IIK155" s="133"/>
      <c r="IIL155" s="133"/>
      <c r="IIM155" s="133"/>
      <c r="IIN155" s="133"/>
      <c r="IIO155" s="133"/>
      <c r="IIP155" s="133"/>
      <c r="IIQ155" s="133"/>
      <c r="IIR155" s="133"/>
      <c r="IIS155" s="133"/>
      <c r="IIT155" s="133"/>
      <c r="IIU155" s="133"/>
      <c r="IIV155" s="133"/>
      <c r="IIW155" s="133"/>
      <c r="IIX155" s="133"/>
      <c r="IIY155" s="133"/>
      <c r="IIZ155" s="133"/>
      <c r="IJA155" s="133"/>
      <c r="IJB155" s="133"/>
      <c r="IJC155" s="133"/>
      <c r="IJD155" s="133"/>
      <c r="IJE155" s="133"/>
      <c r="IJF155" s="133"/>
      <c r="IJG155" s="133"/>
      <c r="IJH155" s="133"/>
      <c r="IJI155" s="133"/>
      <c r="IJJ155" s="133"/>
      <c r="IJK155" s="133"/>
      <c r="IJL155" s="133"/>
      <c r="IJM155" s="133"/>
      <c r="IJN155" s="133"/>
      <c r="IJO155" s="133"/>
      <c r="IJP155" s="133"/>
      <c r="IJQ155" s="133"/>
      <c r="IJR155" s="133"/>
      <c r="IJS155" s="133"/>
      <c r="IJT155" s="133"/>
      <c r="IJU155" s="133"/>
      <c r="IJV155" s="133"/>
      <c r="IJW155" s="133"/>
      <c r="IJX155" s="133"/>
      <c r="IJY155" s="133"/>
      <c r="IJZ155" s="133"/>
      <c r="IKA155" s="133"/>
      <c r="IKB155" s="133"/>
      <c r="IKC155" s="133"/>
      <c r="IKD155" s="133"/>
      <c r="IKE155" s="133"/>
      <c r="IKF155" s="133"/>
      <c r="IKG155" s="133"/>
      <c r="IKH155" s="133"/>
      <c r="IKI155" s="133"/>
      <c r="IKJ155" s="133"/>
      <c r="IKK155" s="133"/>
      <c r="IKL155" s="133"/>
      <c r="IKM155" s="133"/>
      <c r="IKN155" s="133"/>
      <c r="IKO155" s="133"/>
      <c r="IKP155" s="133"/>
      <c r="IKQ155" s="133"/>
      <c r="IKR155" s="133"/>
      <c r="IKS155" s="133"/>
      <c r="IKT155" s="133"/>
      <c r="IKU155" s="133"/>
      <c r="IKV155" s="133"/>
      <c r="IKW155" s="133"/>
      <c r="IKX155" s="133"/>
      <c r="IKY155" s="133"/>
      <c r="IKZ155" s="133"/>
      <c r="ILA155" s="133"/>
      <c r="ILB155" s="133"/>
      <c r="ILC155" s="133"/>
      <c r="ILD155" s="133"/>
      <c r="ILE155" s="133"/>
      <c r="ILF155" s="133"/>
      <c r="ILG155" s="133"/>
      <c r="ILH155" s="133"/>
      <c r="ILI155" s="133"/>
      <c r="ILJ155" s="133"/>
      <c r="ILK155" s="133"/>
      <c r="ILL155" s="133"/>
      <c r="ILM155" s="133"/>
      <c r="ILN155" s="133"/>
      <c r="ILO155" s="133"/>
      <c r="ILP155" s="133"/>
      <c r="ILQ155" s="133"/>
      <c r="ILR155" s="133"/>
      <c r="ILS155" s="133"/>
      <c r="ILT155" s="133"/>
      <c r="ILU155" s="133"/>
      <c r="ILV155" s="133"/>
      <c r="ILW155" s="133"/>
      <c r="ILX155" s="133"/>
      <c r="ILY155" s="133"/>
      <c r="ILZ155" s="133"/>
      <c r="IMA155" s="133"/>
      <c r="IMB155" s="133"/>
      <c r="IMC155" s="133"/>
      <c r="IMD155" s="133"/>
      <c r="IME155" s="133"/>
      <c r="IMF155" s="133"/>
      <c r="IMG155" s="133"/>
      <c r="IMH155" s="133"/>
      <c r="IMI155" s="133"/>
      <c r="IMJ155" s="133"/>
      <c r="IMK155" s="133"/>
      <c r="IML155" s="133"/>
      <c r="IMM155" s="133"/>
      <c r="IMN155" s="133"/>
      <c r="IMO155" s="133"/>
      <c r="IMP155" s="133"/>
      <c r="IMQ155" s="133"/>
      <c r="IMR155" s="133"/>
      <c r="IMS155" s="133"/>
      <c r="IMT155" s="133"/>
      <c r="IMU155" s="133"/>
      <c r="IMV155" s="133"/>
      <c r="IMW155" s="133"/>
      <c r="IMX155" s="133"/>
      <c r="IMY155" s="133"/>
      <c r="IMZ155" s="133"/>
      <c r="INA155" s="133"/>
      <c r="INB155" s="133"/>
      <c r="INC155" s="133"/>
      <c r="IND155" s="133"/>
      <c r="INE155" s="133"/>
      <c r="INF155" s="133"/>
      <c r="ING155" s="133"/>
      <c r="INH155" s="133"/>
      <c r="INI155" s="133"/>
      <c r="INJ155" s="133"/>
      <c r="INK155" s="133"/>
      <c r="INL155" s="133"/>
      <c r="INM155" s="133"/>
      <c r="INN155" s="133"/>
      <c r="INO155" s="133"/>
      <c r="INP155" s="133"/>
      <c r="INQ155" s="133"/>
      <c r="INR155" s="133"/>
      <c r="INS155" s="133"/>
      <c r="INT155" s="133"/>
      <c r="INU155" s="133"/>
      <c r="INV155" s="133"/>
      <c r="INW155" s="133"/>
      <c r="INX155" s="133"/>
      <c r="INY155" s="133"/>
      <c r="INZ155" s="133"/>
      <c r="IOA155" s="133"/>
      <c r="IOB155" s="133"/>
      <c r="IOC155" s="133"/>
      <c r="IOD155" s="133"/>
      <c r="IOE155" s="133"/>
      <c r="IOF155" s="133"/>
      <c r="IOG155" s="133"/>
      <c r="IOH155" s="133"/>
      <c r="IOI155" s="133"/>
      <c r="IOJ155" s="133"/>
      <c r="IOK155" s="133"/>
      <c r="IOL155" s="133"/>
      <c r="IOM155" s="133"/>
      <c r="ION155" s="133"/>
      <c r="IOO155" s="133"/>
      <c r="IOP155" s="133"/>
      <c r="IOQ155" s="133"/>
      <c r="IOR155" s="133"/>
      <c r="IOS155" s="133"/>
      <c r="IOT155" s="133"/>
      <c r="IOU155" s="133"/>
      <c r="IOV155" s="133"/>
      <c r="IOW155" s="133"/>
      <c r="IOX155" s="133"/>
      <c r="IOY155" s="133"/>
      <c r="IOZ155" s="133"/>
      <c r="IPA155" s="133"/>
      <c r="IPB155" s="133"/>
      <c r="IPC155" s="133"/>
      <c r="IPD155" s="133"/>
      <c r="IPE155" s="133"/>
      <c r="IPF155" s="133"/>
      <c r="IPG155" s="133"/>
      <c r="IPH155" s="133"/>
      <c r="IPI155" s="133"/>
      <c r="IPJ155" s="133"/>
      <c r="IPK155" s="133"/>
      <c r="IPL155" s="133"/>
      <c r="IPM155" s="133"/>
      <c r="IPN155" s="133"/>
      <c r="IPO155" s="133"/>
      <c r="IPP155" s="133"/>
      <c r="IPQ155" s="133"/>
      <c r="IPR155" s="133"/>
      <c r="IPS155" s="133"/>
      <c r="IPT155" s="133"/>
      <c r="IPU155" s="133"/>
      <c r="IPV155" s="133"/>
      <c r="IPW155" s="133"/>
      <c r="IPX155" s="133"/>
      <c r="IPY155" s="133"/>
      <c r="IPZ155" s="133"/>
      <c r="IQA155" s="133"/>
      <c r="IQB155" s="133"/>
      <c r="IQC155" s="133"/>
      <c r="IQD155" s="133"/>
      <c r="IQE155" s="133"/>
      <c r="IQF155" s="133"/>
      <c r="IQG155" s="133"/>
      <c r="IQH155" s="133"/>
      <c r="IQI155" s="133"/>
      <c r="IQJ155" s="133"/>
      <c r="IQK155" s="133"/>
      <c r="IQL155" s="133"/>
      <c r="IQM155" s="133"/>
      <c r="IQN155" s="133"/>
      <c r="IQO155" s="133"/>
      <c r="IQP155" s="133"/>
      <c r="IQQ155" s="133"/>
      <c r="IQR155" s="133"/>
      <c r="IQS155" s="133"/>
      <c r="IQT155" s="133"/>
      <c r="IQU155" s="133"/>
      <c r="IQV155" s="133"/>
      <c r="IQW155" s="133"/>
      <c r="IQX155" s="133"/>
      <c r="IQY155" s="133"/>
      <c r="IQZ155" s="133"/>
      <c r="IRA155" s="133"/>
      <c r="IRB155" s="133"/>
      <c r="IRC155" s="133"/>
      <c r="IRD155" s="133"/>
      <c r="IRE155" s="133"/>
      <c r="IRF155" s="133"/>
      <c r="IRG155" s="133"/>
      <c r="IRH155" s="133"/>
      <c r="IRI155" s="133"/>
      <c r="IRJ155" s="133"/>
      <c r="IRK155" s="133"/>
      <c r="IRL155" s="133"/>
      <c r="IRM155" s="133"/>
      <c r="IRN155" s="133"/>
      <c r="IRO155" s="133"/>
      <c r="IRP155" s="133"/>
      <c r="IRQ155" s="133"/>
      <c r="IRR155" s="133"/>
      <c r="IRS155" s="133"/>
      <c r="IRT155" s="133"/>
      <c r="IRU155" s="133"/>
      <c r="IRV155" s="133"/>
      <c r="IRW155" s="133"/>
      <c r="IRX155" s="133"/>
      <c r="IRY155" s="133"/>
      <c r="IRZ155" s="133"/>
      <c r="ISA155" s="133"/>
      <c r="ISB155" s="133"/>
      <c r="ISC155" s="133"/>
      <c r="ISD155" s="133"/>
      <c r="ISE155" s="133"/>
      <c r="ISF155" s="133"/>
      <c r="ISG155" s="133"/>
      <c r="ISH155" s="133"/>
      <c r="ISI155" s="133"/>
      <c r="ISJ155" s="133"/>
      <c r="ISK155" s="133"/>
      <c r="ISL155" s="133"/>
      <c r="ISM155" s="133"/>
      <c r="ISN155" s="133"/>
      <c r="ISO155" s="133"/>
      <c r="ISP155" s="133"/>
      <c r="ISQ155" s="133"/>
      <c r="ISR155" s="133"/>
      <c r="ISS155" s="133"/>
      <c r="IST155" s="133"/>
      <c r="ISU155" s="133"/>
      <c r="ISV155" s="133"/>
      <c r="ISW155" s="133"/>
      <c r="ISX155" s="133"/>
      <c r="ISY155" s="133"/>
      <c r="ISZ155" s="133"/>
      <c r="ITA155" s="133"/>
      <c r="ITB155" s="133"/>
      <c r="ITC155" s="133"/>
      <c r="ITD155" s="133"/>
      <c r="ITE155" s="133"/>
      <c r="ITF155" s="133"/>
      <c r="ITG155" s="133"/>
      <c r="ITH155" s="133"/>
      <c r="ITI155" s="133"/>
      <c r="ITJ155" s="133"/>
      <c r="ITK155" s="133"/>
      <c r="ITL155" s="133"/>
      <c r="ITM155" s="133"/>
      <c r="ITN155" s="133"/>
      <c r="ITO155" s="133"/>
      <c r="ITP155" s="133"/>
      <c r="ITQ155" s="133"/>
      <c r="ITR155" s="133"/>
      <c r="ITS155" s="133"/>
      <c r="ITT155" s="133"/>
      <c r="ITU155" s="133"/>
      <c r="ITV155" s="133"/>
      <c r="ITW155" s="133"/>
      <c r="ITX155" s="133"/>
      <c r="ITY155" s="133"/>
      <c r="ITZ155" s="133"/>
      <c r="IUA155" s="133"/>
      <c r="IUB155" s="133"/>
      <c r="IUC155" s="133"/>
      <c r="IUD155" s="133"/>
      <c r="IUE155" s="133"/>
      <c r="IUF155" s="133"/>
      <c r="IUG155" s="133"/>
      <c r="IUH155" s="133"/>
      <c r="IUI155" s="133"/>
      <c r="IUJ155" s="133"/>
      <c r="IUK155" s="133"/>
      <c r="IUL155" s="133"/>
      <c r="IUM155" s="133"/>
      <c r="IUN155" s="133"/>
      <c r="IUO155" s="133"/>
      <c r="IUP155" s="133"/>
      <c r="IUQ155" s="133"/>
      <c r="IUR155" s="133"/>
      <c r="IUS155" s="133"/>
      <c r="IUT155" s="133"/>
      <c r="IUU155" s="133"/>
      <c r="IUV155" s="133"/>
      <c r="IUW155" s="133"/>
      <c r="IUX155" s="133"/>
      <c r="IUY155" s="133"/>
      <c r="IUZ155" s="133"/>
      <c r="IVA155" s="133"/>
      <c r="IVB155" s="133"/>
      <c r="IVC155" s="133"/>
      <c r="IVD155" s="133"/>
      <c r="IVE155" s="133"/>
      <c r="IVF155" s="133"/>
      <c r="IVG155" s="133"/>
      <c r="IVH155" s="133"/>
      <c r="IVI155" s="133"/>
      <c r="IVJ155" s="133"/>
      <c r="IVK155" s="133"/>
      <c r="IVL155" s="133"/>
      <c r="IVM155" s="133"/>
      <c r="IVN155" s="133"/>
      <c r="IVO155" s="133"/>
      <c r="IVP155" s="133"/>
      <c r="IVQ155" s="133"/>
      <c r="IVR155" s="133"/>
      <c r="IVS155" s="133"/>
      <c r="IVT155" s="133"/>
      <c r="IVU155" s="133"/>
      <c r="IVV155" s="133"/>
      <c r="IVW155" s="133"/>
      <c r="IVX155" s="133"/>
      <c r="IVY155" s="133"/>
      <c r="IVZ155" s="133"/>
      <c r="IWA155" s="133"/>
      <c r="IWB155" s="133"/>
      <c r="IWC155" s="133"/>
      <c r="IWD155" s="133"/>
      <c r="IWE155" s="133"/>
      <c r="IWF155" s="133"/>
      <c r="IWG155" s="133"/>
      <c r="IWH155" s="133"/>
      <c r="IWI155" s="133"/>
      <c r="IWJ155" s="133"/>
      <c r="IWK155" s="133"/>
      <c r="IWL155" s="133"/>
      <c r="IWM155" s="133"/>
      <c r="IWN155" s="133"/>
      <c r="IWO155" s="133"/>
      <c r="IWP155" s="133"/>
      <c r="IWQ155" s="133"/>
      <c r="IWR155" s="133"/>
      <c r="IWS155" s="133"/>
      <c r="IWT155" s="133"/>
      <c r="IWU155" s="133"/>
      <c r="IWV155" s="133"/>
      <c r="IWW155" s="133"/>
      <c r="IWX155" s="133"/>
      <c r="IWY155" s="133"/>
      <c r="IWZ155" s="133"/>
      <c r="IXA155" s="133"/>
      <c r="IXB155" s="133"/>
      <c r="IXC155" s="133"/>
      <c r="IXD155" s="133"/>
      <c r="IXE155" s="133"/>
      <c r="IXF155" s="133"/>
      <c r="IXG155" s="133"/>
      <c r="IXH155" s="133"/>
      <c r="IXI155" s="133"/>
      <c r="IXJ155" s="133"/>
      <c r="IXK155" s="133"/>
      <c r="IXL155" s="133"/>
      <c r="IXM155" s="133"/>
      <c r="IXN155" s="133"/>
      <c r="IXO155" s="133"/>
      <c r="IXP155" s="133"/>
      <c r="IXQ155" s="133"/>
      <c r="IXR155" s="133"/>
      <c r="IXS155" s="133"/>
      <c r="IXT155" s="133"/>
      <c r="IXU155" s="133"/>
      <c r="IXV155" s="133"/>
      <c r="IXW155" s="133"/>
      <c r="IXX155" s="133"/>
      <c r="IXY155" s="133"/>
      <c r="IXZ155" s="133"/>
      <c r="IYA155" s="133"/>
      <c r="IYB155" s="133"/>
      <c r="IYC155" s="133"/>
      <c r="IYD155" s="133"/>
      <c r="IYE155" s="133"/>
      <c r="IYF155" s="133"/>
      <c r="IYG155" s="133"/>
      <c r="IYH155" s="133"/>
      <c r="IYI155" s="133"/>
      <c r="IYJ155" s="133"/>
      <c r="IYK155" s="133"/>
      <c r="IYL155" s="133"/>
      <c r="IYM155" s="133"/>
      <c r="IYN155" s="133"/>
      <c r="IYO155" s="133"/>
      <c r="IYP155" s="133"/>
      <c r="IYQ155" s="133"/>
      <c r="IYR155" s="133"/>
      <c r="IYS155" s="133"/>
      <c r="IYT155" s="133"/>
      <c r="IYU155" s="133"/>
      <c r="IYV155" s="133"/>
      <c r="IYW155" s="133"/>
      <c r="IYX155" s="133"/>
      <c r="IYY155" s="133"/>
      <c r="IYZ155" s="133"/>
      <c r="IZA155" s="133"/>
      <c r="IZB155" s="133"/>
      <c r="IZC155" s="133"/>
      <c r="IZD155" s="133"/>
      <c r="IZE155" s="133"/>
      <c r="IZF155" s="133"/>
      <c r="IZG155" s="133"/>
      <c r="IZH155" s="133"/>
      <c r="IZI155" s="133"/>
      <c r="IZJ155" s="133"/>
      <c r="IZK155" s="133"/>
      <c r="IZL155" s="133"/>
      <c r="IZM155" s="133"/>
      <c r="IZN155" s="133"/>
      <c r="IZO155" s="133"/>
      <c r="IZP155" s="133"/>
      <c r="IZQ155" s="133"/>
      <c r="IZR155" s="133"/>
      <c r="IZS155" s="133"/>
      <c r="IZT155" s="133"/>
      <c r="IZU155" s="133"/>
      <c r="IZV155" s="133"/>
      <c r="IZW155" s="133"/>
      <c r="IZX155" s="133"/>
      <c r="IZY155" s="133"/>
      <c r="IZZ155" s="133"/>
      <c r="JAA155" s="133"/>
      <c r="JAB155" s="133"/>
      <c r="JAC155" s="133"/>
      <c r="JAD155" s="133"/>
      <c r="JAE155" s="133"/>
      <c r="JAF155" s="133"/>
      <c r="JAG155" s="133"/>
      <c r="JAH155" s="133"/>
      <c r="JAI155" s="133"/>
      <c r="JAJ155" s="133"/>
      <c r="JAK155" s="133"/>
      <c r="JAL155" s="133"/>
      <c r="JAM155" s="133"/>
      <c r="JAN155" s="133"/>
      <c r="JAO155" s="133"/>
      <c r="JAP155" s="133"/>
      <c r="JAQ155" s="133"/>
      <c r="JAR155" s="133"/>
      <c r="JAS155" s="133"/>
      <c r="JAT155" s="133"/>
      <c r="JAU155" s="133"/>
      <c r="JAV155" s="133"/>
      <c r="JAW155" s="133"/>
      <c r="JAX155" s="133"/>
      <c r="JAY155" s="133"/>
      <c r="JAZ155" s="133"/>
      <c r="JBA155" s="133"/>
      <c r="JBB155" s="133"/>
      <c r="JBC155" s="133"/>
      <c r="JBD155" s="133"/>
      <c r="JBE155" s="133"/>
      <c r="JBF155" s="133"/>
      <c r="JBG155" s="133"/>
      <c r="JBH155" s="133"/>
      <c r="JBI155" s="133"/>
      <c r="JBJ155" s="133"/>
      <c r="JBK155" s="133"/>
      <c r="JBL155" s="133"/>
      <c r="JBM155" s="133"/>
      <c r="JBN155" s="133"/>
      <c r="JBO155" s="133"/>
      <c r="JBP155" s="133"/>
      <c r="JBQ155" s="133"/>
      <c r="JBR155" s="133"/>
      <c r="JBS155" s="133"/>
      <c r="JBT155" s="133"/>
      <c r="JBU155" s="133"/>
      <c r="JBV155" s="133"/>
      <c r="JBW155" s="133"/>
      <c r="JBX155" s="133"/>
      <c r="JBY155" s="133"/>
      <c r="JBZ155" s="133"/>
      <c r="JCA155" s="133"/>
      <c r="JCB155" s="133"/>
      <c r="JCC155" s="133"/>
      <c r="JCD155" s="133"/>
      <c r="JCE155" s="133"/>
      <c r="JCF155" s="133"/>
      <c r="JCG155" s="133"/>
      <c r="JCH155" s="133"/>
      <c r="JCI155" s="133"/>
      <c r="JCJ155" s="133"/>
      <c r="JCK155" s="133"/>
      <c r="JCL155" s="133"/>
      <c r="JCM155" s="133"/>
      <c r="JCN155" s="133"/>
      <c r="JCO155" s="133"/>
      <c r="JCP155" s="133"/>
      <c r="JCQ155" s="133"/>
      <c r="JCR155" s="133"/>
      <c r="JCS155" s="133"/>
      <c r="JCT155" s="133"/>
      <c r="JCU155" s="133"/>
      <c r="JCV155" s="133"/>
      <c r="JCW155" s="133"/>
      <c r="JCX155" s="133"/>
      <c r="JCY155" s="133"/>
      <c r="JCZ155" s="133"/>
      <c r="JDA155" s="133"/>
      <c r="JDB155" s="133"/>
      <c r="JDC155" s="133"/>
      <c r="JDD155" s="133"/>
      <c r="JDE155" s="133"/>
      <c r="JDF155" s="133"/>
      <c r="JDG155" s="133"/>
      <c r="JDH155" s="133"/>
      <c r="JDI155" s="133"/>
      <c r="JDJ155" s="133"/>
      <c r="JDK155" s="133"/>
      <c r="JDL155" s="133"/>
      <c r="JDM155" s="133"/>
      <c r="JDN155" s="133"/>
      <c r="JDO155" s="133"/>
      <c r="JDP155" s="133"/>
      <c r="JDQ155" s="133"/>
      <c r="JDR155" s="133"/>
      <c r="JDS155" s="133"/>
      <c r="JDT155" s="133"/>
      <c r="JDU155" s="133"/>
      <c r="JDV155" s="133"/>
      <c r="JDW155" s="133"/>
      <c r="JDX155" s="133"/>
      <c r="JDY155" s="133"/>
      <c r="JDZ155" s="133"/>
      <c r="JEA155" s="133"/>
      <c r="JEB155" s="133"/>
      <c r="JEC155" s="133"/>
      <c r="JED155" s="133"/>
      <c r="JEE155" s="133"/>
      <c r="JEF155" s="133"/>
      <c r="JEG155" s="133"/>
      <c r="JEH155" s="133"/>
      <c r="JEI155" s="133"/>
      <c r="JEJ155" s="133"/>
      <c r="JEK155" s="133"/>
      <c r="JEL155" s="133"/>
      <c r="JEM155" s="133"/>
      <c r="JEN155" s="133"/>
      <c r="JEO155" s="133"/>
      <c r="JEP155" s="133"/>
      <c r="JEQ155" s="133"/>
      <c r="JER155" s="133"/>
      <c r="JES155" s="133"/>
      <c r="JET155" s="133"/>
      <c r="JEU155" s="133"/>
      <c r="JEV155" s="133"/>
      <c r="JEW155" s="133"/>
      <c r="JEX155" s="133"/>
      <c r="JEY155" s="133"/>
      <c r="JEZ155" s="133"/>
      <c r="JFA155" s="133"/>
      <c r="JFB155" s="133"/>
      <c r="JFC155" s="133"/>
      <c r="JFD155" s="133"/>
      <c r="JFE155" s="133"/>
      <c r="JFF155" s="133"/>
      <c r="JFG155" s="133"/>
      <c r="JFH155" s="133"/>
      <c r="JFI155" s="133"/>
      <c r="JFJ155" s="133"/>
      <c r="JFK155" s="133"/>
      <c r="JFL155" s="133"/>
      <c r="JFM155" s="133"/>
      <c r="JFN155" s="133"/>
      <c r="JFO155" s="133"/>
      <c r="JFP155" s="133"/>
      <c r="JFQ155" s="133"/>
      <c r="JFR155" s="133"/>
      <c r="JFS155" s="133"/>
      <c r="JFT155" s="133"/>
      <c r="JFU155" s="133"/>
      <c r="JFV155" s="133"/>
      <c r="JFW155" s="133"/>
      <c r="JFX155" s="133"/>
      <c r="JFY155" s="133"/>
      <c r="JFZ155" s="133"/>
      <c r="JGA155" s="133"/>
      <c r="JGB155" s="133"/>
      <c r="JGC155" s="133"/>
      <c r="JGD155" s="133"/>
      <c r="JGE155" s="133"/>
      <c r="JGF155" s="133"/>
      <c r="JGG155" s="133"/>
      <c r="JGH155" s="133"/>
      <c r="JGI155" s="133"/>
      <c r="JGJ155" s="133"/>
      <c r="JGK155" s="133"/>
      <c r="JGL155" s="133"/>
      <c r="JGM155" s="133"/>
      <c r="JGN155" s="133"/>
      <c r="JGO155" s="133"/>
      <c r="JGP155" s="133"/>
      <c r="JGQ155" s="133"/>
      <c r="JGR155" s="133"/>
      <c r="JGS155" s="133"/>
      <c r="JGT155" s="133"/>
      <c r="JGU155" s="133"/>
      <c r="JGV155" s="133"/>
      <c r="JGW155" s="133"/>
      <c r="JGX155" s="133"/>
      <c r="JGY155" s="133"/>
      <c r="JGZ155" s="133"/>
      <c r="JHA155" s="133"/>
      <c r="JHB155" s="133"/>
      <c r="JHC155" s="133"/>
      <c r="JHD155" s="133"/>
      <c r="JHE155" s="133"/>
      <c r="JHF155" s="133"/>
      <c r="JHG155" s="133"/>
      <c r="JHH155" s="133"/>
      <c r="JHI155" s="133"/>
      <c r="JHJ155" s="133"/>
      <c r="JHK155" s="133"/>
      <c r="JHL155" s="133"/>
      <c r="JHM155" s="133"/>
      <c r="JHN155" s="133"/>
      <c r="JHO155" s="133"/>
      <c r="JHP155" s="133"/>
      <c r="JHQ155" s="133"/>
      <c r="JHR155" s="133"/>
      <c r="JHS155" s="133"/>
      <c r="JHT155" s="133"/>
      <c r="JHU155" s="133"/>
      <c r="JHV155" s="133"/>
      <c r="JHW155" s="133"/>
      <c r="JHX155" s="133"/>
      <c r="JHY155" s="133"/>
      <c r="JHZ155" s="133"/>
      <c r="JIA155" s="133"/>
      <c r="JIB155" s="133"/>
      <c r="JIC155" s="133"/>
      <c r="JID155" s="133"/>
      <c r="JIE155" s="133"/>
      <c r="JIF155" s="133"/>
      <c r="JIG155" s="133"/>
      <c r="JIH155" s="133"/>
      <c r="JII155" s="133"/>
      <c r="JIJ155" s="133"/>
      <c r="JIK155" s="133"/>
      <c r="JIL155" s="133"/>
      <c r="JIM155" s="133"/>
      <c r="JIN155" s="133"/>
      <c r="JIO155" s="133"/>
      <c r="JIP155" s="133"/>
      <c r="JIQ155" s="133"/>
      <c r="JIR155" s="133"/>
      <c r="JIS155" s="133"/>
      <c r="JIT155" s="133"/>
      <c r="JIU155" s="133"/>
      <c r="JIV155" s="133"/>
      <c r="JIW155" s="133"/>
      <c r="JIX155" s="133"/>
      <c r="JIY155" s="133"/>
      <c r="JIZ155" s="133"/>
      <c r="JJA155" s="133"/>
      <c r="JJB155" s="133"/>
      <c r="JJC155" s="133"/>
      <c r="JJD155" s="133"/>
      <c r="JJE155" s="133"/>
      <c r="JJF155" s="133"/>
      <c r="JJG155" s="133"/>
      <c r="JJH155" s="133"/>
      <c r="JJI155" s="133"/>
      <c r="JJJ155" s="133"/>
      <c r="JJK155" s="133"/>
      <c r="JJL155" s="133"/>
      <c r="JJM155" s="133"/>
      <c r="JJN155" s="133"/>
      <c r="JJO155" s="133"/>
      <c r="JJP155" s="133"/>
      <c r="JJQ155" s="133"/>
      <c r="JJR155" s="133"/>
      <c r="JJS155" s="133"/>
      <c r="JJT155" s="133"/>
      <c r="JJU155" s="133"/>
      <c r="JJV155" s="133"/>
      <c r="JJW155" s="133"/>
      <c r="JJX155" s="133"/>
      <c r="JJY155" s="133"/>
      <c r="JJZ155" s="133"/>
      <c r="JKA155" s="133"/>
      <c r="JKB155" s="133"/>
      <c r="JKC155" s="133"/>
      <c r="JKD155" s="133"/>
      <c r="JKE155" s="133"/>
      <c r="JKF155" s="133"/>
      <c r="JKG155" s="133"/>
      <c r="JKH155" s="133"/>
      <c r="JKI155" s="133"/>
      <c r="JKJ155" s="133"/>
      <c r="JKK155" s="133"/>
      <c r="JKL155" s="133"/>
      <c r="JKM155" s="133"/>
      <c r="JKN155" s="133"/>
      <c r="JKO155" s="133"/>
      <c r="JKP155" s="133"/>
      <c r="JKQ155" s="133"/>
      <c r="JKR155" s="133"/>
      <c r="JKS155" s="133"/>
      <c r="JKT155" s="133"/>
      <c r="JKU155" s="133"/>
      <c r="JKV155" s="133"/>
      <c r="JKW155" s="133"/>
      <c r="JKX155" s="133"/>
      <c r="JKY155" s="133"/>
      <c r="JKZ155" s="133"/>
      <c r="JLA155" s="133"/>
      <c r="JLB155" s="133"/>
      <c r="JLC155" s="133"/>
      <c r="JLD155" s="133"/>
      <c r="JLE155" s="133"/>
      <c r="JLF155" s="133"/>
      <c r="JLG155" s="133"/>
      <c r="JLH155" s="133"/>
      <c r="JLI155" s="133"/>
      <c r="JLJ155" s="133"/>
      <c r="JLK155" s="133"/>
      <c r="JLL155" s="133"/>
      <c r="JLM155" s="133"/>
      <c r="JLN155" s="133"/>
      <c r="JLO155" s="133"/>
      <c r="JLP155" s="133"/>
      <c r="JLQ155" s="133"/>
      <c r="JLR155" s="133"/>
      <c r="JLS155" s="133"/>
      <c r="JLT155" s="133"/>
      <c r="JLU155" s="133"/>
      <c r="JLV155" s="133"/>
      <c r="JLW155" s="133"/>
      <c r="JLX155" s="133"/>
      <c r="JLY155" s="133"/>
      <c r="JLZ155" s="133"/>
      <c r="JMA155" s="133"/>
      <c r="JMB155" s="133"/>
      <c r="JMC155" s="133"/>
      <c r="JMD155" s="133"/>
      <c r="JME155" s="133"/>
      <c r="JMF155" s="133"/>
      <c r="JMG155" s="133"/>
      <c r="JMH155" s="133"/>
      <c r="JMI155" s="133"/>
      <c r="JMJ155" s="133"/>
      <c r="JMK155" s="133"/>
      <c r="JML155" s="133"/>
      <c r="JMM155" s="133"/>
      <c r="JMN155" s="133"/>
      <c r="JMO155" s="133"/>
      <c r="JMP155" s="133"/>
      <c r="JMQ155" s="133"/>
      <c r="JMR155" s="133"/>
      <c r="JMS155" s="133"/>
      <c r="JMT155" s="133"/>
      <c r="JMU155" s="133"/>
      <c r="JMV155" s="133"/>
      <c r="JMW155" s="133"/>
      <c r="JMX155" s="133"/>
      <c r="JMY155" s="133"/>
      <c r="JMZ155" s="133"/>
      <c r="JNA155" s="133"/>
      <c r="JNB155" s="133"/>
      <c r="JNC155" s="133"/>
      <c r="JND155" s="133"/>
      <c r="JNE155" s="133"/>
      <c r="JNF155" s="133"/>
      <c r="JNG155" s="133"/>
      <c r="JNH155" s="133"/>
      <c r="JNI155" s="133"/>
      <c r="JNJ155" s="133"/>
      <c r="JNK155" s="133"/>
      <c r="JNL155" s="133"/>
      <c r="JNM155" s="133"/>
      <c r="JNN155" s="133"/>
      <c r="JNO155" s="133"/>
      <c r="JNP155" s="133"/>
      <c r="JNQ155" s="133"/>
      <c r="JNR155" s="133"/>
      <c r="JNS155" s="133"/>
      <c r="JNT155" s="133"/>
      <c r="JNU155" s="133"/>
      <c r="JNV155" s="133"/>
      <c r="JNW155" s="133"/>
      <c r="JNX155" s="133"/>
      <c r="JNY155" s="133"/>
      <c r="JNZ155" s="133"/>
      <c r="JOA155" s="133"/>
      <c r="JOB155" s="133"/>
      <c r="JOC155" s="133"/>
      <c r="JOD155" s="133"/>
      <c r="JOE155" s="133"/>
      <c r="JOF155" s="133"/>
      <c r="JOG155" s="133"/>
      <c r="JOH155" s="133"/>
      <c r="JOI155" s="133"/>
      <c r="JOJ155" s="133"/>
      <c r="JOK155" s="133"/>
      <c r="JOL155" s="133"/>
      <c r="JOM155" s="133"/>
      <c r="JON155" s="133"/>
      <c r="JOO155" s="133"/>
      <c r="JOP155" s="133"/>
      <c r="JOQ155" s="133"/>
      <c r="JOR155" s="133"/>
      <c r="JOS155" s="133"/>
      <c r="JOT155" s="133"/>
      <c r="JOU155" s="133"/>
      <c r="JOV155" s="133"/>
      <c r="JOW155" s="133"/>
      <c r="JOX155" s="133"/>
      <c r="JOY155" s="133"/>
      <c r="JOZ155" s="133"/>
      <c r="JPA155" s="133"/>
      <c r="JPB155" s="133"/>
      <c r="JPC155" s="133"/>
      <c r="JPD155" s="133"/>
      <c r="JPE155" s="133"/>
      <c r="JPF155" s="133"/>
      <c r="JPG155" s="133"/>
      <c r="JPH155" s="133"/>
      <c r="JPI155" s="133"/>
      <c r="JPJ155" s="133"/>
      <c r="JPK155" s="133"/>
      <c r="JPL155" s="133"/>
      <c r="JPM155" s="133"/>
      <c r="JPN155" s="133"/>
      <c r="JPO155" s="133"/>
      <c r="JPP155" s="133"/>
      <c r="JPQ155" s="133"/>
      <c r="JPR155" s="133"/>
      <c r="JPS155" s="133"/>
      <c r="JPT155" s="133"/>
      <c r="JPU155" s="133"/>
      <c r="JPV155" s="133"/>
      <c r="JPW155" s="133"/>
      <c r="JPX155" s="133"/>
      <c r="JPY155" s="133"/>
      <c r="JPZ155" s="133"/>
      <c r="JQA155" s="133"/>
      <c r="JQB155" s="133"/>
      <c r="JQC155" s="133"/>
      <c r="JQD155" s="133"/>
      <c r="JQE155" s="133"/>
      <c r="JQF155" s="133"/>
      <c r="JQG155" s="133"/>
      <c r="JQH155" s="133"/>
      <c r="JQI155" s="133"/>
      <c r="JQJ155" s="133"/>
      <c r="JQK155" s="133"/>
      <c r="JQL155" s="133"/>
      <c r="JQM155" s="133"/>
      <c r="JQN155" s="133"/>
      <c r="JQO155" s="133"/>
      <c r="JQP155" s="133"/>
      <c r="JQQ155" s="133"/>
      <c r="JQR155" s="133"/>
      <c r="JQS155" s="133"/>
      <c r="JQT155" s="133"/>
      <c r="JQU155" s="133"/>
      <c r="JQV155" s="133"/>
      <c r="JQW155" s="133"/>
      <c r="JQX155" s="133"/>
      <c r="JQY155" s="133"/>
      <c r="JQZ155" s="133"/>
      <c r="JRA155" s="133"/>
      <c r="JRB155" s="133"/>
      <c r="JRC155" s="133"/>
      <c r="JRD155" s="133"/>
      <c r="JRE155" s="133"/>
      <c r="JRF155" s="133"/>
      <c r="JRG155" s="133"/>
      <c r="JRH155" s="133"/>
      <c r="JRI155" s="133"/>
      <c r="JRJ155" s="133"/>
      <c r="JRK155" s="133"/>
      <c r="JRL155" s="133"/>
      <c r="JRM155" s="133"/>
      <c r="JRN155" s="133"/>
      <c r="JRO155" s="133"/>
      <c r="JRP155" s="133"/>
      <c r="JRQ155" s="133"/>
      <c r="JRR155" s="133"/>
      <c r="JRS155" s="133"/>
      <c r="JRT155" s="133"/>
      <c r="JRU155" s="133"/>
      <c r="JRV155" s="133"/>
      <c r="JRW155" s="133"/>
      <c r="JRX155" s="133"/>
      <c r="JRY155" s="133"/>
      <c r="JRZ155" s="133"/>
      <c r="JSA155" s="133"/>
      <c r="JSB155" s="133"/>
      <c r="JSC155" s="133"/>
      <c r="JSD155" s="133"/>
      <c r="JSE155" s="133"/>
      <c r="JSF155" s="133"/>
      <c r="JSG155" s="133"/>
      <c r="JSH155" s="133"/>
      <c r="JSI155" s="133"/>
      <c r="JSJ155" s="133"/>
      <c r="JSK155" s="133"/>
      <c r="JSL155" s="133"/>
      <c r="JSM155" s="133"/>
      <c r="JSN155" s="133"/>
      <c r="JSO155" s="133"/>
      <c r="JSP155" s="133"/>
      <c r="JSQ155" s="133"/>
      <c r="JSR155" s="133"/>
      <c r="JSS155" s="133"/>
      <c r="JST155" s="133"/>
      <c r="JSU155" s="133"/>
      <c r="JSV155" s="133"/>
      <c r="JSW155" s="133"/>
      <c r="JSX155" s="133"/>
      <c r="JSY155" s="133"/>
      <c r="JSZ155" s="133"/>
      <c r="JTA155" s="133"/>
      <c r="JTB155" s="133"/>
      <c r="JTC155" s="133"/>
      <c r="JTD155" s="133"/>
      <c r="JTE155" s="133"/>
      <c r="JTF155" s="133"/>
      <c r="JTG155" s="133"/>
      <c r="JTH155" s="133"/>
      <c r="JTI155" s="133"/>
      <c r="JTJ155" s="133"/>
      <c r="JTK155" s="133"/>
      <c r="JTL155" s="133"/>
      <c r="JTM155" s="133"/>
      <c r="JTN155" s="133"/>
      <c r="JTO155" s="133"/>
      <c r="JTP155" s="133"/>
      <c r="JTQ155" s="133"/>
      <c r="JTR155" s="133"/>
      <c r="JTS155" s="133"/>
      <c r="JTT155" s="133"/>
      <c r="JTU155" s="133"/>
      <c r="JTV155" s="133"/>
      <c r="JTW155" s="133"/>
      <c r="JTX155" s="133"/>
      <c r="JTY155" s="133"/>
      <c r="JTZ155" s="133"/>
      <c r="JUA155" s="133"/>
      <c r="JUB155" s="133"/>
      <c r="JUC155" s="133"/>
      <c r="JUD155" s="133"/>
      <c r="JUE155" s="133"/>
      <c r="JUF155" s="133"/>
      <c r="JUG155" s="133"/>
      <c r="JUH155" s="133"/>
      <c r="JUI155" s="133"/>
      <c r="JUJ155" s="133"/>
      <c r="JUK155" s="133"/>
      <c r="JUL155" s="133"/>
      <c r="JUM155" s="133"/>
      <c r="JUN155" s="133"/>
      <c r="JUO155" s="133"/>
      <c r="JUP155" s="133"/>
      <c r="JUQ155" s="133"/>
      <c r="JUR155" s="133"/>
      <c r="JUS155" s="133"/>
      <c r="JUT155" s="133"/>
      <c r="JUU155" s="133"/>
      <c r="JUV155" s="133"/>
      <c r="JUW155" s="133"/>
      <c r="JUX155" s="133"/>
      <c r="JUY155" s="133"/>
      <c r="JUZ155" s="133"/>
      <c r="JVA155" s="133"/>
      <c r="JVB155" s="133"/>
      <c r="JVC155" s="133"/>
      <c r="JVD155" s="133"/>
      <c r="JVE155" s="133"/>
      <c r="JVF155" s="133"/>
      <c r="JVG155" s="133"/>
      <c r="JVH155" s="133"/>
      <c r="JVI155" s="133"/>
      <c r="JVJ155" s="133"/>
      <c r="JVK155" s="133"/>
      <c r="JVL155" s="133"/>
      <c r="JVM155" s="133"/>
      <c r="JVN155" s="133"/>
      <c r="JVO155" s="133"/>
      <c r="JVP155" s="133"/>
      <c r="JVQ155" s="133"/>
      <c r="JVR155" s="133"/>
      <c r="JVS155" s="133"/>
      <c r="JVT155" s="133"/>
      <c r="JVU155" s="133"/>
      <c r="JVV155" s="133"/>
      <c r="JVW155" s="133"/>
      <c r="JVX155" s="133"/>
      <c r="JVY155" s="133"/>
      <c r="JVZ155" s="133"/>
      <c r="JWA155" s="133"/>
      <c r="JWB155" s="133"/>
      <c r="JWC155" s="133"/>
      <c r="JWD155" s="133"/>
      <c r="JWE155" s="133"/>
      <c r="JWF155" s="133"/>
      <c r="JWG155" s="133"/>
      <c r="JWH155" s="133"/>
      <c r="JWI155" s="133"/>
      <c r="JWJ155" s="133"/>
      <c r="JWK155" s="133"/>
      <c r="JWL155" s="133"/>
      <c r="JWM155" s="133"/>
      <c r="JWN155" s="133"/>
      <c r="JWO155" s="133"/>
      <c r="JWP155" s="133"/>
      <c r="JWQ155" s="133"/>
      <c r="JWR155" s="133"/>
      <c r="JWS155" s="133"/>
      <c r="JWT155" s="133"/>
      <c r="JWU155" s="133"/>
      <c r="JWV155" s="133"/>
      <c r="JWW155" s="133"/>
      <c r="JWX155" s="133"/>
      <c r="JWY155" s="133"/>
      <c r="JWZ155" s="133"/>
      <c r="JXA155" s="133"/>
      <c r="JXB155" s="133"/>
      <c r="JXC155" s="133"/>
      <c r="JXD155" s="133"/>
      <c r="JXE155" s="133"/>
      <c r="JXF155" s="133"/>
      <c r="JXG155" s="133"/>
      <c r="JXH155" s="133"/>
      <c r="JXI155" s="133"/>
      <c r="JXJ155" s="133"/>
      <c r="JXK155" s="133"/>
      <c r="JXL155" s="133"/>
      <c r="JXM155" s="133"/>
      <c r="JXN155" s="133"/>
      <c r="JXO155" s="133"/>
      <c r="JXP155" s="133"/>
      <c r="JXQ155" s="133"/>
      <c r="JXR155" s="133"/>
      <c r="JXS155" s="133"/>
      <c r="JXT155" s="133"/>
      <c r="JXU155" s="133"/>
      <c r="JXV155" s="133"/>
      <c r="JXW155" s="133"/>
      <c r="JXX155" s="133"/>
      <c r="JXY155" s="133"/>
      <c r="JXZ155" s="133"/>
      <c r="JYA155" s="133"/>
      <c r="JYB155" s="133"/>
      <c r="JYC155" s="133"/>
      <c r="JYD155" s="133"/>
      <c r="JYE155" s="133"/>
      <c r="JYF155" s="133"/>
      <c r="JYG155" s="133"/>
      <c r="JYH155" s="133"/>
      <c r="JYI155" s="133"/>
      <c r="JYJ155" s="133"/>
      <c r="JYK155" s="133"/>
      <c r="JYL155" s="133"/>
      <c r="JYM155" s="133"/>
      <c r="JYN155" s="133"/>
      <c r="JYO155" s="133"/>
      <c r="JYP155" s="133"/>
      <c r="JYQ155" s="133"/>
      <c r="JYR155" s="133"/>
      <c r="JYS155" s="133"/>
      <c r="JYT155" s="133"/>
      <c r="JYU155" s="133"/>
      <c r="JYV155" s="133"/>
      <c r="JYW155" s="133"/>
      <c r="JYX155" s="133"/>
      <c r="JYY155" s="133"/>
      <c r="JYZ155" s="133"/>
      <c r="JZA155" s="133"/>
      <c r="JZB155" s="133"/>
      <c r="JZC155" s="133"/>
      <c r="JZD155" s="133"/>
      <c r="JZE155" s="133"/>
      <c r="JZF155" s="133"/>
      <c r="JZG155" s="133"/>
      <c r="JZH155" s="133"/>
      <c r="JZI155" s="133"/>
      <c r="JZJ155" s="133"/>
      <c r="JZK155" s="133"/>
      <c r="JZL155" s="133"/>
      <c r="JZM155" s="133"/>
      <c r="JZN155" s="133"/>
      <c r="JZO155" s="133"/>
      <c r="JZP155" s="133"/>
      <c r="JZQ155" s="133"/>
      <c r="JZR155" s="133"/>
      <c r="JZS155" s="133"/>
      <c r="JZT155" s="133"/>
      <c r="JZU155" s="133"/>
      <c r="JZV155" s="133"/>
      <c r="JZW155" s="133"/>
      <c r="JZX155" s="133"/>
      <c r="JZY155" s="133"/>
      <c r="JZZ155" s="133"/>
      <c r="KAA155" s="133"/>
      <c r="KAB155" s="133"/>
      <c r="KAC155" s="133"/>
      <c r="KAD155" s="133"/>
      <c r="KAE155" s="133"/>
      <c r="KAF155" s="133"/>
      <c r="KAG155" s="133"/>
      <c r="KAH155" s="133"/>
      <c r="KAI155" s="133"/>
      <c r="KAJ155" s="133"/>
      <c r="KAK155" s="133"/>
      <c r="KAL155" s="133"/>
      <c r="KAM155" s="133"/>
      <c r="KAN155" s="133"/>
      <c r="KAO155" s="133"/>
      <c r="KAP155" s="133"/>
      <c r="KAQ155" s="133"/>
      <c r="KAR155" s="133"/>
      <c r="KAS155" s="133"/>
      <c r="KAT155" s="133"/>
      <c r="KAU155" s="133"/>
      <c r="KAV155" s="133"/>
      <c r="KAW155" s="133"/>
      <c r="KAX155" s="133"/>
      <c r="KAY155" s="133"/>
      <c r="KAZ155" s="133"/>
      <c r="KBA155" s="133"/>
      <c r="KBB155" s="133"/>
      <c r="KBC155" s="133"/>
      <c r="KBD155" s="133"/>
      <c r="KBE155" s="133"/>
      <c r="KBF155" s="133"/>
      <c r="KBG155" s="133"/>
      <c r="KBH155" s="133"/>
      <c r="KBI155" s="133"/>
      <c r="KBJ155" s="133"/>
      <c r="KBK155" s="133"/>
      <c r="KBL155" s="133"/>
      <c r="KBM155" s="133"/>
      <c r="KBN155" s="133"/>
      <c r="KBO155" s="133"/>
      <c r="KBP155" s="133"/>
      <c r="KBQ155" s="133"/>
      <c r="KBR155" s="133"/>
      <c r="KBS155" s="133"/>
      <c r="KBT155" s="133"/>
      <c r="KBU155" s="133"/>
      <c r="KBV155" s="133"/>
      <c r="KBW155" s="133"/>
      <c r="KBX155" s="133"/>
      <c r="KBY155" s="133"/>
      <c r="KBZ155" s="133"/>
      <c r="KCA155" s="133"/>
      <c r="KCB155" s="133"/>
      <c r="KCC155" s="133"/>
      <c r="KCD155" s="133"/>
      <c r="KCE155" s="133"/>
      <c r="KCF155" s="133"/>
      <c r="KCG155" s="133"/>
      <c r="KCH155" s="133"/>
      <c r="KCI155" s="133"/>
      <c r="KCJ155" s="133"/>
      <c r="KCK155" s="133"/>
      <c r="KCL155" s="133"/>
      <c r="KCM155" s="133"/>
      <c r="KCN155" s="133"/>
      <c r="KCO155" s="133"/>
      <c r="KCP155" s="133"/>
      <c r="KCQ155" s="133"/>
      <c r="KCR155" s="133"/>
      <c r="KCS155" s="133"/>
      <c r="KCT155" s="133"/>
      <c r="KCU155" s="133"/>
      <c r="KCV155" s="133"/>
      <c r="KCW155" s="133"/>
      <c r="KCX155" s="133"/>
      <c r="KCY155" s="133"/>
      <c r="KCZ155" s="133"/>
      <c r="KDA155" s="133"/>
      <c r="KDB155" s="133"/>
      <c r="KDC155" s="133"/>
      <c r="KDD155" s="133"/>
      <c r="KDE155" s="133"/>
      <c r="KDF155" s="133"/>
      <c r="KDG155" s="133"/>
      <c r="KDH155" s="133"/>
      <c r="KDI155" s="133"/>
      <c r="KDJ155" s="133"/>
      <c r="KDK155" s="133"/>
      <c r="KDL155" s="133"/>
      <c r="KDM155" s="133"/>
      <c r="KDN155" s="133"/>
      <c r="KDO155" s="133"/>
      <c r="KDP155" s="133"/>
      <c r="KDQ155" s="133"/>
      <c r="KDR155" s="133"/>
      <c r="KDS155" s="133"/>
      <c r="KDT155" s="133"/>
      <c r="KDU155" s="133"/>
      <c r="KDV155" s="133"/>
      <c r="KDW155" s="133"/>
      <c r="KDX155" s="133"/>
      <c r="KDY155" s="133"/>
      <c r="KDZ155" s="133"/>
      <c r="KEA155" s="133"/>
      <c r="KEB155" s="133"/>
      <c r="KEC155" s="133"/>
      <c r="KED155" s="133"/>
      <c r="KEE155" s="133"/>
      <c r="KEF155" s="133"/>
      <c r="KEG155" s="133"/>
      <c r="KEH155" s="133"/>
      <c r="KEI155" s="133"/>
      <c r="KEJ155" s="133"/>
      <c r="KEK155" s="133"/>
      <c r="KEL155" s="133"/>
      <c r="KEM155" s="133"/>
      <c r="KEN155" s="133"/>
      <c r="KEO155" s="133"/>
      <c r="KEP155" s="133"/>
      <c r="KEQ155" s="133"/>
      <c r="KER155" s="133"/>
      <c r="KES155" s="133"/>
      <c r="KET155" s="133"/>
      <c r="KEU155" s="133"/>
      <c r="KEV155" s="133"/>
      <c r="KEW155" s="133"/>
      <c r="KEX155" s="133"/>
      <c r="KEY155" s="133"/>
      <c r="KEZ155" s="133"/>
      <c r="KFA155" s="133"/>
      <c r="KFB155" s="133"/>
      <c r="KFC155" s="133"/>
      <c r="KFD155" s="133"/>
      <c r="KFE155" s="133"/>
      <c r="KFF155" s="133"/>
      <c r="KFG155" s="133"/>
      <c r="KFH155" s="133"/>
      <c r="KFI155" s="133"/>
      <c r="KFJ155" s="133"/>
      <c r="KFK155" s="133"/>
      <c r="KFL155" s="133"/>
      <c r="KFM155" s="133"/>
      <c r="KFN155" s="133"/>
      <c r="KFO155" s="133"/>
      <c r="KFP155" s="133"/>
      <c r="KFQ155" s="133"/>
      <c r="KFR155" s="133"/>
      <c r="KFS155" s="133"/>
      <c r="KFT155" s="133"/>
      <c r="KFU155" s="133"/>
      <c r="KFV155" s="133"/>
      <c r="KFW155" s="133"/>
      <c r="KFX155" s="133"/>
      <c r="KFY155" s="133"/>
      <c r="KFZ155" s="133"/>
      <c r="KGA155" s="133"/>
      <c r="KGB155" s="133"/>
      <c r="KGC155" s="133"/>
      <c r="KGD155" s="133"/>
      <c r="KGE155" s="133"/>
      <c r="KGF155" s="133"/>
      <c r="KGG155" s="133"/>
      <c r="KGH155" s="133"/>
      <c r="KGI155" s="133"/>
      <c r="KGJ155" s="133"/>
      <c r="KGK155" s="133"/>
      <c r="KGL155" s="133"/>
      <c r="KGM155" s="133"/>
      <c r="KGN155" s="133"/>
      <c r="KGO155" s="133"/>
      <c r="KGP155" s="133"/>
      <c r="KGQ155" s="133"/>
      <c r="KGR155" s="133"/>
      <c r="KGS155" s="133"/>
      <c r="KGT155" s="133"/>
      <c r="KGU155" s="133"/>
      <c r="KGV155" s="133"/>
      <c r="KGW155" s="133"/>
      <c r="KGX155" s="133"/>
      <c r="KGY155" s="133"/>
      <c r="KGZ155" s="133"/>
      <c r="KHA155" s="133"/>
      <c r="KHB155" s="133"/>
      <c r="KHC155" s="133"/>
      <c r="KHD155" s="133"/>
      <c r="KHE155" s="133"/>
      <c r="KHF155" s="133"/>
      <c r="KHG155" s="133"/>
      <c r="KHH155" s="133"/>
      <c r="KHI155" s="133"/>
      <c r="KHJ155" s="133"/>
      <c r="KHK155" s="133"/>
      <c r="KHL155" s="133"/>
      <c r="KHM155" s="133"/>
      <c r="KHN155" s="133"/>
      <c r="KHO155" s="133"/>
      <c r="KHP155" s="133"/>
      <c r="KHQ155" s="133"/>
      <c r="KHR155" s="133"/>
      <c r="KHS155" s="133"/>
      <c r="KHT155" s="133"/>
      <c r="KHU155" s="133"/>
      <c r="KHV155" s="133"/>
      <c r="KHW155" s="133"/>
      <c r="KHX155" s="133"/>
      <c r="KHY155" s="133"/>
      <c r="KHZ155" s="133"/>
      <c r="KIA155" s="133"/>
      <c r="KIB155" s="133"/>
      <c r="KIC155" s="133"/>
      <c r="KID155" s="133"/>
      <c r="KIE155" s="133"/>
      <c r="KIF155" s="133"/>
      <c r="KIG155" s="133"/>
      <c r="KIH155" s="133"/>
      <c r="KII155" s="133"/>
      <c r="KIJ155" s="133"/>
      <c r="KIK155" s="133"/>
      <c r="KIL155" s="133"/>
      <c r="KIM155" s="133"/>
      <c r="KIN155" s="133"/>
      <c r="KIO155" s="133"/>
      <c r="KIP155" s="133"/>
      <c r="KIQ155" s="133"/>
      <c r="KIR155" s="133"/>
      <c r="KIS155" s="133"/>
      <c r="KIT155" s="133"/>
      <c r="KIU155" s="133"/>
      <c r="KIV155" s="133"/>
      <c r="KIW155" s="133"/>
      <c r="KIX155" s="133"/>
      <c r="KIY155" s="133"/>
      <c r="KIZ155" s="133"/>
      <c r="KJA155" s="133"/>
      <c r="KJB155" s="133"/>
      <c r="KJC155" s="133"/>
      <c r="KJD155" s="133"/>
      <c r="KJE155" s="133"/>
      <c r="KJF155" s="133"/>
      <c r="KJG155" s="133"/>
      <c r="KJH155" s="133"/>
      <c r="KJI155" s="133"/>
      <c r="KJJ155" s="133"/>
      <c r="KJK155" s="133"/>
      <c r="KJL155" s="133"/>
      <c r="KJM155" s="133"/>
      <c r="KJN155" s="133"/>
      <c r="KJO155" s="133"/>
      <c r="KJP155" s="133"/>
      <c r="KJQ155" s="133"/>
      <c r="KJR155" s="133"/>
      <c r="KJS155" s="133"/>
      <c r="KJT155" s="133"/>
      <c r="KJU155" s="133"/>
      <c r="KJV155" s="133"/>
      <c r="KJW155" s="133"/>
      <c r="KJX155" s="133"/>
      <c r="KJY155" s="133"/>
      <c r="KJZ155" s="133"/>
      <c r="KKA155" s="133"/>
      <c r="KKB155" s="133"/>
      <c r="KKC155" s="133"/>
      <c r="KKD155" s="133"/>
      <c r="KKE155" s="133"/>
      <c r="KKF155" s="133"/>
      <c r="KKG155" s="133"/>
      <c r="KKH155" s="133"/>
      <c r="KKI155" s="133"/>
      <c r="KKJ155" s="133"/>
      <c r="KKK155" s="133"/>
      <c r="KKL155" s="133"/>
      <c r="KKM155" s="133"/>
      <c r="KKN155" s="133"/>
      <c r="KKO155" s="133"/>
      <c r="KKP155" s="133"/>
      <c r="KKQ155" s="133"/>
      <c r="KKR155" s="133"/>
      <c r="KKS155" s="133"/>
      <c r="KKT155" s="133"/>
      <c r="KKU155" s="133"/>
      <c r="KKV155" s="133"/>
      <c r="KKW155" s="133"/>
      <c r="KKX155" s="133"/>
      <c r="KKY155" s="133"/>
      <c r="KKZ155" s="133"/>
      <c r="KLA155" s="133"/>
      <c r="KLB155" s="133"/>
      <c r="KLC155" s="133"/>
      <c r="KLD155" s="133"/>
      <c r="KLE155" s="133"/>
      <c r="KLF155" s="133"/>
      <c r="KLG155" s="133"/>
      <c r="KLH155" s="133"/>
      <c r="KLI155" s="133"/>
      <c r="KLJ155" s="133"/>
      <c r="KLK155" s="133"/>
      <c r="KLL155" s="133"/>
      <c r="KLM155" s="133"/>
      <c r="KLN155" s="133"/>
      <c r="KLO155" s="133"/>
      <c r="KLP155" s="133"/>
      <c r="KLQ155" s="133"/>
      <c r="KLR155" s="133"/>
      <c r="KLS155" s="133"/>
      <c r="KLT155" s="133"/>
      <c r="KLU155" s="133"/>
      <c r="KLV155" s="133"/>
      <c r="KLW155" s="133"/>
      <c r="KLX155" s="133"/>
      <c r="KLY155" s="133"/>
      <c r="KLZ155" s="133"/>
      <c r="KMA155" s="133"/>
      <c r="KMB155" s="133"/>
      <c r="KMC155" s="133"/>
      <c r="KMD155" s="133"/>
      <c r="KME155" s="133"/>
      <c r="KMF155" s="133"/>
      <c r="KMG155" s="133"/>
      <c r="KMH155" s="133"/>
      <c r="KMI155" s="133"/>
      <c r="KMJ155" s="133"/>
      <c r="KMK155" s="133"/>
      <c r="KML155" s="133"/>
      <c r="KMM155" s="133"/>
      <c r="KMN155" s="133"/>
      <c r="KMO155" s="133"/>
      <c r="KMP155" s="133"/>
      <c r="KMQ155" s="133"/>
      <c r="KMR155" s="133"/>
      <c r="KMS155" s="133"/>
      <c r="KMT155" s="133"/>
      <c r="KMU155" s="133"/>
      <c r="KMV155" s="133"/>
      <c r="KMW155" s="133"/>
      <c r="KMX155" s="133"/>
      <c r="KMY155" s="133"/>
      <c r="KMZ155" s="133"/>
      <c r="KNA155" s="133"/>
      <c r="KNB155" s="133"/>
      <c r="KNC155" s="133"/>
      <c r="KND155" s="133"/>
      <c r="KNE155" s="133"/>
      <c r="KNF155" s="133"/>
      <c r="KNG155" s="133"/>
      <c r="KNH155" s="133"/>
      <c r="KNI155" s="133"/>
      <c r="KNJ155" s="133"/>
      <c r="KNK155" s="133"/>
      <c r="KNL155" s="133"/>
      <c r="KNM155" s="133"/>
      <c r="KNN155" s="133"/>
      <c r="KNO155" s="133"/>
      <c r="KNP155" s="133"/>
      <c r="KNQ155" s="133"/>
      <c r="KNR155" s="133"/>
      <c r="KNS155" s="133"/>
      <c r="KNT155" s="133"/>
      <c r="KNU155" s="133"/>
      <c r="KNV155" s="133"/>
      <c r="KNW155" s="133"/>
      <c r="KNX155" s="133"/>
      <c r="KNY155" s="133"/>
      <c r="KNZ155" s="133"/>
      <c r="KOA155" s="133"/>
      <c r="KOB155" s="133"/>
      <c r="KOC155" s="133"/>
      <c r="KOD155" s="133"/>
      <c r="KOE155" s="133"/>
      <c r="KOF155" s="133"/>
      <c r="KOG155" s="133"/>
      <c r="KOH155" s="133"/>
      <c r="KOI155" s="133"/>
      <c r="KOJ155" s="133"/>
      <c r="KOK155" s="133"/>
      <c r="KOL155" s="133"/>
      <c r="KOM155" s="133"/>
      <c r="KON155" s="133"/>
      <c r="KOO155" s="133"/>
      <c r="KOP155" s="133"/>
      <c r="KOQ155" s="133"/>
      <c r="KOR155" s="133"/>
      <c r="KOS155" s="133"/>
      <c r="KOT155" s="133"/>
      <c r="KOU155" s="133"/>
      <c r="KOV155" s="133"/>
      <c r="KOW155" s="133"/>
      <c r="KOX155" s="133"/>
      <c r="KOY155" s="133"/>
      <c r="KOZ155" s="133"/>
      <c r="KPA155" s="133"/>
      <c r="KPB155" s="133"/>
      <c r="KPC155" s="133"/>
      <c r="KPD155" s="133"/>
      <c r="KPE155" s="133"/>
      <c r="KPF155" s="133"/>
      <c r="KPG155" s="133"/>
      <c r="KPH155" s="133"/>
      <c r="KPI155" s="133"/>
      <c r="KPJ155" s="133"/>
      <c r="KPK155" s="133"/>
      <c r="KPL155" s="133"/>
      <c r="KPM155" s="133"/>
      <c r="KPN155" s="133"/>
      <c r="KPO155" s="133"/>
      <c r="KPP155" s="133"/>
      <c r="KPQ155" s="133"/>
      <c r="KPR155" s="133"/>
      <c r="KPS155" s="133"/>
      <c r="KPT155" s="133"/>
      <c r="KPU155" s="133"/>
      <c r="KPV155" s="133"/>
      <c r="KPW155" s="133"/>
      <c r="KPX155" s="133"/>
      <c r="KPY155" s="133"/>
      <c r="KPZ155" s="133"/>
      <c r="KQA155" s="133"/>
      <c r="KQB155" s="133"/>
      <c r="KQC155" s="133"/>
      <c r="KQD155" s="133"/>
      <c r="KQE155" s="133"/>
      <c r="KQF155" s="133"/>
      <c r="KQG155" s="133"/>
      <c r="KQH155" s="133"/>
      <c r="KQI155" s="133"/>
      <c r="KQJ155" s="133"/>
      <c r="KQK155" s="133"/>
      <c r="KQL155" s="133"/>
      <c r="KQM155" s="133"/>
      <c r="KQN155" s="133"/>
      <c r="KQO155" s="133"/>
      <c r="KQP155" s="133"/>
      <c r="KQQ155" s="133"/>
      <c r="KQR155" s="133"/>
      <c r="KQS155" s="133"/>
      <c r="KQT155" s="133"/>
      <c r="KQU155" s="133"/>
      <c r="KQV155" s="133"/>
      <c r="KQW155" s="133"/>
      <c r="KQX155" s="133"/>
      <c r="KQY155" s="133"/>
      <c r="KQZ155" s="133"/>
      <c r="KRA155" s="133"/>
      <c r="KRB155" s="133"/>
      <c r="KRC155" s="133"/>
      <c r="KRD155" s="133"/>
      <c r="KRE155" s="133"/>
      <c r="KRF155" s="133"/>
      <c r="KRG155" s="133"/>
      <c r="KRH155" s="133"/>
      <c r="KRI155" s="133"/>
      <c r="KRJ155" s="133"/>
      <c r="KRK155" s="133"/>
      <c r="KRL155" s="133"/>
      <c r="KRM155" s="133"/>
      <c r="KRN155" s="133"/>
      <c r="KRO155" s="133"/>
      <c r="KRP155" s="133"/>
      <c r="KRQ155" s="133"/>
      <c r="KRR155" s="133"/>
      <c r="KRS155" s="133"/>
      <c r="KRT155" s="133"/>
      <c r="KRU155" s="133"/>
      <c r="KRV155" s="133"/>
      <c r="KRW155" s="133"/>
      <c r="KRX155" s="133"/>
      <c r="KRY155" s="133"/>
      <c r="KRZ155" s="133"/>
      <c r="KSA155" s="133"/>
      <c r="KSB155" s="133"/>
      <c r="KSC155" s="133"/>
      <c r="KSD155" s="133"/>
      <c r="KSE155" s="133"/>
      <c r="KSF155" s="133"/>
      <c r="KSG155" s="133"/>
      <c r="KSH155" s="133"/>
      <c r="KSI155" s="133"/>
      <c r="KSJ155" s="133"/>
      <c r="KSK155" s="133"/>
      <c r="KSL155" s="133"/>
      <c r="KSM155" s="133"/>
      <c r="KSN155" s="133"/>
      <c r="KSO155" s="133"/>
      <c r="KSP155" s="133"/>
      <c r="KSQ155" s="133"/>
      <c r="KSR155" s="133"/>
      <c r="KSS155" s="133"/>
      <c r="KST155" s="133"/>
      <c r="KSU155" s="133"/>
      <c r="KSV155" s="133"/>
      <c r="KSW155" s="133"/>
      <c r="KSX155" s="133"/>
      <c r="KSY155" s="133"/>
      <c r="KSZ155" s="133"/>
      <c r="KTA155" s="133"/>
      <c r="KTB155" s="133"/>
      <c r="KTC155" s="133"/>
      <c r="KTD155" s="133"/>
      <c r="KTE155" s="133"/>
      <c r="KTF155" s="133"/>
      <c r="KTG155" s="133"/>
      <c r="KTH155" s="133"/>
      <c r="KTI155" s="133"/>
      <c r="KTJ155" s="133"/>
      <c r="KTK155" s="133"/>
      <c r="KTL155" s="133"/>
      <c r="KTM155" s="133"/>
      <c r="KTN155" s="133"/>
      <c r="KTO155" s="133"/>
      <c r="KTP155" s="133"/>
      <c r="KTQ155" s="133"/>
      <c r="KTR155" s="133"/>
      <c r="KTS155" s="133"/>
      <c r="KTT155" s="133"/>
      <c r="KTU155" s="133"/>
      <c r="KTV155" s="133"/>
      <c r="KTW155" s="133"/>
      <c r="KTX155" s="133"/>
      <c r="KTY155" s="133"/>
      <c r="KTZ155" s="133"/>
      <c r="KUA155" s="133"/>
      <c r="KUB155" s="133"/>
      <c r="KUC155" s="133"/>
      <c r="KUD155" s="133"/>
      <c r="KUE155" s="133"/>
      <c r="KUF155" s="133"/>
      <c r="KUG155" s="133"/>
      <c r="KUH155" s="133"/>
      <c r="KUI155" s="133"/>
      <c r="KUJ155" s="133"/>
      <c r="KUK155" s="133"/>
      <c r="KUL155" s="133"/>
      <c r="KUM155" s="133"/>
      <c r="KUN155" s="133"/>
      <c r="KUO155" s="133"/>
      <c r="KUP155" s="133"/>
      <c r="KUQ155" s="133"/>
      <c r="KUR155" s="133"/>
      <c r="KUS155" s="133"/>
      <c r="KUT155" s="133"/>
      <c r="KUU155" s="133"/>
      <c r="KUV155" s="133"/>
      <c r="KUW155" s="133"/>
      <c r="KUX155" s="133"/>
      <c r="KUY155" s="133"/>
      <c r="KUZ155" s="133"/>
      <c r="KVA155" s="133"/>
      <c r="KVB155" s="133"/>
      <c r="KVC155" s="133"/>
      <c r="KVD155" s="133"/>
      <c r="KVE155" s="133"/>
      <c r="KVF155" s="133"/>
      <c r="KVG155" s="133"/>
      <c r="KVH155" s="133"/>
      <c r="KVI155" s="133"/>
      <c r="KVJ155" s="133"/>
      <c r="KVK155" s="133"/>
      <c r="KVL155" s="133"/>
      <c r="KVM155" s="133"/>
      <c r="KVN155" s="133"/>
      <c r="KVO155" s="133"/>
      <c r="KVP155" s="133"/>
      <c r="KVQ155" s="133"/>
      <c r="KVR155" s="133"/>
      <c r="KVS155" s="133"/>
      <c r="KVT155" s="133"/>
      <c r="KVU155" s="133"/>
      <c r="KVV155" s="133"/>
      <c r="KVW155" s="133"/>
      <c r="KVX155" s="133"/>
      <c r="KVY155" s="133"/>
      <c r="KVZ155" s="133"/>
      <c r="KWA155" s="133"/>
      <c r="KWB155" s="133"/>
      <c r="KWC155" s="133"/>
      <c r="KWD155" s="133"/>
      <c r="KWE155" s="133"/>
      <c r="KWF155" s="133"/>
      <c r="KWG155" s="133"/>
      <c r="KWH155" s="133"/>
      <c r="KWI155" s="133"/>
      <c r="KWJ155" s="133"/>
      <c r="KWK155" s="133"/>
      <c r="KWL155" s="133"/>
      <c r="KWM155" s="133"/>
      <c r="KWN155" s="133"/>
      <c r="KWO155" s="133"/>
      <c r="KWP155" s="133"/>
      <c r="KWQ155" s="133"/>
      <c r="KWR155" s="133"/>
      <c r="KWS155" s="133"/>
      <c r="KWT155" s="133"/>
      <c r="KWU155" s="133"/>
      <c r="KWV155" s="133"/>
      <c r="KWW155" s="133"/>
      <c r="KWX155" s="133"/>
      <c r="KWY155" s="133"/>
      <c r="KWZ155" s="133"/>
      <c r="KXA155" s="133"/>
      <c r="KXB155" s="133"/>
      <c r="KXC155" s="133"/>
      <c r="KXD155" s="133"/>
      <c r="KXE155" s="133"/>
      <c r="KXF155" s="133"/>
      <c r="KXG155" s="133"/>
      <c r="KXH155" s="133"/>
      <c r="KXI155" s="133"/>
      <c r="KXJ155" s="133"/>
      <c r="KXK155" s="133"/>
      <c r="KXL155" s="133"/>
      <c r="KXM155" s="133"/>
      <c r="KXN155" s="133"/>
      <c r="KXO155" s="133"/>
      <c r="KXP155" s="133"/>
      <c r="KXQ155" s="133"/>
      <c r="KXR155" s="133"/>
      <c r="KXS155" s="133"/>
      <c r="KXT155" s="133"/>
      <c r="KXU155" s="133"/>
      <c r="KXV155" s="133"/>
      <c r="KXW155" s="133"/>
      <c r="KXX155" s="133"/>
      <c r="KXY155" s="133"/>
      <c r="KXZ155" s="133"/>
      <c r="KYA155" s="133"/>
      <c r="KYB155" s="133"/>
      <c r="KYC155" s="133"/>
      <c r="KYD155" s="133"/>
      <c r="KYE155" s="133"/>
      <c r="KYF155" s="133"/>
      <c r="KYG155" s="133"/>
      <c r="KYH155" s="133"/>
      <c r="KYI155" s="133"/>
      <c r="KYJ155" s="133"/>
      <c r="KYK155" s="133"/>
      <c r="KYL155" s="133"/>
      <c r="KYM155" s="133"/>
      <c r="KYN155" s="133"/>
      <c r="KYO155" s="133"/>
      <c r="KYP155" s="133"/>
      <c r="KYQ155" s="133"/>
      <c r="KYR155" s="133"/>
      <c r="KYS155" s="133"/>
      <c r="KYT155" s="133"/>
      <c r="KYU155" s="133"/>
      <c r="KYV155" s="133"/>
      <c r="KYW155" s="133"/>
      <c r="KYX155" s="133"/>
      <c r="KYY155" s="133"/>
      <c r="KYZ155" s="133"/>
      <c r="KZA155" s="133"/>
      <c r="KZB155" s="133"/>
      <c r="KZC155" s="133"/>
      <c r="KZD155" s="133"/>
      <c r="KZE155" s="133"/>
      <c r="KZF155" s="133"/>
      <c r="KZG155" s="133"/>
      <c r="KZH155" s="133"/>
      <c r="KZI155" s="133"/>
      <c r="KZJ155" s="133"/>
      <c r="KZK155" s="133"/>
      <c r="KZL155" s="133"/>
      <c r="KZM155" s="133"/>
      <c r="KZN155" s="133"/>
      <c r="KZO155" s="133"/>
      <c r="KZP155" s="133"/>
      <c r="KZQ155" s="133"/>
      <c r="KZR155" s="133"/>
      <c r="KZS155" s="133"/>
      <c r="KZT155" s="133"/>
      <c r="KZU155" s="133"/>
      <c r="KZV155" s="133"/>
      <c r="KZW155" s="133"/>
      <c r="KZX155" s="133"/>
      <c r="KZY155" s="133"/>
      <c r="KZZ155" s="133"/>
      <c r="LAA155" s="133"/>
      <c r="LAB155" s="133"/>
      <c r="LAC155" s="133"/>
      <c r="LAD155" s="133"/>
      <c r="LAE155" s="133"/>
      <c r="LAF155" s="133"/>
      <c r="LAG155" s="133"/>
      <c r="LAH155" s="133"/>
      <c r="LAI155" s="133"/>
      <c r="LAJ155" s="133"/>
      <c r="LAK155" s="133"/>
      <c r="LAL155" s="133"/>
      <c r="LAM155" s="133"/>
      <c r="LAN155" s="133"/>
      <c r="LAO155" s="133"/>
      <c r="LAP155" s="133"/>
      <c r="LAQ155" s="133"/>
      <c r="LAR155" s="133"/>
      <c r="LAS155" s="133"/>
      <c r="LAT155" s="133"/>
      <c r="LAU155" s="133"/>
      <c r="LAV155" s="133"/>
      <c r="LAW155" s="133"/>
      <c r="LAX155" s="133"/>
      <c r="LAY155" s="133"/>
      <c r="LAZ155" s="133"/>
      <c r="LBA155" s="133"/>
      <c r="LBB155" s="133"/>
      <c r="LBC155" s="133"/>
      <c r="LBD155" s="133"/>
      <c r="LBE155" s="133"/>
      <c r="LBF155" s="133"/>
      <c r="LBG155" s="133"/>
      <c r="LBH155" s="133"/>
      <c r="LBI155" s="133"/>
      <c r="LBJ155" s="133"/>
      <c r="LBK155" s="133"/>
      <c r="LBL155" s="133"/>
      <c r="LBM155" s="133"/>
      <c r="LBN155" s="133"/>
      <c r="LBO155" s="133"/>
      <c r="LBP155" s="133"/>
      <c r="LBQ155" s="133"/>
      <c r="LBR155" s="133"/>
      <c r="LBS155" s="133"/>
      <c r="LBT155" s="133"/>
      <c r="LBU155" s="133"/>
      <c r="LBV155" s="133"/>
      <c r="LBW155" s="133"/>
      <c r="LBX155" s="133"/>
      <c r="LBY155" s="133"/>
      <c r="LBZ155" s="133"/>
      <c r="LCA155" s="133"/>
      <c r="LCB155" s="133"/>
      <c r="LCC155" s="133"/>
      <c r="LCD155" s="133"/>
      <c r="LCE155" s="133"/>
      <c r="LCF155" s="133"/>
      <c r="LCG155" s="133"/>
      <c r="LCH155" s="133"/>
      <c r="LCI155" s="133"/>
      <c r="LCJ155" s="133"/>
      <c r="LCK155" s="133"/>
      <c r="LCL155" s="133"/>
      <c r="LCM155" s="133"/>
      <c r="LCN155" s="133"/>
      <c r="LCO155" s="133"/>
      <c r="LCP155" s="133"/>
      <c r="LCQ155" s="133"/>
      <c r="LCR155" s="133"/>
      <c r="LCS155" s="133"/>
      <c r="LCT155" s="133"/>
      <c r="LCU155" s="133"/>
      <c r="LCV155" s="133"/>
      <c r="LCW155" s="133"/>
      <c r="LCX155" s="133"/>
      <c r="LCY155" s="133"/>
      <c r="LCZ155" s="133"/>
      <c r="LDA155" s="133"/>
      <c r="LDB155" s="133"/>
      <c r="LDC155" s="133"/>
      <c r="LDD155" s="133"/>
      <c r="LDE155" s="133"/>
      <c r="LDF155" s="133"/>
      <c r="LDG155" s="133"/>
      <c r="LDH155" s="133"/>
      <c r="LDI155" s="133"/>
      <c r="LDJ155" s="133"/>
      <c r="LDK155" s="133"/>
      <c r="LDL155" s="133"/>
      <c r="LDM155" s="133"/>
      <c r="LDN155" s="133"/>
      <c r="LDO155" s="133"/>
      <c r="LDP155" s="133"/>
      <c r="LDQ155" s="133"/>
      <c r="LDR155" s="133"/>
      <c r="LDS155" s="133"/>
      <c r="LDT155" s="133"/>
      <c r="LDU155" s="133"/>
      <c r="LDV155" s="133"/>
      <c r="LDW155" s="133"/>
      <c r="LDX155" s="133"/>
      <c r="LDY155" s="133"/>
      <c r="LDZ155" s="133"/>
      <c r="LEA155" s="133"/>
      <c r="LEB155" s="133"/>
      <c r="LEC155" s="133"/>
      <c r="LED155" s="133"/>
      <c r="LEE155" s="133"/>
      <c r="LEF155" s="133"/>
      <c r="LEG155" s="133"/>
      <c r="LEH155" s="133"/>
      <c r="LEI155" s="133"/>
      <c r="LEJ155" s="133"/>
      <c r="LEK155" s="133"/>
      <c r="LEL155" s="133"/>
      <c r="LEM155" s="133"/>
      <c r="LEN155" s="133"/>
      <c r="LEO155" s="133"/>
      <c r="LEP155" s="133"/>
      <c r="LEQ155" s="133"/>
      <c r="LER155" s="133"/>
      <c r="LES155" s="133"/>
      <c r="LET155" s="133"/>
      <c r="LEU155" s="133"/>
      <c r="LEV155" s="133"/>
      <c r="LEW155" s="133"/>
      <c r="LEX155" s="133"/>
      <c r="LEY155" s="133"/>
      <c r="LEZ155" s="133"/>
      <c r="LFA155" s="133"/>
      <c r="LFB155" s="133"/>
      <c r="LFC155" s="133"/>
      <c r="LFD155" s="133"/>
      <c r="LFE155" s="133"/>
      <c r="LFF155" s="133"/>
      <c r="LFG155" s="133"/>
      <c r="LFH155" s="133"/>
      <c r="LFI155" s="133"/>
      <c r="LFJ155" s="133"/>
      <c r="LFK155" s="133"/>
      <c r="LFL155" s="133"/>
      <c r="LFM155" s="133"/>
      <c r="LFN155" s="133"/>
      <c r="LFO155" s="133"/>
      <c r="LFP155" s="133"/>
      <c r="LFQ155" s="133"/>
      <c r="LFR155" s="133"/>
      <c r="LFS155" s="133"/>
      <c r="LFT155" s="133"/>
      <c r="LFU155" s="133"/>
      <c r="LFV155" s="133"/>
      <c r="LFW155" s="133"/>
      <c r="LFX155" s="133"/>
      <c r="LFY155" s="133"/>
      <c r="LFZ155" s="133"/>
      <c r="LGA155" s="133"/>
      <c r="LGB155" s="133"/>
      <c r="LGC155" s="133"/>
      <c r="LGD155" s="133"/>
      <c r="LGE155" s="133"/>
      <c r="LGF155" s="133"/>
      <c r="LGG155" s="133"/>
      <c r="LGH155" s="133"/>
      <c r="LGI155" s="133"/>
      <c r="LGJ155" s="133"/>
      <c r="LGK155" s="133"/>
      <c r="LGL155" s="133"/>
      <c r="LGM155" s="133"/>
      <c r="LGN155" s="133"/>
      <c r="LGO155" s="133"/>
      <c r="LGP155" s="133"/>
      <c r="LGQ155" s="133"/>
      <c r="LGR155" s="133"/>
      <c r="LGS155" s="133"/>
      <c r="LGT155" s="133"/>
      <c r="LGU155" s="133"/>
      <c r="LGV155" s="133"/>
      <c r="LGW155" s="133"/>
      <c r="LGX155" s="133"/>
      <c r="LGY155" s="133"/>
      <c r="LGZ155" s="133"/>
      <c r="LHA155" s="133"/>
      <c r="LHB155" s="133"/>
      <c r="LHC155" s="133"/>
      <c r="LHD155" s="133"/>
      <c r="LHE155" s="133"/>
      <c r="LHF155" s="133"/>
      <c r="LHG155" s="133"/>
      <c r="LHH155" s="133"/>
      <c r="LHI155" s="133"/>
      <c r="LHJ155" s="133"/>
      <c r="LHK155" s="133"/>
      <c r="LHL155" s="133"/>
      <c r="LHM155" s="133"/>
      <c r="LHN155" s="133"/>
      <c r="LHO155" s="133"/>
      <c r="LHP155" s="133"/>
      <c r="LHQ155" s="133"/>
      <c r="LHR155" s="133"/>
      <c r="LHS155" s="133"/>
      <c r="LHT155" s="133"/>
      <c r="LHU155" s="133"/>
      <c r="LHV155" s="133"/>
      <c r="LHW155" s="133"/>
      <c r="LHX155" s="133"/>
      <c r="LHY155" s="133"/>
      <c r="LHZ155" s="133"/>
      <c r="LIA155" s="133"/>
      <c r="LIB155" s="133"/>
      <c r="LIC155" s="133"/>
      <c r="LID155" s="133"/>
      <c r="LIE155" s="133"/>
      <c r="LIF155" s="133"/>
      <c r="LIG155" s="133"/>
      <c r="LIH155" s="133"/>
      <c r="LII155" s="133"/>
      <c r="LIJ155" s="133"/>
      <c r="LIK155" s="133"/>
      <c r="LIL155" s="133"/>
      <c r="LIM155" s="133"/>
      <c r="LIN155" s="133"/>
      <c r="LIO155" s="133"/>
      <c r="LIP155" s="133"/>
      <c r="LIQ155" s="133"/>
      <c r="LIR155" s="133"/>
      <c r="LIS155" s="133"/>
      <c r="LIT155" s="133"/>
      <c r="LIU155" s="133"/>
      <c r="LIV155" s="133"/>
      <c r="LIW155" s="133"/>
      <c r="LIX155" s="133"/>
      <c r="LIY155" s="133"/>
      <c r="LIZ155" s="133"/>
      <c r="LJA155" s="133"/>
      <c r="LJB155" s="133"/>
      <c r="LJC155" s="133"/>
      <c r="LJD155" s="133"/>
      <c r="LJE155" s="133"/>
      <c r="LJF155" s="133"/>
      <c r="LJG155" s="133"/>
      <c r="LJH155" s="133"/>
      <c r="LJI155" s="133"/>
      <c r="LJJ155" s="133"/>
      <c r="LJK155" s="133"/>
      <c r="LJL155" s="133"/>
      <c r="LJM155" s="133"/>
      <c r="LJN155" s="133"/>
      <c r="LJO155" s="133"/>
      <c r="LJP155" s="133"/>
      <c r="LJQ155" s="133"/>
      <c r="LJR155" s="133"/>
      <c r="LJS155" s="133"/>
      <c r="LJT155" s="133"/>
      <c r="LJU155" s="133"/>
      <c r="LJV155" s="133"/>
      <c r="LJW155" s="133"/>
      <c r="LJX155" s="133"/>
      <c r="LJY155" s="133"/>
      <c r="LJZ155" s="133"/>
      <c r="LKA155" s="133"/>
      <c r="LKB155" s="133"/>
      <c r="LKC155" s="133"/>
      <c r="LKD155" s="133"/>
      <c r="LKE155" s="133"/>
      <c r="LKF155" s="133"/>
      <c r="LKG155" s="133"/>
      <c r="LKH155" s="133"/>
      <c r="LKI155" s="133"/>
      <c r="LKJ155" s="133"/>
      <c r="LKK155" s="133"/>
      <c r="LKL155" s="133"/>
      <c r="LKM155" s="133"/>
      <c r="LKN155" s="133"/>
      <c r="LKO155" s="133"/>
      <c r="LKP155" s="133"/>
      <c r="LKQ155" s="133"/>
      <c r="LKR155" s="133"/>
      <c r="LKS155" s="133"/>
      <c r="LKT155" s="133"/>
      <c r="LKU155" s="133"/>
      <c r="LKV155" s="133"/>
      <c r="LKW155" s="133"/>
      <c r="LKX155" s="133"/>
      <c r="LKY155" s="133"/>
      <c r="LKZ155" s="133"/>
      <c r="LLA155" s="133"/>
      <c r="LLB155" s="133"/>
      <c r="LLC155" s="133"/>
      <c r="LLD155" s="133"/>
      <c r="LLE155" s="133"/>
      <c r="LLF155" s="133"/>
      <c r="LLG155" s="133"/>
      <c r="LLH155" s="133"/>
      <c r="LLI155" s="133"/>
      <c r="LLJ155" s="133"/>
      <c r="LLK155" s="133"/>
      <c r="LLL155" s="133"/>
      <c r="LLM155" s="133"/>
      <c r="LLN155" s="133"/>
      <c r="LLO155" s="133"/>
      <c r="LLP155" s="133"/>
      <c r="LLQ155" s="133"/>
      <c r="LLR155" s="133"/>
      <c r="LLS155" s="133"/>
      <c r="LLT155" s="133"/>
      <c r="LLU155" s="133"/>
      <c r="LLV155" s="133"/>
      <c r="LLW155" s="133"/>
      <c r="LLX155" s="133"/>
      <c r="LLY155" s="133"/>
      <c r="LLZ155" s="133"/>
      <c r="LMA155" s="133"/>
      <c r="LMB155" s="133"/>
      <c r="LMC155" s="133"/>
      <c r="LMD155" s="133"/>
      <c r="LME155" s="133"/>
      <c r="LMF155" s="133"/>
      <c r="LMG155" s="133"/>
      <c r="LMH155" s="133"/>
      <c r="LMI155" s="133"/>
      <c r="LMJ155" s="133"/>
      <c r="LMK155" s="133"/>
      <c r="LML155" s="133"/>
      <c r="LMM155" s="133"/>
      <c r="LMN155" s="133"/>
      <c r="LMO155" s="133"/>
      <c r="LMP155" s="133"/>
      <c r="LMQ155" s="133"/>
      <c r="LMR155" s="133"/>
      <c r="LMS155" s="133"/>
      <c r="LMT155" s="133"/>
      <c r="LMU155" s="133"/>
      <c r="LMV155" s="133"/>
      <c r="LMW155" s="133"/>
      <c r="LMX155" s="133"/>
      <c r="LMY155" s="133"/>
      <c r="LMZ155" s="133"/>
      <c r="LNA155" s="133"/>
      <c r="LNB155" s="133"/>
      <c r="LNC155" s="133"/>
      <c r="LND155" s="133"/>
      <c r="LNE155" s="133"/>
      <c r="LNF155" s="133"/>
      <c r="LNG155" s="133"/>
      <c r="LNH155" s="133"/>
      <c r="LNI155" s="133"/>
      <c r="LNJ155" s="133"/>
      <c r="LNK155" s="133"/>
      <c r="LNL155" s="133"/>
      <c r="LNM155" s="133"/>
      <c r="LNN155" s="133"/>
      <c r="LNO155" s="133"/>
      <c r="LNP155" s="133"/>
      <c r="LNQ155" s="133"/>
      <c r="LNR155" s="133"/>
      <c r="LNS155" s="133"/>
      <c r="LNT155" s="133"/>
      <c r="LNU155" s="133"/>
      <c r="LNV155" s="133"/>
      <c r="LNW155" s="133"/>
      <c r="LNX155" s="133"/>
      <c r="LNY155" s="133"/>
      <c r="LNZ155" s="133"/>
      <c r="LOA155" s="133"/>
      <c r="LOB155" s="133"/>
      <c r="LOC155" s="133"/>
      <c r="LOD155" s="133"/>
      <c r="LOE155" s="133"/>
      <c r="LOF155" s="133"/>
      <c r="LOG155" s="133"/>
      <c r="LOH155" s="133"/>
      <c r="LOI155" s="133"/>
      <c r="LOJ155" s="133"/>
      <c r="LOK155" s="133"/>
      <c r="LOL155" s="133"/>
      <c r="LOM155" s="133"/>
      <c r="LON155" s="133"/>
      <c r="LOO155" s="133"/>
      <c r="LOP155" s="133"/>
      <c r="LOQ155" s="133"/>
      <c r="LOR155" s="133"/>
      <c r="LOS155" s="133"/>
      <c r="LOT155" s="133"/>
      <c r="LOU155" s="133"/>
      <c r="LOV155" s="133"/>
      <c r="LOW155" s="133"/>
      <c r="LOX155" s="133"/>
      <c r="LOY155" s="133"/>
      <c r="LOZ155" s="133"/>
      <c r="LPA155" s="133"/>
      <c r="LPB155" s="133"/>
      <c r="LPC155" s="133"/>
      <c r="LPD155" s="133"/>
      <c r="LPE155" s="133"/>
      <c r="LPF155" s="133"/>
      <c r="LPG155" s="133"/>
      <c r="LPH155" s="133"/>
      <c r="LPI155" s="133"/>
      <c r="LPJ155" s="133"/>
      <c r="LPK155" s="133"/>
      <c r="LPL155" s="133"/>
      <c r="LPM155" s="133"/>
      <c r="LPN155" s="133"/>
      <c r="LPO155" s="133"/>
      <c r="LPP155" s="133"/>
      <c r="LPQ155" s="133"/>
      <c r="LPR155" s="133"/>
      <c r="LPS155" s="133"/>
      <c r="LPT155" s="133"/>
      <c r="LPU155" s="133"/>
      <c r="LPV155" s="133"/>
      <c r="LPW155" s="133"/>
      <c r="LPX155" s="133"/>
      <c r="LPY155" s="133"/>
      <c r="LPZ155" s="133"/>
      <c r="LQA155" s="133"/>
      <c r="LQB155" s="133"/>
      <c r="LQC155" s="133"/>
      <c r="LQD155" s="133"/>
      <c r="LQE155" s="133"/>
      <c r="LQF155" s="133"/>
      <c r="LQG155" s="133"/>
      <c r="LQH155" s="133"/>
      <c r="LQI155" s="133"/>
      <c r="LQJ155" s="133"/>
      <c r="LQK155" s="133"/>
      <c r="LQL155" s="133"/>
      <c r="LQM155" s="133"/>
      <c r="LQN155" s="133"/>
      <c r="LQO155" s="133"/>
      <c r="LQP155" s="133"/>
      <c r="LQQ155" s="133"/>
      <c r="LQR155" s="133"/>
      <c r="LQS155" s="133"/>
      <c r="LQT155" s="133"/>
      <c r="LQU155" s="133"/>
      <c r="LQV155" s="133"/>
      <c r="LQW155" s="133"/>
      <c r="LQX155" s="133"/>
      <c r="LQY155" s="133"/>
      <c r="LQZ155" s="133"/>
      <c r="LRA155" s="133"/>
      <c r="LRB155" s="133"/>
      <c r="LRC155" s="133"/>
      <c r="LRD155" s="133"/>
      <c r="LRE155" s="133"/>
      <c r="LRF155" s="133"/>
      <c r="LRG155" s="133"/>
      <c r="LRH155" s="133"/>
      <c r="LRI155" s="133"/>
      <c r="LRJ155" s="133"/>
      <c r="LRK155" s="133"/>
      <c r="LRL155" s="133"/>
      <c r="LRM155" s="133"/>
      <c r="LRN155" s="133"/>
      <c r="LRO155" s="133"/>
      <c r="LRP155" s="133"/>
      <c r="LRQ155" s="133"/>
      <c r="LRR155" s="133"/>
      <c r="LRS155" s="133"/>
      <c r="LRT155" s="133"/>
      <c r="LRU155" s="133"/>
      <c r="LRV155" s="133"/>
      <c r="LRW155" s="133"/>
      <c r="LRX155" s="133"/>
      <c r="LRY155" s="133"/>
      <c r="LRZ155" s="133"/>
      <c r="LSA155" s="133"/>
      <c r="LSB155" s="133"/>
      <c r="LSC155" s="133"/>
      <c r="LSD155" s="133"/>
      <c r="LSE155" s="133"/>
      <c r="LSF155" s="133"/>
      <c r="LSG155" s="133"/>
      <c r="LSH155" s="133"/>
      <c r="LSI155" s="133"/>
      <c r="LSJ155" s="133"/>
      <c r="LSK155" s="133"/>
      <c r="LSL155" s="133"/>
      <c r="LSM155" s="133"/>
      <c r="LSN155" s="133"/>
      <c r="LSO155" s="133"/>
      <c r="LSP155" s="133"/>
      <c r="LSQ155" s="133"/>
      <c r="LSR155" s="133"/>
      <c r="LSS155" s="133"/>
      <c r="LST155" s="133"/>
      <c r="LSU155" s="133"/>
      <c r="LSV155" s="133"/>
      <c r="LSW155" s="133"/>
      <c r="LSX155" s="133"/>
      <c r="LSY155" s="133"/>
      <c r="LSZ155" s="133"/>
      <c r="LTA155" s="133"/>
      <c r="LTB155" s="133"/>
      <c r="LTC155" s="133"/>
      <c r="LTD155" s="133"/>
      <c r="LTE155" s="133"/>
      <c r="LTF155" s="133"/>
      <c r="LTG155" s="133"/>
      <c r="LTH155" s="133"/>
      <c r="LTI155" s="133"/>
      <c r="LTJ155" s="133"/>
      <c r="LTK155" s="133"/>
      <c r="LTL155" s="133"/>
      <c r="LTM155" s="133"/>
      <c r="LTN155" s="133"/>
      <c r="LTO155" s="133"/>
      <c r="LTP155" s="133"/>
      <c r="LTQ155" s="133"/>
      <c r="LTR155" s="133"/>
      <c r="LTS155" s="133"/>
      <c r="LTT155" s="133"/>
      <c r="LTU155" s="133"/>
      <c r="LTV155" s="133"/>
      <c r="LTW155" s="133"/>
      <c r="LTX155" s="133"/>
      <c r="LTY155" s="133"/>
      <c r="LTZ155" s="133"/>
      <c r="LUA155" s="133"/>
      <c r="LUB155" s="133"/>
      <c r="LUC155" s="133"/>
      <c r="LUD155" s="133"/>
      <c r="LUE155" s="133"/>
      <c r="LUF155" s="133"/>
      <c r="LUG155" s="133"/>
      <c r="LUH155" s="133"/>
      <c r="LUI155" s="133"/>
      <c r="LUJ155" s="133"/>
      <c r="LUK155" s="133"/>
      <c r="LUL155" s="133"/>
      <c r="LUM155" s="133"/>
      <c r="LUN155" s="133"/>
      <c r="LUO155" s="133"/>
      <c r="LUP155" s="133"/>
      <c r="LUQ155" s="133"/>
      <c r="LUR155" s="133"/>
      <c r="LUS155" s="133"/>
      <c r="LUT155" s="133"/>
      <c r="LUU155" s="133"/>
      <c r="LUV155" s="133"/>
      <c r="LUW155" s="133"/>
      <c r="LUX155" s="133"/>
      <c r="LUY155" s="133"/>
      <c r="LUZ155" s="133"/>
      <c r="LVA155" s="133"/>
      <c r="LVB155" s="133"/>
      <c r="LVC155" s="133"/>
      <c r="LVD155" s="133"/>
      <c r="LVE155" s="133"/>
      <c r="LVF155" s="133"/>
      <c r="LVG155" s="133"/>
      <c r="LVH155" s="133"/>
      <c r="LVI155" s="133"/>
      <c r="LVJ155" s="133"/>
      <c r="LVK155" s="133"/>
      <c r="LVL155" s="133"/>
      <c r="LVM155" s="133"/>
      <c r="LVN155" s="133"/>
      <c r="LVO155" s="133"/>
      <c r="LVP155" s="133"/>
      <c r="LVQ155" s="133"/>
      <c r="LVR155" s="133"/>
      <c r="LVS155" s="133"/>
      <c r="LVT155" s="133"/>
      <c r="LVU155" s="133"/>
      <c r="LVV155" s="133"/>
      <c r="LVW155" s="133"/>
      <c r="LVX155" s="133"/>
      <c r="LVY155" s="133"/>
      <c r="LVZ155" s="133"/>
      <c r="LWA155" s="133"/>
      <c r="LWB155" s="133"/>
      <c r="LWC155" s="133"/>
      <c r="LWD155" s="133"/>
      <c r="LWE155" s="133"/>
      <c r="LWF155" s="133"/>
      <c r="LWG155" s="133"/>
      <c r="LWH155" s="133"/>
      <c r="LWI155" s="133"/>
      <c r="LWJ155" s="133"/>
      <c r="LWK155" s="133"/>
      <c r="LWL155" s="133"/>
      <c r="LWM155" s="133"/>
      <c r="LWN155" s="133"/>
      <c r="LWO155" s="133"/>
      <c r="LWP155" s="133"/>
      <c r="LWQ155" s="133"/>
      <c r="LWR155" s="133"/>
      <c r="LWS155" s="133"/>
      <c r="LWT155" s="133"/>
      <c r="LWU155" s="133"/>
      <c r="LWV155" s="133"/>
      <c r="LWW155" s="133"/>
      <c r="LWX155" s="133"/>
      <c r="LWY155" s="133"/>
      <c r="LWZ155" s="133"/>
      <c r="LXA155" s="133"/>
      <c r="LXB155" s="133"/>
      <c r="LXC155" s="133"/>
      <c r="LXD155" s="133"/>
      <c r="LXE155" s="133"/>
      <c r="LXF155" s="133"/>
      <c r="LXG155" s="133"/>
      <c r="LXH155" s="133"/>
      <c r="LXI155" s="133"/>
      <c r="LXJ155" s="133"/>
      <c r="LXK155" s="133"/>
      <c r="LXL155" s="133"/>
      <c r="LXM155" s="133"/>
      <c r="LXN155" s="133"/>
      <c r="LXO155" s="133"/>
      <c r="LXP155" s="133"/>
      <c r="LXQ155" s="133"/>
      <c r="LXR155" s="133"/>
      <c r="LXS155" s="133"/>
      <c r="LXT155" s="133"/>
      <c r="LXU155" s="133"/>
      <c r="LXV155" s="133"/>
      <c r="LXW155" s="133"/>
      <c r="LXX155" s="133"/>
      <c r="LXY155" s="133"/>
      <c r="LXZ155" s="133"/>
      <c r="LYA155" s="133"/>
      <c r="LYB155" s="133"/>
      <c r="LYC155" s="133"/>
      <c r="LYD155" s="133"/>
      <c r="LYE155" s="133"/>
      <c r="LYF155" s="133"/>
      <c r="LYG155" s="133"/>
      <c r="LYH155" s="133"/>
      <c r="LYI155" s="133"/>
      <c r="LYJ155" s="133"/>
      <c r="LYK155" s="133"/>
      <c r="LYL155" s="133"/>
      <c r="LYM155" s="133"/>
      <c r="LYN155" s="133"/>
      <c r="LYO155" s="133"/>
      <c r="LYP155" s="133"/>
      <c r="LYQ155" s="133"/>
      <c r="LYR155" s="133"/>
      <c r="LYS155" s="133"/>
      <c r="LYT155" s="133"/>
      <c r="LYU155" s="133"/>
      <c r="LYV155" s="133"/>
      <c r="LYW155" s="133"/>
      <c r="LYX155" s="133"/>
      <c r="LYY155" s="133"/>
      <c r="LYZ155" s="133"/>
      <c r="LZA155" s="133"/>
      <c r="LZB155" s="133"/>
      <c r="LZC155" s="133"/>
      <c r="LZD155" s="133"/>
      <c r="LZE155" s="133"/>
      <c r="LZF155" s="133"/>
      <c r="LZG155" s="133"/>
      <c r="LZH155" s="133"/>
      <c r="LZI155" s="133"/>
      <c r="LZJ155" s="133"/>
      <c r="LZK155" s="133"/>
      <c r="LZL155" s="133"/>
      <c r="LZM155" s="133"/>
      <c r="LZN155" s="133"/>
      <c r="LZO155" s="133"/>
      <c r="LZP155" s="133"/>
      <c r="LZQ155" s="133"/>
      <c r="LZR155" s="133"/>
      <c r="LZS155" s="133"/>
      <c r="LZT155" s="133"/>
      <c r="LZU155" s="133"/>
      <c r="LZV155" s="133"/>
      <c r="LZW155" s="133"/>
      <c r="LZX155" s="133"/>
      <c r="LZY155" s="133"/>
      <c r="LZZ155" s="133"/>
      <c r="MAA155" s="133"/>
      <c r="MAB155" s="133"/>
      <c r="MAC155" s="133"/>
      <c r="MAD155" s="133"/>
      <c r="MAE155" s="133"/>
      <c r="MAF155" s="133"/>
      <c r="MAG155" s="133"/>
      <c r="MAH155" s="133"/>
      <c r="MAI155" s="133"/>
      <c r="MAJ155" s="133"/>
      <c r="MAK155" s="133"/>
      <c r="MAL155" s="133"/>
      <c r="MAM155" s="133"/>
      <c r="MAN155" s="133"/>
      <c r="MAO155" s="133"/>
      <c r="MAP155" s="133"/>
      <c r="MAQ155" s="133"/>
      <c r="MAR155" s="133"/>
      <c r="MAS155" s="133"/>
      <c r="MAT155" s="133"/>
      <c r="MAU155" s="133"/>
      <c r="MAV155" s="133"/>
      <c r="MAW155" s="133"/>
      <c r="MAX155" s="133"/>
      <c r="MAY155" s="133"/>
      <c r="MAZ155" s="133"/>
      <c r="MBA155" s="133"/>
      <c r="MBB155" s="133"/>
      <c r="MBC155" s="133"/>
      <c r="MBD155" s="133"/>
      <c r="MBE155" s="133"/>
      <c r="MBF155" s="133"/>
      <c r="MBG155" s="133"/>
      <c r="MBH155" s="133"/>
      <c r="MBI155" s="133"/>
      <c r="MBJ155" s="133"/>
      <c r="MBK155" s="133"/>
      <c r="MBL155" s="133"/>
      <c r="MBM155" s="133"/>
      <c r="MBN155" s="133"/>
      <c r="MBO155" s="133"/>
      <c r="MBP155" s="133"/>
      <c r="MBQ155" s="133"/>
      <c r="MBR155" s="133"/>
      <c r="MBS155" s="133"/>
      <c r="MBT155" s="133"/>
      <c r="MBU155" s="133"/>
      <c r="MBV155" s="133"/>
      <c r="MBW155" s="133"/>
      <c r="MBX155" s="133"/>
      <c r="MBY155" s="133"/>
      <c r="MBZ155" s="133"/>
      <c r="MCA155" s="133"/>
      <c r="MCB155" s="133"/>
      <c r="MCC155" s="133"/>
      <c r="MCD155" s="133"/>
      <c r="MCE155" s="133"/>
      <c r="MCF155" s="133"/>
      <c r="MCG155" s="133"/>
      <c r="MCH155" s="133"/>
      <c r="MCI155" s="133"/>
      <c r="MCJ155" s="133"/>
      <c r="MCK155" s="133"/>
      <c r="MCL155" s="133"/>
      <c r="MCM155" s="133"/>
      <c r="MCN155" s="133"/>
      <c r="MCO155" s="133"/>
      <c r="MCP155" s="133"/>
      <c r="MCQ155" s="133"/>
      <c r="MCR155" s="133"/>
      <c r="MCS155" s="133"/>
      <c r="MCT155" s="133"/>
      <c r="MCU155" s="133"/>
      <c r="MCV155" s="133"/>
      <c r="MCW155" s="133"/>
      <c r="MCX155" s="133"/>
      <c r="MCY155" s="133"/>
      <c r="MCZ155" s="133"/>
      <c r="MDA155" s="133"/>
      <c r="MDB155" s="133"/>
      <c r="MDC155" s="133"/>
      <c r="MDD155" s="133"/>
      <c r="MDE155" s="133"/>
      <c r="MDF155" s="133"/>
      <c r="MDG155" s="133"/>
      <c r="MDH155" s="133"/>
      <c r="MDI155" s="133"/>
      <c r="MDJ155" s="133"/>
      <c r="MDK155" s="133"/>
      <c r="MDL155" s="133"/>
      <c r="MDM155" s="133"/>
      <c r="MDN155" s="133"/>
      <c r="MDO155" s="133"/>
      <c r="MDP155" s="133"/>
      <c r="MDQ155" s="133"/>
      <c r="MDR155" s="133"/>
      <c r="MDS155" s="133"/>
      <c r="MDT155" s="133"/>
      <c r="MDU155" s="133"/>
      <c r="MDV155" s="133"/>
      <c r="MDW155" s="133"/>
      <c r="MDX155" s="133"/>
      <c r="MDY155" s="133"/>
      <c r="MDZ155" s="133"/>
      <c r="MEA155" s="133"/>
      <c r="MEB155" s="133"/>
      <c r="MEC155" s="133"/>
      <c r="MED155" s="133"/>
      <c r="MEE155" s="133"/>
      <c r="MEF155" s="133"/>
      <c r="MEG155" s="133"/>
      <c r="MEH155" s="133"/>
      <c r="MEI155" s="133"/>
      <c r="MEJ155" s="133"/>
      <c r="MEK155" s="133"/>
      <c r="MEL155" s="133"/>
      <c r="MEM155" s="133"/>
      <c r="MEN155" s="133"/>
      <c r="MEO155" s="133"/>
      <c r="MEP155" s="133"/>
      <c r="MEQ155" s="133"/>
      <c r="MER155" s="133"/>
      <c r="MES155" s="133"/>
      <c r="MET155" s="133"/>
      <c r="MEU155" s="133"/>
      <c r="MEV155" s="133"/>
      <c r="MEW155" s="133"/>
      <c r="MEX155" s="133"/>
      <c r="MEY155" s="133"/>
      <c r="MEZ155" s="133"/>
      <c r="MFA155" s="133"/>
      <c r="MFB155" s="133"/>
      <c r="MFC155" s="133"/>
      <c r="MFD155" s="133"/>
      <c r="MFE155" s="133"/>
      <c r="MFF155" s="133"/>
      <c r="MFG155" s="133"/>
      <c r="MFH155" s="133"/>
      <c r="MFI155" s="133"/>
      <c r="MFJ155" s="133"/>
      <c r="MFK155" s="133"/>
      <c r="MFL155" s="133"/>
      <c r="MFM155" s="133"/>
      <c r="MFN155" s="133"/>
      <c r="MFO155" s="133"/>
      <c r="MFP155" s="133"/>
      <c r="MFQ155" s="133"/>
      <c r="MFR155" s="133"/>
      <c r="MFS155" s="133"/>
      <c r="MFT155" s="133"/>
      <c r="MFU155" s="133"/>
      <c r="MFV155" s="133"/>
      <c r="MFW155" s="133"/>
      <c r="MFX155" s="133"/>
      <c r="MFY155" s="133"/>
      <c r="MFZ155" s="133"/>
      <c r="MGA155" s="133"/>
      <c r="MGB155" s="133"/>
      <c r="MGC155" s="133"/>
      <c r="MGD155" s="133"/>
      <c r="MGE155" s="133"/>
      <c r="MGF155" s="133"/>
      <c r="MGG155" s="133"/>
      <c r="MGH155" s="133"/>
      <c r="MGI155" s="133"/>
      <c r="MGJ155" s="133"/>
      <c r="MGK155" s="133"/>
      <c r="MGL155" s="133"/>
      <c r="MGM155" s="133"/>
      <c r="MGN155" s="133"/>
      <c r="MGO155" s="133"/>
      <c r="MGP155" s="133"/>
      <c r="MGQ155" s="133"/>
      <c r="MGR155" s="133"/>
      <c r="MGS155" s="133"/>
      <c r="MGT155" s="133"/>
      <c r="MGU155" s="133"/>
      <c r="MGV155" s="133"/>
      <c r="MGW155" s="133"/>
      <c r="MGX155" s="133"/>
      <c r="MGY155" s="133"/>
      <c r="MGZ155" s="133"/>
      <c r="MHA155" s="133"/>
      <c r="MHB155" s="133"/>
      <c r="MHC155" s="133"/>
      <c r="MHD155" s="133"/>
      <c r="MHE155" s="133"/>
      <c r="MHF155" s="133"/>
      <c r="MHG155" s="133"/>
      <c r="MHH155" s="133"/>
      <c r="MHI155" s="133"/>
      <c r="MHJ155" s="133"/>
      <c r="MHK155" s="133"/>
      <c r="MHL155" s="133"/>
      <c r="MHM155" s="133"/>
      <c r="MHN155" s="133"/>
      <c r="MHO155" s="133"/>
      <c r="MHP155" s="133"/>
      <c r="MHQ155" s="133"/>
      <c r="MHR155" s="133"/>
      <c r="MHS155" s="133"/>
      <c r="MHT155" s="133"/>
      <c r="MHU155" s="133"/>
      <c r="MHV155" s="133"/>
      <c r="MHW155" s="133"/>
      <c r="MHX155" s="133"/>
      <c r="MHY155" s="133"/>
      <c r="MHZ155" s="133"/>
      <c r="MIA155" s="133"/>
      <c r="MIB155" s="133"/>
      <c r="MIC155" s="133"/>
      <c r="MID155" s="133"/>
      <c r="MIE155" s="133"/>
      <c r="MIF155" s="133"/>
      <c r="MIG155" s="133"/>
      <c r="MIH155" s="133"/>
      <c r="MII155" s="133"/>
      <c r="MIJ155" s="133"/>
      <c r="MIK155" s="133"/>
      <c r="MIL155" s="133"/>
      <c r="MIM155" s="133"/>
      <c r="MIN155" s="133"/>
      <c r="MIO155" s="133"/>
      <c r="MIP155" s="133"/>
      <c r="MIQ155" s="133"/>
      <c r="MIR155" s="133"/>
      <c r="MIS155" s="133"/>
      <c r="MIT155" s="133"/>
      <c r="MIU155" s="133"/>
      <c r="MIV155" s="133"/>
      <c r="MIW155" s="133"/>
      <c r="MIX155" s="133"/>
      <c r="MIY155" s="133"/>
      <c r="MIZ155" s="133"/>
      <c r="MJA155" s="133"/>
      <c r="MJB155" s="133"/>
      <c r="MJC155" s="133"/>
      <c r="MJD155" s="133"/>
      <c r="MJE155" s="133"/>
      <c r="MJF155" s="133"/>
      <c r="MJG155" s="133"/>
      <c r="MJH155" s="133"/>
      <c r="MJI155" s="133"/>
      <c r="MJJ155" s="133"/>
      <c r="MJK155" s="133"/>
      <c r="MJL155" s="133"/>
      <c r="MJM155" s="133"/>
      <c r="MJN155" s="133"/>
      <c r="MJO155" s="133"/>
      <c r="MJP155" s="133"/>
      <c r="MJQ155" s="133"/>
      <c r="MJR155" s="133"/>
      <c r="MJS155" s="133"/>
      <c r="MJT155" s="133"/>
      <c r="MJU155" s="133"/>
      <c r="MJV155" s="133"/>
      <c r="MJW155" s="133"/>
      <c r="MJX155" s="133"/>
      <c r="MJY155" s="133"/>
      <c r="MJZ155" s="133"/>
      <c r="MKA155" s="133"/>
      <c r="MKB155" s="133"/>
      <c r="MKC155" s="133"/>
      <c r="MKD155" s="133"/>
      <c r="MKE155" s="133"/>
      <c r="MKF155" s="133"/>
      <c r="MKG155" s="133"/>
      <c r="MKH155" s="133"/>
      <c r="MKI155" s="133"/>
      <c r="MKJ155" s="133"/>
      <c r="MKK155" s="133"/>
      <c r="MKL155" s="133"/>
      <c r="MKM155" s="133"/>
      <c r="MKN155" s="133"/>
      <c r="MKO155" s="133"/>
      <c r="MKP155" s="133"/>
      <c r="MKQ155" s="133"/>
      <c r="MKR155" s="133"/>
      <c r="MKS155" s="133"/>
      <c r="MKT155" s="133"/>
      <c r="MKU155" s="133"/>
      <c r="MKV155" s="133"/>
      <c r="MKW155" s="133"/>
      <c r="MKX155" s="133"/>
      <c r="MKY155" s="133"/>
      <c r="MKZ155" s="133"/>
      <c r="MLA155" s="133"/>
      <c r="MLB155" s="133"/>
      <c r="MLC155" s="133"/>
      <c r="MLD155" s="133"/>
      <c r="MLE155" s="133"/>
      <c r="MLF155" s="133"/>
      <c r="MLG155" s="133"/>
      <c r="MLH155" s="133"/>
      <c r="MLI155" s="133"/>
      <c r="MLJ155" s="133"/>
      <c r="MLK155" s="133"/>
      <c r="MLL155" s="133"/>
      <c r="MLM155" s="133"/>
      <c r="MLN155" s="133"/>
      <c r="MLO155" s="133"/>
      <c r="MLP155" s="133"/>
      <c r="MLQ155" s="133"/>
      <c r="MLR155" s="133"/>
      <c r="MLS155" s="133"/>
      <c r="MLT155" s="133"/>
      <c r="MLU155" s="133"/>
      <c r="MLV155" s="133"/>
      <c r="MLW155" s="133"/>
      <c r="MLX155" s="133"/>
      <c r="MLY155" s="133"/>
      <c r="MLZ155" s="133"/>
      <c r="MMA155" s="133"/>
      <c r="MMB155" s="133"/>
      <c r="MMC155" s="133"/>
      <c r="MMD155" s="133"/>
      <c r="MME155" s="133"/>
      <c r="MMF155" s="133"/>
      <c r="MMG155" s="133"/>
      <c r="MMH155" s="133"/>
      <c r="MMI155" s="133"/>
      <c r="MMJ155" s="133"/>
      <c r="MMK155" s="133"/>
      <c r="MML155" s="133"/>
      <c r="MMM155" s="133"/>
      <c r="MMN155" s="133"/>
      <c r="MMO155" s="133"/>
      <c r="MMP155" s="133"/>
      <c r="MMQ155" s="133"/>
      <c r="MMR155" s="133"/>
      <c r="MMS155" s="133"/>
      <c r="MMT155" s="133"/>
      <c r="MMU155" s="133"/>
      <c r="MMV155" s="133"/>
      <c r="MMW155" s="133"/>
      <c r="MMX155" s="133"/>
      <c r="MMY155" s="133"/>
      <c r="MMZ155" s="133"/>
      <c r="MNA155" s="133"/>
      <c r="MNB155" s="133"/>
      <c r="MNC155" s="133"/>
      <c r="MND155" s="133"/>
      <c r="MNE155" s="133"/>
      <c r="MNF155" s="133"/>
      <c r="MNG155" s="133"/>
      <c r="MNH155" s="133"/>
      <c r="MNI155" s="133"/>
      <c r="MNJ155" s="133"/>
      <c r="MNK155" s="133"/>
      <c r="MNL155" s="133"/>
      <c r="MNM155" s="133"/>
      <c r="MNN155" s="133"/>
      <c r="MNO155" s="133"/>
      <c r="MNP155" s="133"/>
      <c r="MNQ155" s="133"/>
      <c r="MNR155" s="133"/>
      <c r="MNS155" s="133"/>
      <c r="MNT155" s="133"/>
      <c r="MNU155" s="133"/>
      <c r="MNV155" s="133"/>
      <c r="MNW155" s="133"/>
      <c r="MNX155" s="133"/>
      <c r="MNY155" s="133"/>
      <c r="MNZ155" s="133"/>
      <c r="MOA155" s="133"/>
      <c r="MOB155" s="133"/>
      <c r="MOC155" s="133"/>
      <c r="MOD155" s="133"/>
      <c r="MOE155" s="133"/>
      <c r="MOF155" s="133"/>
      <c r="MOG155" s="133"/>
      <c r="MOH155" s="133"/>
      <c r="MOI155" s="133"/>
      <c r="MOJ155" s="133"/>
      <c r="MOK155" s="133"/>
      <c r="MOL155" s="133"/>
      <c r="MOM155" s="133"/>
      <c r="MON155" s="133"/>
      <c r="MOO155" s="133"/>
      <c r="MOP155" s="133"/>
      <c r="MOQ155" s="133"/>
      <c r="MOR155" s="133"/>
      <c r="MOS155" s="133"/>
      <c r="MOT155" s="133"/>
      <c r="MOU155" s="133"/>
      <c r="MOV155" s="133"/>
      <c r="MOW155" s="133"/>
      <c r="MOX155" s="133"/>
      <c r="MOY155" s="133"/>
      <c r="MOZ155" s="133"/>
      <c r="MPA155" s="133"/>
      <c r="MPB155" s="133"/>
      <c r="MPC155" s="133"/>
      <c r="MPD155" s="133"/>
      <c r="MPE155" s="133"/>
      <c r="MPF155" s="133"/>
      <c r="MPG155" s="133"/>
      <c r="MPH155" s="133"/>
      <c r="MPI155" s="133"/>
      <c r="MPJ155" s="133"/>
      <c r="MPK155" s="133"/>
      <c r="MPL155" s="133"/>
      <c r="MPM155" s="133"/>
      <c r="MPN155" s="133"/>
      <c r="MPO155" s="133"/>
      <c r="MPP155" s="133"/>
      <c r="MPQ155" s="133"/>
      <c r="MPR155" s="133"/>
      <c r="MPS155" s="133"/>
      <c r="MPT155" s="133"/>
      <c r="MPU155" s="133"/>
      <c r="MPV155" s="133"/>
      <c r="MPW155" s="133"/>
      <c r="MPX155" s="133"/>
      <c r="MPY155" s="133"/>
      <c r="MPZ155" s="133"/>
      <c r="MQA155" s="133"/>
      <c r="MQB155" s="133"/>
      <c r="MQC155" s="133"/>
      <c r="MQD155" s="133"/>
      <c r="MQE155" s="133"/>
      <c r="MQF155" s="133"/>
      <c r="MQG155" s="133"/>
      <c r="MQH155" s="133"/>
      <c r="MQI155" s="133"/>
      <c r="MQJ155" s="133"/>
      <c r="MQK155" s="133"/>
      <c r="MQL155" s="133"/>
      <c r="MQM155" s="133"/>
      <c r="MQN155" s="133"/>
      <c r="MQO155" s="133"/>
      <c r="MQP155" s="133"/>
      <c r="MQQ155" s="133"/>
      <c r="MQR155" s="133"/>
      <c r="MQS155" s="133"/>
      <c r="MQT155" s="133"/>
      <c r="MQU155" s="133"/>
      <c r="MQV155" s="133"/>
      <c r="MQW155" s="133"/>
      <c r="MQX155" s="133"/>
      <c r="MQY155" s="133"/>
      <c r="MQZ155" s="133"/>
      <c r="MRA155" s="133"/>
      <c r="MRB155" s="133"/>
      <c r="MRC155" s="133"/>
      <c r="MRD155" s="133"/>
      <c r="MRE155" s="133"/>
      <c r="MRF155" s="133"/>
      <c r="MRG155" s="133"/>
      <c r="MRH155" s="133"/>
      <c r="MRI155" s="133"/>
      <c r="MRJ155" s="133"/>
      <c r="MRK155" s="133"/>
      <c r="MRL155" s="133"/>
      <c r="MRM155" s="133"/>
      <c r="MRN155" s="133"/>
      <c r="MRO155" s="133"/>
      <c r="MRP155" s="133"/>
      <c r="MRQ155" s="133"/>
      <c r="MRR155" s="133"/>
      <c r="MRS155" s="133"/>
      <c r="MRT155" s="133"/>
      <c r="MRU155" s="133"/>
      <c r="MRV155" s="133"/>
      <c r="MRW155" s="133"/>
      <c r="MRX155" s="133"/>
      <c r="MRY155" s="133"/>
      <c r="MRZ155" s="133"/>
      <c r="MSA155" s="133"/>
      <c r="MSB155" s="133"/>
      <c r="MSC155" s="133"/>
      <c r="MSD155" s="133"/>
      <c r="MSE155" s="133"/>
      <c r="MSF155" s="133"/>
      <c r="MSG155" s="133"/>
      <c r="MSH155" s="133"/>
      <c r="MSI155" s="133"/>
      <c r="MSJ155" s="133"/>
      <c r="MSK155" s="133"/>
      <c r="MSL155" s="133"/>
      <c r="MSM155" s="133"/>
      <c r="MSN155" s="133"/>
      <c r="MSO155" s="133"/>
      <c r="MSP155" s="133"/>
      <c r="MSQ155" s="133"/>
      <c r="MSR155" s="133"/>
      <c r="MSS155" s="133"/>
      <c r="MST155" s="133"/>
      <c r="MSU155" s="133"/>
      <c r="MSV155" s="133"/>
      <c r="MSW155" s="133"/>
      <c r="MSX155" s="133"/>
      <c r="MSY155" s="133"/>
      <c r="MSZ155" s="133"/>
      <c r="MTA155" s="133"/>
      <c r="MTB155" s="133"/>
      <c r="MTC155" s="133"/>
      <c r="MTD155" s="133"/>
      <c r="MTE155" s="133"/>
      <c r="MTF155" s="133"/>
      <c r="MTG155" s="133"/>
      <c r="MTH155" s="133"/>
      <c r="MTI155" s="133"/>
      <c r="MTJ155" s="133"/>
      <c r="MTK155" s="133"/>
      <c r="MTL155" s="133"/>
      <c r="MTM155" s="133"/>
      <c r="MTN155" s="133"/>
      <c r="MTO155" s="133"/>
      <c r="MTP155" s="133"/>
      <c r="MTQ155" s="133"/>
      <c r="MTR155" s="133"/>
      <c r="MTS155" s="133"/>
      <c r="MTT155" s="133"/>
      <c r="MTU155" s="133"/>
      <c r="MTV155" s="133"/>
      <c r="MTW155" s="133"/>
      <c r="MTX155" s="133"/>
      <c r="MTY155" s="133"/>
      <c r="MTZ155" s="133"/>
      <c r="MUA155" s="133"/>
      <c r="MUB155" s="133"/>
      <c r="MUC155" s="133"/>
      <c r="MUD155" s="133"/>
      <c r="MUE155" s="133"/>
      <c r="MUF155" s="133"/>
      <c r="MUG155" s="133"/>
      <c r="MUH155" s="133"/>
      <c r="MUI155" s="133"/>
      <c r="MUJ155" s="133"/>
      <c r="MUK155" s="133"/>
      <c r="MUL155" s="133"/>
      <c r="MUM155" s="133"/>
      <c r="MUN155" s="133"/>
      <c r="MUO155" s="133"/>
      <c r="MUP155" s="133"/>
      <c r="MUQ155" s="133"/>
      <c r="MUR155" s="133"/>
      <c r="MUS155" s="133"/>
      <c r="MUT155" s="133"/>
      <c r="MUU155" s="133"/>
      <c r="MUV155" s="133"/>
      <c r="MUW155" s="133"/>
      <c r="MUX155" s="133"/>
      <c r="MUY155" s="133"/>
      <c r="MUZ155" s="133"/>
      <c r="MVA155" s="133"/>
      <c r="MVB155" s="133"/>
      <c r="MVC155" s="133"/>
      <c r="MVD155" s="133"/>
      <c r="MVE155" s="133"/>
      <c r="MVF155" s="133"/>
      <c r="MVG155" s="133"/>
      <c r="MVH155" s="133"/>
      <c r="MVI155" s="133"/>
      <c r="MVJ155" s="133"/>
      <c r="MVK155" s="133"/>
      <c r="MVL155" s="133"/>
      <c r="MVM155" s="133"/>
      <c r="MVN155" s="133"/>
      <c r="MVO155" s="133"/>
      <c r="MVP155" s="133"/>
      <c r="MVQ155" s="133"/>
      <c r="MVR155" s="133"/>
      <c r="MVS155" s="133"/>
      <c r="MVT155" s="133"/>
      <c r="MVU155" s="133"/>
      <c r="MVV155" s="133"/>
      <c r="MVW155" s="133"/>
      <c r="MVX155" s="133"/>
      <c r="MVY155" s="133"/>
      <c r="MVZ155" s="133"/>
      <c r="MWA155" s="133"/>
      <c r="MWB155" s="133"/>
      <c r="MWC155" s="133"/>
      <c r="MWD155" s="133"/>
      <c r="MWE155" s="133"/>
      <c r="MWF155" s="133"/>
      <c r="MWG155" s="133"/>
      <c r="MWH155" s="133"/>
      <c r="MWI155" s="133"/>
      <c r="MWJ155" s="133"/>
      <c r="MWK155" s="133"/>
      <c r="MWL155" s="133"/>
      <c r="MWM155" s="133"/>
      <c r="MWN155" s="133"/>
      <c r="MWO155" s="133"/>
      <c r="MWP155" s="133"/>
      <c r="MWQ155" s="133"/>
      <c r="MWR155" s="133"/>
      <c r="MWS155" s="133"/>
      <c r="MWT155" s="133"/>
      <c r="MWU155" s="133"/>
      <c r="MWV155" s="133"/>
      <c r="MWW155" s="133"/>
      <c r="MWX155" s="133"/>
      <c r="MWY155" s="133"/>
      <c r="MWZ155" s="133"/>
      <c r="MXA155" s="133"/>
      <c r="MXB155" s="133"/>
      <c r="MXC155" s="133"/>
      <c r="MXD155" s="133"/>
      <c r="MXE155" s="133"/>
      <c r="MXF155" s="133"/>
      <c r="MXG155" s="133"/>
      <c r="MXH155" s="133"/>
      <c r="MXI155" s="133"/>
      <c r="MXJ155" s="133"/>
      <c r="MXK155" s="133"/>
      <c r="MXL155" s="133"/>
      <c r="MXM155" s="133"/>
      <c r="MXN155" s="133"/>
      <c r="MXO155" s="133"/>
      <c r="MXP155" s="133"/>
      <c r="MXQ155" s="133"/>
      <c r="MXR155" s="133"/>
      <c r="MXS155" s="133"/>
      <c r="MXT155" s="133"/>
      <c r="MXU155" s="133"/>
      <c r="MXV155" s="133"/>
      <c r="MXW155" s="133"/>
      <c r="MXX155" s="133"/>
      <c r="MXY155" s="133"/>
      <c r="MXZ155" s="133"/>
      <c r="MYA155" s="133"/>
      <c r="MYB155" s="133"/>
      <c r="MYC155" s="133"/>
      <c r="MYD155" s="133"/>
      <c r="MYE155" s="133"/>
      <c r="MYF155" s="133"/>
      <c r="MYG155" s="133"/>
      <c r="MYH155" s="133"/>
      <c r="MYI155" s="133"/>
      <c r="MYJ155" s="133"/>
      <c r="MYK155" s="133"/>
      <c r="MYL155" s="133"/>
      <c r="MYM155" s="133"/>
      <c r="MYN155" s="133"/>
      <c r="MYO155" s="133"/>
      <c r="MYP155" s="133"/>
      <c r="MYQ155" s="133"/>
      <c r="MYR155" s="133"/>
      <c r="MYS155" s="133"/>
      <c r="MYT155" s="133"/>
      <c r="MYU155" s="133"/>
      <c r="MYV155" s="133"/>
      <c r="MYW155" s="133"/>
      <c r="MYX155" s="133"/>
      <c r="MYY155" s="133"/>
      <c r="MYZ155" s="133"/>
      <c r="MZA155" s="133"/>
      <c r="MZB155" s="133"/>
      <c r="MZC155" s="133"/>
      <c r="MZD155" s="133"/>
      <c r="MZE155" s="133"/>
      <c r="MZF155" s="133"/>
      <c r="MZG155" s="133"/>
      <c r="MZH155" s="133"/>
      <c r="MZI155" s="133"/>
      <c r="MZJ155" s="133"/>
      <c r="MZK155" s="133"/>
      <c r="MZL155" s="133"/>
      <c r="MZM155" s="133"/>
      <c r="MZN155" s="133"/>
      <c r="MZO155" s="133"/>
      <c r="MZP155" s="133"/>
      <c r="MZQ155" s="133"/>
      <c r="MZR155" s="133"/>
      <c r="MZS155" s="133"/>
      <c r="MZT155" s="133"/>
      <c r="MZU155" s="133"/>
      <c r="MZV155" s="133"/>
      <c r="MZW155" s="133"/>
      <c r="MZX155" s="133"/>
      <c r="MZY155" s="133"/>
      <c r="MZZ155" s="133"/>
      <c r="NAA155" s="133"/>
      <c r="NAB155" s="133"/>
      <c r="NAC155" s="133"/>
      <c r="NAD155" s="133"/>
      <c r="NAE155" s="133"/>
      <c r="NAF155" s="133"/>
      <c r="NAG155" s="133"/>
      <c r="NAH155" s="133"/>
      <c r="NAI155" s="133"/>
      <c r="NAJ155" s="133"/>
      <c r="NAK155" s="133"/>
      <c r="NAL155" s="133"/>
      <c r="NAM155" s="133"/>
      <c r="NAN155" s="133"/>
      <c r="NAO155" s="133"/>
      <c r="NAP155" s="133"/>
      <c r="NAQ155" s="133"/>
      <c r="NAR155" s="133"/>
      <c r="NAS155" s="133"/>
      <c r="NAT155" s="133"/>
      <c r="NAU155" s="133"/>
      <c r="NAV155" s="133"/>
      <c r="NAW155" s="133"/>
      <c r="NAX155" s="133"/>
      <c r="NAY155" s="133"/>
      <c r="NAZ155" s="133"/>
      <c r="NBA155" s="133"/>
      <c r="NBB155" s="133"/>
      <c r="NBC155" s="133"/>
      <c r="NBD155" s="133"/>
      <c r="NBE155" s="133"/>
      <c r="NBF155" s="133"/>
      <c r="NBG155" s="133"/>
      <c r="NBH155" s="133"/>
      <c r="NBI155" s="133"/>
      <c r="NBJ155" s="133"/>
      <c r="NBK155" s="133"/>
      <c r="NBL155" s="133"/>
      <c r="NBM155" s="133"/>
      <c r="NBN155" s="133"/>
      <c r="NBO155" s="133"/>
      <c r="NBP155" s="133"/>
      <c r="NBQ155" s="133"/>
      <c r="NBR155" s="133"/>
      <c r="NBS155" s="133"/>
      <c r="NBT155" s="133"/>
      <c r="NBU155" s="133"/>
      <c r="NBV155" s="133"/>
      <c r="NBW155" s="133"/>
      <c r="NBX155" s="133"/>
      <c r="NBY155" s="133"/>
      <c r="NBZ155" s="133"/>
      <c r="NCA155" s="133"/>
      <c r="NCB155" s="133"/>
      <c r="NCC155" s="133"/>
      <c r="NCD155" s="133"/>
      <c r="NCE155" s="133"/>
      <c r="NCF155" s="133"/>
      <c r="NCG155" s="133"/>
      <c r="NCH155" s="133"/>
      <c r="NCI155" s="133"/>
      <c r="NCJ155" s="133"/>
      <c r="NCK155" s="133"/>
      <c r="NCL155" s="133"/>
      <c r="NCM155" s="133"/>
      <c r="NCN155" s="133"/>
      <c r="NCO155" s="133"/>
      <c r="NCP155" s="133"/>
      <c r="NCQ155" s="133"/>
      <c r="NCR155" s="133"/>
      <c r="NCS155" s="133"/>
      <c r="NCT155" s="133"/>
      <c r="NCU155" s="133"/>
      <c r="NCV155" s="133"/>
      <c r="NCW155" s="133"/>
      <c r="NCX155" s="133"/>
      <c r="NCY155" s="133"/>
      <c r="NCZ155" s="133"/>
      <c r="NDA155" s="133"/>
      <c r="NDB155" s="133"/>
      <c r="NDC155" s="133"/>
      <c r="NDD155" s="133"/>
      <c r="NDE155" s="133"/>
      <c r="NDF155" s="133"/>
      <c r="NDG155" s="133"/>
      <c r="NDH155" s="133"/>
      <c r="NDI155" s="133"/>
      <c r="NDJ155" s="133"/>
      <c r="NDK155" s="133"/>
      <c r="NDL155" s="133"/>
      <c r="NDM155" s="133"/>
      <c r="NDN155" s="133"/>
      <c r="NDO155" s="133"/>
      <c r="NDP155" s="133"/>
      <c r="NDQ155" s="133"/>
      <c r="NDR155" s="133"/>
      <c r="NDS155" s="133"/>
      <c r="NDT155" s="133"/>
      <c r="NDU155" s="133"/>
      <c r="NDV155" s="133"/>
      <c r="NDW155" s="133"/>
      <c r="NDX155" s="133"/>
      <c r="NDY155" s="133"/>
      <c r="NDZ155" s="133"/>
      <c r="NEA155" s="133"/>
      <c r="NEB155" s="133"/>
      <c r="NEC155" s="133"/>
      <c r="NED155" s="133"/>
      <c r="NEE155" s="133"/>
      <c r="NEF155" s="133"/>
      <c r="NEG155" s="133"/>
      <c r="NEH155" s="133"/>
      <c r="NEI155" s="133"/>
      <c r="NEJ155" s="133"/>
      <c r="NEK155" s="133"/>
      <c r="NEL155" s="133"/>
      <c r="NEM155" s="133"/>
      <c r="NEN155" s="133"/>
      <c r="NEO155" s="133"/>
      <c r="NEP155" s="133"/>
      <c r="NEQ155" s="133"/>
      <c r="NER155" s="133"/>
      <c r="NES155" s="133"/>
      <c r="NET155" s="133"/>
      <c r="NEU155" s="133"/>
      <c r="NEV155" s="133"/>
      <c r="NEW155" s="133"/>
      <c r="NEX155" s="133"/>
      <c r="NEY155" s="133"/>
      <c r="NEZ155" s="133"/>
      <c r="NFA155" s="133"/>
      <c r="NFB155" s="133"/>
      <c r="NFC155" s="133"/>
      <c r="NFD155" s="133"/>
      <c r="NFE155" s="133"/>
      <c r="NFF155" s="133"/>
      <c r="NFG155" s="133"/>
      <c r="NFH155" s="133"/>
      <c r="NFI155" s="133"/>
      <c r="NFJ155" s="133"/>
      <c r="NFK155" s="133"/>
      <c r="NFL155" s="133"/>
      <c r="NFM155" s="133"/>
      <c r="NFN155" s="133"/>
      <c r="NFO155" s="133"/>
      <c r="NFP155" s="133"/>
      <c r="NFQ155" s="133"/>
      <c r="NFR155" s="133"/>
      <c r="NFS155" s="133"/>
      <c r="NFT155" s="133"/>
      <c r="NFU155" s="133"/>
      <c r="NFV155" s="133"/>
      <c r="NFW155" s="133"/>
      <c r="NFX155" s="133"/>
      <c r="NFY155" s="133"/>
      <c r="NFZ155" s="133"/>
      <c r="NGA155" s="133"/>
      <c r="NGB155" s="133"/>
      <c r="NGC155" s="133"/>
      <c r="NGD155" s="133"/>
      <c r="NGE155" s="133"/>
      <c r="NGF155" s="133"/>
      <c r="NGG155" s="133"/>
      <c r="NGH155" s="133"/>
      <c r="NGI155" s="133"/>
      <c r="NGJ155" s="133"/>
      <c r="NGK155" s="133"/>
      <c r="NGL155" s="133"/>
      <c r="NGM155" s="133"/>
      <c r="NGN155" s="133"/>
      <c r="NGO155" s="133"/>
      <c r="NGP155" s="133"/>
      <c r="NGQ155" s="133"/>
      <c r="NGR155" s="133"/>
      <c r="NGS155" s="133"/>
      <c r="NGT155" s="133"/>
      <c r="NGU155" s="133"/>
      <c r="NGV155" s="133"/>
      <c r="NGW155" s="133"/>
      <c r="NGX155" s="133"/>
      <c r="NGY155" s="133"/>
      <c r="NGZ155" s="133"/>
      <c r="NHA155" s="133"/>
      <c r="NHB155" s="133"/>
      <c r="NHC155" s="133"/>
      <c r="NHD155" s="133"/>
      <c r="NHE155" s="133"/>
      <c r="NHF155" s="133"/>
      <c r="NHG155" s="133"/>
      <c r="NHH155" s="133"/>
      <c r="NHI155" s="133"/>
      <c r="NHJ155" s="133"/>
      <c r="NHK155" s="133"/>
      <c r="NHL155" s="133"/>
      <c r="NHM155" s="133"/>
      <c r="NHN155" s="133"/>
      <c r="NHO155" s="133"/>
      <c r="NHP155" s="133"/>
      <c r="NHQ155" s="133"/>
      <c r="NHR155" s="133"/>
      <c r="NHS155" s="133"/>
      <c r="NHT155" s="133"/>
      <c r="NHU155" s="133"/>
      <c r="NHV155" s="133"/>
      <c r="NHW155" s="133"/>
      <c r="NHX155" s="133"/>
      <c r="NHY155" s="133"/>
      <c r="NHZ155" s="133"/>
      <c r="NIA155" s="133"/>
      <c r="NIB155" s="133"/>
      <c r="NIC155" s="133"/>
      <c r="NID155" s="133"/>
      <c r="NIE155" s="133"/>
      <c r="NIF155" s="133"/>
      <c r="NIG155" s="133"/>
      <c r="NIH155" s="133"/>
      <c r="NII155" s="133"/>
      <c r="NIJ155" s="133"/>
      <c r="NIK155" s="133"/>
      <c r="NIL155" s="133"/>
      <c r="NIM155" s="133"/>
      <c r="NIN155" s="133"/>
      <c r="NIO155" s="133"/>
      <c r="NIP155" s="133"/>
      <c r="NIQ155" s="133"/>
      <c r="NIR155" s="133"/>
      <c r="NIS155" s="133"/>
      <c r="NIT155" s="133"/>
      <c r="NIU155" s="133"/>
      <c r="NIV155" s="133"/>
      <c r="NIW155" s="133"/>
      <c r="NIX155" s="133"/>
      <c r="NIY155" s="133"/>
      <c r="NIZ155" s="133"/>
      <c r="NJA155" s="133"/>
      <c r="NJB155" s="133"/>
      <c r="NJC155" s="133"/>
      <c r="NJD155" s="133"/>
      <c r="NJE155" s="133"/>
      <c r="NJF155" s="133"/>
      <c r="NJG155" s="133"/>
      <c r="NJH155" s="133"/>
      <c r="NJI155" s="133"/>
      <c r="NJJ155" s="133"/>
      <c r="NJK155" s="133"/>
      <c r="NJL155" s="133"/>
      <c r="NJM155" s="133"/>
      <c r="NJN155" s="133"/>
      <c r="NJO155" s="133"/>
      <c r="NJP155" s="133"/>
      <c r="NJQ155" s="133"/>
      <c r="NJR155" s="133"/>
      <c r="NJS155" s="133"/>
      <c r="NJT155" s="133"/>
      <c r="NJU155" s="133"/>
      <c r="NJV155" s="133"/>
      <c r="NJW155" s="133"/>
      <c r="NJX155" s="133"/>
      <c r="NJY155" s="133"/>
      <c r="NJZ155" s="133"/>
      <c r="NKA155" s="133"/>
      <c r="NKB155" s="133"/>
      <c r="NKC155" s="133"/>
      <c r="NKD155" s="133"/>
      <c r="NKE155" s="133"/>
      <c r="NKF155" s="133"/>
      <c r="NKG155" s="133"/>
      <c r="NKH155" s="133"/>
      <c r="NKI155" s="133"/>
      <c r="NKJ155" s="133"/>
      <c r="NKK155" s="133"/>
      <c r="NKL155" s="133"/>
      <c r="NKM155" s="133"/>
      <c r="NKN155" s="133"/>
      <c r="NKO155" s="133"/>
      <c r="NKP155" s="133"/>
      <c r="NKQ155" s="133"/>
      <c r="NKR155" s="133"/>
      <c r="NKS155" s="133"/>
      <c r="NKT155" s="133"/>
      <c r="NKU155" s="133"/>
      <c r="NKV155" s="133"/>
      <c r="NKW155" s="133"/>
      <c r="NKX155" s="133"/>
      <c r="NKY155" s="133"/>
      <c r="NKZ155" s="133"/>
      <c r="NLA155" s="133"/>
      <c r="NLB155" s="133"/>
      <c r="NLC155" s="133"/>
      <c r="NLD155" s="133"/>
      <c r="NLE155" s="133"/>
      <c r="NLF155" s="133"/>
      <c r="NLG155" s="133"/>
      <c r="NLH155" s="133"/>
      <c r="NLI155" s="133"/>
      <c r="NLJ155" s="133"/>
      <c r="NLK155" s="133"/>
      <c r="NLL155" s="133"/>
      <c r="NLM155" s="133"/>
      <c r="NLN155" s="133"/>
      <c r="NLO155" s="133"/>
      <c r="NLP155" s="133"/>
      <c r="NLQ155" s="133"/>
      <c r="NLR155" s="133"/>
      <c r="NLS155" s="133"/>
      <c r="NLT155" s="133"/>
      <c r="NLU155" s="133"/>
      <c r="NLV155" s="133"/>
      <c r="NLW155" s="133"/>
      <c r="NLX155" s="133"/>
      <c r="NLY155" s="133"/>
      <c r="NLZ155" s="133"/>
      <c r="NMA155" s="133"/>
      <c r="NMB155" s="133"/>
      <c r="NMC155" s="133"/>
      <c r="NMD155" s="133"/>
      <c r="NME155" s="133"/>
      <c r="NMF155" s="133"/>
      <c r="NMG155" s="133"/>
      <c r="NMH155" s="133"/>
      <c r="NMI155" s="133"/>
      <c r="NMJ155" s="133"/>
      <c r="NMK155" s="133"/>
      <c r="NML155" s="133"/>
      <c r="NMM155" s="133"/>
      <c r="NMN155" s="133"/>
      <c r="NMO155" s="133"/>
      <c r="NMP155" s="133"/>
      <c r="NMQ155" s="133"/>
      <c r="NMR155" s="133"/>
      <c r="NMS155" s="133"/>
      <c r="NMT155" s="133"/>
      <c r="NMU155" s="133"/>
      <c r="NMV155" s="133"/>
      <c r="NMW155" s="133"/>
      <c r="NMX155" s="133"/>
      <c r="NMY155" s="133"/>
      <c r="NMZ155" s="133"/>
      <c r="NNA155" s="133"/>
      <c r="NNB155" s="133"/>
      <c r="NNC155" s="133"/>
      <c r="NND155" s="133"/>
      <c r="NNE155" s="133"/>
      <c r="NNF155" s="133"/>
      <c r="NNG155" s="133"/>
      <c r="NNH155" s="133"/>
      <c r="NNI155" s="133"/>
      <c r="NNJ155" s="133"/>
      <c r="NNK155" s="133"/>
      <c r="NNL155" s="133"/>
      <c r="NNM155" s="133"/>
      <c r="NNN155" s="133"/>
      <c r="NNO155" s="133"/>
      <c r="NNP155" s="133"/>
      <c r="NNQ155" s="133"/>
      <c r="NNR155" s="133"/>
      <c r="NNS155" s="133"/>
      <c r="NNT155" s="133"/>
      <c r="NNU155" s="133"/>
      <c r="NNV155" s="133"/>
      <c r="NNW155" s="133"/>
      <c r="NNX155" s="133"/>
      <c r="NNY155" s="133"/>
      <c r="NNZ155" s="133"/>
      <c r="NOA155" s="133"/>
      <c r="NOB155" s="133"/>
      <c r="NOC155" s="133"/>
      <c r="NOD155" s="133"/>
      <c r="NOE155" s="133"/>
      <c r="NOF155" s="133"/>
      <c r="NOG155" s="133"/>
      <c r="NOH155" s="133"/>
      <c r="NOI155" s="133"/>
      <c r="NOJ155" s="133"/>
      <c r="NOK155" s="133"/>
      <c r="NOL155" s="133"/>
      <c r="NOM155" s="133"/>
      <c r="NON155" s="133"/>
      <c r="NOO155" s="133"/>
      <c r="NOP155" s="133"/>
      <c r="NOQ155" s="133"/>
      <c r="NOR155" s="133"/>
      <c r="NOS155" s="133"/>
      <c r="NOT155" s="133"/>
      <c r="NOU155" s="133"/>
      <c r="NOV155" s="133"/>
      <c r="NOW155" s="133"/>
      <c r="NOX155" s="133"/>
      <c r="NOY155" s="133"/>
      <c r="NOZ155" s="133"/>
      <c r="NPA155" s="133"/>
      <c r="NPB155" s="133"/>
      <c r="NPC155" s="133"/>
      <c r="NPD155" s="133"/>
      <c r="NPE155" s="133"/>
      <c r="NPF155" s="133"/>
      <c r="NPG155" s="133"/>
      <c r="NPH155" s="133"/>
      <c r="NPI155" s="133"/>
      <c r="NPJ155" s="133"/>
      <c r="NPK155" s="133"/>
      <c r="NPL155" s="133"/>
      <c r="NPM155" s="133"/>
      <c r="NPN155" s="133"/>
      <c r="NPO155" s="133"/>
      <c r="NPP155" s="133"/>
      <c r="NPQ155" s="133"/>
      <c r="NPR155" s="133"/>
      <c r="NPS155" s="133"/>
      <c r="NPT155" s="133"/>
      <c r="NPU155" s="133"/>
      <c r="NPV155" s="133"/>
      <c r="NPW155" s="133"/>
      <c r="NPX155" s="133"/>
      <c r="NPY155" s="133"/>
      <c r="NPZ155" s="133"/>
      <c r="NQA155" s="133"/>
      <c r="NQB155" s="133"/>
      <c r="NQC155" s="133"/>
      <c r="NQD155" s="133"/>
      <c r="NQE155" s="133"/>
      <c r="NQF155" s="133"/>
      <c r="NQG155" s="133"/>
      <c r="NQH155" s="133"/>
      <c r="NQI155" s="133"/>
      <c r="NQJ155" s="133"/>
      <c r="NQK155" s="133"/>
      <c r="NQL155" s="133"/>
      <c r="NQM155" s="133"/>
      <c r="NQN155" s="133"/>
      <c r="NQO155" s="133"/>
      <c r="NQP155" s="133"/>
      <c r="NQQ155" s="133"/>
      <c r="NQR155" s="133"/>
      <c r="NQS155" s="133"/>
      <c r="NQT155" s="133"/>
      <c r="NQU155" s="133"/>
      <c r="NQV155" s="133"/>
      <c r="NQW155" s="133"/>
      <c r="NQX155" s="133"/>
      <c r="NQY155" s="133"/>
      <c r="NQZ155" s="133"/>
      <c r="NRA155" s="133"/>
      <c r="NRB155" s="133"/>
      <c r="NRC155" s="133"/>
      <c r="NRD155" s="133"/>
      <c r="NRE155" s="133"/>
      <c r="NRF155" s="133"/>
      <c r="NRG155" s="133"/>
      <c r="NRH155" s="133"/>
      <c r="NRI155" s="133"/>
      <c r="NRJ155" s="133"/>
      <c r="NRK155" s="133"/>
      <c r="NRL155" s="133"/>
      <c r="NRM155" s="133"/>
      <c r="NRN155" s="133"/>
      <c r="NRO155" s="133"/>
      <c r="NRP155" s="133"/>
      <c r="NRQ155" s="133"/>
      <c r="NRR155" s="133"/>
      <c r="NRS155" s="133"/>
      <c r="NRT155" s="133"/>
      <c r="NRU155" s="133"/>
      <c r="NRV155" s="133"/>
      <c r="NRW155" s="133"/>
      <c r="NRX155" s="133"/>
      <c r="NRY155" s="133"/>
      <c r="NRZ155" s="133"/>
      <c r="NSA155" s="133"/>
      <c r="NSB155" s="133"/>
      <c r="NSC155" s="133"/>
      <c r="NSD155" s="133"/>
      <c r="NSE155" s="133"/>
      <c r="NSF155" s="133"/>
      <c r="NSG155" s="133"/>
      <c r="NSH155" s="133"/>
      <c r="NSI155" s="133"/>
      <c r="NSJ155" s="133"/>
      <c r="NSK155" s="133"/>
      <c r="NSL155" s="133"/>
      <c r="NSM155" s="133"/>
      <c r="NSN155" s="133"/>
      <c r="NSO155" s="133"/>
      <c r="NSP155" s="133"/>
      <c r="NSQ155" s="133"/>
      <c r="NSR155" s="133"/>
      <c r="NSS155" s="133"/>
      <c r="NST155" s="133"/>
      <c r="NSU155" s="133"/>
      <c r="NSV155" s="133"/>
      <c r="NSW155" s="133"/>
      <c r="NSX155" s="133"/>
      <c r="NSY155" s="133"/>
      <c r="NSZ155" s="133"/>
      <c r="NTA155" s="133"/>
      <c r="NTB155" s="133"/>
      <c r="NTC155" s="133"/>
      <c r="NTD155" s="133"/>
      <c r="NTE155" s="133"/>
      <c r="NTF155" s="133"/>
      <c r="NTG155" s="133"/>
      <c r="NTH155" s="133"/>
      <c r="NTI155" s="133"/>
      <c r="NTJ155" s="133"/>
      <c r="NTK155" s="133"/>
      <c r="NTL155" s="133"/>
      <c r="NTM155" s="133"/>
      <c r="NTN155" s="133"/>
      <c r="NTO155" s="133"/>
      <c r="NTP155" s="133"/>
      <c r="NTQ155" s="133"/>
      <c r="NTR155" s="133"/>
      <c r="NTS155" s="133"/>
      <c r="NTT155" s="133"/>
      <c r="NTU155" s="133"/>
      <c r="NTV155" s="133"/>
      <c r="NTW155" s="133"/>
      <c r="NTX155" s="133"/>
      <c r="NTY155" s="133"/>
      <c r="NTZ155" s="133"/>
      <c r="NUA155" s="133"/>
      <c r="NUB155" s="133"/>
      <c r="NUC155" s="133"/>
      <c r="NUD155" s="133"/>
      <c r="NUE155" s="133"/>
      <c r="NUF155" s="133"/>
      <c r="NUG155" s="133"/>
      <c r="NUH155" s="133"/>
      <c r="NUI155" s="133"/>
      <c r="NUJ155" s="133"/>
      <c r="NUK155" s="133"/>
      <c r="NUL155" s="133"/>
      <c r="NUM155" s="133"/>
      <c r="NUN155" s="133"/>
      <c r="NUO155" s="133"/>
      <c r="NUP155" s="133"/>
      <c r="NUQ155" s="133"/>
      <c r="NUR155" s="133"/>
      <c r="NUS155" s="133"/>
      <c r="NUT155" s="133"/>
      <c r="NUU155" s="133"/>
      <c r="NUV155" s="133"/>
      <c r="NUW155" s="133"/>
      <c r="NUX155" s="133"/>
      <c r="NUY155" s="133"/>
      <c r="NUZ155" s="133"/>
      <c r="NVA155" s="133"/>
      <c r="NVB155" s="133"/>
      <c r="NVC155" s="133"/>
      <c r="NVD155" s="133"/>
      <c r="NVE155" s="133"/>
      <c r="NVF155" s="133"/>
      <c r="NVG155" s="133"/>
      <c r="NVH155" s="133"/>
      <c r="NVI155" s="133"/>
      <c r="NVJ155" s="133"/>
      <c r="NVK155" s="133"/>
      <c r="NVL155" s="133"/>
      <c r="NVM155" s="133"/>
      <c r="NVN155" s="133"/>
      <c r="NVO155" s="133"/>
      <c r="NVP155" s="133"/>
      <c r="NVQ155" s="133"/>
      <c r="NVR155" s="133"/>
      <c r="NVS155" s="133"/>
      <c r="NVT155" s="133"/>
      <c r="NVU155" s="133"/>
      <c r="NVV155" s="133"/>
      <c r="NVW155" s="133"/>
      <c r="NVX155" s="133"/>
      <c r="NVY155" s="133"/>
      <c r="NVZ155" s="133"/>
      <c r="NWA155" s="133"/>
      <c r="NWB155" s="133"/>
      <c r="NWC155" s="133"/>
      <c r="NWD155" s="133"/>
      <c r="NWE155" s="133"/>
      <c r="NWF155" s="133"/>
      <c r="NWG155" s="133"/>
      <c r="NWH155" s="133"/>
      <c r="NWI155" s="133"/>
      <c r="NWJ155" s="133"/>
      <c r="NWK155" s="133"/>
      <c r="NWL155" s="133"/>
      <c r="NWM155" s="133"/>
      <c r="NWN155" s="133"/>
      <c r="NWO155" s="133"/>
      <c r="NWP155" s="133"/>
      <c r="NWQ155" s="133"/>
      <c r="NWR155" s="133"/>
      <c r="NWS155" s="133"/>
      <c r="NWT155" s="133"/>
      <c r="NWU155" s="133"/>
      <c r="NWV155" s="133"/>
      <c r="NWW155" s="133"/>
      <c r="NWX155" s="133"/>
      <c r="NWY155" s="133"/>
      <c r="NWZ155" s="133"/>
      <c r="NXA155" s="133"/>
      <c r="NXB155" s="133"/>
      <c r="NXC155" s="133"/>
      <c r="NXD155" s="133"/>
      <c r="NXE155" s="133"/>
      <c r="NXF155" s="133"/>
      <c r="NXG155" s="133"/>
      <c r="NXH155" s="133"/>
      <c r="NXI155" s="133"/>
      <c r="NXJ155" s="133"/>
      <c r="NXK155" s="133"/>
      <c r="NXL155" s="133"/>
      <c r="NXM155" s="133"/>
      <c r="NXN155" s="133"/>
      <c r="NXO155" s="133"/>
      <c r="NXP155" s="133"/>
      <c r="NXQ155" s="133"/>
      <c r="NXR155" s="133"/>
      <c r="NXS155" s="133"/>
      <c r="NXT155" s="133"/>
      <c r="NXU155" s="133"/>
      <c r="NXV155" s="133"/>
      <c r="NXW155" s="133"/>
      <c r="NXX155" s="133"/>
      <c r="NXY155" s="133"/>
      <c r="NXZ155" s="133"/>
      <c r="NYA155" s="133"/>
      <c r="NYB155" s="133"/>
      <c r="NYC155" s="133"/>
      <c r="NYD155" s="133"/>
      <c r="NYE155" s="133"/>
      <c r="NYF155" s="133"/>
      <c r="NYG155" s="133"/>
      <c r="NYH155" s="133"/>
      <c r="NYI155" s="133"/>
      <c r="NYJ155" s="133"/>
      <c r="NYK155" s="133"/>
      <c r="NYL155" s="133"/>
      <c r="NYM155" s="133"/>
      <c r="NYN155" s="133"/>
      <c r="NYO155" s="133"/>
      <c r="NYP155" s="133"/>
      <c r="NYQ155" s="133"/>
      <c r="NYR155" s="133"/>
      <c r="NYS155" s="133"/>
      <c r="NYT155" s="133"/>
      <c r="NYU155" s="133"/>
      <c r="NYV155" s="133"/>
      <c r="NYW155" s="133"/>
      <c r="NYX155" s="133"/>
      <c r="NYY155" s="133"/>
      <c r="NYZ155" s="133"/>
      <c r="NZA155" s="133"/>
      <c r="NZB155" s="133"/>
      <c r="NZC155" s="133"/>
      <c r="NZD155" s="133"/>
      <c r="NZE155" s="133"/>
      <c r="NZF155" s="133"/>
      <c r="NZG155" s="133"/>
      <c r="NZH155" s="133"/>
      <c r="NZI155" s="133"/>
      <c r="NZJ155" s="133"/>
      <c r="NZK155" s="133"/>
      <c r="NZL155" s="133"/>
      <c r="NZM155" s="133"/>
      <c r="NZN155" s="133"/>
      <c r="NZO155" s="133"/>
      <c r="NZP155" s="133"/>
      <c r="NZQ155" s="133"/>
      <c r="NZR155" s="133"/>
      <c r="NZS155" s="133"/>
      <c r="NZT155" s="133"/>
      <c r="NZU155" s="133"/>
      <c r="NZV155" s="133"/>
      <c r="NZW155" s="133"/>
      <c r="NZX155" s="133"/>
      <c r="NZY155" s="133"/>
      <c r="NZZ155" s="133"/>
      <c r="OAA155" s="133"/>
      <c r="OAB155" s="133"/>
      <c r="OAC155" s="133"/>
      <c r="OAD155" s="133"/>
      <c r="OAE155" s="133"/>
      <c r="OAF155" s="133"/>
      <c r="OAG155" s="133"/>
      <c r="OAH155" s="133"/>
      <c r="OAI155" s="133"/>
      <c r="OAJ155" s="133"/>
      <c r="OAK155" s="133"/>
      <c r="OAL155" s="133"/>
      <c r="OAM155" s="133"/>
      <c r="OAN155" s="133"/>
      <c r="OAO155" s="133"/>
      <c r="OAP155" s="133"/>
      <c r="OAQ155" s="133"/>
      <c r="OAR155" s="133"/>
      <c r="OAS155" s="133"/>
      <c r="OAT155" s="133"/>
      <c r="OAU155" s="133"/>
      <c r="OAV155" s="133"/>
      <c r="OAW155" s="133"/>
      <c r="OAX155" s="133"/>
      <c r="OAY155" s="133"/>
      <c r="OAZ155" s="133"/>
      <c r="OBA155" s="133"/>
      <c r="OBB155" s="133"/>
      <c r="OBC155" s="133"/>
      <c r="OBD155" s="133"/>
      <c r="OBE155" s="133"/>
      <c r="OBF155" s="133"/>
      <c r="OBG155" s="133"/>
      <c r="OBH155" s="133"/>
      <c r="OBI155" s="133"/>
      <c r="OBJ155" s="133"/>
      <c r="OBK155" s="133"/>
      <c r="OBL155" s="133"/>
      <c r="OBM155" s="133"/>
      <c r="OBN155" s="133"/>
      <c r="OBO155" s="133"/>
      <c r="OBP155" s="133"/>
      <c r="OBQ155" s="133"/>
      <c r="OBR155" s="133"/>
      <c r="OBS155" s="133"/>
      <c r="OBT155" s="133"/>
      <c r="OBU155" s="133"/>
      <c r="OBV155" s="133"/>
      <c r="OBW155" s="133"/>
      <c r="OBX155" s="133"/>
      <c r="OBY155" s="133"/>
      <c r="OBZ155" s="133"/>
      <c r="OCA155" s="133"/>
      <c r="OCB155" s="133"/>
      <c r="OCC155" s="133"/>
      <c r="OCD155" s="133"/>
      <c r="OCE155" s="133"/>
      <c r="OCF155" s="133"/>
      <c r="OCG155" s="133"/>
      <c r="OCH155" s="133"/>
      <c r="OCI155" s="133"/>
      <c r="OCJ155" s="133"/>
      <c r="OCK155" s="133"/>
      <c r="OCL155" s="133"/>
      <c r="OCM155" s="133"/>
      <c r="OCN155" s="133"/>
      <c r="OCO155" s="133"/>
      <c r="OCP155" s="133"/>
      <c r="OCQ155" s="133"/>
      <c r="OCR155" s="133"/>
      <c r="OCS155" s="133"/>
      <c r="OCT155" s="133"/>
      <c r="OCU155" s="133"/>
      <c r="OCV155" s="133"/>
      <c r="OCW155" s="133"/>
      <c r="OCX155" s="133"/>
      <c r="OCY155" s="133"/>
      <c r="OCZ155" s="133"/>
      <c r="ODA155" s="133"/>
      <c r="ODB155" s="133"/>
      <c r="ODC155" s="133"/>
      <c r="ODD155" s="133"/>
      <c r="ODE155" s="133"/>
      <c r="ODF155" s="133"/>
      <c r="ODG155" s="133"/>
      <c r="ODH155" s="133"/>
      <c r="ODI155" s="133"/>
      <c r="ODJ155" s="133"/>
      <c r="ODK155" s="133"/>
      <c r="ODL155" s="133"/>
      <c r="ODM155" s="133"/>
      <c r="ODN155" s="133"/>
      <c r="ODO155" s="133"/>
      <c r="ODP155" s="133"/>
      <c r="ODQ155" s="133"/>
      <c r="ODR155" s="133"/>
      <c r="ODS155" s="133"/>
      <c r="ODT155" s="133"/>
      <c r="ODU155" s="133"/>
      <c r="ODV155" s="133"/>
      <c r="ODW155" s="133"/>
      <c r="ODX155" s="133"/>
      <c r="ODY155" s="133"/>
      <c r="ODZ155" s="133"/>
      <c r="OEA155" s="133"/>
      <c r="OEB155" s="133"/>
      <c r="OEC155" s="133"/>
      <c r="OED155" s="133"/>
      <c r="OEE155" s="133"/>
      <c r="OEF155" s="133"/>
      <c r="OEG155" s="133"/>
      <c r="OEH155" s="133"/>
      <c r="OEI155" s="133"/>
      <c r="OEJ155" s="133"/>
      <c r="OEK155" s="133"/>
      <c r="OEL155" s="133"/>
      <c r="OEM155" s="133"/>
      <c r="OEN155" s="133"/>
      <c r="OEO155" s="133"/>
      <c r="OEP155" s="133"/>
      <c r="OEQ155" s="133"/>
      <c r="OER155" s="133"/>
      <c r="OES155" s="133"/>
      <c r="OET155" s="133"/>
      <c r="OEU155" s="133"/>
      <c r="OEV155" s="133"/>
      <c r="OEW155" s="133"/>
      <c r="OEX155" s="133"/>
      <c r="OEY155" s="133"/>
      <c r="OEZ155" s="133"/>
      <c r="OFA155" s="133"/>
      <c r="OFB155" s="133"/>
      <c r="OFC155" s="133"/>
      <c r="OFD155" s="133"/>
      <c r="OFE155" s="133"/>
      <c r="OFF155" s="133"/>
      <c r="OFG155" s="133"/>
      <c r="OFH155" s="133"/>
      <c r="OFI155" s="133"/>
      <c r="OFJ155" s="133"/>
      <c r="OFK155" s="133"/>
      <c r="OFL155" s="133"/>
      <c r="OFM155" s="133"/>
      <c r="OFN155" s="133"/>
      <c r="OFO155" s="133"/>
      <c r="OFP155" s="133"/>
      <c r="OFQ155" s="133"/>
      <c r="OFR155" s="133"/>
      <c r="OFS155" s="133"/>
      <c r="OFT155" s="133"/>
      <c r="OFU155" s="133"/>
      <c r="OFV155" s="133"/>
      <c r="OFW155" s="133"/>
      <c r="OFX155" s="133"/>
      <c r="OFY155" s="133"/>
      <c r="OFZ155" s="133"/>
      <c r="OGA155" s="133"/>
      <c r="OGB155" s="133"/>
      <c r="OGC155" s="133"/>
      <c r="OGD155" s="133"/>
      <c r="OGE155" s="133"/>
      <c r="OGF155" s="133"/>
      <c r="OGG155" s="133"/>
      <c r="OGH155" s="133"/>
      <c r="OGI155" s="133"/>
      <c r="OGJ155" s="133"/>
      <c r="OGK155" s="133"/>
      <c r="OGL155" s="133"/>
      <c r="OGM155" s="133"/>
      <c r="OGN155" s="133"/>
      <c r="OGO155" s="133"/>
      <c r="OGP155" s="133"/>
      <c r="OGQ155" s="133"/>
      <c r="OGR155" s="133"/>
      <c r="OGS155" s="133"/>
      <c r="OGT155" s="133"/>
      <c r="OGU155" s="133"/>
      <c r="OGV155" s="133"/>
      <c r="OGW155" s="133"/>
      <c r="OGX155" s="133"/>
      <c r="OGY155" s="133"/>
      <c r="OGZ155" s="133"/>
      <c r="OHA155" s="133"/>
      <c r="OHB155" s="133"/>
      <c r="OHC155" s="133"/>
      <c r="OHD155" s="133"/>
      <c r="OHE155" s="133"/>
      <c r="OHF155" s="133"/>
      <c r="OHG155" s="133"/>
      <c r="OHH155" s="133"/>
      <c r="OHI155" s="133"/>
      <c r="OHJ155" s="133"/>
      <c r="OHK155" s="133"/>
      <c r="OHL155" s="133"/>
      <c r="OHM155" s="133"/>
      <c r="OHN155" s="133"/>
      <c r="OHO155" s="133"/>
      <c r="OHP155" s="133"/>
      <c r="OHQ155" s="133"/>
      <c r="OHR155" s="133"/>
      <c r="OHS155" s="133"/>
      <c r="OHT155" s="133"/>
      <c r="OHU155" s="133"/>
      <c r="OHV155" s="133"/>
      <c r="OHW155" s="133"/>
      <c r="OHX155" s="133"/>
      <c r="OHY155" s="133"/>
      <c r="OHZ155" s="133"/>
      <c r="OIA155" s="133"/>
      <c r="OIB155" s="133"/>
      <c r="OIC155" s="133"/>
      <c r="OID155" s="133"/>
      <c r="OIE155" s="133"/>
      <c r="OIF155" s="133"/>
      <c r="OIG155" s="133"/>
      <c r="OIH155" s="133"/>
      <c r="OII155" s="133"/>
      <c r="OIJ155" s="133"/>
      <c r="OIK155" s="133"/>
      <c r="OIL155" s="133"/>
      <c r="OIM155" s="133"/>
      <c r="OIN155" s="133"/>
      <c r="OIO155" s="133"/>
      <c r="OIP155" s="133"/>
      <c r="OIQ155" s="133"/>
      <c r="OIR155" s="133"/>
      <c r="OIS155" s="133"/>
      <c r="OIT155" s="133"/>
      <c r="OIU155" s="133"/>
      <c r="OIV155" s="133"/>
      <c r="OIW155" s="133"/>
      <c r="OIX155" s="133"/>
      <c r="OIY155" s="133"/>
      <c r="OIZ155" s="133"/>
      <c r="OJA155" s="133"/>
      <c r="OJB155" s="133"/>
      <c r="OJC155" s="133"/>
      <c r="OJD155" s="133"/>
      <c r="OJE155" s="133"/>
      <c r="OJF155" s="133"/>
      <c r="OJG155" s="133"/>
      <c r="OJH155" s="133"/>
      <c r="OJI155" s="133"/>
      <c r="OJJ155" s="133"/>
      <c r="OJK155" s="133"/>
      <c r="OJL155" s="133"/>
      <c r="OJM155" s="133"/>
      <c r="OJN155" s="133"/>
      <c r="OJO155" s="133"/>
      <c r="OJP155" s="133"/>
      <c r="OJQ155" s="133"/>
      <c r="OJR155" s="133"/>
      <c r="OJS155" s="133"/>
      <c r="OJT155" s="133"/>
      <c r="OJU155" s="133"/>
      <c r="OJV155" s="133"/>
      <c r="OJW155" s="133"/>
      <c r="OJX155" s="133"/>
      <c r="OJY155" s="133"/>
      <c r="OJZ155" s="133"/>
      <c r="OKA155" s="133"/>
      <c r="OKB155" s="133"/>
      <c r="OKC155" s="133"/>
      <c r="OKD155" s="133"/>
      <c r="OKE155" s="133"/>
      <c r="OKF155" s="133"/>
      <c r="OKG155" s="133"/>
      <c r="OKH155" s="133"/>
      <c r="OKI155" s="133"/>
      <c r="OKJ155" s="133"/>
      <c r="OKK155" s="133"/>
      <c r="OKL155" s="133"/>
      <c r="OKM155" s="133"/>
      <c r="OKN155" s="133"/>
      <c r="OKO155" s="133"/>
      <c r="OKP155" s="133"/>
      <c r="OKQ155" s="133"/>
      <c r="OKR155" s="133"/>
      <c r="OKS155" s="133"/>
      <c r="OKT155" s="133"/>
      <c r="OKU155" s="133"/>
      <c r="OKV155" s="133"/>
      <c r="OKW155" s="133"/>
      <c r="OKX155" s="133"/>
      <c r="OKY155" s="133"/>
      <c r="OKZ155" s="133"/>
      <c r="OLA155" s="133"/>
      <c r="OLB155" s="133"/>
      <c r="OLC155" s="133"/>
      <c r="OLD155" s="133"/>
      <c r="OLE155" s="133"/>
      <c r="OLF155" s="133"/>
      <c r="OLG155" s="133"/>
      <c r="OLH155" s="133"/>
      <c r="OLI155" s="133"/>
      <c r="OLJ155" s="133"/>
      <c r="OLK155" s="133"/>
      <c r="OLL155" s="133"/>
      <c r="OLM155" s="133"/>
      <c r="OLN155" s="133"/>
      <c r="OLO155" s="133"/>
      <c r="OLP155" s="133"/>
      <c r="OLQ155" s="133"/>
      <c r="OLR155" s="133"/>
      <c r="OLS155" s="133"/>
      <c r="OLT155" s="133"/>
      <c r="OLU155" s="133"/>
      <c r="OLV155" s="133"/>
      <c r="OLW155" s="133"/>
      <c r="OLX155" s="133"/>
      <c r="OLY155" s="133"/>
      <c r="OLZ155" s="133"/>
      <c r="OMA155" s="133"/>
      <c r="OMB155" s="133"/>
      <c r="OMC155" s="133"/>
      <c r="OMD155" s="133"/>
      <c r="OME155" s="133"/>
      <c r="OMF155" s="133"/>
      <c r="OMG155" s="133"/>
      <c r="OMH155" s="133"/>
      <c r="OMI155" s="133"/>
      <c r="OMJ155" s="133"/>
      <c r="OMK155" s="133"/>
      <c r="OML155" s="133"/>
      <c r="OMM155" s="133"/>
      <c r="OMN155" s="133"/>
      <c r="OMO155" s="133"/>
      <c r="OMP155" s="133"/>
      <c r="OMQ155" s="133"/>
      <c r="OMR155" s="133"/>
      <c r="OMS155" s="133"/>
      <c r="OMT155" s="133"/>
      <c r="OMU155" s="133"/>
      <c r="OMV155" s="133"/>
      <c r="OMW155" s="133"/>
      <c r="OMX155" s="133"/>
      <c r="OMY155" s="133"/>
      <c r="OMZ155" s="133"/>
      <c r="ONA155" s="133"/>
      <c r="ONB155" s="133"/>
      <c r="ONC155" s="133"/>
      <c r="OND155" s="133"/>
      <c r="ONE155" s="133"/>
      <c r="ONF155" s="133"/>
      <c r="ONG155" s="133"/>
      <c r="ONH155" s="133"/>
      <c r="ONI155" s="133"/>
      <c r="ONJ155" s="133"/>
      <c r="ONK155" s="133"/>
      <c r="ONL155" s="133"/>
      <c r="ONM155" s="133"/>
      <c r="ONN155" s="133"/>
      <c r="ONO155" s="133"/>
      <c r="ONP155" s="133"/>
      <c r="ONQ155" s="133"/>
      <c r="ONR155" s="133"/>
      <c r="ONS155" s="133"/>
      <c r="ONT155" s="133"/>
      <c r="ONU155" s="133"/>
      <c r="ONV155" s="133"/>
      <c r="ONW155" s="133"/>
      <c r="ONX155" s="133"/>
      <c r="ONY155" s="133"/>
      <c r="ONZ155" s="133"/>
      <c r="OOA155" s="133"/>
      <c r="OOB155" s="133"/>
      <c r="OOC155" s="133"/>
      <c r="OOD155" s="133"/>
      <c r="OOE155" s="133"/>
      <c r="OOF155" s="133"/>
      <c r="OOG155" s="133"/>
      <c r="OOH155" s="133"/>
      <c r="OOI155" s="133"/>
      <c r="OOJ155" s="133"/>
      <c r="OOK155" s="133"/>
      <c r="OOL155" s="133"/>
      <c r="OOM155" s="133"/>
      <c r="OON155" s="133"/>
      <c r="OOO155" s="133"/>
      <c r="OOP155" s="133"/>
      <c r="OOQ155" s="133"/>
      <c r="OOR155" s="133"/>
      <c r="OOS155" s="133"/>
      <c r="OOT155" s="133"/>
      <c r="OOU155" s="133"/>
      <c r="OOV155" s="133"/>
      <c r="OOW155" s="133"/>
      <c r="OOX155" s="133"/>
      <c r="OOY155" s="133"/>
      <c r="OOZ155" s="133"/>
      <c r="OPA155" s="133"/>
      <c r="OPB155" s="133"/>
      <c r="OPC155" s="133"/>
      <c r="OPD155" s="133"/>
      <c r="OPE155" s="133"/>
      <c r="OPF155" s="133"/>
      <c r="OPG155" s="133"/>
      <c r="OPH155" s="133"/>
      <c r="OPI155" s="133"/>
      <c r="OPJ155" s="133"/>
      <c r="OPK155" s="133"/>
      <c r="OPL155" s="133"/>
      <c r="OPM155" s="133"/>
      <c r="OPN155" s="133"/>
      <c r="OPO155" s="133"/>
      <c r="OPP155" s="133"/>
      <c r="OPQ155" s="133"/>
      <c r="OPR155" s="133"/>
      <c r="OPS155" s="133"/>
      <c r="OPT155" s="133"/>
      <c r="OPU155" s="133"/>
      <c r="OPV155" s="133"/>
      <c r="OPW155" s="133"/>
      <c r="OPX155" s="133"/>
      <c r="OPY155" s="133"/>
      <c r="OPZ155" s="133"/>
      <c r="OQA155" s="133"/>
      <c r="OQB155" s="133"/>
      <c r="OQC155" s="133"/>
      <c r="OQD155" s="133"/>
      <c r="OQE155" s="133"/>
      <c r="OQF155" s="133"/>
      <c r="OQG155" s="133"/>
      <c r="OQH155" s="133"/>
      <c r="OQI155" s="133"/>
      <c r="OQJ155" s="133"/>
      <c r="OQK155" s="133"/>
      <c r="OQL155" s="133"/>
      <c r="OQM155" s="133"/>
      <c r="OQN155" s="133"/>
      <c r="OQO155" s="133"/>
      <c r="OQP155" s="133"/>
      <c r="OQQ155" s="133"/>
      <c r="OQR155" s="133"/>
      <c r="OQS155" s="133"/>
      <c r="OQT155" s="133"/>
      <c r="OQU155" s="133"/>
      <c r="OQV155" s="133"/>
      <c r="OQW155" s="133"/>
      <c r="OQX155" s="133"/>
      <c r="OQY155" s="133"/>
      <c r="OQZ155" s="133"/>
      <c r="ORA155" s="133"/>
      <c r="ORB155" s="133"/>
      <c r="ORC155" s="133"/>
      <c r="ORD155" s="133"/>
      <c r="ORE155" s="133"/>
      <c r="ORF155" s="133"/>
      <c r="ORG155" s="133"/>
      <c r="ORH155" s="133"/>
      <c r="ORI155" s="133"/>
      <c r="ORJ155" s="133"/>
      <c r="ORK155" s="133"/>
      <c r="ORL155" s="133"/>
      <c r="ORM155" s="133"/>
      <c r="ORN155" s="133"/>
      <c r="ORO155" s="133"/>
      <c r="ORP155" s="133"/>
      <c r="ORQ155" s="133"/>
      <c r="ORR155" s="133"/>
      <c r="ORS155" s="133"/>
      <c r="ORT155" s="133"/>
      <c r="ORU155" s="133"/>
      <c r="ORV155" s="133"/>
      <c r="ORW155" s="133"/>
      <c r="ORX155" s="133"/>
      <c r="ORY155" s="133"/>
      <c r="ORZ155" s="133"/>
      <c r="OSA155" s="133"/>
      <c r="OSB155" s="133"/>
      <c r="OSC155" s="133"/>
      <c r="OSD155" s="133"/>
      <c r="OSE155" s="133"/>
      <c r="OSF155" s="133"/>
      <c r="OSG155" s="133"/>
      <c r="OSH155" s="133"/>
      <c r="OSI155" s="133"/>
      <c r="OSJ155" s="133"/>
      <c r="OSK155" s="133"/>
      <c r="OSL155" s="133"/>
      <c r="OSM155" s="133"/>
      <c r="OSN155" s="133"/>
      <c r="OSO155" s="133"/>
      <c r="OSP155" s="133"/>
      <c r="OSQ155" s="133"/>
      <c r="OSR155" s="133"/>
      <c r="OSS155" s="133"/>
      <c r="OST155" s="133"/>
      <c r="OSU155" s="133"/>
      <c r="OSV155" s="133"/>
      <c r="OSW155" s="133"/>
      <c r="OSX155" s="133"/>
      <c r="OSY155" s="133"/>
      <c r="OSZ155" s="133"/>
      <c r="OTA155" s="133"/>
      <c r="OTB155" s="133"/>
      <c r="OTC155" s="133"/>
      <c r="OTD155" s="133"/>
      <c r="OTE155" s="133"/>
      <c r="OTF155" s="133"/>
      <c r="OTG155" s="133"/>
      <c r="OTH155" s="133"/>
      <c r="OTI155" s="133"/>
      <c r="OTJ155" s="133"/>
      <c r="OTK155" s="133"/>
      <c r="OTL155" s="133"/>
      <c r="OTM155" s="133"/>
      <c r="OTN155" s="133"/>
      <c r="OTO155" s="133"/>
      <c r="OTP155" s="133"/>
      <c r="OTQ155" s="133"/>
      <c r="OTR155" s="133"/>
      <c r="OTS155" s="133"/>
      <c r="OTT155" s="133"/>
      <c r="OTU155" s="133"/>
      <c r="OTV155" s="133"/>
      <c r="OTW155" s="133"/>
      <c r="OTX155" s="133"/>
      <c r="OTY155" s="133"/>
      <c r="OTZ155" s="133"/>
      <c r="OUA155" s="133"/>
      <c r="OUB155" s="133"/>
      <c r="OUC155" s="133"/>
      <c r="OUD155" s="133"/>
      <c r="OUE155" s="133"/>
      <c r="OUF155" s="133"/>
      <c r="OUG155" s="133"/>
      <c r="OUH155" s="133"/>
      <c r="OUI155" s="133"/>
      <c r="OUJ155" s="133"/>
      <c r="OUK155" s="133"/>
      <c r="OUL155" s="133"/>
      <c r="OUM155" s="133"/>
      <c r="OUN155" s="133"/>
      <c r="OUO155" s="133"/>
      <c r="OUP155" s="133"/>
      <c r="OUQ155" s="133"/>
      <c r="OUR155" s="133"/>
      <c r="OUS155" s="133"/>
      <c r="OUT155" s="133"/>
      <c r="OUU155" s="133"/>
      <c r="OUV155" s="133"/>
      <c r="OUW155" s="133"/>
      <c r="OUX155" s="133"/>
      <c r="OUY155" s="133"/>
      <c r="OUZ155" s="133"/>
      <c r="OVA155" s="133"/>
      <c r="OVB155" s="133"/>
      <c r="OVC155" s="133"/>
      <c r="OVD155" s="133"/>
      <c r="OVE155" s="133"/>
      <c r="OVF155" s="133"/>
      <c r="OVG155" s="133"/>
      <c r="OVH155" s="133"/>
      <c r="OVI155" s="133"/>
      <c r="OVJ155" s="133"/>
      <c r="OVK155" s="133"/>
      <c r="OVL155" s="133"/>
      <c r="OVM155" s="133"/>
      <c r="OVN155" s="133"/>
      <c r="OVO155" s="133"/>
      <c r="OVP155" s="133"/>
      <c r="OVQ155" s="133"/>
      <c r="OVR155" s="133"/>
      <c r="OVS155" s="133"/>
      <c r="OVT155" s="133"/>
      <c r="OVU155" s="133"/>
      <c r="OVV155" s="133"/>
      <c r="OVW155" s="133"/>
      <c r="OVX155" s="133"/>
      <c r="OVY155" s="133"/>
      <c r="OVZ155" s="133"/>
      <c r="OWA155" s="133"/>
      <c r="OWB155" s="133"/>
      <c r="OWC155" s="133"/>
      <c r="OWD155" s="133"/>
      <c r="OWE155" s="133"/>
      <c r="OWF155" s="133"/>
      <c r="OWG155" s="133"/>
      <c r="OWH155" s="133"/>
      <c r="OWI155" s="133"/>
      <c r="OWJ155" s="133"/>
      <c r="OWK155" s="133"/>
      <c r="OWL155" s="133"/>
      <c r="OWM155" s="133"/>
      <c r="OWN155" s="133"/>
      <c r="OWO155" s="133"/>
      <c r="OWP155" s="133"/>
      <c r="OWQ155" s="133"/>
      <c r="OWR155" s="133"/>
      <c r="OWS155" s="133"/>
      <c r="OWT155" s="133"/>
      <c r="OWU155" s="133"/>
      <c r="OWV155" s="133"/>
      <c r="OWW155" s="133"/>
      <c r="OWX155" s="133"/>
      <c r="OWY155" s="133"/>
      <c r="OWZ155" s="133"/>
      <c r="OXA155" s="133"/>
      <c r="OXB155" s="133"/>
      <c r="OXC155" s="133"/>
      <c r="OXD155" s="133"/>
      <c r="OXE155" s="133"/>
      <c r="OXF155" s="133"/>
      <c r="OXG155" s="133"/>
      <c r="OXH155" s="133"/>
      <c r="OXI155" s="133"/>
      <c r="OXJ155" s="133"/>
      <c r="OXK155" s="133"/>
      <c r="OXL155" s="133"/>
      <c r="OXM155" s="133"/>
      <c r="OXN155" s="133"/>
      <c r="OXO155" s="133"/>
      <c r="OXP155" s="133"/>
      <c r="OXQ155" s="133"/>
      <c r="OXR155" s="133"/>
      <c r="OXS155" s="133"/>
      <c r="OXT155" s="133"/>
      <c r="OXU155" s="133"/>
      <c r="OXV155" s="133"/>
      <c r="OXW155" s="133"/>
      <c r="OXX155" s="133"/>
      <c r="OXY155" s="133"/>
      <c r="OXZ155" s="133"/>
      <c r="OYA155" s="133"/>
      <c r="OYB155" s="133"/>
      <c r="OYC155" s="133"/>
      <c r="OYD155" s="133"/>
      <c r="OYE155" s="133"/>
      <c r="OYF155" s="133"/>
      <c r="OYG155" s="133"/>
      <c r="OYH155" s="133"/>
      <c r="OYI155" s="133"/>
      <c r="OYJ155" s="133"/>
      <c r="OYK155" s="133"/>
      <c r="OYL155" s="133"/>
      <c r="OYM155" s="133"/>
      <c r="OYN155" s="133"/>
      <c r="OYO155" s="133"/>
      <c r="OYP155" s="133"/>
      <c r="OYQ155" s="133"/>
      <c r="OYR155" s="133"/>
      <c r="OYS155" s="133"/>
      <c r="OYT155" s="133"/>
      <c r="OYU155" s="133"/>
      <c r="OYV155" s="133"/>
      <c r="OYW155" s="133"/>
      <c r="OYX155" s="133"/>
      <c r="OYY155" s="133"/>
      <c r="OYZ155" s="133"/>
      <c r="OZA155" s="133"/>
      <c r="OZB155" s="133"/>
      <c r="OZC155" s="133"/>
      <c r="OZD155" s="133"/>
      <c r="OZE155" s="133"/>
      <c r="OZF155" s="133"/>
      <c r="OZG155" s="133"/>
      <c r="OZH155" s="133"/>
      <c r="OZI155" s="133"/>
      <c r="OZJ155" s="133"/>
      <c r="OZK155" s="133"/>
      <c r="OZL155" s="133"/>
      <c r="OZM155" s="133"/>
      <c r="OZN155" s="133"/>
      <c r="OZO155" s="133"/>
      <c r="OZP155" s="133"/>
      <c r="OZQ155" s="133"/>
      <c r="OZR155" s="133"/>
      <c r="OZS155" s="133"/>
      <c r="OZT155" s="133"/>
      <c r="OZU155" s="133"/>
      <c r="OZV155" s="133"/>
      <c r="OZW155" s="133"/>
      <c r="OZX155" s="133"/>
      <c r="OZY155" s="133"/>
      <c r="OZZ155" s="133"/>
      <c r="PAA155" s="133"/>
      <c r="PAB155" s="133"/>
      <c r="PAC155" s="133"/>
      <c r="PAD155" s="133"/>
      <c r="PAE155" s="133"/>
      <c r="PAF155" s="133"/>
      <c r="PAG155" s="133"/>
      <c r="PAH155" s="133"/>
      <c r="PAI155" s="133"/>
      <c r="PAJ155" s="133"/>
      <c r="PAK155" s="133"/>
      <c r="PAL155" s="133"/>
      <c r="PAM155" s="133"/>
      <c r="PAN155" s="133"/>
      <c r="PAO155" s="133"/>
      <c r="PAP155" s="133"/>
      <c r="PAQ155" s="133"/>
      <c r="PAR155" s="133"/>
      <c r="PAS155" s="133"/>
      <c r="PAT155" s="133"/>
      <c r="PAU155" s="133"/>
      <c r="PAV155" s="133"/>
      <c r="PAW155" s="133"/>
      <c r="PAX155" s="133"/>
      <c r="PAY155" s="133"/>
      <c r="PAZ155" s="133"/>
      <c r="PBA155" s="133"/>
      <c r="PBB155" s="133"/>
      <c r="PBC155" s="133"/>
      <c r="PBD155" s="133"/>
      <c r="PBE155" s="133"/>
      <c r="PBF155" s="133"/>
      <c r="PBG155" s="133"/>
      <c r="PBH155" s="133"/>
      <c r="PBI155" s="133"/>
      <c r="PBJ155" s="133"/>
      <c r="PBK155" s="133"/>
      <c r="PBL155" s="133"/>
      <c r="PBM155" s="133"/>
      <c r="PBN155" s="133"/>
      <c r="PBO155" s="133"/>
      <c r="PBP155" s="133"/>
      <c r="PBQ155" s="133"/>
      <c r="PBR155" s="133"/>
      <c r="PBS155" s="133"/>
      <c r="PBT155" s="133"/>
      <c r="PBU155" s="133"/>
      <c r="PBV155" s="133"/>
      <c r="PBW155" s="133"/>
      <c r="PBX155" s="133"/>
      <c r="PBY155" s="133"/>
      <c r="PBZ155" s="133"/>
      <c r="PCA155" s="133"/>
      <c r="PCB155" s="133"/>
      <c r="PCC155" s="133"/>
      <c r="PCD155" s="133"/>
      <c r="PCE155" s="133"/>
      <c r="PCF155" s="133"/>
      <c r="PCG155" s="133"/>
      <c r="PCH155" s="133"/>
      <c r="PCI155" s="133"/>
      <c r="PCJ155" s="133"/>
      <c r="PCK155" s="133"/>
      <c r="PCL155" s="133"/>
      <c r="PCM155" s="133"/>
      <c r="PCN155" s="133"/>
      <c r="PCO155" s="133"/>
      <c r="PCP155" s="133"/>
      <c r="PCQ155" s="133"/>
      <c r="PCR155" s="133"/>
      <c r="PCS155" s="133"/>
      <c r="PCT155" s="133"/>
      <c r="PCU155" s="133"/>
      <c r="PCV155" s="133"/>
      <c r="PCW155" s="133"/>
      <c r="PCX155" s="133"/>
      <c r="PCY155" s="133"/>
      <c r="PCZ155" s="133"/>
      <c r="PDA155" s="133"/>
      <c r="PDB155" s="133"/>
      <c r="PDC155" s="133"/>
      <c r="PDD155" s="133"/>
      <c r="PDE155" s="133"/>
      <c r="PDF155" s="133"/>
      <c r="PDG155" s="133"/>
      <c r="PDH155" s="133"/>
      <c r="PDI155" s="133"/>
      <c r="PDJ155" s="133"/>
      <c r="PDK155" s="133"/>
      <c r="PDL155" s="133"/>
      <c r="PDM155" s="133"/>
      <c r="PDN155" s="133"/>
      <c r="PDO155" s="133"/>
      <c r="PDP155" s="133"/>
      <c r="PDQ155" s="133"/>
      <c r="PDR155" s="133"/>
      <c r="PDS155" s="133"/>
      <c r="PDT155" s="133"/>
      <c r="PDU155" s="133"/>
      <c r="PDV155" s="133"/>
      <c r="PDW155" s="133"/>
      <c r="PDX155" s="133"/>
      <c r="PDY155" s="133"/>
      <c r="PDZ155" s="133"/>
      <c r="PEA155" s="133"/>
      <c r="PEB155" s="133"/>
      <c r="PEC155" s="133"/>
      <c r="PED155" s="133"/>
      <c r="PEE155" s="133"/>
      <c r="PEF155" s="133"/>
      <c r="PEG155" s="133"/>
      <c r="PEH155" s="133"/>
      <c r="PEI155" s="133"/>
      <c r="PEJ155" s="133"/>
      <c r="PEK155" s="133"/>
      <c r="PEL155" s="133"/>
      <c r="PEM155" s="133"/>
      <c r="PEN155" s="133"/>
      <c r="PEO155" s="133"/>
      <c r="PEP155" s="133"/>
      <c r="PEQ155" s="133"/>
      <c r="PER155" s="133"/>
      <c r="PES155" s="133"/>
      <c r="PET155" s="133"/>
      <c r="PEU155" s="133"/>
      <c r="PEV155" s="133"/>
      <c r="PEW155" s="133"/>
      <c r="PEX155" s="133"/>
      <c r="PEY155" s="133"/>
      <c r="PEZ155" s="133"/>
      <c r="PFA155" s="133"/>
      <c r="PFB155" s="133"/>
      <c r="PFC155" s="133"/>
      <c r="PFD155" s="133"/>
      <c r="PFE155" s="133"/>
      <c r="PFF155" s="133"/>
      <c r="PFG155" s="133"/>
      <c r="PFH155" s="133"/>
      <c r="PFI155" s="133"/>
      <c r="PFJ155" s="133"/>
      <c r="PFK155" s="133"/>
      <c r="PFL155" s="133"/>
      <c r="PFM155" s="133"/>
      <c r="PFN155" s="133"/>
      <c r="PFO155" s="133"/>
      <c r="PFP155" s="133"/>
      <c r="PFQ155" s="133"/>
      <c r="PFR155" s="133"/>
      <c r="PFS155" s="133"/>
      <c r="PFT155" s="133"/>
      <c r="PFU155" s="133"/>
      <c r="PFV155" s="133"/>
      <c r="PFW155" s="133"/>
      <c r="PFX155" s="133"/>
      <c r="PFY155" s="133"/>
      <c r="PFZ155" s="133"/>
      <c r="PGA155" s="133"/>
      <c r="PGB155" s="133"/>
      <c r="PGC155" s="133"/>
      <c r="PGD155" s="133"/>
      <c r="PGE155" s="133"/>
      <c r="PGF155" s="133"/>
      <c r="PGG155" s="133"/>
      <c r="PGH155" s="133"/>
      <c r="PGI155" s="133"/>
      <c r="PGJ155" s="133"/>
      <c r="PGK155" s="133"/>
      <c r="PGL155" s="133"/>
      <c r="PGM155" s="133"/>
      <c r="PGN155" s="133"/>
      <c r="PGO155" s="133"/>
      <c r="PGP155" s="133"/>
      <c r="PGQ155" s="133"/>
      <c r="PGR155" s="133"/>
      <c r="PGS155" s="133"/>
      <c r="PGT155" s="133"/>
      <c r="PGU155" s="133"/>
      <c r="PGV155" s="133"/>
      <c r="PGW155" s="133"/>
      <c r="PGX155" s="133"/>
      <c r="PGY155" s="133"/>
      <c r="PGZ155" s="133"/>
      <c r="PHA155" s="133"/>
      <c r="PHB155" s="133"/>
      <c r="PHC155" s="133"/>
      <c r="PHD155" s="133"/>
      <c r="PHE155" s="133"/>
      <c r="PHF155" s="133"/>
      <c r="PHG155" s="133"/>
      <c r="PHH155" s="133"/>
      <c r="PHI155" s="133"/>
      <c r="PHJ155" s="133"/>
      <c r="PHK155" s="133"/>
      <c r="PHL155" s="133"/>
      <c r="PHM155" s="133"/>
      <c r="PHN155" s="133"/>
      <c r="PHO155" s="133"/>
      <c r="PHP155" s="133"/>
      <c r="PHQ155" s="133"/>
      <c r="PHR155" s="133"/>
      <c r="PHS155" s="133"/>
      <c r="PHT155" s="133"/>
      <c r="PHU155" s="133"/>
      <c r="PHV155" s="133"/>
      <c r="PHW155" s="133"/>
      <c r="PHX155" s="133"/>
      <c r="PHY155" s="133"/>
      <c r="PHZ155" s="133"/>
      <c r="PIA155" s="133"/>
      <c r="PIB155" s="133"/>
      <c r="PIC155" s="133"/>
      <c r="PID155" s="133"/>
      <c r="PIE155" s="133"/>
      <c r="PIF155" s="133"/>
      <c r="PIG155" s="133"/>
      <c r="PIH155" s="133"/>
      <c r="PII155" s="133"/>
      <c r="PIJ155" s="133"/>
      <c r="PIK155" s="133"/>
      <c r="PIL155" s="133"/>
      <c r="PIM155" s="133"/>
      <c r="PIN155" s="133"/>
      <c r="PIO155" s="133"/>
      <c r="PIP155" s="133"/>
      <c r="PIQ155" s="133"/>
      <c r="PIR155" s="133"/>
      <c r="PIS155" s="133"/>
      <c r="PIT155" s="133"/>
      <c r="PIU155" s="133"/>
      <c r="PIV155" s="133"/>
      <c r="PIW155" s="133"/>
      <c r="PIX155" s="133"/>
      <c r="PIY155" s="133"/>
      <c r="PIZ155" s="133"/>
      <c r="PJA155" s="133"/>
      <c r="PJB155" s="133"/>
      <c r="PJC155" s="133"/>
      <c r="PJD155" s="133"/>
      <c r="PJE155" s="133"/>
      <c r="PJF155" s="133"/>
      <c r="PJG155" s="133"/>
      <c r="PJH155" s="133"/>
      <c r="PJI155" s="133"/>
      <c r="PJJ155" s="133"/>
      <c r="PJK155" s="133"/>
      <c r="PJL155" s="133"/>
      <c r="PJM155" s="133"/>
      <c r="PJN155" s="133"/>
      <c r="PJO155" s="133"/>
      <c r="PJP155" s="133"/>
      <c r="PJQ155" s="133"/>
      <c r="PJR155" s="133"/>
      <c r="PJS155" s="133"/>
      <c r="PJT155" s="133"/>
      <c r="PJU155" s="133"/>
      <c r="PJV155" s="133"/>
      <c r="PJW155" s="133"/>
      <c r="PJX155" s="133"/>
      <c r="PJY155" s="133"/>
      <c r="PJZ155" s="133"/>
      <c r="PKA155" s="133"/>
      <c r="PKB155" s="133"/>
      <c r="PKC155" s="133"/>
      <c r="PKD155" s="133"/>
      <c r="PKE155" s="133"/>
      <c r="PKF155" s="133"/>
      <c r="PKG155" s="133"/>
      <c r="PKH155" s="133"/>
      <c r="PKI155" s="133"/>
      <c r="PKJ155" s="133"/>
      <c r="PKK155" s="133"/>
      <c r="PKL155" s="133"/>
      <c r="PKM155" s="133"/>
      <c r="PKN155" s="133"/>
      <c r="PKO155" s="133"/>
      <c r="PKP155" s="133"/>
      <c r="PKQ155" s="133"/>
      <c r="PKR155" s="133"/>
      <c r="PKS155" s="133"/>
      <c r="PKT155" s="133"/>
      <c r="PKU155" s="133"/>
      <c r="PKV155" s="133"/>
      <c r="PKW155" s="133"/>
      <c r="PKX155" s="133"/>
      <c r="PKY155" s="133"/>
      <c r="PKZ155" s="133"/>
      <c r="PLA155" s="133"/>
      <c r="PLB155" s="133"/>
      <c r="PLC155" s="133"/>
      <c r="PLD155" s="133"/>
      <c r="PLE155" s="133"/>
      <c r="PLF155" s="133"/>
      <c r="PLG155" s="133"/>
      <c r="PLH155" s="133"/>
      <c r="PLI155" s="133"/>
      <c r="PLJ155" s="133"/>
      <c r="PLK155" s="133"/>
      <c r="PLL155" s="133"/>
      <c r="PLM155" s="133"/>
      <c r="PLN155" s="133"/>
      <c r="PLO155" s="133"/>
      <c r="PLP155" s="133"/>
      <c r="PLQ155" s="133"/>
      <c r="PLR155" s="133"/>
      <c r="PLS155" s="133"/>
      <c r="PLT155" s="133"/>
      <c r="PLU155" s="133"/>
      <c r="PLV155" s="133"/>
      <c r="PLW155" s="133"/>
      <c r="PLX155" s="133"/>
      <c r="PLY155" s="133"/>
      <c r="PLZ155" s="133"/>
      <c r="PMA155" s="133"/>
      <c r="PMB155" s="133"/>
      <c r="PMC155" s="133"/>
      <c r="PMD155" s="133"/>
      <c r="PME155" s="133"/>
      <c r="PMF155" s="133"/>
      <c r="PMG155" s="133"/>
      <c r="PMH155" s="133"/>
      <c r="PMI155" s="133"/>
      <c r="PMJ155" s="133"/>
      <c r="PMK155" s="133"/>
      <c r="PML155" s="133"/>
      <c r="PMM155" s="133"/>
      <c r="PMN155" s="133"/>
      <c r="PMO155" s="133"/>
      <c r="PMP155" s="133"/>
      <c r="PMQ155" s="133"/>
      <c r="PMR155" s="133"/>
      <c r="PMS155" s="133"/>
      <c r="PMT155" s="133"/>
      <c r="PMU155" s="133"/>
      <c r="PMV155" s="133"/>
      <c r="PMW155" s="133"/>
      <c r="PMX155" s="133"/>
      <c r="PMY155" s="133"/>
      <c r="PMZ155" s="133"/>
      <c r="PNA155" s="133"/>
      <c r="PNB155" s="133"/>
      <c r="PNC155" s="133"/>
      <c r="PND155" s="133"/>
      <c r="PNE155" s="133"/>
      <c r="PNF155" s="133"/>
      <c r="PNG155" s="133"/>
      <c r="PNH155" s="133"/>
      <c r="PNI155" s="133"/>
      <c r="PNJ155" s="133"/>
      <c r="PNK155" s="133"/>
      <c r="PNL155" s="133"/>
      <c r="PNM155" s="133"/>
      <c r="PNN155" s="133"/>
      <c r="PNO155" s="133"/>
      <c r="PNP155" s="133"/>
      <c r="PNQ155" s="133"/>
      <c r="PNR155" s="133"/>
      <c r="PNS155" s="133"/>
      <c r="PNT155" s="133"/>
      <c r="PNU155" s="133"/>
      <c r="PNV155" s="133"/>
      <c r="PNW155" s="133"/>
      <c r="PNX155" s="133"/>
      <c r="PNY155" s="133"/>
      <c r="PNZ155" s="133"/>
      <c r="POA155" s="133"/>
      <c r="POB155" s="133"/>
      <c r="POC155" s="133"/>
      <c r="POD155" s="133"/>
      <c r="POE155" s="133"/>
      <c r="POF155" s="133"/>
      <c r="POG155" s="133"/>
      <c r="POH155" s="133"/>
      <c r="POI155" s="133"/>
      <c r="POJ155" s="133"/>
      <c r="POK155" s="133"/>
      <c r="POL155" s="133"/>
      <c r="POM155" s="133"/>
      <c r="PON155" s="133"/>
      <c r="POO155" s="133"/>
      <c r="POP155" s="133"/>
      <c r="POQ155" s="133"/>
      <c r="POR155" s="133"/>
      <c r="POS155" s="133"/>
      <c r="POT155" s="133"/>
      <c r="POU155" s="133"/>
      <c r="POV155" s="133"/>
      <c r="POW155" s="133"/>
      <c r="POX155" s="133"/>
      <c r="POY155" s="133"/>
      <c r="POZ155" s="133"/>
      <c r="PPA155" s="133"/>
      <c r="PPB155" s="133"/>
      <c r="PPC155" s="133"/>
      <c r="PPD155" s="133"/>
      <c r="PPE155" s="133"/>
      <c r="PPF155" s="133"/>
      <c r="PPG155" s="133"/>
      <c r="PPH155" s="133"/>
      <c r="PPI155" s="133"/>
      <c r="PPJ155" s="133"/>
      <c r="PPK155" s="133"/>
      <c r="PPL155" s="133"/>
      <c r="PPM155" s="133"/>
      <c r="PPN155" s="133"/>
      <c r="PPO155" s="133"/>
      <c r="PPP155" s="133"/>
      <c r="PPQ155" s="133"/>
      <c r="PPR155" s="133"/>
      <c r="PPS155" s="133"/>
      <c r="PPT155" s="133"/>
      <c r="PPU155" s="133"/>
      <c r="PPV155" s="133"/>
      <c r="PPW155" s="133"/>
      <c r="PPX155" s="133"/>
      <c r="PPY155" s="133"/>
      <c r="PPZ155" s="133"/>
      <c r="PQA155" s="133"/>
      <c r="PQB155" s="133"/>
      <c r="PQC155" s="133"/>
      <c r="PQD155" s="133"/>
      <c r="PQE155" s="133"/>
      <c r="PQF155" s="133"/>
      <c r="PQG155" s="133"/>
      <c r="PQH155" s="133"/>
      <c r="PQI155" s="133"/>
      <c r="PQJ155" s="133"/>
      <c r="PQK155" s="133"/>
      <c r="PQL155" s="133"/>
      <c r="PQM155" s="133"/>
      <c r="PQN155" s="133"/>
      <c r="PQO155" s="133"/>
      <c r="PQP155" s="133"/>
      <c r="PQQ155" s="133"/>
      <c r="PQR155" s="133"/>
      <c r="PQS155" s="133"/>
      <c r="PQT155" s="133"/>
      <c r="PQU155" s="133"/>
      <c r="PQV155" s="133"/>
      <c r="PQW155" s="133"/>
      <c r="PQX155" s="133"/>
      <c r="PQY155" s="133"/>
      <c r="PQZ155" s="133"/>
      <c r="PRA155" s="133"/>
      <c r="PRB155" s="133"/>
      <c r="PRC155" s="133"/>
      <c r="PRD155" s="133"/>
      <c r="PRE155" s="133"/>
      <c r="PRF155" s="133"/>
      <c r="PRG155" s="133"/>
      <c r="PRH155" s="133"/>
      <c r="PRI155" s="133"/>
      <c r="PRJ155" s="133"/>
      <c r="PRK155" s="133"/>
      <c r="PRL155" s="133"/>
      <c r="PRM155" s="133"/>
      <c r="PRN155" s="133"/>
      <c r="PRO155" s="133"/>
      <c r="PRP155" s="133"/>
      <c r="PRQ155" s="133"/>
      <c r="PRR155" s="133"/>
      <c r="PRS155" s="133"/>
      <c r="PRT155" s="133"/>
      <c r="PRU155" s="133"/>
      <c r="PRV155" s="133"/>
      <c r="PRW155" s="133"/>
      <c r="PRX155" s="133"/>
      <c r="PRY155" s="133"/>
      <c r="PRZ155" s="133"/>
      <c r="PSA155" s="133"/>
      <c r="PSB155" s="133"/>
      <c r="PSC155" s="133"/>
      <c r="PSD155" s="133"/>
      <c r="PSE155" s="133"/>
      <c r="PSF155" s="133"/>
      <c r="PSG155" s="133"/>
      <c r="PSH155" s="133"/>
      <c r="PSI155" s="133"/>
      <c r="PSJ155" s="133"/>
      <c r="PSK155" s="133"/>
      <c r="PSL155" s="133"/>
      <c r="PSM155" s="133"/>
      <c r="PSN155" s="133"/>
      <c r="PSO155" s="133"/>
      <c r="PSP155" s="133"/>
      <c r="PSQ155" s="133"/>
      <c r="PSR155" s="133"/>
      <c r="PSS155" s="133"/>
      <c r="PST155" s="133"/>
      <c r="PSU155" s="133"/>
      <c r="PSV155" s="133"/>
      <c r="PSW155" s="133"/>
      <c r="PSX155" s="133"/>
      <c r="PSY155" s="133"/>
      <c r="PSZ155" s="133"/>
      <c r="PTA155" s="133"/>
      <c r="PTB155" s="133"/>
      <c r="PTC155" s="133"/>
      <c r="PTD155" s="133"/>
      <c r="PTE155" s="133"/>
      <c r="PTF155" s="133"/>
      <c r="PTG155" s="133"/>
      <c r="PTH155" s="133"/>
      <c r="PTI155" s="133"/>
      <c r="PTJ155" s="133"/>
      <c r="PTK155" s="133"/>
      <c r="PTL155" s="133"/>
      <c r="PTM155" s="133"/>
      <c r="PTN155" s="133"/>
      <c r="PTO155" s="133"/>
      <c r="PTP155" s="133"/>
      <c r="PTQ155" s="133"/>
      <c r="PTR155" s="133"/>
      <c r="PTS155" s="133"/>
      <c r="PTT155" s="133"/>
      <c r="PTU155" s="133"/>
      <c r="PTV155" s="133"/>
      <c r="PTW155" s="133"/>
      <c r="PTX155" s="133"/>
      <c r="PTY155" s="133"/>
      <c r="PTZ155" s="133"/>
      <c r="PUA155" s="133"/>
      <c r="PUB155" s="133"/>
      <c r="PUC155" s="133"/>
      <c r="PUD155" s="133"/>
      <c r="PUE155" s="133"/>
      <c r="PUF155" s="133"/>
      <c r="PUG155" s="133"/>
      <c r="PUH155" s="133"/>
      <c r="PUI155" s="133"/>
      <c r="PUJ155" s="133"/>
      <c r="PUK155" s="133"/>
      <c r="PUL155" s="133"/>
      <c r="PUM155" s="133"/>
      <c r="PUN155" s="133"/>
      <c r="PUO155" s="133"/>
      <c r="PUP155" s="133"/>
      <c r="PUQ155" s="133"/>
      <c r="PUR155" s="133"/>
      <c r="PUS155" s="133"/>
      <c r="PUT155" s="133"/>
      <c r="PUU155" s="133"/>
      <c r="PUV155" s="133"/>
      <c r="PUW155" s="133"/>
      <c r="PUX155" s="133"/>
      <c r="PUY155" s="133"/>
      <c r="PUZ155" s="133"/>
      <c r="PVA155" s="133"/>
      <c r="PVB155" s="133"/>
      <c r="PVC155" s="133"/>
      <c r="PVD155" s="133"/>
      <c r="PVE155" s="133"/>
      <c r="PVF155" s="133"/>
      <c r="PVG155" s="133"/>
      <c r="PVH155" s="133"/>
      <c r="PVI155" s="133"/>
      <c r="PVJ155" s="133"/>
      <c r="PVK155" s="133"/>
      <c r="PVL155" s="133"/>
      <c r="PVM155" s="133"/>
      <c r="PVN155" s="133"/>
      <c r="PVO155" s="133"/>
      <c r="PVP155" s="133"/>
      <c r="PVQ155" s="133"/>
      <c r="PVR155" s="133"/>
      <c r="PVS155" s="133"/>
      <c r="PVT155" s="133"/>
      <c r="PVU155" s="133"/>
      <c r="PVV155" s="133"/>
      <c r="PVW155" s="133"/>
      <c r="PVX155" s="133"/>
      <c r="PVY155" s="133"/>
      <c r="PVZ155" s="133"/>
      <c r="PWA155" s="133"/>
      <c r="PWB155" s="133"/>
      <c r="PWC155" s="133"/>
      <c r="PWD155" s="133"/>
      <c r="PWE155" s="133"/>
      <c r="PWF155" s="133"/>
      <c r="PWG155" s="133"/>
      <c r="PWH155" s="133"/>
      <c r="PWI155" s="133"/>
      <c r="PWJ155" s="133"/>
      <c r="PWK155" s="133"/>
      <c r="PWL155" s="133"/>
      <c r="PWM155" s="133"/>
      <c r="PWN155" s="133"/>
      <c r="PWO155" s="133"/>
      <c r="PWP155" s="133"/>
      <c r="PWQ155" s="133"/>
      <c r="PWR155" s="133"/>
      <c r="PWS155" s="133"/>
      <c r="PWT155" s="133"/>
      <c r="PWU155" s="133"/>
      <c r="PWV155" s="133"/>
      <c r="PWW155" s="133"/>
      <c r="PWX155" s="133"/>
      <c r="PWY155" s="133"/>
      <c r="PWZ155" s="133"/>
      <c r="PXA155" s="133"/>
      <c r="PXB155" s="133"/>
      <c r="PXC155" s="133"/>
      <c r="PXD155" s="133"/>
      <c r="PXE155" s="133"/>
      <c r="PXF155" s="133"/>
      <c r="PXG155" s="133"/>
      <c r="PXH155" s="133"/>
      <c r="PXI155" s="133"/>
      <c r="PXJ155" s="133"/>
      <c r="PXK155" s="133"/>
      <c r="PXL155" s="133"/>
      <c r="PXM155" s="133"/>
      <c r="PXN155" s="133"/>
      <c r="PXO155" s="133"/>
      <c r="PXP155" s="133"/>
      <c r="PXQ155" s="133"/>
      <c r="PXR155" s="133"/>
      <c r="PXS155" s="133"/>
      <c r="PXT155" s="133"/>
      <c r="PXU155" s="133"/>
      <c r="PXV155" s="133"/>
      <c r="PXW155" s="133"/>
      <c r="PXX155" s="133"/>
      <c r="PXY155" s="133"/>
      <c r="PXZ155" s="133"/>
      <c r="PYA155" s="133"/>
      <c r="PYB155" s="133"/>
      <c r="PYC155" s="133"/>
      <c r="PYD155" s="133"/>
      <c r="PYE155" s="133"/>
      <c r="PYF155" s="133"/>
      <c r="PYG155" s="133"/>
      <c r="PYH155" s="133"/>
      <c r="PYI155" s="133"/>
      <c r="PYJ155" s="133"/>
      <c r="PYK155" s="133"/>
      <c r="PYL155" s="133"/>
      <c r="PYM155" s="133"/>
      <c r="PYN155" s="133"/>
      <c r="PYO155" s="133"/>
      <c r="PYP155" s="133"/>
      <c r="PYQ155" s="133"/>
      <c r="PYR155" s="133"/>
      <c r="PYS155" s="133"/>
      <c r="PYT155" s="133"/>
      <c r="PYU155" s="133"/>
      <c r="PYV155" s="133"/>
      <c r="PYW155" s="133"/>
      <c r="PYX155" s="133"/>
      <c r="PYY155" s="133"/>
      <c r="PYZ155" s="133"/>
      <c r="PZA155" s="133"/>
      <c r="PZB155" s="133"/>
      <c r="PZC155" s="133"/>
      <c r="PZD155" s="133"/>
      <c r="PZE155" s="133"/>
      <c r="PZF155" s="133"/>
      <c r="PZG155" s="133"/>
      <c r="PZH155" s="133"/>
      <c r="PZI155" s="133"/>
      <c r="PZJ155" s="133"/>
      <c r="PZK155" s="133"/>
      <c r="PZL155" s="133"/>
      <c r="PZM155" s="133"/>
      <c r="PZN155" s="133"/>
      <c r="PZO155" s="133"/>
      <c r="PZP155" s="133"/>
      <c r="PZQ155" s="133"/>
      <c r="PZR155" s="133"/>
      <c r="PZS155" s="133"/>
      <c r="PZT155" s="133"/>
      <c r="PZU155" s="133"/>
      <c r="PZV155" s="133"/>
      <c r="PZW155" s="133"/>
      <c r="PZX155" s="133"/>
      <c r="PZY155" s="133"/>
      <c r="PZZ155" s="133"/>
      <c r="QAA155" s="133"/>
      <c r="QAB155" s="133"/>
      <c r="QAC155" s="133"/>
      <c r="QAD155" s="133"/>
      <c r="QAE155" s="133"/>
      <c r="QAF155" s="133"/>
      <c r="QAG155" s="133"/>
      <c r="QAH155" s="133"/>
      <c r="QAI155" s="133"/>
      <c r="QAJ155" s="133"/>
      <c r="QAK155" s="133"/>
      <c r="QAL155" s="133"/>
      <c r="QAM155" s="133"/>
      <c r="QAN155" s="133"/>
      <c r="QAO155" s="133"/>
      <c r="QAP155" s="133"/>
      <c r="QAQ155" s="133"/>
      <c r="QAR155" s="133"/>
      <c r="QAS155" s="133"/>
      <c r="QAT155" s="133"/>
      <c r="QAU155" s="133"/>
      <c r="QAV155" s="133"/>
      <c r="QAW155" s="133"/>
      <c r="QAX155" s="133"/>
      <c r="QAY155" s="133"/>
      <c r="QAZ155" s="133"/>
      <c r="QBA155" s="133"/>
      <c r="QBB155" s="133"/>
      <c r="QBC155" s="133"/>
      <c r="QBD155" s="133"/>
      <c r="QBE155" s="133"/>
      <c r="QBF155" s="133"/>
      <c r="QBG155" s="133"/>
      <c r="QBH155" s="133"/>
      <c r="QBI155" s="133"/>
      <c r="QBJ155" s="133"/>
      <c r="QBK155" s="133"/>
      <c r="QBL155" s="133"/>
      <c r="QBM155" s="133"/>
      <c r="QBN155" s="133"/>
      <c r="QBO155" s="133"/>
      <c r="QBP155" s="133"/>
      <c r="QBQ155" s="133"/>
      <c r="QBR155" s="133"/>
      <c r="QBS155" s="133"/>
      <c r="QBT155" s="133"/>
      <c r="QBU155" s="133"/>
      <c r="QBV155" s="133"/>
      <c r="QBW155" s="133"/>
      <c r="QBX155" s="133"/>
      <c r="QBY155" s="133"/>
      <c r="QBZ155" s="133"/>
      <c r="QCA155" s="133"/>
      <c r="QCB155" s="133"/>
      <c r="QCC155" s="133"/>
      <c r="QCD155" s="133"/>
      <c r="QCE155" s="133"/>
      <c r="QCF155" s="133"/>
      <c r="QCG155" s="133"/>
      <c r="QCH155" s="133"/>
      <c r="QCI155" s="133"/>
      <c r="QCJ155" s="133"/>
      <c r="QCK155" s="133"/>
      <c r="QCL155" s="133"/>
      <c r="QCM155" s="133"/>
      <c r="QCN155" s="133"/>
      <c r="QCO155" s="133"/>
      <c r="QCP155" s="133"/>
      <c r="QCQ155" s="133"/>
      <c r="QCR155" s="133"/>
      <c r="QCS155" s="133"/>
      <c r="QCT155" s="133"/>
      <c r="QCU155" s="133"/>
      <c r="QCV155" s="133"/>
      <c r="QCW155" s="133"/>
      <c r="QCX155" s="133"/>
      <c r="QCY155" s="133"/>
      <c r="QCZ155" s="133"/>
      <c r="QDA155" s="133"/>
      <c r="QDB155" s="133"/>
      <c r="QDC155" s="133"/>
      <c r="QDD155" s="133"/>
      <c r="QDE155" s="133"/>
      <c r="QDF155" s="133"/>
      <c r="QDG155" s="133"/>
      <c r="QDH155" s="133"/>
      <c r="QDI155" s="133"/>
      <c r="QDJ155" s="133"/>
      <c r="QDK155" s="133"/>
      <c r="QDL155" s="133"/>
      <c r="QDM155" s="133"/>
      <c r="QDN155" s="133"/>
      <c r="QDO155" s="133"/>
      <c r="QDP155" s="133"/>
      <c r="QDQ155" s="133"/>
      <c r="QDR155" s="133"/>
      <c r="QDS155" s="133"/>
      <c r="QDT155" s="133"/>
      <c r="QDU155" s="133"/>
      <c r="QDV155" s="133"/>
      <c r="QDW155" s="133"/>
      <c r="QDX155" s="133"/>
      <c r="QDY155" s="133"/>
      <c r="QDZ155" s="133"/>
      <c r="QEA155" s="133"/>
      <c r="QEB155" s="133"/>
      <c r="QEC155" s="133"/>
      <c r="QED155" s="133"/>
      <c r="QEE155" s="133"/>
      <c r="QEF155" s="133"/>
      <c r="QEG155" s="133"/>
      <c r="QEH155" s="133"/>
      <c r="QEI155" s="133"/>
      <c r="QEJ155" s="133"/>
      <c r="QEK155" s="133"/>
      <c r="QEL155" s="133"/>
      <c r="QEM155" s="133"/>
      <c r="QEN155" s="133"/>
      <c r="QEO155" s="133"/>
      <c r="QEP155" s="133"/>
      <c r="QEQ155" s="133"/>
      <c r="QER155" s="133"/>
      <c r="QES155" s="133"/>
      <c r="QET155" s="133"/>
      <c r="QEU155" s="133"/>
      <c r="QEV155" s="133"/>
      <c r="QEW155" s="133"/>
      <c r="QEX155" s="133"/>
      <c r="QEY155" s="133"/>
      <c r="QEZ155" s="133"/>
      <c r="QFA155" s="133"/>
      <c r="QFB155" s="133"/>
      <c r="QFC155" s="133"/>
      <c r="QFD155" s="133"/>
      <c r="QFE155" s="133"/>
      <c r="QFF155" s="133"/>
      <c r="QFG155" s="133"/>
      <c r="QFH155" s="133"/>
      <c r="QFI155" s="133"/>
      <c r="QFJ155" s="133"/>
      <c r="QFK155" s="133"/>
      <c r="QFL155" s="133"/>
      <c r="QFM155" s="133"/>
      <c r="QFN155" s="133"/>
      <c r="QFO155" s="133"/>
      <c r="QFP155" s="133"/>
      <c r="QFQ155" s="133"/>
      <c r="QFR155" s="133"/>
      <c r="QFS155" s="133"/>
      <c r="QFT155" s="133"/>
      <c r="QFU155" s="133"/>
      <c r="QFV155" s="133"/>
      <c r="QFW155" s="133"/>
      <c r="QFX155" s="133"/>
      <c r="QFY155" s="133"/>
      <c r="QFZ155" s="133"/>
      <c r="QGA155" s="133"/>
      <c r="QGB155" s="133"/>
      <c r="QGC155" s="133"/>
      <c r="QGD155" s="133"/>
      <c r="QGE155" s="133"/>
      <c r="QGF155" s="133"/>
      <c r="QGG155" s="133"/>
      <c r="QGH155" s="133"/>
      <c r="QGI155" s="133"/>
      <c r="QGJ155" s="133"/>
      <c r="QGK155" s="133"/>
      <c r="QGL155" s="133"/>
      <c r="QGM155" s="133"/>
      <c r="QGN155" s="133"/>
      <c r="QGO155" s="133"/>
      <c r="QGP155" s="133"/>
      <c r="QGQ155" s="133"/>
      <c r="QGR155" s="133"/>
      <c r="QGS155" s="133"/>
      <c r="QGT155" s="133"/>
      <c r="QGU155" s="133"/>
      <c r="QGV155" s="133"/>
      <c r="QGW155" s="133"/>
      <c r="QGX155" s="133"/>
      <c r="QGY155" s="133"/>
      <c r="QGZ155" s="133"/>
      <c r="QHA155" s="133"/>
      <c r="QHB155" s="133"/>
      <c r="QHC155" s="133"/>
      <c r="QHD155" s="133"/>
      <c r="QHE155" s="133"/>
      <c r="QHF155" s="133"/>
      <c r="QHG155" s="133"/>
      <c r="QHH155" s="133"/>
      <c r="QHI155" s="133"/>
      <c r="QHJ155" s="133"/>
      <c r="QHK155" s="133"/>
      <c r="QHL155" s="133"/>
      <c r="QHM155" s="133"/>
      <c r="QHN155" s="133"/>
      <c r="QHO155" s="133"/>
      <c r="QHP155" s="133"/>
      <c r="QHQ155" s="133"/>
      <c r="QHR155" s="133"/>
      <c r="QHS155" s="133"/>
      <c r="QHT155" s="133"/>
      <c r="QHU155" s="133"/>
      <c r="QHV155" s="133"/>
      <c r="QHW155" s="133"/>
      <c r="QHX155" s="133"/>
      <c r="QHY155" s="133"/>
      <c r="QHZ155" s="133"/>
      <c r="QIA155" s="133"/>
      <c r="QIB155" s="133"/>
      <c r="QIC155" s="133"/>
      <c r="QID155" s="133"/>
      <c r="QIE155" s="133"/>
      <c r="QIF155" s="133"/>
      <c r="QIG155" s="133"/>
      <c r="QIH155" s="133"/>
      <c r="QII155" s="133"/>
      <c r="QIJ155" s="133"/>
      <c r="QIK155" s="133"/>
      <c r="QIL155" s="133"/>
      <c r="QIM155" s="133"/>
      <c r="QIN155" s="133"/>
      <c r="QIO155" s="133"/>
      <c r="QIP155" s="133"/>
      <c r="QIQ155" s="133"/>
      <c r="QIR155" s="133"/>
      <c r="QIS155" s="133"/>
      <c r="QIT155" s="133"/>
      <c r="QIU155" s="133"/>
      <c r="QIV155" s="133"/>
      <c r="QIW155" s="133"/>
      <c r="QIX155" s="133"/>
      <c r="QIY155" s="133"/>
      <c r="QIZ155" s="133"/>
      <c r="QJA155" s="133"/>
      <c r="QJB155" s="133"/>
      <c r="QJC155" s="133"/>
      <c r="QJD155" s="133"/>
      <c r="QJE155" s="133"/>
      <c r="QJF155" s="133"/>
      <c r="QJG155" s="133"/>
      <c r="QJH155" s="133"/>
      <c r="QJI155" s="133"/>
      <c r="QJJ155" s="133"/>
      <c r="QJK155" s="133"/>
      <c r="QJL155" s="133"/>
      <c r="QJM155" s="133"/>
      <c r="QJN155" s="133"/>
      <c r="QJO155" s="133"/>
      <c r="QJP155" s="133"/>
      <c r="QJQ155" s="133"/>
      <c r="QJR155" s="133"/>
      <c r="QJS155" s="133"/>
      <c r="QJT155" s="133"/>
      <c r="QJU155" s="133"/>
      <c r="QJV155" s="133"/>
      <c r="QJW155" s="133"/>
      <c r="QJX155" s="133"/>
      <c r="QJY155" s="133"/>
      <c r="QJZ155" s="133"/>
      <c r="QKA155" s="133"/>
      <c r="QKB155" s="133"/>
      <c r="QKC155" s="133"/>
      <c r="QKD155" s="133"/>
      <c r="QKE155" s="133"/>
      <c r="QKF155" s="133"/>
      <c r="QKG155" s="133"/>
      <c r="QKH155" s="133"/>
      <c r="QKI155" s="133"/>
      <c r="QKJ155" s="133"/>
      <c r="QKK155" s="133"/>
      <c r="QKL155" s="133"/>
      <c r="QKM155" s="133"/>
      <c r="QKN155" s="133"/>
      <c r="QKO155" s="133"/>
      <c r="QKP155" s="133"/>
      <c r="QKQ155" s="133"/>
      <c r="QKR155" s="133"/>
      <c r="QKS155" s="133"/>
      <c r="QKT155" s="133"/>
      <c r="QKU155" s="133"/>
      <c r="QKV155" s="133"/>
      <c r="QKW155" s="133"/>
      <c r="QKX155" s="133"/>
      <c r="QKY155" s="133"/>
      <c r="QKZ155" s="133"/>
      <c r="QLA155" s="133"/>
      <c r="QLB155" s="133"/>
      <c r="QLC155" s="133"/>
      <c r="QLD155" s="133"/>
      <c r="QLE155" s="133"/>
      <c r="QLF155" s="133"/>
      <c r="QLG155" s="133"/>
      <c r="QLH155" s="133"/>
      <c r="QLI155" s="133"/>
      <c r="QLJ155" s="133"/>
      <c r="QLK155" s="133"/>
      <c r="QLL155" s="133"/>
      <c r="QLM155" s="133"/>
      <c r="QLN155" s="133"/>
      <c r="QLO155" s="133"/>
      <c r="QLP155" s="133"/>
      <c r="QLQ155" s="133"/>
      <c r="QLR155" s="133"/>
      <c r="QLS155" s="133"/>
      <c r="QLT155" s="133"/>
      <c r="QLU155" s="133"/>
      <c r="QLV155" s="133"/>
      <c r="QLW155" s="133"/>
      <c r="QLX155" s="133"/>
      <c r="QLY155" s="133"/>
      <c r="QLZ155" s="133"/>
      <c r="QMA155" s="133"/>
      <c r="QMB155" s="133"/>
      <c r="QMC155" s="133"/>
      <c r="QMD155" s="133"/>
      <c r="QME155" s="133"/>
      <c r="QMF155" s="133"/>
      <c r="QMG155" s="133"/>
      <c r="QMH155" s="133"/>
      <c r="QMI155" s="133"/>
      <c r="QMJ155" s="133"/>
      <c r="QMK155" s="133"/>
      <c r="QML155" s="133"/>
      <c r="QMM155" s="133"/>
      <c r="QMN155" s="133"/>
      <c r="QMO155" s="133"/>
      <c r="QMP155" s="133"/>
      <c r="QMQ155" s="133"/>
      <c r="QMR155" s="133"/>
      <c r="QMS155" s="133"/>
      <c r="QMT155" s="133"/>
      <c r="QMU155" s="133"/>
      <c r="QMV155" s="133"/>
      <c r="QMW155" s="133"/>
      <c r="QMX155" s="133"/>
      <c r="QMY155" s="133"/>
      <c r="QMZ155" s="133"/>
      <c r="QNA155" s="133"/>
      <c r="QNB155" s="133"/>
      <c r="QNC155" s="133"/>
      <c r="QND155" s="133"/>
      <c r="QNE155" s="133"/>
      <c r="QNF155" s="133"/>
      <c r="QNG155" s="133"/>
      <c r="QNH155" s="133"/>
      <c r="QNI155" s="133"/>
      <c r="QNJ155" s="133"/>
      <c r="QNK155" s="133"/>
      <c r="QNL155" s="133"/>
      <c r="QNM155" s="133"/>
      <c r="QNN155" s="133"/>
      <c r="QNO155" s="133"/>
      <c r="QNP155" s="133"/>
      <c r="QNQ155" s="133"/>
      <c r="QNR155" s="133"/>
      <c r="QNS155" s="133"/>
      <c r="QNT155" s="133"/>
      <c r="QNU155" s="133"/>
      <c r="QNV155" s="133"/>
      <c r="QNW155" s="133"/>
      <c r="QNX155" s="133"/>
      <c r="QNY155" s="133"/>
      <c r="QNZ155" s="133"/>
      <c r="QOA155" s="133"/>
      <c r="QOB155" s="133"/>
      <c r="QOC155" s="133"/>
      <c r="QOD155" s="133"/>
      <c r="QOE155" s="133"/>
      <c r="QOF155" s="133"/>
      <c r="QOG155" s="133"/>
      <c r="QOH155" s="133"/>
      <c r="QOI155" s="133"/>
      <c r="QOJ155" s="133"/>
      <c r="QOK155" s="133"/>
      <c r="QOL155" s="133"/>
      <c r="QOM155" s="133"/>
      <c r="QON155" s="133"/>
      <c r="QOO155" s="133"/>
      <c r="QOP155" s="133"/>
      <c r="QOQ155" s="133"/>
      <c r="QOR155" s="133"/>
      <c r="QOS155" s="133"/>
      <c r="QOT155" s="133"/>
      <c r="QOU155" s="133"/>
      <c r="QOV155" s="133"/>
      <c r="QOW155" s="133"/>
      <c r="QOX155" s="133"/>
      <c r="QOY155" s="133"/>
      <c r="QOZ155" s="133"/>
      <c r="QPA155" s="133"/>
      <c r="QPB155" s="133"/>
      <c r="QPC155" s="133"/>
      <c r="QPD155" s="133"/>
      <c r="QPE155" s="133"/>
      <c r="QPF155" s="133"/>
      <c r="QPG155" s="133"/>
      <c r="QPH155" s="133"/>
      <c r="QPI155" s="133"/>
      <c r="QPJ155" s="133"/>
      <c r="QPK155" s="133"/>
      <c r="QPL155" s="133"/>
      <c r="QPM155" s="133"/>
      <c r="QPN155" s="133"/>
      <c r="QPO155" s="133"/>
      <c r="QPP155" s="133"/>
      <c r="QPQ155" s="133"/>
      <c r="QPR155" s="133"/>
      <c r="QPS155" s="133"/>
      <c r="QPT155" s="133"/>
      <c r="QPU155" s="133"/>
      <c r="QPV155" s="133"/>
      <c r="QPW155" s="133"/>
      <c r="QPX155" s="133"/>
      <c r="QPY155" s="133"/>
      <c r="QPZ155" s="133"/>
      <c r="QQA155" s="133"/>
      <c r="QQB155" s="133"/>
      <c r="QQC155" s="133"/>
      <c r="QQD155" s="133"/>
      <c r="QQE155" s="133"/>
      <c r="QQF155" s="133"/>
      <c r="QQG155" s="133"/>
      <c r="QQH155" s="133"/>
      <c r="QQI155" s="133"/>
      <c r="QQJ155" s="133"/>
      <c r="QQK155" s="133"/>
      <c r="QQL155" s="133"/>
      <c r="QQM155" s="133"/>
      <c r="QQN155" s="133"/>
      <c r="QQO155" s="133"/>
      <c r="QQP155" s="133"/>
      <c r="QQQ155" s="133"/>
      <c r="QQR155" s="133"/>
      <c r="QQS155" s="133"/>
      <c r="QQT155" s="133"/>
      <c r="QQU155" s="133"/>
      <c r="QQV155" s="133"/>
      <c r="QQW155" s="133"/>
      <c r="QQX155" s="133"/>
      <c r="QQY155" s="133"/>
      <c r="QQZ155" s="133"/>
      <c r="QRA155" s="133"/>
      <c r="QRB155" s="133"/>
      <c r="QRC155" s="133"/>
      <c r="QRD155" s="133"/>
      <c r="QRE155" s="133"/>
      <c r="QRF155" s="133"/>
      <c r="QRG155" s="133"/>
      <c r="QRH155" s="133"/>
      <c r="QRI155" s="133"/>
      <c r="QRJ155" s="133"/>
      <c r="QRK155" s="133"/>
      <c r="QRL155" s="133"/>
      <c r="QRM155" s="133"/>
      <c r="QRN155" s="133"/>
      <c r="QRO155" s="133"/>
      <c r="QRP155" s="133"/>
      <c r="QRQ155" s="133"/>
      <c r="QRR155" s="133"/>
      <c r="QRS155" s="133"/>
      <c r="QRT155" s="133"/>
      <c r="QRU155" s="133"/>
      <c r="QRV155" s="133"/>
      <c r="QRW155" s="133"/>
      <c r="QRX155" s="133"/>
      <c r="QRY155" s="133"/>
      <c r="QRZ155" s="133"/>
      <c r="QSA155" s="133"/>
      <c r="QSB155" s="133"/>
      <c r="QSC155" s="133"/>
      <c r="QSD155" s="133"/>
      <c r="QSE155" s="133"/>
      <c r="QSF155" s="133"/>
      <c r="QSG155" s="133"/>
      <c r="QSH155" s="133"/>
      <c r="QSI155" s="133"/>
      <c r="QSJ155" s="133"/>
      <c r="QSK155" s="133"/>
      <c r="QSL155" s="133"/>
      <c r="QSM155" s="133"/>
      <c r="QSN155" s="133"/>
      <c r="QSO155" s="133"/>
      <c r="QSP155" s="133"/>
      <c r="QSQ155" s="133"/>
      <c r="QSR155" s="133"/>
      <c r="QSS155" s="133"/>
      <c r="QST155" s="133"/>
      <c r="QSU155" s="133"/>
      <c r="QSV155" s="133"/>
      <c r="QSW155" s="133"/>
      <c r="QSX155" s="133"/>
      <c r="QSY155" s="133"/>
      <c r="QSZ155" s="133"/>
      <c r="QTA155" s="133"/>
      <c r="QTB155" s="133"/>
      <c r="QTC155" s="133"/>
      <c r="QTD155" s="133"/>
      <c r="QTE155" s="133"/>
      <c r="QTF155" s="133"/>
      <c r="QTG155" s="133"/>
      <c r="QTH155" s="133"/>
      <c r="QTI155" s="133"/>
      <c r="QTJ155" s="133"/>
      <c r="QTK155" s="133"/>
      <c r="QTL155" s="133"/>
      <c r="QTM155" s="133"/>
      <c r="QTN155" s="133"/>
      <c r="QTO155" s="133"/>
      <c r="QTP155" s="133"/>
      <c r="QTQ155" s="133"/>
      <c r="QTR155" s="133"/>
      <c r="QTS155" s="133"/>
      <c r="QTT155" s="133"/>
      <c r="QTU155" s="133"/>
      <c r="QTV155" s="133"/>
      <c r="QTW155" s="133"/>
      <c r="QTX155" s="133"/>
      <c r="QTY155" s="133"/>
      <c r="QTZ155" s="133"/>
      <c r="QUA155" s="133"/>
      <c r="QUB155" s="133"/>
      <c r="QUC155" s="133"/>
      <c r="QUD155" s="133"/>
      <c r="QUE155" s="133"/>
      <c r="QUF155" s="133"/>
      <c r="QUG155" s="133"/>
      <c r="QUH155" s="133"/>
      <c r="QUI155" s="133"/>
      <c r="QUJ155" s="133"/>
      <c r="QUK155" s="133"/>
      <c r="QUL155" s="133"/>
      <c r="QUM155" s="133"/>
      <c r="QUN155" s="133"/>
      <c r="QUO155" s="133"/>
      <c r="QUP155" s="133"/>
      <c r="QUQ155" s="133"/>
      <c r="QUR155" s="133"/>
      <c r="QUS155" s="133"/>
      <c r="QUT155" s="133"/>
      <c r="QUU155" s="133"/>
      <c r="QUV155" s="133"/>
      <c r="QUW155" s="133"/>
      <c r="QUX155" s="133"/>
      <c r="QUY155" s="133"/>
      <c r="QUZ155" s="133"/>
      <c r="QVA155" s="133"/>
      <c r="QVB155" s="133"/>
      <c r="QVC155" s="133"/>
      <c r="QVD155" s="133"/>
      <c r="QVE155" s="133"/>
      <c r="QVF155" s="133"/>
      <c r="QVG155" s="133"/>
      <c r="QVH155" s="133"/>
      <c r="QVI155" s="133"/>
      <c r="QVJ155" s="133"/>
      <c r="QVK155" s="133"/>
      <c r="QVL155" s="133"/>
      <c r="QVM155" s="133"/>
      <c r="QVN155" s="133"/>
      <c r="QVO155" s="133"/>
      <c r="QVP155" s="133"/>
      <c r="QVQ155" s="133"/>
      <c r="QVR155" s="133"/>
      <c r="QVS155" s="133"/>
      <c r="QVT155" s="133"/>
      <c r="QVU155" s="133"/>
      <c r="QVV155" s="133"/>
      <c r="QVW155" s="133"/>
      <c r="QVX155" s="133"/>
      <c r="QVY155" s="133"/>
      <c r="QVZ155" s="133"/>
      <c r="QWA155" s="133"/>
      <c r="QWB155" s="133"/>
      <c r="QWC155" s="133"/>
      <c r="QWD155" s="133"/>
      <c r="QWE155" s="133"/>
      <c r="QWF155" s="133"/>
      <c r="QWG155" s="133"/>
      <c r="QWH155" s="133"/>
      <c r="QWI155" s="133"/>
      <c r="QWJ155" s="133"/>
      <c r="QWK155" s="133"/>
      <c r="QWL155" s="133"/>
      <c r="QWM155" s="133"/>
      <c r="QWN155" s="133"/>
      <c r="QWO155" s="133"/>
      <c r="QWP155" s="133"/>
      <c r="QWQ155" s="133"/>
      <c r="QWR155" s="133"/>
      <c r="QWS155" s="133"/>
      <c r="QWT155" s="133"/>
      <c r="QWU155" s="133"/>
      <c r="QWV155" s="133"/>
      <c r="QWW155" s="133"/>
      <c r="QWX155" s="133"/>
      <c r="QWY155" s="133"/>
      <c r="QWZ155" s="133"/>
      <c r="QXA155" s="133"/>
      <c r="QXB155" s="133"/>
      <c r="QXC155" s="133"/>
      <c r="QXD155" s="133"/>
      <c r="QXE155" s="133"/>
      <c r="QXF155" s="133"/>
      <c r="QXG155" s="133"/>
      <c r="QXH155" s="133"/>
      <c r="QXI155" s="133"/>
      <c r="QXJ155" s="133"/>
      <c r="QXK155" s="133"/>
      <c r="QXL155" s="133"/>
      <c r="QXM155" s="133"/>
      <c r="QXN155" s="133"/>
      <c r="QXO155" s="133"/>
      <c r="QXP155" s="133"/>
      <c r="QXQ155" s="133"/>
      <c r="QXR155" s="133"/>
      <c r="QXS155" s="133"/>
      <c r="QXT155" s="133"/>
      <c r="QXU155" s="133"/>
      <c r="QXV155" s="133"/>
      <c r="QXW155" s="133"/>
      <c r="QXX155" s="133"/>
      <c r="QXY155" s="133"/>
      <c r="QXZ155" s="133"/>
      <c r="QYA155" s="133"/>
      <c r="QYB155" s="133"/>
      <c r="QYC155" s="133"/>
      <c r="QYD155" s="133"/>
      <c r="QYE155" s="133"/>
      <c r="QYF155" s="133"/>
      <c r="QYG155" s="133"/>
      <c r="QYH155" s="133"/>
      <c r="QYI155" s="133"/>
      <c r="QYJ155" s="133"/>
      <c r="QYK155" s="133"/>
      <c r="QYL155" s="133"/>
      <c r="QYM155" s="133"/>
      <c r="QYN155" s="133"/>
      <c r="QYO155" s="133"/>
      <c r="QYP155" s="133"/>
      <c r="QYQ155" s="133"/>
      <c r="QYR155" s="133"/>
      <c r="QYS155" s="133"/>
      <c r="QYT155" s="133"/>
      <c r="QYU155" s="133"/>
      <c r="QYV155" s="133"/>
      <c r="QYW155" s="133"/>
      <c r="QYX155" s="133"/>
      <c r="QYY155" s="133"/>
      <c r="QYZ155" s="133"/>
      <c r="QZA155" s="133"/>
      <c r="QZB155" s="133"/>
      <c r="QZC155" s="133"/>
      <c r="QZD155" s="133"/>
      <c r="QZE155" s="133"/>
      <c r="QZF155" s="133"/>
      <c r="QZG155" s="133"/>
      <c r="QZH155" s="133"/>
      <c r="QZI155" s="133"/>
      <c r="QZJ155" s="133"/>
      <c r="QZK155" s="133"/>
      <c r="QZL155" s="133"/>
      <c r="QZM155" s="133"/>
      <c r="QZN155" s="133"/>
      <c r="QZO155" s="133"/>
      <c r="QZP155" s="133"/>
      <c r="QZQ155" s="133"/>
      <c r="QZR155" s="133"/>
      <c r="QZS155" s="133"/>
      <c r="QZT155" s="133"/>
      <c r="QZU155" s="133"/>
      <c r="QZV155" s="133"/>
      <c r="QZW155" s="133"/>
      <c r="QZX155" s="133"/>
      <c r="QZY155" s="133"/>
      <c r="QZZ155" s="133"/>
      <c r="RAA155" s="133"/>
      <c r="RAB155" s="133"/>
      <c r="RAC155" s="133"/>
      <c r="RAD155" s="133"/>
      <c r="RAE155" s="133"/>
      <c r="RAF155" s="133"/>
      <c r="RAG155" s="133"/>
      <c r="RAH155" s="133"/>
      <c r="RAI155" s="133"/>
      <c r="RAJ155" s="133"/>
      <c r="RAK155" s="133"/>
      <c r="RAL155" s="133"/>
      <c r="RAM155" s="133"/>
      <c r="RAN155" s="133"/>
      <c r="RAO155" s="133"/>
      <c r="RAP155" s="133"/>
      <c r="RAQ155" s="133"/>
      <c r="RAR155" s="133"/>
      <c r="RAS155" s="133"/>
      <c r="RAT155" s="133"/>
      <c r="RAU155" s="133"/>
      <c r="RAV155" s="133"/>
      <c r="RAW155" s="133"/>
      <c r="RAX155" s="133"/>
      <c r="RAY155" s="133"/>
      <c r="RAZ155" s="133"/>
      <c r="RBA155" s="133"/>
      <c r="RBB155" s="133"/>
      <c r="RBC155" s="133"/>
      <c r="RBD155" s="133"/>
      <c r="RBE155" s="133"/>
      <c r="RBF155" s="133"/>
      <c r="RBG155" s="133"/>
      <c r="RBH155" s="133"/>
      <c r="RBI155" s="133"/>
      <c r="RBJ155" s="133"/>
      <c r="RBK155" s="133"/>
      <c r="RBL155" s="133"/>
      <c r="RBM155" s="133"/>
      <c r="RBN155" s="133"/>
      <c r="RBO155" s="133"/>
      <c r="RBP155" s="133"/>
      <c r="RBQ155" s="133"/>
      <c r="RBR155" s="133"/>
      <c r="RBS155" s="133"/>
      <c r="RBT155" s="133"/>
      <c r="RBU155" s="133"/>
      <c r="RBV155" s="133"/>
      <c r="RBW155" s="133"/>
      <c r="RBX155" s="133"/>
      <c r="RBY155" s="133"/>
      <c r="RBZ155" s="133"/>
      <c r="RCA155" s="133"/>
      <c r="RCB155" s="133"/>
      <c r="RCC155" s="133"/>
      <c r="RCD155" s="133"/>
      <c r="RCE155" s="133"/>
      <c r="RCF155" s="133"/>
      <c r="RCG155" s="133"/>
      <c r="RCH155" s="133"/>
      <c r="RCI155" s="133"/>
      <c r="RCJ155" s="133"/>
      <c r="RCK155" s="133"/>
      <c r="RCL155" s="133"/>
      <c r="RCM155" s="133"/>
      <c r="RCN155" s="133"/>
      <c r="RCO155" s="133"/>
      <c r="RCP155" s="133"/>
      <c r="RCQ155" s="133"/>
      <c r="RCR155" s="133"/>
      <c r="RCS155" s="133"/>
      <c r="RCT155" s="133"/>
      <c r="RCU155" s="133"/>
      <c r="RCV155" s="133"/>
      <c r="RCW155" s="133"/>
      <c r="RCX155" s="133"/>
      <c r="RCY155" s="133"/>
      <c r="RCZ155" s="133"/>
      <c r="RDA155" s="133"/>
      <c r="RDB155" s="133"/>
      <c r="RDC155" s="133"/>
      <c r="RDD155" s="133"/>
      <c r="RDE155" s="133"/>
      <c r="RDF155" s="133"/>
      <c r="RDG155" s="133"/>
      <c r="RDH155" s="133"/>
      <c r="RDI155" s="133"/>
      <c r="RDJ155" s="133"/>
      <c r="RDK155" s="133"/>
      <c r="RDL155" s="133"/>
      <c r="RDM155" s="133"/>
      <c r="RDN155" s="133"/>
      <c r="RDO155" s="133"/>
      <c r="RDP155" s="133"/>
      <c r="RDQ155" s="133"/>
      <c r="RDR155" s="133"/>
      <c r="RDS155" s="133"/>
      <c r="RDT155" s="133"/>
      <c r="RDU155" s="133"/>
      <c r="RDV155" s="133"/>
      <c r="RDW155" s="133"/>
      <c r="RDX155" s="133"/>
      <c r="RDY155" s="133"/>
      <c r="RDZ155" s="133"/>
      <c r="REA155" s="133"/>
      <c r="REB155" s="133"/>
      <c r="REC155" s="133"/>
      <c r="RED155" s="133"/>
      <c r="REE155" s="133"/>
      <c r="REF155" s="133"/>
      <c r="REG155" s="133"/>
      <c r="REH155" s="133"/>
      <c r="REI155" s="133"/>
      <c r="REJ155" s="133"/>
      <c r="REK155" s="133"/>
      <c r="REL155" s="133"/>
      <c r="REM155" s="133"/>
      <c r="REN155" s="133"/>
      <c r="REO155" s="133"/>
      <c r="REP155" s="133"/>
      <c r="REQ155" s="133"/>
      <c r="RER155" s="133"/>
      <c r="RES155" s="133"/>
      <c r="RET155" s="133"/>
      <c r="REU155" s="133"/>
      <c r="REV155" s="133"/>
      <c r="REW155" s="133"/>
      <c r="REX155" s="133"/>
      <c r="REY155" s="133"/>
      <c r="REZ155" s="133"/>
      <c r="RFA155" s="133"/>
      <c r="RFB155" s="133"/>
      <c r="RFC155" s="133"/>
      <c r="RFD155" s="133"/>
      <c r="RFE155" s="133"/>
      <c r="RFF155" s="133"/>
      <c r="RFG155" s="133"/>
      <c r="RFH155" s="133"/>
      <c r="RFI155" s="133"/>
      <c r="RFJ155" s="133"/>
      <c r="RFK155" s="133"/>
      <c r="RFL155" s="133"/>
      <c r="RFM155" s="133"/>
      <c r="RFN155" s="133"/>
      <c r="RFO155" s="133"/>
      <c r="RFP155" s="133"/>
      <c r="RFQ155" s="133"/>
      <c r="RFR155" s="133"/>
      <c r="RFS155" s="133"/>
      <c r="RFT155" s="133"/>
      <c r="RFU155" s="133"/>
      <c r="RFV155" s="133"/>
      <c r="RFW155" s="133"/>
      <c r="RFX155" s="133"/>
      <c r="RFY155" s="133"/>
      <c r="RFZ155" s="133"/>
      <c r="RGA155" s="133"/>
      <c r="RGB155" s="133"/>
      <c r="RGC155" s="133"/>
      <c r="RGD155" s="133"/>
      <c r="RGE155" s="133"/>
      <c r="RGF155" s="133"/>
      <c r="RGG155" s="133"/>
      <c r="RGH155" s="133"/>
      <c r="RGI155" s="133"/>
      <c r="RGJ155" s="133"/>
      <c r="RGK155" s="133"/>
      <c r="RGL155" s="133"/>
      <c r="RGM155" s="133"/>
      <c r="RGN155" s="133"/>
      <c r="RGO155" s="133"/>
      <c r="RGP155" s="133"/>
      <c r="RGQ155" s="133"/>
      <c r="RGR155" s="133"/>
      <c r="RGS155" s="133"/>
      <c r="RGT155" s="133"/>
      <c r="RGU155" s="133"/>
      <c r="RGV155" s="133"/>
      <c r="RGW155" s="133"/>
      <c r="RGX155" s="133"/>
      <c r="RGY155" s="133"/>
      <c r="RGZ155" s="133"/>
      <c r="RHA155" s="133"/>
      <c r="RHB155" s="133"/>
      <c r="RHC155" s="133"/>
      <c r="RHD155" s="133"/>
      <c r="RHE155" s="133"/>
      <c r="RHF155" s="133"/>
      <c r="RHG155" s="133"/>
      <c r="RHH155" s="133"/>
      <c r="RHI155" s="133"/>
      <c r="RHJ155" s="133"/>
      <c r="RHK155" s="133"/>
      <c r="RHL155" s="133"/>
      <c r="RHM155" s="133"/>
      <c r="RHN155" s="133"/>
      <c r="RHO155" s="133"/>
      <c r="RHP155" s="133"/>
      <c r="RHQ155" s="133"/>
      <c r="RHR155" s="133"/>
      <c r="RHS155" s="133"/>
      <c r="RHT155" s="133"/>
      <c r="RHU155" s="133"/>
      <c r="RHV155" s="133"/>
      <c r="RHW155" s="133"/>
      <c r="RHX155" s="133"/>
      <c r="RHY155" s="133"/>
      <c r="RHZ155" s="133"/>
      <c r="RIA155" s="133"/>
      <c r="RIB155" s="133"/>
      <c r="RIC155" s="133"/>
      <c r="RID155" s="133"/>
      <c r="RIE155" s="133"/>
      <c r="RIF155" s="133"/>
      <c r="RIG155" s="133"/>
      <c r="RIH155" s="133"/>
      <c r="RII155" s="133"/>
      <c r="RIJ155" s="133"/>
      <c r="RIK155" s="133"/>
      <c r="RIL155" s="133"/>
      <c r="RIM155" s="133"/>
      <c r="RIN155" s="133"/>
      <c r="RIO155" s="133"/>
      <c r="RIP155" s="133"/>
      <c r="RIQ155" s="133"/>
      <c r="RIR155" s="133"/>
      <c r="RIS155" s="133"/>
      <c r="RIT155" s="133"/>
      <c r="RIU155" s="133"/>
      <c r="RIV155" s="133"/>
      <c r="RIW155" s="133"/>
      <c r="RIX155" s="133"/>
      <c r="RIY155" s="133"/>
      <c r="RIZ155" s="133"/>
      <c r="RJA155" s="133"/>
      <c r="RJB155" s="133"/>
      <c r="RJC155" s="133"/>
      <c r="RJD155" s="133"/>
      <c r="RJE155" s="133"/>
      <c r="RJF155" s="133"/>
      <c r="RJG155" s="133"/>
      <c r="RJH155" s="133"/>
      <c r="RJI155" s="133"/>
      <c r="RJJ155" s="133"/>
      <c r="RJK155" s="133"/>
      <c r="RJL155" s="133"/>
      <c r="RJM155" s="133"/>
      <c r="RJN155" s="133"/>
      <c r="RJO155" s="133"/>
      <c r="RJP155" s="133"/>
      <c r="RJQ155" s="133"/>
      <c r="RJR155" s="133"/>
      <c r="RJS155" s="133"/>
      <c r="RJT155" s="133"/>
      <c r="RJU155" s="133"/>
      <c r="RJV155" s="133"/>
      <c r="RJW155" s="133"/>
      <c r="RJX155" s="133"/>
      <c r="RJY155" s="133"/>
      <c r="RJZ155" s="133"/>
      <c r="RKA155" s="133"/>
      <c r="RKB155" s="133"/>
      <c r="RKC155" s="133"/>
      <c r="RKD155" s="133"/>
      <c r="RKE155" s="133"/>
      <c r="RKF155" s="133"/>
      <c r="RKG155" s="133"/>
      <c r="RKH155" s="133"/>
      <c r="RKI155" s="133"/>
      <c r="RKJ155" s="133"/>
      <c r="RKK155" s="133"/>
      <c r="RKL155" s="133"/>
      <c r="RKM155" s="133"/>
      <c r="RKN155" s="133"/>
      <c r="RKO155" s="133"/>
      <c r="RKP155" s="133"/>
      <c r="RKQ155" s="133"/>
      <c r="RKR155" s="133"/>
      <c r="RKS155" s="133"/>
      <c r="RKT155" s="133"/>
      <c r="RKU155" s="133"/>
      <c r="RKV155" s="133"/>
      <c r="RKW155" s="133"/>
      <c r="RKX155" s="133"/>
      <c r="RKY155" s="133"/>
      <c r="RKZ155" s="133"/>
      <c r="RLA155" s="133"/>
      <c r="RLB155" s="133"/>
      <c r="RLC155" s="133"/>
      <c r="RLD155" s="133"/>
      <c r="RLE155" s="133"/>
      <c r="RLF155" s="133"/>
      <c r="RLG155" s="133"/>
      <c r="RLH155" s="133"/>
      <c r="RLI155" s="133"/>
      <c r="RLJ155" s="133"/>
      <c r="RLK155" s="133"/>
      <c r="RLL155" s="133"/>
      <c r="RLM155" s="133"/>
      <c r="RLN155" s="133"/>
      <c r="RLO155" s="133"/>
      <c r="RLP155" s="133"/>
      <c r="RLQ155" s="133"/>
      <c r="RLR155" s="133"/>
      <c r="RLS155" s="133"/>
      <c r="RLT155" s="133"/>
      <c r="RLU155" s="133"/>
      <c r="RLV155" s="133"/>
      <c r="RLW155" s="133"/>
      <c r="RLX155" s="133"/>
      <c r="RLY155" s="133"/>
      <c r="RLZ155" s="133"/>
      <c r="RMA155" s="133"/>
      <c r="RMB155" s="133"/>
      <c r="RMC155" s="133"/>
      <c r="RMD155" s="133"/>
      <c r="RME155" s="133"/>
      <c r="RMF155" s="133"/>
      <c r="RMG155" s="133"/>
      <c r="RMH155" s="133"/>
      <c r="RMI155" s="133"/>
      <c r="RMJ155" s="133"/>
      <c r="RMK155" s="133"/>
      <c r="RML155" s="133"/>
      <c r="RMM155" s="133"/>
      <c r="RMN155" s="133"/>
      <c r="RMO155" s="133"/>
      <c r="RMP155" s="133"/>
      <c r="RMQ155" s="133"/>
      <c r="RMR155" s="133"/>
      <c r="RMS155" s="133"/>
      <c r="RMT155" s="133"/>
      <c r="RMU155" s="133"/>
      <c r="RMV155" s="133"/>
      <c r="RMW155" s="133"/>
      <c r="RMX155" s="133"/>
      <c r="RMY155" s="133"/>
      <c r="RMZ155" s="133"/>
      <c r="RNA155" s="133"/>
      <c r="RNB155" s="133"/>
      <c r="RNC155" s="133"/>
      <c r="RND155" s="133"/>
      <c r="RNE155" s="133"/>
      <c r="RNF155" s="133"/>
      <c r="RNG155" s="133"/>
      <c r="RNH155" s="133"/>
      <c r="RNI155" s="133"/>
      <c r="RNJ155" s="133"/>
      <c r="RNK155" s="133"/>
      <c r="RNL155" s="133"/>
      <c r="RNM155" s="133"/>
      <c r="RNN155" s="133"/>
      <c r="RNO155" s="133"/>
      <c r="RNP155" s="133"/>
      <c r="RNQ155" s="133"/>
      <c r="RNR155" s="133"/>
      <c r="RNS155" s="133"/>
      <c r="RNT155" s="133"/>
      <c r="RNU155" s="133"/>
      <c r="RNV155" s="133"/>
      <c r="RNW155" s="133"/>
      <c r="RNX155" s="133"/>
      <c r="RNY155" s="133"/>
      <c r="RNZ155" s="133"/>
      <c r="ROA155" s="133"/>
      <c r="ROB155" s="133"/>
      <c r="ROC155" s="133"/>
      <c r="ROD155" s="133"/>
      <c r="ROE155" s="133"/>
      <c r="ROF155" s="133"/>
      <c r="ROG155" s="133"/>
      <c r="ROH155" s="133"/>
      <c r="ROI155" s="133"/>
      <c r="ROJ155" s="133"/>
      <c r="ROK155" s="133"/>
      <c r="ROL155" s="133"/>
      <c r="ROM155" s="133"/>
      <c r="RON155" s="133"/>
      <c r="ROO155" s="133"/>
      <c r="ROP155" s="133"/>
      <c r="ROQ155" s="133"/>
      <c r="ROR155" s="133"/>
      <c r="ROS155" s="133"/>
      <c r="ROT155" s="133"/>
      <c r="ROU155" s="133"/>
      <c r="ROV155" s="133"/>
      <c r="ROW155" s="133"/>
      <c r="ROX155" s="133"/>
      <c r="ROY155" s="133"/>
      <c r="ROZ155" s="133"/>
      <c r="RPA155" s="133"/>
      <c r="RPB155" s="133"/>
      <c r="RPC155" s="133"/>
      <c r="RPD155" s="133"/>
      <c r="RPE155" s="133"/>
      <c r="RPF155" s="133"/>
      <c r="RPG155" s="133"/>
      <c r="RPH155" s="133"/>
      <c r="RPI155" s="133"/>
      <c r="RPJ155" s="133"/>
      <c r="RPK155" s="133"/>
      <c r="RPL155" s="133"/>
      <c r="RPM155" s="133"/>
      <c r="RPN155" s="133"/>
      <c r="RPO155" s="133"/>
      <c r="RPP155" s="133"/>
      <c r="RPQ155" s="133"/>
      <c r="RPR155" s="133"/>
      <c r="RPS155" s="133"/>
      <c r="RPT155" s="133"/>
      <c r="RPU155" s="133"/>
      <c r="RPV155" s="133"/>
      <c r="RPW155" s="133"/>
      <c r="RPX155" s="133"/>
      <c r="RPY155" s="133"/>
      <c r="RPZ155" s="133"/>
      <c r="RQA155" s="133"/>
      <c r="RQB155" s="133"/>
      <c r="RQC155" s="133"/>
      <c r="RQD155" s="133"/>
      <c r="RQE155" s="133"/>
      <c r="RQF155" s="133"/>
      <c r="RQG155" s="133"/>
      <c r="RQH155" s="133"/>
      <c r="RQI155" s="133"/>
      <c r="RQJ155" s="133"/>
      <c r="RQK155" s="133"/>
      <c r="RQL155" s="133"/>
      <c r="RQM155" s="133"/>
      <c r="RQN155" s="133"/>
      <c r="RQO155" s="133"/>
      <c r="RQP155" s="133"/>
      <c r="RQQ155" s="133"/>
      <c r="RQR155" s="133"/>
      <c r="RQS155" s="133"/>
      <c r="RQT155" s="133"/>
      <c r="RQU155" s="133"/>
      <c r="RQV155" s="133"/>
      <c r="RQW155" s="133"/>
      <c r="RQX155" s="133"/>
      <c r="RQY155" s="133"/>
      <c r="RQZ155" s="133"/>
      <c r="RRA155" s="133"/>
      <c r="RRB155" s="133"/>
      <c r="RRC155" s="133"/>
      <c r="RRD155" s="133"/>
      <c r="RRE155" s="133"/>
      <c r="RRF155" s="133"/>
      <c r="RRG155" s="133"/>
      <c r="RRH155" s="133"/>
      <c r="RRI155" s="133"/>
      <c r="RRJ155" s="133"/>
      <c r="RRK155" s="133"/>
      <c r="RRL155" s="133"/>
      <c r="RRM155" s="133"/>
      <c r="RRN155" s="133"/>
      <c r="RRO155" s="133"/>
      <c r="RRP155" s="133"/>
      <c r="RRQ155" s="133"/>
      <c r="RRR155" s="133"/>
      <c r="RRS155" s="133"/>
      <c r="RRT155" s="133"/>
      <c r="RRU155" s="133"/>
      <c r="RRV155" s="133"/>
      <c r="RRW155" s="133"/>
      <c r="RRX155" s="133"/>
      <c r="RRY155" s="133"/>
      <c r="RRZ155" s="133"/>
      <c r="RSA155" s="133"/>
      <c r="RSB155" s="133"/>
      <c r="RSC155" s="133"/>
      <c r="RSD155" s="133"/>
      <c r="RSE155" s="133"/>
      <c r="RSF155" s="133"/>
      <c r="RSG155" s="133"/>
      <c r="RSH155" s="133"/>
      <c r="RSI155" s="133"/>
      <c r="RSJ155" s="133"/>
      <c r="RSK155" s="133"/>
      <c r="RSL155" s="133"/>
      <c r="RSM155" s="133"/>
      <c r="RSN155" s="133"/>
      <c r="RSO155" s="133"/>
      <c r="RSP155" s="133"/>
      <c r="RSQ155" s="133"/>
      <c r="RSR155" s="133"/>
      <c r="RSS155" s="133"/>
      <c r="RST155" s="133"/>
      <c r="RSU155" s="133"/>
      <c r="RSV155" s="133"/>
      <c r="RSW155" s="133"/>
      <c r="RSX155" s="133"/>
      <c r="RSY155" s="133"/>
      <c r="RSZ155" s="133"/>
      <c r="RTA155" s="133"/>
      <c r="RTB155" s="133"/>
      <c r="RTC155" s="133"/>
      <c r="RTD155" s="133"/>
      <c r="RTE155" s="133"/>
      <c r="RTF155" s="133"/>
      <c r="RTG155" s="133"/>
      <c r="RTH155" s="133"/>
      <c r="RTI155" s="133"/>
      <c r="RTJ155" s="133"/>
      <c r="RTK155" s="133"/>
      <c r="RTL155" s="133"/>
      <c r="RTM155" s="133"/>
      <c r="RTN155" s="133"/>
      <c r="RTO155" s="133"/>
      <c r="RTP155" s="133"/>
      <c r="RTQ155" s="133"/>
      <c r="RTR155" s="133"/>
      <c r="RTS155" s="133"/>
      <c r="RTT155" s="133"/>
      <c r="RTU155" s="133"/>
      <c r="RTV155" s="133"/>
      <c r="RTW155" s="133"/>
      <c r="RTX155" s="133"/>
      <c r="RTY155" s="133"/>
      <c r="RTZ155" s="133"/>
      <c r="RUA155" s="133"/>
      <c r="RUB155" s="133"/>
      <c r="RUC155" s="133"/>
      <c r="RUD155" s="133"/>
      <c r="RUE155" s="133"/>
      <c r="RUF155" s="133"/>
      <c r="RUG155" s="133"/>
      <c r="RUH155" s="133"/>
      <c r="RUI155" s="133"/>
      <c r="RUJ155" s="133"/>
      <c r="RUK155" s="133"/>
      <c r="RUL155" s="133"/>
      <c r="RUM155" s="133"/>
      <c r="RUN155" s="133"/>
      <c r="RUO155" s="133"/>
      <c r="RUP155" s="133"/>
      <c r="RUQ155" s="133"/>
      <c r="RUR155" s="133"/>
      <c r="RUS155" s="133"/>
      <c r="RUT155" s="133"/>
      <c r="RUU155" s="133"/>
      <c r="RUV155" s="133"/>
      <c r="RUW155" s="133"/>
      <c r="RUX155" s="133"/>
      <c r="RUY155" s="133"/>
      <c r="RUZ155" s="133"/>
      <c r="RVA155" s="133"/>
      <c r="RVB155" s="133"/>
      <c r="RVC155" s="133"/>
      <c r="RVD155" s="133"/>
      <c r="RVE155" s="133"/>
      <c r="RVF155" s="133"/>
      <c r="RVG155" s="133"/>
      <c r="RVH155" s="133"/>
      <c r="RVI155" s="133"/>
      <c r="RVJ155" s="133"/>
      <c r="RVK155" s="133"/>
      <c r="RVL155" s="133"/>
      <c r="RVM155" s="133"/>
      <c r="RVN155" s="133"/>
      <c r="RVO155" s="133"/>
      <c r="RVP155" s="133"/>
      <c r="RVQ155" s="133"/>
      <c r="RVR155" s="133"/>
      <c r="RVS155" s="133"/>
      <c r="RVT155" s="133"/>
      <c r="RVU155" s="133"/>
      <c r="RVV155" s="133"/>
      <c r="RVW155" s="133"/>
      <c r="RVX155" s="133"/>
      <c r="RVY155" s="133"/>
      <c r="RVZ155" s="133"/>
      <c r="RWA155" s="133"/>
      <c r="RWB155" s="133"/>
      <c r="RWC155" s="133"/>
      <c r="RWD155" s="133"/>
      <c r="RWE155" s="133"/>
      <c r="RWF155" s="133"/>
      <c r="RWG155" s="133"/>
      <c r="RWH155" s="133"/>
      <c r="RWI155" s="133"/>
      <c r="RWJ155" s="133"/>
      <c r="RWK155" s="133"/>
      <c r="RWL155" s="133"/>
      <c r="RWM155" s="133"/>
      <c r="RWN155" s="133"/>
      <c r="RWO155" s="133"/>
      <c r="RWP155" s="133"/>
      <c r="RWQ155" s="133"/>
      <c r="RWR155" s="133"/>
      <c r="RWS155" s="133"/>
      <c r="RWT155" s="133"/>
      <c r="RWU155" s="133"/>
      <c r="RWV155" s="133"/>
      <c r="RWW155" s="133"/>
      <c r="RWX155" s="133"/>
      <c r="RWY155" s="133"/>
      <c r="RWZ155" s="133"/>
      <c r="RXA155" s="133"/>
      <c r="RXB155" s="133"/>
      <c r="RXC155" s="133"/>
      <c r="RXD155" s="133"/>
      <c r="RXE155" s="133"/>
      <c r="RXF155" s="133"/>
      <c r="RXG155" s="133"/>
      <c r="RXH155" s="133"/>
      <c r="RXI155" s="133"/>
      <c r="RXJ155" s="133"/>
      <c r="RXK155" s="133"/>
      <c r="RXL155" s="133"/>
      <c r="RXM155" s="133"/>
      <c r="RXN155" s="133"/>
      <c r="RXO155" s="133"/>
      <c r="RXP155" s="133"/>
      <c r="RXQ155" s="133"/>
      <c r="RXR155" s="133"/>
      <c r="RXS155" s="133"/>
      <c r="RXT155" s="133"/>
      <c r="RXU155" s="133"/>
      <c r="RXV155" s="133"/>
      <c r="RXW155" s="133"/>
      <c r="RXX155" s="133"/>
      <c r="RXY155" s="133"/>
      <c r="RXZ155" s="133"/>
      <c r="RYA155" s="133"/>
      <c r="RYB155" s="133"/>
      <c r="RYC155" s="133"/>
      <c r="RYD155" s="133"/>
      <c r="RYE155" s="133"/>
      <c r="RYF155" s="133"/>
      <c r="RYG155" s="133"/>
      <c r="RYH155" s="133"/>
      <c r="RYI155" s="133"/>
      <c r="RYJ155" s="133"/>
      <c r="RYK155" s="133"/>
      <c r="RYL155" s="133"/>
      <c r="RYM155" s="133"/>
      <c r="RYN155" s="133"/>
      <c r="RYO155" s="133"/>
      <c r="RYP155" s="133"/>
      <c r="RYQ155" s="133"/>
      <c r="RYR155" s="133"/>
      <c r="RYS155" s="133"/>
      <c r="RYT155" s="133"/>
      <c r="RYU155" s="133"/>
      <c r="RYV155" s="133"/>
      <c r="RYW155" s="133"/>
      <c r="RYX155" s="133"/>
      <c r="RYY155" s="133"/>
      <c r="RYZ155" s="133"/>
      <c r="RZA155" s="133"/>
      <c r="RZB155" s="133"/>
      <c r="RZC155" s="133"/>
      <c r="RZD155" s="133"/>
      <c r="RZE155" s="133"/>
      <c r="RZF155" s="133"/>
      <c r="RZG155" s="133"/>
      <c r="RZH155" s="133"/>
      <c r="RZI155" s="133"/>
      <c r="RZJ155" s="133"/>
      <c r="RZK155" s="133"/>
      <c r="RZL155" s="133"/>
      <c r="RZM155" s="133"/>
      <c r="RZN155" s="133"/>
      <c r="RZO155" s="133"/>
      <c r="RZP155" s="133"/>
      <c r="RZQ155" s="133"/>
      <c r="RZR155" s="133"/>
      <c r="RZS155" s="133"/>
      <c r="RZT155" s="133"/>
      <c r="RZU155" s="133"/>
      <c r="RZV155" s="133"/>
      <c r="RZW155" s="133"/>
      <c r="RZX155" s="133"/>
      <c r="RZY155" s="133"/>
      <c r="RZZ155" s="133"/>
      <c r="SAA155" s="133"/>
      <c r="SAB155" s="133"/>
      <c r="SAC155" s="133"/>
      <c r="SAD155" s="133"/>
      <c r="SAE155" s="133"/>
      <c r="SAF155" s="133"/>
      <c r="SAG155" s="133"/>
      <c r="SAH155" s="133"/>
      <c r="SAI155" s="133"/>
      <c r="SAJ155" s="133"/>
      <c r="SAK155" s="133"/>
      <c r="SAL155" s="133"/>
      <c r="SAM155" s="133"/>
      <c r="SAN155" s="133"/>
      <c r="SAO155" s="133"/>
      <c r="SAP155" s="133"/>
      <c r="SAQ155" s="133"/>
      <c r="SAR155" s="133"/>
      <c r="SAS155" s="133"/>
      <c r="SAT155" s="133"/>
      <c r="SAU155" s="133"/>
      <c r="SAV155" s="133"/>
      <c r="SAW155" s="133"/>
      <c r="SAX155" s="133"/>
      <c r="SAY155" s="133"/>
      <c r="SAZ155" s="133"/>
      <c r="SBA155" s="133"/>
      <c r="SBB155" s="133"/>
      <c r="SBC155" s="133"/>
      <c r="SBD155" s="133"/>
      <c r="SBE155" s="133"/>
      <c r="SBF155" s="133"/>
      <c r="SBG155" s="133"/>
      <c r="SBH155" s="133"/>
      <c r="SBI155" s="133"/>
      <c r="SBJ155" s="133"/>
      <c r="SBK155" s="133"/>
      <c r="SBL155" s="133"/>
      <c r="SBM155" s="133"/>
      <c r="SBN155" s="133"/>
      <c r="SBO155" s="133"/>
      <c r="SBP155" s="133"/>
      <c r="SBQ155" s="133"/>
      <c r="SBR155" s="133"/>
      <c r="SBS155" s="133"/>
      <c r="SBT155" s="133"/>
      <c r="SBU155" s="133"/>
      <c r="SBV155" s="133"/>
      <c r="SBW155" s="133"/>
      <c r="SBX155" s="133"/>
      <c r="SBY155" s="133"/>
      <c r="SBZ155" s="133"/>
      <c r="SCA155" s="133"/>
      <c r="SCB155" s="133"/>
      <c r="SCC155" s="133"/>
      <c r="SCD155" s="133"/>
      <c r="SCE155" s="133"/>
      <c r="SCF155" s="133"/>
      <c r="SCG155" s="133"/>
      <c r="SCH155" s="133"/>
      <c r="SCI155" s="133"/>
      <c r="SCJ155" s="133"/>
      <c r="SCK155" s="133"/>
      <c r="SCL155" s="133"/>
      <c r="SCM155" s="133"/>
      <c r="SCN155" s="133"/>
      <c r="SCO155" s="133"/>
      <c r="SCP155" s="133"/>
      <c r="SCQ155" s="133"/>
      <c r="SCR155" s="133"/>
      <c r="SCS155" s="133"/>
      <c r="SCT155" s="133"/>
      <c r="SCU155" s="133"/>
      <c r="SCV155" s="133"/>
      <c r="SCW155" s="133"/>
      <c r="SCX155" s="133"/>
      <c r="SCY155" s="133"/>
      <c r="SCZ155" s="133"/>
      <c r="SDA155" s="133"/>
      <c r="SDB155" s="133"/>
      <c r="SDC155" s="133"/>
      <c r="SDD155" s="133"/>
      <c r="SDE155" s="133"/>
      <c r="SDF155" s="133"/>
      <c r="SDG155" s="133"/>
      <c r="SDH155" s="133"/>
      <c r="SDI155" s="133"/>
      <c r="SDJ155" s="133"/>
      <c r="SDK155" s="133"/>
      <c r="SDL155" s="133"/>
      <c r="SDM155" s="133"/>
      <c r="SDN155" s="133"/>
      <c r="SDO155" s="133"/>
      <c r="SDP155" s="133"/>
      <c r="SDQ155" s="133"/>
      <c r="SDR155" s="133"/>
      <c r="SDS155" s="133"/>
      <c r="SDT155" s="133"/>
      <c r="SDU155" s="133"/>
      <c r="SDV155" s="133"/>
      <c r="SDW155" s="133"/>
      <c r="SDX155" s="133"/>
      <c r="SDY155" s="133"/>
      <c r="SDZ155" s="133"/>
      <c r="SEA155" s="133"/>
      <c r="SEB155" s="133"/>
      <c r="SEC155" s="133"/>
      <c r="SED155" s="133"/>
      <c r="SEE155" s="133"/>
      <c r="SEF155" s="133"/>
      <c r="SEG155" s="133"/>
      <c r="SEH155" s="133"/>
      <c r="SEI155" s="133"/>
      <c r="SEJ155" s="133"/>
      <c r="SEK155" s="133"/>
      <c r="SEL155" s="133"/>
      <c r="SEM155" s="133"/>
      <c r="SEN155" s="133"/>
      <c r="SEO155" s="133"/>
      <c r="SEP155" s="133"/>
      <c r="SEQ155" s="133"/>
      <c r="SER155" s="133"/>
      <c r="SES155" s="133"/>
      <c r="SET155" s="133"/>
      <c r="SEU155" s="133"/>
      <c r="SEV155" s="133"/>
      <c r="SEW155" s="133"/>
      <c r="SEX155" s="133"/>
      <c r="SEY155" s="133"/>
      <c r="SEZ155" s="133"/>
      <c r="SFA155" s="133"/>
      <c r="SFB155" s="133"/>
      <c r="SFC155" s="133"/>
      <c r="SFD155" s="133"/>
      <c r="SFE155" s="133"/>
      <c r="SFF155" s="133"/>
      <c r="SFG155" s="133"/>
      <c r="SFH155" s="133"/>
      <c r="SFI155" s="133"/>
      <c r="SFJ155" s="133"/>
      <c r="SFK155" s="133"/>
      <c r="SFL155" s="133"/>
      <c r="SFM155" s="133"/>
      <c r="SFN155" s="133"/>
      <c r="SFO155" s="133"/>
      <c r="SFP155" s="133"/>
      <c r="SFQ155" s="133"/>
      <c r="SFR155" s="133"/>
      <c r="SFS155" s="133"/>
      <c r="SFT155" s="133"/>
      <c r="SFU155" s="133"/>
      <c r="SFV155" s="133"/>
      <c r="SFW155" s="133"/>
      <c r="SFX155" s="133"/>
      <c r="SFY155" s="133"/>
      <c r="SFZ155" s="133"/>
      <c r="SGA155" s="133"/>
      <c r="SGB155" s="133"/>
      <c r="SGC155" s="133"/>
      <c r="SGD155" s="133"/>
      <c r="SGE155" s="133"/>
      <c r="SGF155" s="133"/>
      <c r="SGG155" s="133"/>
      <c r="SGH155" s="133"/>
      <c r="SGI155" s="133"/>
      <c r="SGJ155" s="133"/>
      <c r="SGK155" s="133"/>
      <c r="SGL155" s="133"/>
      <c r="SGM155" s="133"/>
      <c r="SGN155" s="133"/>
      <c r="SGO155" s="133"/>
      <c r="SGP155" s="133"/>
      <c r="SGQ155" s="133"/>
      <c r="SGR155" s="133"/>
      <c r="SGS155" s="133"/>
      <c r="SGT155" s="133"/>
      <c r="SGU155" s="133"/>
      <c r="SGV155" s="133"/>
      <c r="SGW155" s="133"/>
      <c r="SGX155" s="133"/>
      <c r="SGY155" s="133"/>
      <c r="SGZ155" s="133"/>
      <c r="SHA155" s="133"/>
      <c r="SHB155" s="133"/>
      <c r="SHC155" s="133"/>
      <c r="SHD155" s="133"/>
      <c r="SHE155" s="133"/>
      <c r="SHF155" s="133"/>
      <c r="SHG155" s="133"/>
      <c r="SHH155" s="133"/>
      <c r="SHI155" s="133"/>
      <c r="SHJ155" s="133"/>
      <c r="SHK155" s="133"/>
      <c r="SHL155" s="133"/>
      <c r="SHM155" s="133"/>
      <c r="SHN155" s="133"/>
      <c r="SHO155" s="133"/>
      <c r="SHP155" s="133"/>
      <c r="SHQ155" s="133"/>
      <c r="SHR155" s="133"/>
      <c r="SHS155" s="133"/>
      <c r="SHT155" s="133"/>
      <c r="SHU155" s="133"/>
      <c r="SHV155" s="133"/>
      <c r="SHW155" s="133"/>
      <c r="SHX155" s="133"/>
      <c r="SHY155" s="133"/>
      <c r="SHZ155" s="133"/>
      <c r="SIA155" s="133"/>
      <c r="SIB155" s="133"/>
      <c r="SIC155" s="133"/>
      <c r="SID155" s="133"/>
      <c r="SIE155" s="133"/>
      <c r="SIF155" s="133"/>
      <c r="SIG155" s="133"/>
      <c r="SIH155" s="133"/>
      <c r="SII155" s="133"/>
      <c r="SIJ155" s="133"/>
      <c r="SIK155" s="133"/>
      <c r="SIL155" s="133"/>
      <c r="SIM155" s="133"/>
      <c r="SIN155" s="133"/>
      <c r="SIO155" s="133"/>
      <c r="SIP155" s="133"/>
      <c r="SIQ155" s="133"/>
      <c r="SIR155" s="133"/>
      <c r="SIS155" s="133"/>
      <c r="SIT155" s="133"/>
      <c r="SIU155" s="133"/>
      <c r="SIV155" s="133"/>
      <c r="SIW155" s="133"/>
      <c r="SIX155" s="133"/>
      <c r="SIY155" s="133"/>
      <c r="SIZ155" s="133"/>
      <c r="SJA155" s="133"/>
      <c r="SJB155" s="133"/>
      <c r="SJC155" s="133"/>
      <c r="SJD155" s="133"/>
      <c r="SJE155" s="133"/>
      <c r="SJF155" s="133"/>
      <c r="SJG155" s="133"/>
      <c r="SJH155" s="133"/>
      <c r="SJI155" s="133"/>
      <c r="SJJ155" s="133"/>
      <c r="SJK155" s="133"/>
      <c r="SJL155" s="133"/>
      <c r="SJM155" s="133"/>
      <c r="SJN155" s="133"/>
      <c r="SJO155" s="133"/>
      <c r="SJP155" s="133"/>
      <c r="SJQ155" s="133"/>
      <c r="SJR155" s="133"/>
      <c r="SJS155" s="133"/>
      <c r="SJT155" s="133"/>
      <c r="SJU155" s="133"/>
      <c r="SJV155" s="133"/>
      <c r="SJW155" s="133"/>
      <c r="SJX155" s="133"/>
      <c r="SJY155" s="133"/>
      <c r="SJZ155" s="133"/>
      <c r="SKA155" s="133"/>
      <c r="SKB155" s="133"/>
      <c r="SKC155" s="133"/>
      <c r="SKD155" s="133"/>
      <c r="SKE155" s="133"/>
      <c r="SKF155" s="133"/>
      <c r="SKG155" s="133"/>
      <c r="SKH155" s="133"/>
      <c r="SKI155" s="133"/>
      <c r="SKJ155" s="133"/>
      <c r="SKK155" s="133"/>
      <c r="SKL155" s="133"/>
      <c r="SKM155" s="133"/>
      <c r="SKN155" s="133"/>
      <c r="SKO155" s="133"/>
      <c r="SKP155" s="133"/>
      <c r="SKQ155" s="133"/>
      <c r="SKR155" s="133"/>
      <c r="SKS155" s="133"/>
      <c r="SKT155" s="133"/>
      <c r="SKU155" s="133"/>
      <c r="SKV155" s="133"/>
      <c r="SKW155" s="133"/>
      <c r="SKX155" s="133"/>
      <c r="SKY155" s="133"/>
      <c r="SKZ155" s="133"/>
      <c r="SLA155" s="133"/>
      <c r="SLB155" s="133"/>
      <c r="SLC155" s="133"/>
      <c r="SLD155" s="133"/>
      <c r="SLE155" s="133"/>
      <c r="SLF155" s="133"/>
      <c r="SLG155" s="133"/>
      <c r="SLH155" s="133"/>
      <c r="SLI155" s="133"/>
      <c r="SLJ155" s="133"/>
      <c r="SLK155" s="133"/>
      <c r="SLL155" s="133"/>
      <c r="SLM155" s="133"/>
      <c r="SLN155" s="133"/>
      <c r="SLO155" s="133"/>
      <c r="SLP155" s="133"/>
      <c r="SLQ155" s="133"/>
      <c r="SLR155" s="133"/>
      <c r="SLS155" s="133"/>
      <c r="SLT155" s="133"/>
      <c r="SLU155" s="133"/>
      <c r="SLV155" s="133"/>
      <c r="SLW155" s="133"/>
      <c r="SLX155" s="133"/>
      <c r="SLY155" s="133"/>
      <c r="SLZ155" s="133"/>
      <c r="SMA155" s="133"/>
      <c r="SMB155" s="133"/>
      <c r="SMC155" s="133"/>
      <c r="SMD155" s="133"/>
      <c r="SME155" s="133"/>
      <c r="SMF155" s="133"/>
      <c r="SMG155" s="133"/>
      <c r="SMH155" s="133"/>
      <c r="SMI155" s="133"/>
      <c r="SMJ155" s="133"/>
      <c r="SMK155" s="133"/>
      <c r="SML155" s="133"/>
      <c r="SMM155" s="133"/>
      <c r="SMN155" s="133"/>
      <c r="SMO155" s="133"/>
      <c r="SMP155" s="133"/>
      <c r="SMQ155" s="133"/>
      <c r="SMR155" s="133"/>
      <c r="SMS155" s="133"/>
      <c r="SMT155" s="133"/>
      <c r="SMU155" s="133"/>
      <c r="SMV155" s="133"/>
      <c r="SMW155" s="133"/>
      <c r="SMX155" s="133"/>
      <c r="SMY155" s="133"/>
      <c r="SMZ155" s="133"/>
      <c r="SNA155" s="133"/>
      <c r="SNB155" s="133"/>
      <c r="SNC155" s="133"/>
      <c r="SND155" s="133"/>
      <c r="SNE155" s="133"/>
      <c r="SNF155" s="133"/>
      <c r="SNG155" s="133"/>
      <c r="SNH155" s="133"/>
      <c r="SNI155" s="133"/>
      <c r="SNJ155" s="133"/>
      <c r="SNK155" s="133"/>
      <c r="SNL155" s="133"/>
      <c r="SNM155" s="133"/>
      <c r="SNN155" s="133"/>
      <c r="SNO155" s="133"/>
      <c r="SNP155" s="133"/>
      <c r="SNQ155" s="133"/>
      <c r="SNR155" s="133"/>
      <c r="SNS155" s="133"/>
      <c r="SNT155" s="133"/>
      <c r="SNU155" s="133"/>
      <c r="SNV155" s="133"/>
      <c r="SNW155" s="133"/>
      <c r="SNX155" s="133"/>
      <c r="SNY155" s="133"/>
      <c r="SNZ155" s="133"/>
      <c r="SOA155" s="133"/>
      <c r="SOB155" s="133"/>
      <c r="SOC155" s="133"/>
      <c r="SOD155" s="133"/>
      <c r="SOE155" s="133"/>
      <c r="SOF155" s="133"/>
      <c r="SOG155" s="133"/>
      <c r="SOH155" s="133"/>
      <c r="SOI155" s="133"/>
      <c r="SOJ155" s="133"/>
      <c r="SOK155" s="133"/>
      <c r="SOL155" s="133"/>
      <c r="SOM155" s="133"/>
      <c r="SON155" s="133"/>
      <c r="SOO155" s="133"/>
      <c r="SOP155" s="133"/>
      <c r="SOQ155" s="133"/>
      <c r="SOR155" s="133"/>
      <c r="SOS155" s="133"/>
      <c r="SOT155" s="133"/>
      <c r="SOU155" s="133"/>
      <c r="SOV155" s="133"/>
      <c r="SOW155" s="133"/>
      <c r="SOX155" s="133"/>
      <c r="SOY155" s="133"/>
      <c r="SOZ155" s="133"/>
      <c r="SPA155" s="133"/>
      <c r="SPB155" s="133"/>
      <c r="SPC155" s="133"/>
      <c r="SPD155" s="133"/>
      <c r="SPE155" s="133"/>
      <c r="SPF155" s="133"/>
      <c r="SPG155" s="133"/>
      <c r="SPH155" s="133"/>
      <c r="SPI155" s="133"/>
      <c r="SPJ155" s="133"/>
      <c r="SPK155" s="133"/>
      <c r="SPL155" s="133"/>
      <c r="SPM155" s="133"/>
      <c r="SPN155" s="133"/>
      <c r="SPO155" s="133"/>
      <c r="SPP155" s="133"/>
      <c r="SPQ155" s="133"/>
      <c r="SPR155" s="133"/>
      <c r="SPS155" s="133"/>
      <c r="SPT155" s="133"/>
      <c r="SPU155" s="133"/>
      <c r="SPV155" s="133"/>
      <c r="SPW155" s="133"/>
      <c r="SPX155" s="133"/>
      <c r="SPY155" s="133"/>
      <c r="SPZ155" s="133"/>
      <c r="SQA155" s="133"/>
      <c r="SQB155" s="133"/>
      <c r="SQC155" s="133"/>
      <c r="SQD155" s="133"/>
      <c r="SQE155" s="133"/>
      <c r="SQF155" s="133"/>
      <c r="SQG155" s="133"/>
      <c r="SQH155" s="133"/>
      <c r="SQI155" s="133"/>
      <c r="SQJ155" s="133"/>
      <c r="SQK155" s="133"/>
      <c r="SQL155" s="133"/>
      <c r="SQM155" s="133"/>
      <c r="SQN155" s="133"/>
      <c r="SQO155" s="133"/>
      <c r="SQP155" s="133"/>
      <c r="SQQ155" s="133"/>
      <c r="SQR155" s="133"/>
      <c r="SQS155" s="133"/>
      <c r="SQT155" s="133"/>
      <c r="SQU155" s="133"/>
      <c r="SQV155" s="133"/>
      <c r="SQW155" s="133"/>
      <c r="SQX155" s="133"/>
      <c r="SQY155" s="133"/>
      <c r="SQZ155" s="133"/>
      <c r="SRA155" s="133"/>
      <c r="SRB155" s="133"/>
      <c r="SRC155" s="133"/>
      <c r="SRD155" s="133"/>
      <c r="SRE155" s="133"/>
      <c r="SRF155" s="133"/>
      <c r="SRG155" s="133"/>
      <c r="SRH155" s="133"/>
      <c r="SRI155" s="133"/>
      <c r="SRJ155" s="133"/>
      <c r="SRK155" s="133"/>
      <c r="SRL155" s="133"/>
      <c r="SRM155" s="133"/>
      <c r="SRN155" s="133"/>
      <c r="SRO155" s="133"/>
      <c r="SRP155" s="133"/>
      <c r="SRQ155" s="133"/>
      <c r="SRR155" s="133"/>
      <c r="SRS155" s="133"/>
      <c r="SRT155" s="133"/>
      <c r="SRU155" s="133"/>
      <c r="SRV155" s="133"/>
      <c r="SRW155" s="133"/>
      <c r="SRX155" s="133"/>
      <c r="SRY155" s="133"/>
      <c r="SRZ155" s="133"/>
      <c r="SSA155" s="133"/>
      <c r="SSB155" s="133"/>
      <c r="SSC155" s="133"/>
      <c r="SSD155" s="133"/>
      <c r="SSE155" s="133"/>
      <c r="SSF155" s="133"/>
      <c r="SSG155" s="133"/>
      <c r="SSH155" s="133"/>
      <c r="SSI155" s="133"/>
      <c r="SSJ155" s="133"/>
      <c r="SSK155" s="133"/>
      <c r="SSL155" s="133"/>
      <c r="SSM155" s="133"/>
      <c r="SSN155" s="133"/>
      <c r="SSO155" s="133"/>
      <c r="SSP155" s="133"/>
      <c r="SSQ155" s="133"/>
      <c r="SSR155" s="133"/>
      <c r="SSS155" s="133"/>
      <c r="SST155" s="133"/>
      <c r="SSU155" s="133"/>
      <c r="SSV155" s="133"/>
      <c r="SSW155" s="133"/>
      <c r="SSX155" s="133"/>
      <c r="SSY155" s="133"/>
      <c r="SSZ155" s="133"/>
      <c r="STA155" s="133"/>
      <c r="STB155" s="133"/>
      <c r="STC155" s="133"/>
      <c r="STD155" s="133"/>
      <c r="STE155" s="133"/>
      <c r="STF155" s="133"/>
      <c r="STG155" s="133"/>
      <c r="STH155" s="133"/>
      <c r="STI155" s="133"/>
      <c r="STJ155" s="133"/>
      <c r="STK155" s="133"/>
      <c r="STL155" s="133"/>
      <c r="STM155" s="133"/>
      <c r="STN155" s="133"/>
      <c r="STO155" s="133"/>
      <c r="STP155" s="133"/>
      <c r="STQ155" s="133"/>
      <c r="STR155" s="133"/>
      <c r="STS155" s="133"/>
      <c r="STT155" s="133"/>
      <c r="STU155" s="133"/>
      <c r="STV155" s="133"/>
      <c r="STW155" s="133"/>
      <c r="STX155" s="133"/>
      <c r="STY155" s="133"/>
      <c r="STZ155" s="133"/>
      <c r="SUA155" s="133"/>
      <c r="SUB155" s="133"/>
      <c r="SUC155" s="133"/>
      <c r="SUD155" s="133"/>
      <c r="SUE155" s="133"/>
      <c r="SUF155" s="133"/>
      <c r="SUG155" s="133"/>
      <c r="SUH155" s="133"/>
      <c r="SUI155" s="133"/>
      <c r="SUJ155" s="133"/>
      <c r="SUK155" s="133"/>
      <c r="SUL155" s="133"/>
      <c r="SUM155" s="133"/>
      <c r="SUN155" s="133"/>
      <c r="SUO155" s="133"/>
      <c r="SUP155" s="133"/>
      <c r="SUQ155" s="133"/>
      <c r="SUR155" s="133"/>
      <c r="SUS155" s="133"/>
      <c r="SUT155" s="133"/>
      <c r="SUU155" s="133"/>
      <c r="SUV155" s="133"/>
      <c r="SUW155" s="133"/>
      <c r="SUX155" s="133"/>
      <c r="SUY155" s="133"/>
      <c r="SUZ155" s="133"/>
      <c r="SVA155" s="133"/>
      <c r="SVB155" s="133"/>
      <c r="SVC155" s="133"/>
      <c r="SVD155" s="133"/>
      <c r="SVE155" s="133"/>
      <c r="SVF155" s="133"/>
      <c r="SVG155" s="133"/>
      <c r="SVH155" s="133"/>
      <c r="SVI155" s="133"/>
      <c r="SVJ155" s="133"/>
      <c r="SVK155" s="133"/>
      <c r="SVL155" s="133"/>
      <c r="SVM155" s="133"/>
      <c r="SVN155" s="133"/>
      <c r="SVO155" s="133"/>
      <c r="SVP155" s="133"/>
      <c r="SVQ155" s="133"/>
      <c r="SVR155" s="133"/>
      <c r="SVS155" s="133"/>
      <c r="SVT155" s="133"/>
      <c r="SVU155" s="133"/>
      <c r="SVV155" s="133"/>
      <c r="SVW155" s="133"/>
      <c r="SVX155" s="133"/>
      <c r="SVY155" s="133"/>
      <c r="SVZ155" s="133"/>
      <c r="SWA155" s="133"/>
      <c r="SWB155" s="133"/>
      <c r="SWC155" s="133"/>
      <c r="SWD155" s="133"/>
      <c r="SWE155" s="133"/>
      <c r="SWF155" s="133"/>
      <c r="SWG155" s="133"/>
      <c r="SWH155" s="133"/>
      <c r="SWI155" s="133"/>
      <c r="SWJ155" s="133"/>
      <c r="SWK155" s="133"/>
      <c r="SWL155" s="133"/>
      <c r="SWM155" s="133"/>
      <c r="SWN155" s="133"/>
      <c r="SWO155" s="133"/>
      <c r="SWP155" s="133"/>
      <c r="SWQ155" s="133"/>
      <c r="SWR155" s="133"/>
      <c r="SWS155" s="133"/>
      <c r="SWT155" s="133"/>
      <c r="SWU155" s="133"/>
      <c r="SWV155" s="133"/>
      <c r="SWW155" s="133"/>
      <c r="SWX155" s="133"/>
      <c r="SWY155" s="133"/>
      <c r="SWZ155" s="133"/>
      <c r="SXA155" s="133"/>
      <c r="SXB155" s="133"/>
      <c r="SXC155" s="133"/>
      <c r="SXD155" s="133"/>
      <c r="SXE155" s="133"/>
      <c r="SXF155" s="133"/>
      <c r="SXG155" s="133"/>
      <c r="SXH155" s="133"/>
      <c r="SXI155" s="133"/>
      <c r="SXJ155" s="133"/>
      <c r="SXK155" s="133"/>
      <c r="SXL155" s="133"/>
      <c r="SXM155" s="133"/>
      <c r="SXN155" s="133"/>
      <c r="SXO155" s="133"/>
      <c r="SXP155" s="133"/>
      <c r="SXQ155" s="133"/>
      <c r="SXR155" s="133"/>
      <c r="SXS155" s="133"/>
      <c r="SXT155" s="133"/>
      <c r="SXU155" s="133"/>
      <c r="SXV155" s="133"/>
      <c r="SXW155" s="133"/>
      <c r="SXX155" s="133"/>
      <c r="SXY155" s="133"/>
      <c r="SXZ155" s="133"/>
      <c r="SYA155" s="133"/>
      <c r="SYB155" s="133"/>
      <c r="SYC155" s="133"/>
      <c r="SYD155" s="133"/>
      <c r="SYE155" s="133"/>
      <c r="SYF155" s="133"/>
      <c r="SYG155" s="133"/>
      <c r="SYH155" s="133"/>
      <c r="SYI155" s="133"/>
      <c r="SYJ155" s="133"/>
      <c r="SYK155" s="133"/>
      <c r="SYL155" s="133"/>
      <c r="SYM155" s="133"/>
      <c r="SYN155" s="133"/>
      <c r="SYO155" s="133"/>
      <c r="SYP155" s="133"/>
      <c r="SYQ155" s="133"/>
      <c r="SYR155" s="133"/>
      <c r="SYS155" s="133"/>
      <c r="SYT155" s="133"/>
      <c r="SYU155" s="133"/>
      <c r="SYV155" s="133"/>
      <c r="SYW155" s="133"/>
      <c r="SYX155" s="133"/>
      <c r="SYY155" s="133"/>
      <c r="SYZ155" s="133"/>
      <c r="SZA155" s="133"/>
      <c r="SZB155" s="133"/>
      <c r="SZC155" s="133"/>
      <c r="SZD155" s="133"/>
      <c r="SZE155" s="133"/>
      <c r="SZF155" s="133"/>
      <c r="SZG155" s="133"/>
      <c r="SZH155" s="133"/>
      <c r="SZI155" s="133"/>
      <c r="SZJ155" s="133"/>
      <c r="SZK155" s="133"/>
      <c r="SZL155" s="133"/>
      <c r="SZM155" s="133"/>
      <c r="SZN155" s="133"/>
      <c r="SZO155" s="133"/>
      <c r="SZP155" s="133"/>
      <c r="SZQ155" s="133"/>
      <c r="SZR155" s="133"/>
      <c r="SZS155" s="133"/>
      <c r="SZT155" s="133"/>
      <c r="SZU155" s="133"/>
      <c r="SZV155" s="133"/>
      <c r="SZW155" s="133"/>
      <c r="SZX155" s="133"/>
      <c r="SZY155" s="133"/>
      <c r="SZZ155" s="133"/>
      <c r="TAA155" s="133"/>
      <c r="TAB155" s="133"/>
      <c r="TAC155" s="133"/>
      <c r="TAD155" s="133"/>
      <c r="TAE155" s="133"/>
      <c r="TAF155" s="133"/>
      <c r="TAG155" s="133"/>
      <c r="TAH155" s="133"/>
      <c r="TAI155" s="133"/>
      <c r="TAJ155" s="133"/>
      <c r="TAK155" s="133"/>
      <c r="TAL155" s="133"/>
      <c r="TAM155" s="133"/>
      <c r="TAN155" s="133"/>
      <c r="TAO155" s="133"/>
      <c r="TAP155" s="133"/>
      <c r="TAQ155" s="133"/>
      <c r="TAR155" s="133"/>
      <c r="TAS155" s="133"/>
      <c r="TAT155" s="133"/>
      <c r="TAU155" s="133"/>
      <c r="TAV155" s="133"/>
      <c r="TAW155" s="133"/>
      <c r="TAX155" s="133"/>
      <c r="TAY155" s="133"/>
      <c r="TAZ155" s="133"/>
      <c r="TBA155" s="133"/>
      <c r="TBB155" s="133"/>
      <c r="TBC155" s="133"/>
      <c r="TBD155" s="133"/>
      <c r="TBE155" s="133"/>
      <c r="TBF155" s="133"/>
      <c r="TBG155" s="133"/>
      <c r="TBH155" s="133"/>
      <c r="TBI155" s="133"/>
      <c r="TBJ155" s="133"/>
      <c r="TBK155" s="133"/>
      <c r="TBL155" s="133"/>
      <c r="TBM155" s="133"/>
      <c r="TBN155" s="133"/>
      <c r="TBO155" s="133"/>
      <c r="TBP155" s="133"/>
      <c r="TBQ155" s="133"/>
      <c r="TBR155" s="133"/>
      <c r="TBS155" s="133"/>
      <c r="TBT155" s="133"/>
      <c r="TBU155" s="133"/>
      <c r="TBV155" s="133"/>
      <c r="TBW155" s="133"/>
      <c r="TBX155" s="133"/>
      <c r="TBY155" s="133"/>
      <c r="TBZ155" s="133"/>
      <c r="TCA155" s="133"/>
      <c r="TCB155" s="133"/>
      <c r="TCC155" s="133"/>
      <c r="TCD155" s="133"/>
      <c r="TCE155" s="133"/>
      <c r="TCF155" s="133"/>
      <c r="TCG155" s="133"/>
      <c r="TCH155" s="133"/>
      <c r="TCI155" s="133"/>
      <c r="TCJ155" s="133"/>
      <c r="TCK155" s="133"/>
      <c r="TCL155" s="133"/>
      <c r="TCM155" s="133"/>
      <c r="TCN155" s="133"/>
      <c r="TCO155" s="133"/>
      <c r="TCP155" s="133"/>
      <c r="TCQ155" s="133"/>
      <c r="TCR155" s="133"/>
      <c r="TCS155" s="133"/>
      <c r="TCT155" s="133"/>
      <c r="TCU155" s="133"/>
      <c r="TCV155" s="133"/>
      <c r="TCW155" s="133"/>
      <c r="TCX155" s="133"/>
      <c r="TCY155" s="133"/>
      <c r="TCZ155" s="133"/>
      <c r="TDA155" s="133"/>
      <c r="TDB155" s="133"/>
      <c r="TDC155" s="133"/>
      <c r="TDD155" s="133"/>
      <c r="TDE155" s="133"/>
      <c r="TDF155" s="133"/>
      <c r="TDG155" s="133"/>
      <c r="TDH155" s="133"/>
      <c r="TDI155" s="133"/>
      <c r="TDJ155" s="133"/>
      <c r="TDK155" s="133"/>
      <c r="TDL155" s="133"/>
      <c r="TDM155" s="133"/>
      <c r="TDN155" s="133"/>
      <c r="TDO155" s="133"/>
      <c r="TDP155" s="133"/>
      <c r="TDQ155" s="133"/>
      <c r="TDR155" s="133"/>
      <c r="TDS155" s="133"/>
      <c r="TDT155" s="133"/>
      <c r="TDU155" s="133"/>
      <c r="TDV155" s="133"/>
      <c r="TDW155" s="133"/>
      <c r="TDX155" s="133"/>
      <c r="TDY155" s="133"/>
      <c r="TDZ155" s="133"/>
      <c r="TEA155" s="133"/>
      <c r="TEB155" s="133"/>
      <c r="TEC155" s="133"/>
      <c r="TED155" s="133"/>
      <c r="TEE155" s="133"/>
      <c r="TEF155" s="133"/>
      <c r="TEG155" s="133"/>
      <c r="TEH155" s="133"/>
      <c r="TEI155" s="133"/>
      <c r="TEJ155" s="133"/>
      <c r="TEK155" s="133"/>
      <c r="TEL155" s="133"/>
      <c r="TEM155" s="133"/>
      <c r="TEN155" s="133"/>
      <c r="TEO155" s="133"/>
      <c r="TEP155" s="133"/>
      <c r="TEQ155" s="133"/>
      <c r="TER155" s="133"/>
      <c r="TES155" s="133"/>
      <c r="TET155" s="133"/>
      <c r="TEU155" s="133"/>
      <c r="TEV155" s="133"/>
      <c r="TEW155" s="133"/>
      <c r="TEX155" s="133"/>
      <c r="TEY155" s="133"/>
      <c r="TEZ155" s="133"/>
      <c r="TFA155" s="133"/>
      <c r="TFB155" s="133"/>
      <c r="TFC155" s="133"/>
      <c r="TFD155" s="133"/>
      <c r="TFE155" s="133"/>
      <c r="TFF155" s="133"/>
      <c r="TFG155" s="133"/>
      <c r="TFH155" s="133"/>
      <c r="TFI155" s="133"/>
      <c r="TFJ155" s="133"/>
      <c r="TFK155" s="133"/>
      <c r="TFL155" s="133"/>
      <c r="TFM155" s="133"/>
      <c r="TFN155" s="133"/>
      <c r="TFO155" s="133"/>
      <c r="TFP155" s="133"/>
      <c r="TFQ155" s="133"/>
      <c r="TFR155" s="133"/>
      <c r="TFS155" s="133"/>
      <c r="TFT155" s="133"/>
      <c r="TFU155" s="133"/>
      <c r="TFV155" s="133"/>
      <c r="TFW155" s="133"/>
      <c r="TFX155" s="133"/>
      <c r="TFY155" s="133"/>
      <c r="TFZ155" s="133"/>
      <c r="TGA155" s="133"/>
      <c r="TGB155" s="133"/>
      <c r="TGC155" s="133"/>
      <c r="TGD155" s="133"/>
      <c r="TGE155" s="133"/>
      <c r="TGF155" s="133"/>
      <c r="TGG155" s="133"/>
      <c r="TGH155" s="133"/>
      <c r="TGI155" s="133"/>
      <c r="TGJ155" s="133"/>
      <c r="TGK155" s="133"/>
      <c r="TGL155" s="133"/>
      <c r="TGM155" s="133"/>
      <c r="TGN155" s="133"/>
      <c r="TGO155" s="133"/>
      <c r="TGP155" s="133"/>
      <c r="TGQ155" s="133"/>
      <c r="TGR155" s="133"/>
      <c r="TGS155" s="133"/>
      <c r="TGT155" s="133"/>
      <c r="TGU155" s="133"/>
      <c r="TGV155" s="133"/>
      <c r="TGW155" s="133"/>
      <c r="TGX155" s="133"/>
      <c r="TGY155" s="133"/>
      <c r="TGZ155" s="133"/>
      <c r="THA155" s="133"/>
      <c r="THB155" s="133"/>
      <c r="THC155" s="133"/>
      <c r="THD155" s="133"/>
      <c r="THE155" s="133"/>
      <c r="THF155" s="133"/>
      <c r="THG155" s="133"/>
      <c r="THH155" s="133"/>
      <c r="THI155" s="133"/>
      <c r="THJ155" s="133"/>
      <c r="THK155" s="133"/>
      <c r="THL155" s="133"/>
      <c r="THM155" s="133"/>
      <c r="THN155" s="133"/>
      <c r="THO155" s="133"/>
      <c r="THP155" s="133"/>
      <c r="THQ155" s="133"/>
      <c r="THR155" s="133"/>
      <c r="THS155" s="133"/>
      <c r="THT155" s="133"/>
      <c r="THU155" s="133"/>
      <c r="THV155" s="133"/>
      <c r="THW155" s="133"/>
      <c r="THX155" s="133"/>
      <c r="THY155" s="133"/>
      <c r="THZ155" s="133"/>
      <c r="TIA155" s="133"/>
      <c r="TIB155" s="133"/>
      <c r="TIC155" s="133"/>
      <c r="TID155" s="133"/>
      <c r="TIE155" s="133"/>
      <c r="TIF155" s="133"/>
      <c r="TIG155" s="133"/>
      <c r="TIH155" s="133"/>
      <c r="TII155" s="133"/>
      <c r="TIJ155" s="133"/>
      <c r="TIK155" s="133"/>
      <c r="TIL155" s="133"/>
      <c r="TIM155" s="133"/>
      <c r="TIN155" s="133"/>
      <c r="TIO155" s="133"/>
      <c r="TIP155" s="133"/>
      <c r="TIQ155" s="133"/>
      <c r="TIR155" s="133"/>
      <c r="TIS155" s="133"/>
      <c r="TIT155" s="133"/>
      <c r="TIU155" s="133"/>
      <c r="TIV155" s="133"/>
      <c r="TIW155" s="133"/>
      <c r="TIX155" s="133"/>
      <c r="TIY155" s="133"/>
      <c r="TIZ155" s="133"/>
      <c r="TJA155" s="133"/>
      <c r="TJB155" s="133"/>
      <c r="TJC155" s="133"/>
      <c r="TJD155" s="133"/>
      <c r="TJE155" s="133"/>
      <c r="TJF155" s="133"/>
      <c r="TJG155" s="133"/>
      <c r="TJH155" s="133"/>
      <c r="TJI155" s="133"/>
      <c r="TJJ155" s="133"/>
      <c r="TJK155" s="133"/>
      <c r="TJL155" s="133"/>
      <c r="TJM155" s="133"/>
      <c r="TJN155" s="133"/>
      <c r="TJO155" s="133"/>
      <c r="TJP155" s="133"/>
      <c r="TJQ155" s="133"/>
      <c r="TJR155" s="133"/>
      <c r="TJS155" s="133"/>
      <c r="TJT155" s="133"/>
      <c r="TJU155" s="133"/>
      <c r="TJV155" s="133"/>
      <c r="TJW155" s="133"/>
      <c r="TJX155" s="133"/>
      <c r="TJY155" s="133"/>
      <c r="TJZ155" s="133"/>
      <c r="TKA155" s="133"/>
      <c r="TKB155" s="133"/>
      <c r="TKC155" s="133"/>
      <c r="TKD155" s="133"/>
      <c r="TKE155" s="133"/>
      <c r="TKF155" s="133"/>
      <c r="TKG155" s="133"/>
      <c r="TKH155" s="133"/>
      <c r="TKI155" s="133"/>
      <c r="TKJ155" s="133"/>
      <c r="TKK155" s="133"/>
      <c r="TKL155" s="133"/>
      <c r="TKM155" s="133"/>
      <c r="TKN155" s="133"/>
      <c r="TKO155" s="133"/>
      <c r="TKP155" s="133"/>
      <c r="TKQ155" s="133"/>
      <c r="TKR155" s="133"/>
      <c r="TKS155" s="133"/>
      <c r="TKT155" s="133"/>
      <c r="TKU155" s="133"/>
      <c r="TKV155" s="133"/>
      <c r="TKW155" s="133"/>
      <c r="TKX155" s="133"/>
      <c r="TKY155" s="133"/>
      <c r="TKZ155" s="133"/>
      <c r="TLA155" s="133"/>
      <c r="TLB155" s="133"/>
      <c r="TLC155" s="133"/>
      <c r="TLD155" s="133"/>
      <c r="TLE155" s="133"/>
      <c r="TLF155" s="133"/>
      <c r="TLG155" s="133"/>
      <c r="TLH155" s="133"/>
      <c r="TLI155" s="133"/>
      <c r="TLJ155" s="133"/>
      <c r="TLK155" s="133"/>
      <c r="TLL155" s="133"/>
      <c r="TLM155" s="133"/>
      <c r="TLN155" s="133"/>
      <c r="TLO155" s="133"/>
      <c r="TLP155" s="133"/>
      <c r="TLQ155" s="133"/>
      <c r="TLR155" s="133"/>
      <c r="TLS155" s="133"/>
      <c r="TLT155" s="133"/>
      <c r="TLU155" s="133"/>
      <c r="TLV155" s="133"/>
      <c r="TLW155" s="133"/>
      <c r="TLX155" s="133"/>
      <c r="TLY155" s="133"/>
      <c r="TLZ155" s="133"/>
      <c r="TMA155" s="133"/>
      <c r="TMB155" s="133"/>
      <c r="TMC155" s="133"/>
      <c r="TMD155" s="133"/>
      <c r="TME155" s="133"/>
      <c r="TMF155" s="133"/>
      <c r="TMG155" s="133"/>
      <c r="TMH155" s="133"/>
      <c r="TMI155" s="133"/>
      <c r="TMJ155" s="133"/>
      <c r="TMK155" s="133"/>
      <c r="TML155" s="133"/>
      <c r="TMM155" s="133"/>
      <c r="TMN155" s="133"/>
      <c r="TMO155" s="133"/>
      <c r="TMP155" s="133"/>
      <c r="TMQ155" s="133"/>
      <c r="TMR155" s="133"/>
      <c r="TMS155" s="133"/>
      <c r="TMT155" s="133"/>
      <c r="TMU155" s="133"/>
      <c r="TMV155" s="133"/>
      <c r="TMW155" s="133"/>
      <c r="TMX155" s="133"/>
      <c r="TMY155" s="133"/>
      <c r="TMZ155" s="133"/>
      <c r="TNA155" s="133"/>
      <c r="TNB155" s="133"/>
      <c r="TNC155" s="133"/>
      <c r="TND155" s="133"/>
      <c r="TNE155" s="133"/>
      <c r="TNF155" s="133"/>
      <c r="TNG155" s="133"/>
      <c r="TNH155" s="133"/>
      <c r="TNI155" s="133"/>
      <c r="TNJ155" s="133"/>
      <c r="TNK155" s="133"/>
      <c r="TNL155" s="133"/>
      <c r="TNM155" s="133"/>
      <c r="TNN155" s="133"/>
      <c r="TNO155" s="133"/>
      <c r="TNP155" s="133"/>
      <c r="TNQ155" s="133"/>
      <c r="TNR155" s="133"/>
      <c r="TNS155" s="133"/>
      <c r="TNT155" s="133"/>
      <c r="TNU155" s="133"/>
      <c r="TNV155" s="133"/>
      <c r="TNW155" s="133"/>
      <c r="TNX155" s="133"/>
      <c r="TNY155" s="133"/>
      <c r="TNZ155" s="133"/>
      <c r="TOA155" s="133"/>
      <c r="TOB155" s="133"/>
      <c r="TOC155" s="133"/>
      <c r="TOD155" s="133"/>
      <c r="TOE155" s="133"/>
      <c r="TOF155" s="133"/>
      <c r="TOG155" s="133"/>
      <c r="TOH155" s="133"/>
      <c r="TOI155" s="133"/>
      <c r="TOJ155" s="133"/>
      <c r="TOK155" s="133"/>
      <c r="TOL155" s="133"/>
      <c r="TOM155" s="133"/>
      <c r="TON155" s="133"/>
      <c r="TOO155" s="133"/>
      <c r="TOP155" s="133"/>
      <c r="TOQ155" s="133"/>
      <c r="TOR155" s="133"/>
      <c r="TOS155" s="133"/>
      <c r="TOT155" s="133"/>
      <c r="TOU155" s="133"/>
      <c r="TOV155" s="133"/>
      <c r="TOW155" s="133"/>
      <c r="TOX155" s="133"/>
      <c r="TOY155" s="133"/>
      <c r="TOZ155" s="133"/>
      <c r="TPA155" s="133"/>
      <c r="TPB155" s="133"/>
      <c r="TPC155" s="133"/>
      <c r="TPD155" s="133"/>
      <c r="TPE155" s="133"/>
      <c r="TPF155" s="133"/>
      <c r="TPG155" s="133"/>
      <c r="TPH155" s="133"/>
      <c r="TPI155" s="133"/>
      <c r="TPJ155" s="133"/>
      <c r="TPK155" s="133"/>
      <c r="TPL155" s="133"/>
      <c r="TPM155" s="133"/>
      <c r="TPN155" s="133"/>
      <c r="TPO155" s="133"/>
      <c r="TPP155" s="133"/>
      <c r="TPQ155" s="133"/>
      <c r="TPR155" s="133"/>
      <c r="TPS155" s="133"/>
      <c r="TPT155" s="133"/>
      <c r="TPU155" s="133"/>
      <c r="TPV155" s="133"/>
      <c r="TPW155" s="133"/>
      <c r="TPX155" s="133"/>
      <c r="TPY155" s="133"/>
      <c r="TPZ155" s="133"/>
      <c r="TQA155" s="133"/>
      <c r="TQB155" s="133"/>
      <c r="TQC155" s="133"/>
      <c r="TQD155" s="133"/>
      <c r="TQE155" s="133"/>
      <c r="TQF155" s="133"/>
      <c r="TQG155" s="133"/>
      <c r="TQH155" s="133"/>
      <c r="TQI155" s="133"/>
      <c r="TQJ155" s="133"/>
      <c r="TQK155" s="133"/>
      <c r="TQL155" s="133"/>
      <c r="TQM155" s="133"/>
      <c r="TQN155" s="133"/>
      <c r="TQO155" s="133"/>
      <c r="TQP155" s="133"/>
      <c r="TQQ155" s="133"/>
      <c r="TQR155" s="133"/>
      <c r="TQS155" s="133"/>
      <c r="TQT155" s="133"/>
      <c r="TQU155" s="133"/>
      <c r="TQV155" s="133"/>
      <c r="TQW155" s="133"/>
      <c r="TQX155" s="133"/>
      <c r="TQY155" s="133"/>
      <c r="TQZ155" s="133"/>
      <c r="TRA155" s="133"/>
      <c r="TRB155" s="133"/>
      <c r="TRC155" s="133"/>
      <c r="TRD155" s="133"/>
      <c r="TRE155" s="133"/>
      <c r="TRF155" s="133"/>
      <c r="TRG155" s="133"/>
      <c r="TRH155" s="133"/>
      <c r="TRI155" s="133"/>
      <c r="TRJ155" s="133"/>
      <c r="TRK155" s="133"/>
      <c r="TRL155" s="133"/>
      <c r="TRM155" s="133"/>
      <c r="TRN155" s="133"/>
      <c r="TRO155" s="133"/>
      <c r="TRP155" s="133"/>
      <c r="TRQ155" s="133"/>
      <c r="TRR155" s="133"/>
      <c r="TRS155" s="133"/>
      <c r="TRT155" s="133"/>
      <c r="TRU155" s="133"/>
      <c r="TRV155" s="133"/>
      <c r="TRW155" s="133"/>
      <c r="TRX155" s="133"/>
      <c r="TRY155" s="133"/>
      <c r="TRZ155" s="133"/>
      <c r="TSA155" s="133"/>
      <c r="TSB155" s="133"/>
      <c r="TSC155" s="133"/>
      <c r="TSD155" s="133"/>
      <c r="TSE155" s="133"/>
      <c r="TSF155" s="133"/>
      <c r="TSG155" s="133"/>
      <c r="TSH155" s="133"/>
      <c r="TSI155" s="133"/>
      <c r="TSJ155" s="133"/>
      <c r="TSK155" s="133"/>
      <c r="TSL155" s="133"/>
      <c r="TSM155" s="133"/>
      <c r="TSN155" s="133"/>
      <c r="TSO155" s="133"/>
      <c r="TSP155" s="133"/>
      <c r="TSQ155" s="133"/>
      <c r="TSR155" s="133"/>
      <c r="TSS155" s="133"/>
      <c r="TST155" s="133"/>
      <c r="TSU155" s="133"/>
      <c r="TSV155" s="133"/>
      <c r="TSW155" s="133"/>
      <c r="TSX155" s="133"/>
      <c r="TSY155" s="133"/>
      <c r="TSZ155" s="133"/>
      <c r="TTA155" s="133"/>
      <c r="TTB155" s="133"/>
      <c r="TTC155" s="133"/>
      <c r="TTD155" s="133"/>
      <c r="TTE155" s="133"/>
      <c r="TTF155" s="133"/>
      <c r="TTG155" s="133"/>
      <c r="TTH155" s="133"/>
      <c r="TTI155" s="133"/>
      <c r="TTJ155" s="133"/>
      <c r="TTK155" s="133"/>
      <c r="TTL155" s="133"/>
      <c r="TTM155" s="133"/>
      <c r="TTN155" s="133"/>
      <c r="TTO155" s="133"/>
      <c r="TTP155" s="133"/>
      <c r="TTQ155" s="133"/>
      <c r="TTR155" s="133"/>
      <c r="TTS155" s="133"/>
      <c r="TTT155" s="133"/>
      <c r="TTU155" s="133"/>
      <c r="TTV155" s="133"/>
      <c r="TTW155" s="133"/>
      <c r="TTX155" s="133"/>
      <c r="TTY155" s="133"/>
      <c r="TTZ155" s="133"/>
      <c r="TUA155" s="133"/>
      <c r="TUB155" s="133"/>
      <c r="TUC155" s="133"/>
      <c r="TUD155" s="133"/>
      <c r="TUE155" s="133"/>
      <c r="TUF155" s="133"/>
      <c r="TUG155" s="133"/>
      <c r="TUH155" s="133"/>
      <c r="TUI155" s="133"/>
      <c r="TUJ155" s="133"/>
      <c r="TUK155" s="133"/>
      <c r="TUL155" s="133"/>
      <c r="TUM155" s="133"/>
      <c r="TUN155" s="133"/>
      <c r="TUO155" s="133"/>
      <c r="TUP155" s="133"/>
      <c r="TUQ155" s="133"/>
      <c r="TUR155" s="133"/>
      <c r="TUS155" s="133"/>
      <c r="TUT155" s="133"/>
      <c r="TUU155" s="133"/>
      <c r="TUV155" s="133"/>
      <c r="TUW155" s="133"/>
      <c r="TUX155" s="133"/>
      <c r="TUY155" s="133"/>
      <c r="TUZ155" s="133"/>
      <c r="TVA155" s="133"/>
      <c r="TVB155" s="133"/>
      <c r="TVC155" s="133"/>
      <c r="TVD155" s="133"/>
      <c r="TVE155" s="133"/>
      <c r="TVF155" s="133"/>
      <c r="TVG155" s="133"/>
      <c r="TVH155" s="133"/>
      <c r="TVI155" s="133"/>
      <c r="TVJ155" s="133"/>
      <c r="TVK155" s="133"/>
      <c r="TVL155" s="133"/>
      <c r="TVM155" s="133"/>
      <c r="TVN155" s="133"/>
      <c r="TVO155" s="133"/>
      <c r="TVP155" s="133"/>
      <c r="TVQ155" s="133"/>
      <c r="TVR155" s="133"/>
      <c r="TVS155" s="133"/>
      <c r="TVT155" s="133"/>
      <c r="TVU155" s="133"/>
      <c r="TVV155" s="133"/>
      <c r="TVW155" s="133"/>
      <c r="TVX155" s="133"/>
      <c r="TVY155" s="133"/>
      <c r="TVZ155" s="133"/>
      <c r="TWA155" s="133"/>
      <c r="TWB155" s="133"/>
      <c r="TWC155" s="133"/>
      <c r="TWD155" s="133"/>
      <c r="TWE155" s="133"/>
      <c r="TWF155" s="133"/>
      <c r="TWG155" s="133"/>
      <c r="TWH155" s="133"/>
      <c r="TWI155" s="133"/>
      <c r="TWJ155" s="133"/>
      <c r="TWK155" s="133"/>
      <c r="TWL155" s="133"/>
      <c r="TWM155" s="133"/>
      <c r="TWN155" s="133"/>
      <c r="TWO155" s="133"/>
      <c r="TWP155" s="133"/>
      <c r="TWQ155" s="133"/>
      <c r="TWR155" s="133"/>
      <c r="TWS155" s="133"/>
      <c r="TWT155" s="133"/>
      <c r="TWU155" s="133"/>
      <c r="TWV155" s="133"/>
      <c r="TWW155" s="133"/>
      <c r="TWX155" s="133"/>
      <c r="TWY155" s="133"/>
      <c r="TWZ155" s="133"/>
      <c r="TXA155" s="133"/>
      <c r="TXB155" s="133"/>
      <c r="TXC155" s="133"/>
      <c r="TXD155" s="133"/>
      <c r="TXE155" s="133"/>
      <c r="TXF155" s="133"/>
      <c r="TXG155" s="133"/>
      <c r="TXH155" s="133"/>
      <c r="TXI155" s="133"/>
      <c r="TXJ155" s="133"/>
      <c r="TXK155" s="133"/>
      <c r="TXL155" s="133"/>
      <c r="TXM155" s="133"/>
      <c r="TXN155" s="133"/>
      <c r="TXO155" s="133"/>
      <c r="TXP155" s="133"/>
      <c r="TXQ155" s="133"/>
      <c r="TXR155" s="133"/>
      <c r="TXS155" s="133"/>
      <c r="TXT155" s="133"/>
      <c r="TXU155" s="133"/>
      <c r="TXV155" s="133"/>
      <c r="TXW155" s="133"/>
      <c r="TXX155" s="133"/>
      <c r="TXY155" s="133"/>
      <c r="TXZ155" s="133"/>
      <c r="TYA155" s="133"/>
      <c r="TYB155" s="133"/>
      <c r="TYC155" s="133"/>
      <c r="TYD155" s="133"/>
      <c r="TYE155" s="133"/>
      <c r="TYF155" s="133"/>
      <c r="TYG155" s="133"/>
      <c r="TYH155" s="133"/>
      <c r="TYI155" s="133"/>
      <c r="TYJ155" s="133"/>
      <c r="TYK155" s="133"/>
      <c r="TYL155" s="133"/>
      <c r="TYM155" s="133"/>
      <c r="TYN155" s="133"/>
      <c r="TYO155" s="133"/>
      <c r="TYP155" s="133"/>
      <c r="TYQ155" s="133"/>
      <c r="TYR155" s="133"/>
      <c r="TYS155" s="133"/>
      <c r="TYT155" s="133"/>
      <c r="TYU155" s="133"/>
      <c r="TYV155" s="133"/>
      <c r="TYW155" s="133"/>
      <c r="TYX155" s="133"/>
      <c r="TYY155" s="133"/>
      <c r="TYZ155" s="133"/>
      <c r="TZA155" s="133"/>
      <c r="TZB155" s="133"/>
      <c r="TZC155" s="133"/>
      <c r="TZD155" s="133"/>
      <c r="TZE155" s="133"/>
      <c r="TZF155" s="133"/>
      <c r="TZG155" s="133"/>
      <c r="TZH155" s="133"/>
      <c r="TZI155" s="133"/>
      <c r="TZJ155" s="133"/>
      <c r="TZK155" s="133"/>
      <c r="TZL155" s="133"/>
      <c r="TZM155" s="133"/>
      <c r="TZN155" s="133"/>
      <c r="TZO155" s="133"/>
      <c r="TZP155" s="133"/>
      <c r="TZQ155" s="133"/>
      <c r="TZR155" s="133"/>
      <c r="TZS155" s="133"/>
      <c r="TZT155" s="133"/>
      <c r="TZU155" s="133"/>
      <c r="TZV155" s="133"/>
      <c r="TZW155" s="133"/>
      <c r="TZX155" s="133"/>
      <c r="TZY155" s="133"/>
      <c r="TZZ155" s="133"/>
      <c r="UAA155" s="133"/>
      <c r="UAB155" s="133"/>
      <c r="UAC155" s="133"/>
      <c r="UAD155" s="133"/>
      <c r="UAE155" s="133"/>
      <c r="UAF155" s="133"/>
      <c r="UAG155" s="133"/>
      <c r="UAH155" s="133"/>
      <c r="UAI155" s="133"/>
      <c r="UAJ155" s="133"/>
      <c r="UAK155" s="133"/>
      <c r="UAL155" s="133"/>
      <c r="UAM155" s="133"/>
      <c r="UAN155" s="133"/>
      <c r="UAO155" s="133"/>
      <c r="UAP155" s="133"/>
      <c r="UAQ155" s="133"/>
      <c r="UAR155" s="133"/>
      <c r="UAS155" s="133"/>
      <c r="UAT155" s="133"/>
      <c r="UAU155" s="133"/>
      <c r="UAV155" s="133"/>
      <c r="UAW155" s="133"/>
      <c r="UAX155" s="133"/>
      <c r="UAY155" s="133"/>
      <c r="UAZ155" s="133"/>
      <c r="UBA155" s="133"/>
      <c r="UBB155" s="133"/>
      <c r="UBC155" s="133"/>
      <c r="UBD155" s="133"/>
      <c r="UBE155" s="133"/>
      <c r="UBF155" s="133"/>
      <c r="UBG155" s="133"/>
      <c r="UBH155" s="133"/>
      <c r="UBI155" s="133"/>
      <c r="UBJ155" s="133"/>
      <c r="UBK155" s="133"/>
      <c r="UBL155" s="133"/>
      <c r="UBM155" s="133"/>
      <c r="UBN155" s="133"/>
      <c r="UBO155" s="133"/>
      <c r="UBP155" s="133"/>
      <c r="UBQ155" s="133"/>
      <c r="UBR155" s="133"/>
      <c r="UBS155" s="133"/>
      <c r="UBT155" s="133"/>
      <c r="UBU155" s="133"/>
      <c r="UBV155" s="133"/>
      <c r="UBW155" s="133"/>
      <c r="UBX155" s="133"/>
      <c r="UBY155" s="133"/>
      <c r="UBZ155" s="133"/>
      <c r="UCA155" s="133"/>
      <c r="UCB155" s="133"/>
      <c r="UCC155" s="133"/>
      <c r="UCD155" s="133"/>
      <c r="UCE155" s="133"/>
      <c r="UCF155" s="133"/>
      <c r="UCG155" s="133"/>
      <c r="UCH155" s="133"/>
      <c r="UCI155" s="133"/>
      <c r="UCJ155" s="133"/>
      <c r="UCK155" s="133"/>
      <c r="UCL155" s="133"/>
      <c r="UCM155" s="133"/>
      <c r="UCN155" s="133"/>
      <c r="UCO155" s="133"/>
      <c r="UCP155" s="133"/>
      <c r="UCQ155" s="133"/>
      <c r="UCR155" s="133"/>
      <c r="UCS155" s="133"/>
      <c r="UCT155" s="133"/>
      <c r="UCU155" s="133"/>
      <c r="UCV155" s="133"/>
      <c r="UCW155" s="133"/>
      <c r="UCX155" s="133"/>
      <c r="UCY155" s="133"/>
      <c r="UCZ155" s="133"/>
      <c r="UDA155" s="133"/>
      <c r="UDB155" s="133"/>
      <c r="UDC155" s="133"/>
      <c r="UDD155" s="133"/>
      <c r="UDE155" s="133"/>
      <c r="UDF155" s="133"/>
      <c r="UDG155" s="133"/>
      <c r="UDH155" s="133"/>
      <c r="UDI155" s="133"/>
      <c r="UDJ155" s="133"/>
      <c r="UDK155" s="133"/>
      <c r="UDL155" s="133"/>
      <c r="UDM155" s="133"/>
      <c r="UDN155" s="133"/>
      <c r="UDO155" s="133"/>
      <c r="UDP155" s="133"/>
      <c r="UDQ155" s="133"/>
      <c r="UDR155" s="133"/>
      <c r="UDS155" s="133"/>
      <c r="UDT155" s="133"/>
      <c r="UDU155" s="133"/>
      <c r="UDV155" s="133"/>
      <c r="UDW155" s="133"/>
      <c r="UDX155" s="133"/>
      <c r="UDY155" s="133"/>
      <c r="UDZ155" s="133"/>
      <c r="UEA155" s="133"/>
      <c r="UEB155" s="133"/>
      <c r="UEC155" s="133"/>
      <c r="UED155" s="133"/>
      <c r="UEE155" s="133"/>
      <c r="UEF155" s="133"/>
      <c r="UEG155" s="133"/>
      <c r="UEH155" s="133"/>
      <c r="UEI155" s="133"/>
      <c r="UEJ155" s="133"/>
      <c r="UEK155" s="133"/>
      <c r="UEL155" s="133"/>
      <c r="UEM155" s="133"/>
      <c r="UEN155" s="133"/>
      <c r="UEO155" s="133"/>
      <c r="UEP155" s="133"/>
      <c r="UEQ155" s="133"/>
      <c r="UER155" s="133"/>
      <c r="UES155" s="133"/>
      <c r="UET155" s="133"/>
      <c r="UEU155" s="133"/>
      <c r="UEV155" s="133"/>
      <c r="UEW155" s="133"/>
      <c r="UEX155" s="133"/>
      <c r="UEY155" s="133"/>
      <c r="UEZ155" s="133"/>
      <c r="UFA155" s="133"/>
      <c r="UFB155" s="133"/>
      <c r="UFC155" s="133"/>
      <c r="UFD155" s="133"/>
      <c r="UFE155" s="133"/>
      <c r="UFF155" s="133"/>
      <c r="UFG155" s="133"/>
      <c r="UFH155" s="133"/>
      <c r="UFI155" s="133"/>
      <c r="UFJ155" s="133"/>
      <c r="UFK155" s="133"/>
      <c r="UFL155" s="133"/>
      <c r="UFM155" s="133"/>
      <c r="UFN155" s="133"/>
      <c r="UFO155" s="133"/>
      <c r="UFP155" s="133"/>
      <c r="UFQ155" s="133"/>
      <c r="UFR155" s="133"/>
      <c r="UFS155" s="133"/>
      <c r="UFT155" s="133"/>
      <c r="UFU155" s="133"/>
      <c r="UFV155" s="133"/>
      <c r="UFW155" s="133"/>
      <c r="UFX155" s="133"/>
      <c r="UFY155" s="133"/>
      <c r="UFZ155" s="133"/>
      <c r="UGA155" s="133"/>
      <c r="UGB155" s="133"/>
      <c r="UGC155" s="133"/>
      <c r="UGD155" s="133"/>
      <c r="UGE155" s="133"/>
      <c r="UGF155" s="133"/>
      <c r="UGG155" s="133"/>
      <c r="UGH155" s="133"/>
      <c r="UGI155" s="133"/>
      <c r="UGJ155" s="133"/>
      <c r="UGK155" s="133"/>
      <c r="UGL155" s="133"/>
      <c r="UGM155" s="133"/>
      <c r="UGN155" s="133"/>
      <c r="UGO155" s="133"/>
      <c r="UGP155" s="133"/>
      <c r="UGQ155" s="133"/>
      <c r="UGR155" s="133"/>
      <c r="UGS155" s="133"/>
      <c r="UGT155" s="133"/>
      <c r="UGU155" s="133"/>
      <c r="UGV155" s="133"/>
      <c r="UGW155" s="133"/>
      <c r="UGX155" s="133"/>
      <c r="UGY155" s="133"/>
      <c r="UGZ155" s="133"/>
      <c r="UHA155" s="133"/>
      <c r="UHB155" s="133"/>
      <c r="UHC155" s="133"/>
      <c r="UHD155" s="133"/>
      <c r="UHE155" s="133"/>
      <c r="UHF155" s="133"/>
      <c r="UHG155" s="133"/>
      <c r="UHH155" s="133"/>
      <c r="UHI155" s="133"/>
      <c r="UHJ155" s="133"/>
      <c r="UHK155" s="133"/>
      <c r="UHL155" s="133"/>
      <c r="UHM155" s="133"/>
      <c r="UHN155" s="133"/>
      <c r="UHO155" s="133"/>
      <c r="UHP155" s="133"/>
      <c r="UHQ155" s="133"/>
      <c r="UHR155" s="133"/>
      <c r="UHS155" s="133"/>
      <c r="UHT155" s="133"/>
      <c r="UHU155" s="133"/>
      <c r="UHV155" s="133"/>
      <c r="UHW155" s="133"/>
      <c r="UHX155" s="133"/>
      <c r="UHY155" s="133"/>
      <c r="UHZ155" s="133"/>
      <c r="UIA155" s="133"/>
      <c r="UIB155" s="133"/>
      <c r="UIC155" s="133"/>
      <c r="UID155" s="133"/>
      <c r="UIE155" s="133"/>
      <c r="UIF155" s="133"/>
      <c r="UIG155" s="133"/>
      <c r="UIH155" s="133"/>
      <c r="UII155" s="133"/>
      <c r="UIJ155" s="133"/>
      <c r="UIK155" s="133"/>
      <c r="UIL155" s="133"/>
      <c r="UIM155" s="133"/>
      <c r="UIN155" s="133"/>
      <c r="UIO155" s="133"/>
      <c r="UIP155" s="133"/>
      <c r="UIQ155" s="133"/>
      <c r="UIR155" s="133"/>
      <c r="UIS155" s="133"/>
      <c r="UIT155" s="133"/>
      <c r="UIU155" s="133"/>
      <c r="UIV155" s="133"/>
      <c r="UIW155" s="133"/>
      <c r="UIX155" s="133"/>
      <c r="UIY155" s="133"/>
      <c r="UIZ155" s="133"/>
      <c r="UJA155" s="133"/>
      <c r="UJB155" s="133"/>
      <c r="UJC155" s="133"/>
      <c r="UJD155" s="133"/>
      <c r="UJE155" s="133"/>
      <c r="UJF155" s="133"/>
      <c r="UJG155" s="133"/>
      <c r="UJH155" s="133"/>
      <c r="UJI155" s="133"/>
      <c r="UJJ155" s="133"/>
      <c r="UJK155" s="133"/>
      <c r="UJL155" s="133"/>
      <c r="UJM155" s="133"/>
      <c r="UJN155" s="133"/>
      <c r="UJO155" s="133"/>
      <c r="UJP155" s="133"/>
      <c r="UJQ155" s="133"/>
      <c r="UJR155" s="133"/>
      <c r="UJS155" s="133"/>
      <c r="UJT155" s="133"/>
      <c r="UJU155" s="133"/>
      <c r="UJV155" s="133"/>
      <c r="UJW155" s="133"/>
      <c r="UJX155" s="133"/>
      <c r="UJY155" s="133"/>
      <c r="UJZ155" s="133"/>
      <c r="UKA155" s="133"/>
      <c r="UKB155" s="133"/>
      <c r="UKC155" s="133"/>
      <c r="UKD155" s="133"/>
      <c r="UKE155" s="133"/>
      <c r="UKF155" s="133"/>
      <c r="UKG155" s="133"/>
      <c r="UKH155" s="133"/>
      <c r="UKI155" s="133"/>
      <c r="UKJ155" s="133"/>
      <c r="UKK155" s="133"/>
      <c r="UKL155" s="133"/>
      <c r="UKM155" s="133"/>
      <c r="UKN155" s="133"/>
      <c r="UKO155" s="133"/>
      <c r="UKP155" s="133"/>
      <c r="UKQ155" s="133"/>
      <c r="UKR155" s="133"/>
      <c r="UKS155" s="133"/>
      <c r="UKT155" s="133"/>
      <c r="UKU155" s="133"/>
      <c r="UKV155" s="133"/>
      <c r="UKW155" s="133"/>
      <c r="UKX155" s="133"/>
      <c r="UKY155" s="133"/>
      <c r="UKZ155" s="133"/>
      <c r="ULA155" s="133"/>
      <c r="ULB155" s="133"/>
      <c r="ULC155" s="133"/>
      <c r="ULD155" s="133"/>
      <c r="ULE155" s="133"/>
      <c r="ULF155" s="133"/>
      <c r="ULG155" s="133"/>
      <c r="ULH155" s="133"/>
      <c r="ULI155" s="133"/>
      <c r="ULJ155" s="133"/>
      <c r="ULK155" s="133"/>
      <c r="ULL155" s="133"/>
      <c r="ULM155" s="133"/>
      <c r="ULN155" s="133"/>
      <c r="ULO155" s="133"/>
      <c r="ULP155" s="133"/>
      <c r="ULQ155" s="133"/>
      <c r="ULR155" s="133"/>
      <c r="ULS155" s="133"/>
      <c r="ULT155" s="133"/>
      <c r="ULU155" s="133"/>
      <c r="ULV155" s="133"/>
      <c r="ULW155" s="133"/>
      <c r="ULX155" s="133"/>
      <c r="ULY155" s="133"/>
      <c r="ULZ155" s="133"/>
      <c r="UMA155" s="133"/>
      <c r="UMB155" s="133"/>
      <c r="UMC155" s="133"/>
      <c r="UMD155" s="133"/>
      <c r="UME155" s="133"/>
      <c r="UMF155" s="133"/>
      <c r="UMG155" s="133"/>
      <c r="UMH155" s="133"/>
      <c r="UMI155" s="133"/>
      <c r="UMJ155" s="133"/>
      <c r="UMK155" s="133"/>
      <c r="UML155" s="133"/>
      <c r="UMM155" s="133"/>
      <c r="UMN155" s="133"/>
      <c r="UMO155" s="133"/>
      <c r="UMP155" s="133"/>
      <c r="UMQ155" s="133"/>
      <c r="UMR155" s="133"/>
      <c r="UMS155" s="133"/>
      <c r="UMT155" s="133"/>
      <c r="UMU155" s="133"/>
      <c r="UMV155" s="133"/>
      <c r="UMW155" s="133"/>
      <c r="UMX155" s="133"/>
      <c r="UMY155" s="133"/>
      <c r="UMZ155" s="133"/>
      <c r="UNA155" s="133"/>
      <c r="UNB155" s="133"/>
      <c r="UNC155" s="133"/>
      <c r="UND155" s="133"/>
      <c r="UNE155" s="133"/>
      <c r="UNF155" s="133"/>
      <c r="UNG155" s="133"/>
      <c r="UNH155" s="133"/>
      <c r="UNI155" s="133"/>
      <c r="UNJ155" s="133"/>
      <c r="UNK155" s="133"/>
      <c r="UNL155" s="133"/>
      <c r="UNM155" s="133"/>
      <c r="UNN155" s="133"/>
      <c r="UNO155" s="133"/>
      <c r="UNP155" s="133"/>
      <c r="UNQ155" s="133"/>
      <c r="UNR155" s="133"/>
      <c r="UNS155" s="133"/>
      <c r="UNT155" s="133"/>
      <c r="UNU155" s="133"/>
      <c r="UNV155" s="133"/>
      <c r="UNW155" s="133"/>
      <c r="UNX155" s="133"/>
      <c r="UNY155" s="133"/>
      <c r="UNZ155" s="133"/>
      <c r="UOA155" s="133"/>
      <c r="UOB155" s="133"/>
      <c r="UOC155" s="133"/>
      <c r="UOD155" s="133"/>
      <c r="UOE155" s="133"/>
      <c r="UOF155" s="133"/>
      <c r="UOG155" s="133"/>
      <c r="UOH155" s="133"/>
      <c r="UOI155" s="133"/>
      <c r="UOJ155" s="133"/>
      <c r="UOK155" s="133"/>
      <c r="UOL155" s="133"/>
      <c r="UOM155" s="133"/>
      <c r="UON155" s="133"/>
      <c r="UOO155" s="133"/>
      <c r="UOP155" s="133"/>
      <c r="UOQ155" s="133"/>
      <c r="UOR155" s="133"/>
      <c r="UOS155" s="133"/>
      <c r="UOT155" s="133"/>
      <c r="UOU155" s="133"/>
      <c r="UOV155" s="133"/>
      <c r="UOW155" s="133"/>
      <c r="UOX155" s="133"/>
      <c r="UOY155" s="133"/>
      <c r="UOZ155" s="133"/>
      <c r="UPA155" s="133"/>
      <c r="UPB155" s="133"/>
      <c r="UPC155" s="133"/>
      <c r="UPD155" s="133"/>
      <c r="UPE155" s="133"/>
      <c r="UPF155" s="133"/>
      <c r="UPG155" s="133"/>
      <c r="UPH155" s="133"/>
      <c r="UPI155" s="133"/>
      <c r="UPJ155" s="133"/>
      <c r="UPK155" s="133"/>
      <c r="UPL155" s="133"/>
      <c r="UPM155" s="133"/>
      <c r="UPN155" s="133"/>
      <c r="UPO155" s="133"/>
      <c r="UPP155" s="133"/>
      <c r="UPQ155" s="133"/>
      <c r="UPR155" s="133"/>
      <c r="UPS155" s="133"/>
      <c r="UPT155" s="133"/>
      <c r="UPU155" s="133"/>
      <c r="UPV155" s="133"/>
      <c r="UPW155" s="133"/>
      <c r="UPX155" s="133"/>
      <c r="UPY155" s="133"/>
      <c r="UPZ155" s="133"/>
      <c r="UQA155" s="133"/>
      <c r="UQB155" s="133"/>
      <c r="UQC155" s="133"/>
      <c r="UQD155" s="133"/>
      <c r="UQE155" s="133"/>
      <c r="UQF155" s="133"/>
      <c r="UQG155" s="133"/>
      <c r="UQH155" s="133"/>
      <c r="UQI155" s="133"/>
      <c r="UQJ155" s="133"/>
      <c r="UQK155" s="133"/>
      <c r="UQL155" s="133"/>
      <c r="UQM155" s="133"/>
      <c r="UQN155" s="133"/>
      <c r="UQO155" s="133"/>
      <c r="UQP155" s="133"/>
      <c r="UQQ155" s="133"/>
      <c r="UQR155" s="133"/>
      <c r="UQS155" s="133"/>
      <c r="UQT155" s="133"/>
      <c r="UQU155" s="133"/>
      <c r="UQV155" s="133"/>
      <c r="UQW155" s="133"/>
      <c r="UQX155" s="133"/>
      <c r="UQY155" s="133"/>
      <c r="UQZ155" s="133"/>
      <c r="URA155" s="133"/>
      <c r="URB155" s="133"/>
      <c r="URC155" s="133"/>
      <c r="URD155" s="133"/>
      <c r="URE155" s="133"/>
      <c r="URF155" s="133"/>
      <c r="URG155" s="133"/>
      <c r="URH155" s="133"/>
      <c r="URI155" s="133"/>
      <c r="URJ155" s="133"/>
      <c r="URK155" s="133"/>
      <c r="URL155" s="133"/>
      <c r="URM155" s="133"/>
      <c r="URN155" s="133"/>
      <c r="URO155" s="133"/>
      <c r="URP155" s="133"/>
      <c r="URQ155" s="133"/>
      <c r="URR155" s="133"/>
      <c r="URS155" s="133"/>
      <c r="URT155" s="133"/>
      <c r="URU155" s="133"/>
      <c r="URV155" s="133"/>
      <c r="URW155" s="133"/>
      <c r="URX155" s="133"/>
      <c r="URY155" s="133"/>
      <c r="URZ155" s="133"/>
      <c r="USA155" s="133"/>
      <c r="USB155" s="133"/>
      <c r="USC155" s="133"/>
      <c r="USD155" s="133"/>
      <c r="USE155" s="133"/>
      <c r="USF155" s="133"/>
      <c r="USG155" s="133"/>
      <c r="USH155" s="133"/>
      <c r="USI155" s="133"/>
      <c r="USJ155" s="133"/>
      <c r="USK155" s="133"/>
      <c r="USL155" s="133"/>
      <c r="USM155" s="133"/>
      <c r="USN155" s="133"/>
      <c r="USO155" s="133"/>
      <c r="USP155" s="133"/>
      <c r="USQ155" s="133"/>
      <c r="USR155" s="133"/>
      <c r="USS155" s="133"/>
      <c r="UST155" s="133"/>
      <c r="USU155" s="133"/>
      <c r="USV155" s="133"/>
      <c r="USW155" s="133"/>
      <c r="USX155" s="133"/>
      <c r="USY155" s="133"/>
      <c r="USZ155" s="133"/>
      <c r="UTA155" s="133"/>
      <c r="UTB155" s="133"/>
      <c r="UTC155" s="133"/>
      <c r="UTD155" s="133"/>
      <c r="UTE155" s="133"/>
      <c r="UTF155" s="133"/>
      <c r="UTG155" s="133"/>
      <c r="UTH155" s="133"/>
      <c r="UTI155" s="133"/>
      <c r="UTJ155" s="133"/>
      <c r="UTK155" s="133"/>
      <c r="UTL155" s="133"/>
      <c r="UTM155" s="133"/>
      <c r="UTN155" s="133"/>
      <c r="UTO155" s="133"/>
      <c r="UTP155" s="133"/>
      <c r="UTQ155" s="133"/>
      <c r="UTR155" s="133"/>
      <c r="UTS155" s="133"/>
      <c r="UTT155" s="133"/>
      <c r="UTU155" s="133"/>
      <c r="UTV155" s="133"/>
      <c r="UTW155" s="133"/>
      <c r="UTX155" s="133"/>
      <c r="UTY155" s="133"/>
      <c r="UTZ155" s="133"/>
      <c r="UUA155" s="133"/>
      <c r="UUB155" s="133"/>
      <c r="UUC155" s="133"/>
      <c r="UUD155" s="133"/>
      <c r="UUE155" s="133"/>
      <c r="UUF155" s="133"/>
      <c r="UUG155" s="133"/>
      <c r="UUH155" s="133"/>
      <c r="UUI155" s="133"/>
      <c r="UUJ155" s="133"/>
      <c r="UUK155" s="133"/>
      <c r="UUL155" s="133"/>
      <c r="UUM155" s="133"/>
      <c r="UUN155" s="133"/>
      <c r="UUO155" s="133"/>
      <c r="UUP155" s="133"/>
      <c r="UUQ155" s="133"/>
      <c r="UUR155" s="133"/>
      <c r="UUS155" s="133"/>
      <c r="UUT155" s="133"/>
      <c r="UUU155" s="133"/>
      <c r="UUV155" s="133"/>
      <c r="UUW155" s="133"/>
      <c r="UUX155" s="133"/>
      <c r="UUY155" s="133"/>
      <c r="UUZ155" s="133"/>
      <c r="UVA155" s="133"/>
      <c r="UVB155" s="133"/>
      <c r="UVC155" s="133"/>
      <c r="UVD155" s="133"/>
      <c r="UVE155" s="133"/>
      <c r="UVF155" s="133"/>
      <c r="UVG155" s="133"/>
      <c r="UVH155" s="133"/>
      <c r="UVI155" s="133"/>
      <c r="UVJ155" s="133"/>
      <c r="UVK155" s="133"/>
      <c r="UVL155" s="133"/>
      <c r="UVM155" s="133"/>
      <c r="UVN155" s="133"/>
      <c r="UVO155" s="133"/>
      <c r="UVP155" s="133"/>
      <c r="UVQ155" s="133"/>
      <c r="UVR155" s="133"/>
      <c r="UVS155" s="133"/>
      <c r="UVT155" s="133"/>
      <c r="UVU155" s="133"/>
      <c r="UVV155" s="133"/>
      <c r="UVW155" s="133"/>
      <c r="UVX155" s="133"/>
      <c r="UVY155" s="133"/>
      <c r="UVZ155" s="133"/>
      <c r="UWA155" s="133"/>
      <c r="UWB155" s="133"/>
      <c r="UWC155" s="133"/>
      <c r="UWD155" s="133"/>
      <c r="UWE155" s="133"/>
      <c r="UWF155" s="133"/>
      <c r="UWG155" s="133"/>
      <c r="UWH155" s="133"/>
      <c r="UWI155" s="133"/>
      <c r="UWJ155" s="133"/>
      <c r="UWK155" s="133"/>
      <c r="UWL155" s="133"/>
      <c r="UWM155" s="133"/>
      <c r="UWN155" s="133"/>
      <c r="UWO155" s="133"/>
      <c r="UWP155" s="133"/>
      <c r="UWQ155" s="133"/>
      <c r="UWR155" s="133"/>
      <c r="UWS155" s="133"/>
      <c r="UWT155" s="133"/>
      <c r="UWU155" s="133"/>
      <c r="UWV155" s="133"/>
      <c r="UWW155" s="133"/>
      <c r="UWX155" s="133"/>
      <c r="UWY155" s="133"/>
      <c r="UWZ155" s="133"/>
      <c r="UXA155" s="133"/>
      <c r="UXB155" s="133"/>
      <c r="UXC155" s="133"/>
      <c r="UXD155" s="133"/>
      <c r="UXE155" s="133"/>
      <c r="UXF155" s="133"/>
      <c r="UXG155" s="133"/>
      <c r="UXH155" s="133"/>
      <c r="UXI155" s="133"/>
      <c r="UXJ155" s="133"/>
      <c r="UXK155" s="133"/>
      <c r="UXL155" s="133"/>
      <c r="UXM155" s="133"/>
      <c r="UXN155" s="133"/>
      <c r="UXO155" s="133"/>
      <c r="UXP155" s="133"/>
      <c r="UXQ155" s="133"/>
      <c r="UXR155" s="133"/>
      <c r="UXS155" s="133"/>
      <c r="UXT155" s="133"/>
      <c r="UXU155" s="133"/>
      <c r="UXV155" s="133"/>
      <c r="UXW155" s="133"/>
      <c r="UXX155" s="133"/>
      <c r="UXY155" s="133"/>
      <c r="UXZ155" s="133"/>
      <c r="UYA155" s="133"/>
      <c r="UYB155" s="133"/>
      <c r="UYC155" s="133"/>
      <c r="UYD155" s="133"/>
      <c r="UYE155" s="133"/>
      <c r="UYF155" s="133"/>
      <c r="UYG155" s="133"/>
      <c r="UYH155" s="133"/>
      <c r="UYI155" s="133"/>
      <c r="UYJ155" s="133"/>
      <c r="UYK155" s="133"/>
      <c r="UYL155" s="133"/>
      <c r="UYM155" s="133"/>
      <c r="UYN155" s="133"/>
      <c r="UYO155" s="133"/>
      <c r="UYP155" s="133"/>
      <c r="UYQ155" s="133"/>
      <c r="UYR155" s="133"/>
      <c r="UYS155" s="133"/>
      <c r="UYT155" s="133"/>
      <c r="UYU155" s="133"/>
      <c r="UYV155" s="133"/>
      <c r="UYW155" s="133"/>
      <c r="UYX155" s="133"/>
      <c r="UYY155" s="133"/>
      <c r="UYZ155" s="133"/>
      <c r="UZA155" s="133"/>
      <c r="UZB155" s="133"/>
      <c r="UZC155" s="133"/>
      <c r="UZD155" s="133"/>
      <c r="UZE155" s="133"/>
      <c r="UZF155" s="133"/>
      <c r="UZG155" s="133"/>
      <c r="UZH155" s="133"/>
      <c r="UZI155" s="133"/>
      <c r="UZJ155" s="133"/>
      <c r="UZK155" s="133"/>
      <c r="UZL155" s="133"/>
      <c r="UZM155" s="133"/>
      <c r="UZN155" s="133"/>
      <c r="UZO155" s="133"/>
      <c r="UZP155" s="133"/>
      <c r="UZQ155" s="133"/>
      <c r="UZR155" s="133"/>
      <c r="UZS155" s="133"/>
      <c r="UZT155" s="133"/>
      <c r="UZU155" s="133"/>
      <c r="UZV155" s="133"/>
      <c r="UZW155" s="133"/>
      <c r="UZX155" s="133"/>
      <c r="UZY155" s="133"/>
      <c r="UZZ155" s="133"/>
      <c r="VAA155" s="133"/>
      <c r="VAB155" s="133"/>
      <c r="VAC155" s="133"/>
      <c r="VAD155" s="133"/>
      <c r="VAE155" s="133"/>
      <c r="VAF155" s="133"/>
      <c r="VAG155" s="133"/>
      <c r="VAH155" s="133"/>
      <c r="VAI155" s="133"/>
      <c r="VAJ155" s="133"/>
      <c r="VAK155" s="133"/>
      <c r="VAL155" s="133"/>
      <c r="VAM155" s="133"/>
      <c r="VAN155" s="133"/>
      <c r="VAO155" s="133"/>
      <c r="VAP155" s="133"/>
      <c r="VAQ155" s="133"/>
      <c r="VAR155" s="133"/>
      <c r="VAS155" s="133"/>
      <c r="VAT155" s="133"/>
      <c r="VAU155" s="133"/>
      <c r="VAV155" s="133"/>
      <c r="VAW155" s="133"/>
      <c r="VAX155" s="133"/>
      <c r="VAY155" s="133"/>
      <c r="VAZ155" s="133"/>
      <c r="VBA155" s="133"/>
      <c r="VBB155" s="133"/>
      <c r="VBC155" s="133"/>
      <c r="VBD155" s="133"/>
      <c r="VBE155" s="133"/>
      <c r="VBF155" s="133"/>
      <c r="VBG155" s="133"/>
      <c r="VBH155" s="133"/>
      <c r="VBI155" s="133"/>
      <c r="VBJ155" s="133"/>
      <c r="VBK155" s="133"/>
      <c r="VBL155" s="133"/>
      <c r="VBM155" s="133"/>
      <c r="VBN155" s="133"/>
      <c r="VBO155" s="133"/>
      <c r="VBP155" s="133"/>
      <c r="VBQ155" s="133"/>
      <c r="VBR155" s="133"/>
      <c r="VBS155" s="133"/>
      <c r="VBT155" s="133"/>
      <c r="VBU155" s="133"/>
      <c r="VBV155" s="133"/>
      <c r="VBW155" s="133"/>
      <c r="VBX155" s="133"/>
      <c r="VBY155" s="133"/>
      <c r="VBZ155" s="133"/>
      <c r="VCA155" s="133"/>
      <c r="VCB155" s="133"/>
      <c r="VCC155" s="133"/>
      <c r="VCD155" s="133"/>
      <c r="VCE155" s="133"/>
      <c r="VCF155" s="133"/>
      <c r="VCG155" s="133"/>
      <c r="VCH155" s="133"/>
      <c r="VCI155" s="133"/>
      <c r="VCJ155" s="133"/>
      <c r="VCK155" s="133"/>
      <c r="VCL155" s="133"/>
      <c r="VCM155" s="133"/>
      <c r="VCN155" s="133"/>
      <c r="VCO155" s="133"/>
      <c r="VCP155" s="133"/>
      <c r="VCQ155" s="133"/>
      <c r="VCR155" s="133"/>
      <c r="VCS155" s="133"/>
      <c r="VCT155" s="133"/>
      <c r="VCU155" s="133"/>
      <c r="VCV155" s="133"/>
      <c r="VCW155" s="133"/>
      <c r="VCX155" s="133"/>
      <c r="VCY155" s="133"/>
      <c r="VCZ155" s="133"/>
      <c r="VDA155" s="133"/>
      <c r="VDB155" s="133"/>
      <c r="VDC155" s="133"/>
      <c r="VDD155" s="133"/>
      <c r="VDE155" s="133"/>
      <c r="VDF155" s="133"/>
      <c r="VDG155" s="133"/>
      <c r="VDH155" s="133"/>
      <c r="VDI155" s="133"/>
      <c r="VDJ155" s="133"/>
      <c r="VDK155" s="133"/>
      <c r="VDL155" s="133"/>
      <c r="VDM155" s="133"/>
      <c r="VDN155" s="133"/>
      <c r="VDO155" s="133"/>
      <c r="VDP155" s="133"/>
      <c r="VDQ155" s="133"/>
      <c r="VDR155" s="133"/>
      <c r="VDS155" s="133"/>
      <c r="VDT155" s="133"/>
      <c r="VDU155" s="133"/>
      <c r="VDV155" s="133"/>
      <c r="VDW155" s="133"/>
      <c r="VDX155" s="133"/>
      <c r="VDY155" s="133"/>
      <c r="VDZ155" s="133"/>
      <c r="VEA155" s="133"/>
      <c r="VEB155" s="133"/>
      <c r="VEC155" s="133"/>
      <c r="VED155" s="133"/>
      <c r="VEE155" s="133"/>
      <c r="VEF155" s="133"/>
      <c r="VEG155" s="133"/>
      <c r="VEH155" s="133"/>
      <c r="VEI155" s="133"/>
      <c r="VEJ155" s="133"/>
      <c r="VEK155" s="133"/>
      <c r="VEL155" s="133"/>
      <c r="VEM155" s="133"/>
      <c r="VEN155" s="133"/>
      <c r="VEO155" s="133"/>
      <c r="VEP155" s="133"/>
      <c r="VEQ155" s="133"/>
      <c r="VER155" s="133"/>
      <c r="VES155" s="133"/>
      <c r="VET155" s="133"/>
      <c r="VEU155" s="133"/>
      <c r="VEV155" s="133"/>
      <c r="VEW155" s="133"/>
      <c r="VEX155" s="133"/>
      <c r="VEY155" s="133"/>
      <c r="VEZ155" s="133"/>
      <c r="VFA155" s="133"/>
      <c r="VFB155" s="133"/>
      <c r="VFC155" s="133"/>
      <c r="VFD155" s="133"/>
      <c r="VFE155" s="133"/>
      <c r="VFF155" s="133"/>
      <c r="VFG155" s="133"/>
      <c r="VFH155" s="133"/>
      <c r="VFI155" s="133"/>
      <c r="VFJ155" s="133"/>
      <c r="VFK155" s="133"/>
      <c r="VFL155" s="133"/>
      <c r="VFM155" s="133"/>
      <c r="VFN155" s="133"/>
      <c r="VFO155" s="133"/>
      <c r="VFP155" s="133"/>
      <c r="VFQ155" s="133"/>
      <c r="VFR155" s="133"/>
      <c r="VFS155" s="133"/>
      <c r="VFT155" s="133"/>
      <c r="VFU155" s="133"/>
      <c r="VFV155" s="133"/>
      <c r="VFW155" s="133"/>
      <c r="VFX155" s="133"/>
      <c r="VFY155" s="133"/>
      <c r="VFZ155" s="133"/>
      <c r="VGA155" s="133"/>
      <c r="VGB155" s="133"/>
      <c r="VGC155" s="133"/>
      <c r="VGD155" s="133"/>
      <c r="VGE155" s="133"/>
      <c r="VGF155" s="133"/>
      <c r="VGG155" s="133"/>
      <c r="VGH155" s="133"/>
      <c r="VGI155" s="133"/>
      <c r="VGJ155" s="133"/>
      <c r="VGK155" s="133"/>
      <c r="VGL155" s="133"/>
      <c r="VGM155" s="133"/>
      <c r="VGN155" s="133"/>
      <c r="VGO155" s="133"/>
      <c r="VGP155" s="133"/>
      <c r="VGQ155" s="133"/>
      <c r="VGR155" s="133"/>
      <c r="VGS155" s="133"/>
      <c r="VGT155" s="133"/>
      <c r="VGU155" s="133"/>
      <c r="VGV155" s="133"/>
      <c r="VGW155" s="133"/>
      <c r="VGX155" s="133"/>
      <c r="VGY155" s="133"/>
      <c r="VGZ155" s="133"/>
      <c r="VHA155" s="133"/>
      <c r="VHB155" s="133"/>
      <c r="VHC155" s="133"/>
      <c r="VHD155" s="133"/>
      <c r="VHE155" s="133"/>
      <c r="VHF155" s="133"/>
      <c r="VHG155" s="133"/>
      <c r="VHH155" s="133"/>
      <c r="VHI155" s="133"/>
      <c r="VHJ155" s="133"/>
      <c r="VHK155" s="133"/>
      <c r="VHL155" s="133"/>
      <c r="VHM155" s="133"/>
      <c r="VHN155" s="133"/>
      <c r="VHO155" s="133"/>
      <c r="VHP155" s="133"/>
      <c r="VHQ155" s="133"/>
      <c r="VHR155" s="133"/>
      <c r="VHS155" s="133"/>
      <c r="VHT155" s="133"/>
      <c r="VHU155" s="133"/>
      <c r="VHV155" s="133"/>
      <c r="VHW155" s="133"/>
      <c r="VHX155" s="133"/>
      <c r="VHY155" s="133"/>
      <c r="VHZ155" s="133"/>
      <c r="VIA155" s="133"/>
      <c r="VIB155" s="133"/>
      <c r="VIC155" s="133"/>
      <c r="VID155" s="133"/>
      <c r="VIE155" s="133"/>
      <c r="VIF155" s="133"/>
      <c r="VIG155" s="133"/>
      <c r="VIH155" s="133"/>
      <c r="VII155" s="133"/>
      <c r="VIJ155" s="133"/>
      <c r="VIK155" s="133"/>
      <c r="VIL155" s="133"/>
      <c r="VIM155" s="133"/>
      <c r="VIN155" s="133"/>
      <c r="VIO155" s="133"/>
      <c r="VIP155" s="133"/>
      <c r="VIQ155" s="133"/>
      <c r="VIR155" s="133"/>
      <c r="VIS155" s="133"/>
      <c r="VIT155" s="133"/>
      <c r="VIU155" s="133"/>
      <c r="VIV155" s="133"/>
      <c r="VIW155" s="133"/>
      <c r="VIX155" s="133"/>
      <c r="VIY155" s="133"/>
      <c r="VIZ155" s="133"/>
      <c r="VJA155" s="133"/>
      <c r="VJB155" s="133"/>
      <c r="VJC155" s="133"/>
      <c r="VJD155" s="133"/>
      <c r="VJE155" s="133"/>
      <c r="VJF155" s="133"/>
      <c r="VJG155" s="133"/>
      <c r="VJH155" s="133"/>
      <c r="VJI155" s="133"/>
      <c r="VJJ155" s="133"/>
      <c r="VJK155" s="133"/>
      <c r="VJL155" s="133"/>
      <c r="VJM155" s="133"/>
      <c r="VJN155" s="133"/>
      <c r="VJO155" s="133"/>
      <c r="VJP155" s="133"/>
      <c r="VJQ155" s="133"/>
      <c r="VJR155" s="133"/>
      <c r="VJS155" s="133"/>
      <c r="VJT155" s="133"/>
      <c r="VJU155" s="133"/>
      <c r="VJV155" s="133"/>
      <c r="VJW155" s="133"/>
      <c r="VJX155" s="133"/>
      <c r="VJY155" s="133"/>
      <c r="VJZ155" s="133"/>
      <c r="VKA155" s="133"/>
      <c r="VKB155" s="133"/>
      <c r="VKC155" s="133"/>
      <c r="VKD155" s="133"/>
      <c r="VKE155" s="133"/>
      <c r="VKF155" s="133"/>
      <c r="VKG155" s="133"/>
      <c r="VKH155" s="133"/>
      <c r="VKI155" s="133"/>
      <c r="VKJ155" s="133"/>
      <c r="VKK155" s="133"/>
      <c r="VKL155" s="133"/>
      <c r="VKM155" s="133"/>
      <c r="VKN155" s="133"/>
      <c r="VKO155" s="133"/>
      <c r="VKP155" s="133"/>
      <c r="VKQ155" s="133"/>
      <c r="VKR155" s="133"/>
      <c r="VKS155" s="133"/>
      <c r="VKT155" s="133"/>
      <c r="VKU155" s="133"/>
      <c r="VKV155" s="133"/>
      <c r="VKW155" s="133"/>
      <c r="VKX155" s="133"/>
      <c r="VKY155" s="133"/>
      <c r="VKZ155" s="133"/>
      <c r="VLA155" s="133"/>
      <c r="VLB155" s="133"/>
      <c r="VLC155" s="133"/>
      <c r="VLD155" s="133"/>
      <c r="VLE155" s="133"/>
      <c r="VLF155" s="133"/>
      <c r="VLG155" s="133"/>
      <c r="VLH155" s="133"/>
      <c r="VLI155" s="133"/>
      <c r="VLJ155" s="133"/>
      <c r="VLK155" s="133"/>
      <c r="VLL155" s="133"/>
      <c r="VLM155" s="133"/>
      <c r="VLN155" s="133"/>
      <c r="VLO155" s="133"/>
      <c r="VLP155" s="133"/>
      <c r="VLQ155" s="133"/>
      <c r="VLR155" s="133"/>
      <c r="VLS155" s="133"/>
      <c r="VLT155" s="133"/>
      <c r="VLU155" s="133"/>
      <c r="VLV155" s="133"/>
      <c r="VLW155" s="133"/>
      <c r="VLX155" s="133"/>
      <c r="VLY155" s="133"/>
      <c r="VLZ155" s="133"/>
      <c r="VMA155" s="133"/>
      <c r="VMB155" s="133"/>
      <c r="VMC155" s="133"/>
      <c r="VMD155" s="133"/>
      <c r="VME155" s="133"/>
      <c r="VMF155" s="133"/>
      <c r="VMG155" s="133"/>
      <c r="VMH155" s="133"/>
      <c r="VMI155" s="133"/>
      <c r="VMJ155" s="133"/>
      <c r="VMK155" s="133"/>
      <c r="VML155" s="133"/>
      <c r="VMM155" s="133"/>
      <c r="VMN155" s="133"/>
      <c r="VMO155" s="133"/>
      <c r="VMP155" s="133"/>
      <c r="VMQ155" s="133"/>
      <c r="VMR155" s="133"/>
      <c r="VMS155" s="133"/>
      <c r="VMT155" s="133"/>
      <c r="VMU155" s="133"/>
      <c r="VMV155" s="133"/>
      <c r="VMW155" s="133"/>
      <c r="VMX155" s="133"/>
      <c r="VMY155" s="133"/>
      <c r="VMZ155" s="133"/>
      <c r="VNA155" s="133"/>
      <c r="VNB155" s="133"/>
      <c r="VNC155" s="133"/>
      <c r="VND155" s="133"/>
      <c r="VNE155" s="133"/>
      <c r="VNF155" s="133"/>
      <c r="VNG155" s="133"/>
      <c r="VNH155" s="133"/>
      <c r="VNI155" s="133"/>
      <c r="VNJ155" s="133"/>
      <c r="VNK155" s="133"/>
      <c r="VNL155" s="133"/>
      <c r="VNM155" s="133"/>
      <c r="VNN155" s="133"/>
      <c r="VNO155" s="133"/>
      <c r="VNP155" s="133"/>
      <c r="VNQ155" s="133"/>
      <c r="VNR155" s="133"/>
      <c r="VNS155" s="133"/>
      <c r="VNT155" s="133"/>
      <c r="VNU155" s="133"/>
      <c r="VNV155" s="133"/>
      <c r="VNW155" s="133"/>
      <c r="VNX155" s="133"/>
      <c r="VNY155" s="133"/>
      <c r="VNZ155" s="133"/>
      <c r="VOA155" s="133"/>
      <c r="VOB155" s="133"/>
      <c r="VOC155" s="133"/>
      <c r="VOD155" s="133"/>
      <c r="VOE155" s="133"/>
      <c r="VOF155" s="133"/>
      <c r="VOG155" s="133"/>
      <c r="VOH155" s="133"/>
      <c r="VOI155" s="133"/>
      <c r="VOJ155" s="133"/>
      <c r="VOK155" s="133"/>
      <c r="VOL155" s="133"/>
      <c r="VOM155" s="133"/>
      <c r="VON155" s="133"/>
      <c r="VOO155" s="133"/>
      <c r="VOP155" s="133"/>
      <c r="VOQ155" s="133"/>
      <c r="VOR155" s="133"/>
      <c r="VOS155" s="133"/>
      <c r="VOT155" s="133"/>
      <c r="VOU155" s="133"/>
      <c r="VOV155" s="133"/>
      <c r="VOW155" s="133"/>
      <c r="VOX155" s="133"/>
      <c r="VOY155" s="133"/>
      <c r="VOZ155" s="133"/>
      <c r="VPA155" s="133"/>
      <c r="VPB155" s="133"/>
      <c r="VPC155" s="133"/>
      <c r="VPD155" s="133"/>
      <c r="VPE155" s="133"/>
      <c r="VPF155" s="133"/>
      <c r="VPG155" s="133"/>
      <c r="VPH155" s="133"/>
      <c r="VPI155" s="133"/>
      <c r="VPJ155" s="133"/>
      <c r="VPK155" s="133"/>
      <c r="VPL155" s="133"/>
      <c r="VPM155" s="133"/>
      <c r="VPN155" s="133"/>
      <c r="VPO155" s="133"/>
      <c r="VPP155" s="133"/>
      <c r="VPQ155" s="133"/>
      <c r="VPR155" s="133"/>
      <c r="VPS155" s="133"/>
      <c r="VPT155" s="133"/>
      <c r="VPU155" s="133"/>
      <c r="VPV155" s="133"/>
      <c r="VPW155" s="133"/>
      <c r="VPX155" s="133"/>
      <c r="VPY155" s="133"/>
      <c r="VPZ155" s="133"/>
      <c r="VQA155" s="133"/>
      <c r="VQB155" s="133"/>
      <c r="VQC155" s="133"/>
      <c r="VQD155" s="133"/>
      <c r="VQE155" s="133"/>
      <c r="VQF155" s="133"/>
      <c r="VQG155" s="133"/>
      <c r="VQH155" s="133"/>
      <c r="VQI155" s="133"/>
      <c r="VQJ155" s="133"/>
      <c r="VQK155" s="133"/>
      <c r="VQL155" s="133"/>
      <c r="VQM155" s="133"/>
      <c r="VQN155" s="133"/>
      <c r="VQO155" s="133"/>
      <c r="VQP155" s="133"/>
      <c r="VQQ155" s="133"/>
      <c r="VQR155" s="133"/>
      <c r="VQS155" s="133"/>
      <c r="VQT155" s="133"/>
      <c r="VQU155" s="133"/>
      <c r="VQV155" s="133"/>
      <c r="VQW155" s="133"/>
      <c r="VQX155" s="133"/>
      <c r="VQY155" s="133"/>
      <c r="VQZ155" s="133"/>
      <c r="VRA155" s="133"/>
      <c r="VRB155" s="133"/>
      <c r="VRC155" s="133"/>
      <c r="VRD155" s="133"/>
      <c r="VRE155" s="133"/>
      <c r="VRF155" s="133"/>
      <c r="VRG155" s="133"/>
      <c r="VRH155" s="133"/>
      <c r="VRI155" s="133"/>
      <c r="VRJ155" s="133"/>
      <c r="VRK155" s="133"/>
      <c r="VRL155" s="133"/>
      <c r="VRM155" s="133"/>
      <c r="VRN155" s="133"/>
      <c r="VRO155" s="133"/>
      <c r="VRP155" s="133"/>
      <c r="VRQ155" s="133"/>
      <c r="VRR155" s="133"/>
      <c r="VRS155" s="133"/>
      <c r="VRT155" s="133"/>
      <c r="VRU155" s="133"/>
      <c r="VRV155" s="133"/>
      <c r="VRW155" s="133"/>
      <c r="VRX155" s="133"/>
      <c r="VRY155" s="133"/>
      <c r="VRZ155" s="133"/>
      <c r="VSA155" s="133"/>
      <c r="VSB155" s="133"/>
      <c r="VSC155" s="133"/>
      <c r="VSD155" s="133"/>
      <c r="VSE155" s="133"/>
      <c r="VSF155" s="133"/>
      <c r="VSG155" s="133"/>
      <c r="VSH155" s="133"/>
      <c r="VSI155" s="133"/>
      <c r="VSJ155" s="133"/>
      <c r="VSK155" s="133"/>
      <c r="VSL155" s="133"/>
      <c r="VSM155" s="133"/>
      <c r="VSN155" s="133"/>
      <c r="VSO155" s="133"/>
      <c r="VSP155" s="133"/>
      <c r="VSQ155" s="133"/>
      <c r="VSR155" s="133"/>
      <c r="VSS155" s="133"/>
      <c r="VST155" s="133"/>
      <c r="VSU155" s="133"/>
      <c r="VSV155" s="133"/>
      <c r="VSW155" s="133"/>
      <c r="VSX155" s="133"/>
      <c r="VSY155" s="133"/>
      <c r="VSZ155" s="133"/>
      <c r="VTA155" s="133"/>
      <c r="VTB155" s="133"/>
      <c r="VTC155" s="133"/>
      <c r="VTD155" s="133"/>
      <c r="VTE155" s="133"/>
      <c r="VTF155" s="133"/>
      <c r="VTG155" s="133"/>
      <c r="VTH155" s="133"/>
      <c r="VTI155" s="133"/>
      <c r="VTJ155" s="133"/>
      <c r="VTK155" s="133"/>
      <c r="VTL155" s="133"/>
      <c r="VTM155" s="133"/>
      <c r="VTN155" s="133"/>
      <c r="VTO155" s="133"/>
      <c r="VTP155" s="133"/>
      <c r="VTQ155" s="133"/>
      <c r="VTR155" s="133"/>
      <c r="VTS155" s="133"/>
      <c r="VTT155" s="133"/>
      <c r="VTU155" s="133"/>
      <c r="VTV155" s="133"/>
      <c r="VTW155" s="133"/>
      <c r="VTX155" s="133"/>
      <c r="VTY155" s="133"/>
      <c r="VTZ155" s="133"/>
      <c r="VUA155" s="133"/>
      <c r="VUB155" s="133"/>
      <c r="VUC155" s="133"/>
      <c r="VUD155" s="133"/>
      <c r="VUE155" s="133"/>
      <c r="VUF155" s="133"/>
      <c r="VUG155" s="133"/>
      <c r="VUH155" s="133"/>
      <c r="VUI155" s="133"/>
      <c r="VUJ155" s="133"/>
      <c r="VUK155" s="133"/>
      <c r="VUL155" s="133"/>
      <c r="VUM155" s="133"/>
      <c r="VUN155" s="133"/>
      <c r="VUO155" s="133"/>
      <c r="VUP155" s="133"/>
      <c r="VUQ155" s="133"/>
      <c r="VUR155" s="133"/>
      <c r="VUS155" s="133"/>
      <c r="VUT155" s="133"/>
      <c r="VUU155" s="133"/>
      <c r="VUV155" s="133"/>
      <c r="VUW155" s="133"/>
      <c r="VUX155" s="133"/>
      <c r="VUY155" s="133"/>
      <c r="VUZ155" s="133"/>
      <c r="VVA155" s="133"/>
      <c r="VVB155" s="133"/>
      <c r="VVC155" s="133"/>
      <c r="VVD155" s="133"/>
      <c r="VVE155" s="133"/>
      <c r="VVF155" s="133"/>
      <c r="VVG155" s="133"/>
      <c r="VVH155" s="133"/>
      <c r="VVI155" s="133"/>
      <c r="VVJ155" s="133"/>
      <c r="VVK155" s="133"/>
      <c r="VVL155" s="133"/>
      <c r="VVM155" s="133"/>
      <c r="VVN155" s="133"/>
      <c r="VVO155" s="133"/>
      <c r="VVP155" s="133"/>
      <c r="VVQ155" s="133"/>
      <c r="VVR155" s="133"/>
      <c r="VVS155" s="133"/>
      <c r="VVT155" s="133"/>
      <c r="VVU155" s="133"/>
      <c r="VVV155" s="133"/>
      <c r="VVW155" s="133"/>
      <c r="VVX155" s="133"/>
      <c r="VVY155" s="133"/>
      <c r="VVZ155" s="133"/>
      <c r="VWA155" s="133"/>
      <c r="VWB155" s="133"/>
      <c r="VWC155" s="133"/>
      <c r="VWD155" s="133"/>
      <c r="VWE155" s="133"/>
      <c r="VWF155" s="133"/>
      <c r="VWG155" s="133"/>
      <c r="VWH155" s="133"/>
      <c r="VWI155" s="133"/>
      <c r="VWJ155" s="133"/>
      <c r="VWK155" s="133"/>
      <c r="VWL155" s="133"/>
      <c r="VWM155" s="133"/>
      <c r="VWN155" s="133"/>
      <c r="VWO155" s="133"/>
      <c r="VWP155" s="133"/>
      <c r="VWQ155" s="133"/>
      <c r="VWR155" s="133"/>
      <c r="VWS155" s="133"/>
      <c r="VWT155" s="133"/>
      <c r="VWU155" s="133"/>
      <c r="VWV155" s="133"/>
      <c r="VWW155" s="133"/>
      <c r="VWX155" s="133"/>
      <c r="VWY155" s="133"/>
      <c r="VWZ155" s="133"/>
      <c r="VXA155" s="133"/>
      <c r="VXB155" s="133"/>
      <c r="VXC155" s="133"/>
      <c r="VXD155" s="133"/>
      <c r="VXE155" s="133"/>
      <c r="VXF155" s="133"/>
      <c r="VXG155" s="133"/>
      <c r="VXH155" s="133"/>
      <c r="VXI155" s="133"/>
      <c r="VXJ155" s="133"/>
      <c r="VXK155" s="133"/>
      <c r="VXL155" s="133"/>
      <c r="VXM155" s="133"/>
      <c r="VXN155" s="133"/>
      <c r="VXO155" s="133"/>
      <c r="VXP155" s="133"/>
      <c r="VXQ155" s="133"/>
      <c r="VXR155" s="133"/>
      <c r="VXS155" s="133"/>
      <c r="VXT155" s="133"/>
      <c r="VXU155" s="133"/>
      <c r="VXV155" s="133"/>
      <c r="VXW155" s="133"/>
      <c r="VXX155" s="133"/>
      <c r="VXY155" s="133"/>
      <c r="VXZ155" s="133"/>
      <c r="VYA155" s="133"/>
      <c r="VYB155" s="133"/>
      <c r="VYC155" s="133"/>
      <c r="VYD155" s="133"/>
      <c r="VYE155" s="133"/>
      <c r="VYF155" s="133"/>
      <c r="VYG155" s="133"/>
      <c r="VYH155" s="133"/>
      <c r="VYI155" s="133"/>
      <c r="VYJ155" s="133"/>
      <c r="VYK155" s="133"/>
      <c r="VYL155" s="133"/>
      <c r="VYM155" s="133"/>
      <c r="VYN155" s="133"/>
      <c r="VYO155" s="133"/>
      <c r="VYP155" s="133"/>
      <c r="VYQ155" s="133"/>
      <c r="VYR155" s="133"/>
      <c r="VYS155" s="133"/>
      <c r="VYT155" s="133"/>
      <c r="VYU155" s="133"/>
      <c r="VYV155" s="133"/>
      <c r="VYW155" s="133"/>
      <c r="VYX155" s="133"/>
      <c r="VYY155" s="133"/>
      <c r="VYZ155" s="133"/>
      <c r="VZA155" s="133"/>
      <c r="VZB155" s="133"/>
      <c r="VZC155" s="133"/>
      <c r="VZD155" s="133"/>
      <c r="VZE155" s="133"/>
      <c r="VZF155" s="133"/>
      <c r="VZG155" s="133"/>
      <c r="VZH155" s="133"/>
      <c r="VZI155" s="133"/>
      <c r="VZJ155" s="133"/>
      <c r="VZK155" s="133"/>
      <c r="VZL155" s="133"/>
      <c r="VZM155" s="133"/>
      <c r="VZN155" s="133"/>
      <c r="VZO155" s="133"/>
      <c r="VZP155" s="133"/>
      <c r="VZQ155" s="133"/>
      <c r="VZR155" s="133"/>
      <c r="VZS155" s="133"/>
      <c r="VZT155" s="133"/>
      <c r="VZU155" s="133"/>
      <c r="VZV155" s="133"/>
      <c r="VZW155" s="133"/>
      <c r="VZX155" s="133"/>
      <c r="VZY155" s="133"/>
      <c r="VZZ155" s="133"/>
      <c r="WAA155" s="133"/>
      <c r="WAB155" s="133"/>
      <c r="WAC155" s="133"/>
      <c r="WAD155" s="133"/>
      <c r="WAE155" s="133"/>
      <c r="WAF155" s="133"/>
      <c r="WAG155" s="133"/>
      <c r="WAH155" s="133"/>
      <c r="WAI155" s="133"/>
      <c r="WAJ155" s="133"/>
      <c r="WAK155" s="133"/>
      <c r="WAL155" s="133"/>
      <c r="WAM155" s="133"/>
      <c r="WAN155" s="133"/>
      <c r="WAO155" s="133"/>
      <c r="WAP155" s="133"/>
      <c r="WAQ155" s="133"/>
      <c r="WAR155" s="133"/>
      <c r="WAS155" s="133"/>
      <c r="WAT155" s="133"/>
      <c r="WAU155" s="133"/>
      <c r="WAV155" s="133"/>
      <c r="WAW155" s="133"/>
      <c r="WAX155" s="133"/>
      <c r="WAY155" s="133"/>
      <c r="WAZ155" s="133"/>
      <c r="WBA155" s="133"/>
      <c r="WBB155" s="133"/>
      <c r="WBC155" s="133"/>
      <c r="WBD155" s="133"/>
      <c r="WBE155" s="133"/>
      <c r="WBF155" s="133"/>
      <c r="WBG155" s="133"/>
      <c r="WBH155" s="133"/>
      <c r="WBI155" s="133"/>
      <c r="WBJ155" s="133"/>
      <c r="WBK155" s="133"/>
      <c r="WBL155" s="133"/>
      <c r="WBM155" s="133"/>
      <c r="WBN155" s="133"/>
      <c r="WBO155" s="133"/>
      <c r="WBP155" s="133"/>
      <c r="WBQ155" s="133"/>
      <c r="WBR155" s="133"/>
      <c r="WBS155" s="133"/>
      <c r="WBT155" s="133"/>
      <c r="WBU155" s="133"/>
      <c r="WBV155" s="133"/>
      <c r="WBW155" s="133"/>
      <c r="WBX155" s="133"/>
      <c r="WBY155" s="133"/>
      <c r="WBZ155" s="133"/>
      <c r="WCA155" s="133"/>
      <c r="WCB155" s="133"/>
      <c r="WCC155" s="133"/>
      <c r="WCD155" s="133"/>
      <c r="WCE155" s="133"/>
      <c r="WCF155" s="133"/>
      <c r="WCG155" s="133"/>
      <c r="WCH155" s="133"/>
      <c r="WCI155" s="133"/>
      <c r="WCJ155" s="133"/>
      <c r="WCK155" s="133"/>
      <c r="WCL155" s="133"/>
      <c r="WCM155" s="133"/>
      <c r="WCN155" s="133"/>
      <c r="WCO155" s="133"/>
      <c r="WCP155" s="133"/>
      <c r="WCQ155" s="133"/>
      <c r="WCR155" s="133"/>
      <c r="WCS155" s="133"/>
      <c r="WCT155" s="133"/>
      <c r="WCU155" s="133"/>
      <c r="WCV155" s="133"/>
      <c r="WCW155" s="133"/>
      <c r="WCX155" s="133"/>
      <c r="WCY155" s="133"/>
      <c r="WCZ155" s="133"/>
      <c r="WDA155" s="133"/>
      <c r="WDB155" s="133"/>
      <c r="WDC155" s="133"/>
      <c r="WDD155" s="133"/>
      <c r="WDE155" s="133"/>
      <c r="WDF155" s="133"/>
      <c r="WDG155" s="133"/>
      <c r="WDH155" s="133"/>
      <c r="WDI155" s="133"/>
      <c r="WDJ155" s="133"/>
      <c r="WDK155" s="133"/>
      <c r="WDL155" s="133"/>
      <c r="WDM155" s="133"/>
      <c r="WDN155" s="133"/>
      <c r="WDO155" s="133"/>
      <c r="WDP155" s="133"/>
      <c r="WDQ155" s="133"/>
      <c r="WDR155" s="133"/>
      <c r="WDS155" s="133"/>
      <c r="WDT155" s="133"/>
      <c r="WDU155" s="133"/>
      <c r="WDV155" s="133"/>
      <c r="WDW155" s="133"/>
      <c r="WDX155" s="133"/>
      <c r="WDY155" s="133"/>
      <c r="WDZ155" s="133"/>
      <c r="WEA155" s="133"/>
      <c r="WEB155" s="133"/>
      <c r="WEC155" s="133"/>
      <c r="WED155" s="133"/>
      <c r="WEE155" s="133"/>
      <c r="WEF155" s="133"/>
      <c r="WEG155" s="133"/>
      <c r="WEH155" s="133"/>
      <c r="WEI155" s="133"/>
      <c r="WEJ155" s="133"/>
      <c r="WEK155" s="133"/>
      <c r="WEL155" s="133"/>
      <c r="WEM155" s="133"/>
      <c r="WEN155" s="133"/>
      <c r="WEO155" s="133"/>
      <c r="WEP155" s="133"/>
      <c r="WEQ155" s="133"/>
      <c r="WER155" s="133"/>
      <c r="WES155" s="133"/>
      <c r="WET155" s="133"/>
      <c r="WEU155" s="133"/>
      <c r="WEV155" s="133"/>
      <c r="WEW155" s="133"/>
      <c r="WEX155" s="133"/>
      <c r="WEY155" s="133"/>
      <c r="WEZ155" s="133"/>
      <c r="WFA155" s="133"/>
      <c r="WFB155" s="133"/>
      <c r="WFC155" s="133"/>
      <c r="WFD155" s="133"/>
      <c r="WFE155" s="133"/>
      <c r="WFF155" s="133"/>
      <c r="WFG155" s="133"/>
      <c r="WFH155" s="133"/>
      <c r="WFI155" s="133"/>
      <c r="WFJ155" s="133"/>
      <c r="WFK155" s="133"/>
      <c r="WFL155" s="133"/>
      <c r="WFM155" s="133"/>
      <c r="WFN155" s="133"/>
      <c r="WFO155" s="133"/>
      <c r="WFP155" s="133"/>
      <c r="WFQ155" s="133"/>
      <c r="WFR155" s="133"/>
      <c r="WFS155" s="133"/>
      <c r="WFT155" s="133"/>
      <c r="WFU155" s="133"/>
      <c r="WFV155" s="133"/>
      <c r="WFW155" s="133"/>
      <c r="WFX155" s="133"/>
      <c r="WFY155" s="133"/>
      <c r="WFZ155" s="133"/>
      <c r="WGA155" s="133"/>
      <c r="WGB155" s="133"/>
      <c r="WGC155" s="133"/>
      <c r="WGD155" s="133"/>
      <c r="WGE155" s="133"/>
      <c r="WGF155" s="133"/>
      <c r="WGG155" s="133"/>
      <c r="WGH155" s="133"/>
      <c r="WGI155" s="133"/>
      <c r="WGJ155" s="133"/>
      <c r="WGK155" s="133"/>
      <c r="WGL155" s="133"/>
      <c r="WGM155" s="133"/>
      <c r="WGN155" s="133"/>
      <c r="WGO155" s="133"/>
      <c r="WGP155" s="133"/>
      <c r="WGQ155" s="133"/>
      <c r="WGR155" s="133"/>
      <c r="WGS155" s="133"/>
      <c r="WGT155" s="133"/>
      <c r="WGU155" s="133"/>
      <c r="WGV155" s="133"/>
      <c r="WGW155" s="133"/>
      <c r="WGX155" s="133"/>
      <c r="WGY155" s="133"/>
      <c r="WGZ155" s="133"/>
      <c r="WHA155" s="133"/>
      <c r="WHB155" s="133"/>
      <c r="WHC155" s="133"/>
      <c r="WHD155" s="133"/>
      <c r="WHE155" s="133"/>
      <c r="WHF155" s="133"/>
      <c r="WHG155" s="133"/>
      <c r="WHH155" s="133"/>
      <c r="WHI155" s="133"/>
      <c r="WHJ155" s="133"/>
      <c r="WHK155" s="133"/>
      <c r="WHL155" s="133"/>
      <c r="WHM155" s="133"/>
      <c r="WHN155" s="133"/>
      <c r="WHO155" s="133"/>
      <c r="WHP155" s="133"/>
      <c r="WHQ155" s="133"/>
      <c r="WHR155" s="133"/>
      <c r="WHS155" s="133"/>
      <c r="WHT155" s="133"/>
      <c r="WHU155" s="133"/>
      <c r="WHV155" s="133"/>
      <c r="WHW155" s="133"/>
      <c r="WHX155" s="133"/>
      <c r="WHY155" s="133"/>
      <c r="WHZ155" s="133"/>
      <c r="WIA155" s="133"/>
      <c r="WIB155" s="133"/>
      <c r="WIC155" s="133"/>
      <c r="WID155" s="133"/>
      <c r="WIE155" s="133"/>
      <c r="WIF155" s="133"/>
      <c r="WIG155" s="133"/>
      <c r="WIH155" s="133"/>
      <c r="WII155" s="133"/>
      <c r="WIJ155" s="133"/>
      <c r="WIK155" s="133"/>
      <c r="WIL155" s="133"/>
      <c r="WIM155" s="133"/>
      <c r="WIN155" s="133"/>
      <c r="WIO155" s="133"/>
      <c r="WIP155" s="133"/>
      <c r="WIQ155" s="133"/>
      <c r="WIR155" s="133"/>
      <c r="WIS155" s="133"/>
      <c r="WIT155" s="133"/>
      <c r="WIU155" s="133"/>
      <c r="WIV155" s="133"/>
      <c r="WIW155" s="133"/>
      <c r="WIX155" s="133"/>
      <c r="WIY155" s="133"/>
      <c r="WIZ155" s="133"/>
      <c r="WJA155" s="133"/>
      <c r="WJB155" s="133"/>
      <c r="WJC155" s="133"/>
      <c r="WJD155" s="133"/>
      <c r="WJE155" s="133"/>
      <c r="WJF155" s="133"/>
      <c r="WJG155" s="133"/>
      <c r="WJH155" s="133"/>
      <c r="WJI155" s="133"/>
      <c r="WJJ155" s="133"/>
      <c r="WJK155" s="133"/>
      <c r="WJL155" s="133"/>
      <c r="WJM155" s="133"/>
      <c r="WJN155" s="133"/>
      <c r="WJO155" s="133"/>
      <c r="WJP155" s="133"/>
      <c r="WJQ155" s="133"/>
      <c r="WJR155" s="133"/>
      <c r="WJS155" s="133"/>
      <c r="WJT155" s="133"/>
      <c r="WJU155" s="133"/>
      <c r="WJV155" s="133"/>
      <c r="WJW155" s="133"/>
      <c r="WJX155" s="133"/>
      <c r="WJY155" s="133"/>
      <c r="WJZ155" s="133"/>
      <c r="WKA155" s="133"/>
      <c r="WKB155" s="133"/>
      <c r="WKC155" s="133"/>
      <c r="WKD155" s="133"/>
      <c r="WKE155" s="133"/>
      <c r="WKF155" s="133"/>
      <c r="WKG155" s="133"/>
      <c r="WKH155" s="133"/>
      <c r="WKI155" s="133"/>
      <c r="WKJ155" s="133"/>
      <c r="WKK155" s="133"/>
      <c r="WKL155" s="133"/>
      <c r="WKM155" s="133"/>
      <c r="WKN155" s="133"/>
      <c r="WKO155" s="133"/>
      <c r="WKP155" s="133"/>
      <c r="WKQ155" s="133"/>
      <c r="WKR155" s="133"/>
      <c r="WKS155" s="133"/>
      <c r="WKT155" s="133"/>
      <c r="WKU155" s="133"/>
      <c r="WKV155" s="133"/>
      <c r="WKW155" s="133"/>
      <c r="WKX155" s="133"/>
      <c r="WKY155" s="133"/>
      <c r="WKZ155" s="133"/>
      <c r="WLA155" s="133"/>
      <c r="WLB155" s="133"/>
      <c r="WLC155" s="133"/>
      <c r="WLD155" s="133"/>
      <c r="WLE155" s="133"/>
      <c r="WLF155" s="133"/>
      <c r="WLG155" s="133"/>
      <c r="WLH155" s="133"/>
      <c r="WLI155" s="133"/>
      <c r="WLJ155" s="133"/>
      <c r="WLK155" s="133"/>
      <c r="WLL155" s="133"/>
      <c r="WLM155" s="133"/>
      <c r="WLN155" s="133"/>
      <c r="WLO155" s="133"/>
      <c r="WLP155" s="133"/>
      <c r="WLQ155" s="133"/>
      <c r="WLR155" s="133"/>
      <c r="WLS155" s="133"/>
      <c r="WLT155" s="133"/>
      <c r="WLU155" s="133"/>
      <c r="WLV155" s="133"/>
      <c r="WLW155" s="133"/>
      <c r="WLX155" s="133"/>
      <c r="WLY155" s="133"/>
      <c r="WLZ155" s="133"/>
      <c r="WMA155" s="133"/>
      <c r="WMB155" s="133"/>
      <c r="WMC155" s="133"/>
      <c r="WMD155" s="133"/>
      <c r="WME155" s="133"/>
      <c r="WMF155" s="133"/>
      <c r="WMG155" s="133"/>
      <c r="WMH155" s="133"/>
      <c r="WMI155" s="133"/>
      <c r="WMJ155" s="133"/>
      <c r="WMK155" s="133"/>
      <c r="WML155" s="133"/>
      <c r="WMM155" s="133"/>
      <c r="WMN155" s="133"/>
      <c r="WMO155" s="133"/>
      <c r="WMP155" s="133"/>
      <c r="WMQ155" s="133"/>
      <c r="WMR155" s="133"/>
      <c r="WMS155" s="133"/>
      <c r="WMT155" s="133"/>
      <c r="WMU155" s="133"/>
      <c r="WMV155" s="133"/>
      <c r="WMW155" s="133"/>
      <c r="WMX155" s="133"/>
      <c r="WMY155" s="133"/>
      <c r="WMZ155" s="133"/>
      <c r="WNA155" s="133"/>
      <c r="WNB155" s="133"/>
      <c r="WNC155" s="133"/>
      <c r="WND155" s="133"/>
      <c r="WNE155" s="133"/>
      <c r="WNF155" s="133"/>
      <c r="WNG155" s="133"/>
      <c r="WNH155" s="133"/>
      <c r="WNI155" s="133"/>
      <c r="WNJ155" s="133"/>
      <c r="WNK155" s="133"/>
      <c r="WNL155" s="133"/>
      <c r="WNM155" s="133"/>
      <c r="WNN155" s="133"/>
      <c r="WNO155" s="133"/>
      <c r="WNP155" s="133"/>
      <c r="WNQ155" s="133"/>
      <c r="WNR155" s="133"/>
      <c r="WNS155" s="133"/>
      <c r="WNT155" s="133"/>
      <c r="WNU155" s="133"/>
      <c r="WNV155" s="133"/>
      <c r="WNW155" s="133"/>
      <c r="WNX155" s="133"/>
      <c r="WNY155" s="133"/>
      <c r="WNZ155" s="133"/>
      <c r="WOA155" s="133"/>
      <c r="WOB155" s="133"/>
      <c r="WOC155" s="133"/>
      <c r="WOD155" s="133"/>
      <c r="WOE155" s="133"/>
      <c r="WOF155" s="133"/>
      <c r="WOG155" s="133"/>
      <c r="WOH155" s="133"/>
      <c r="WOI155" s="133"/>
      <c r="WOJ155" s="133"/>
      <c r="WOK155" s="133"/>
      <c r="WOL155" s="133"/>
      <c r="WOM155" s="133"/>
      <c r="WON155" s="133"/>
      <c r="WOO155" s="133"/>
      <c r="WOP155" s="133"/>
      <c r="WOQ155" s="133"/>
      <c r="WOR155" s="133"/>
      <c r="WOS155" s="133"/>
      <c r="WOT155" s="133"/>
      <c r="WOU155" s="133"/>
      <c r="WOV155" s="133"/>
      <c r="WOW155" s="133"/>
      <c r="WOX155" s="133"/>
      <c r="WOY155" s="133"/>
      <c r="WOZ155" s="133"/>
      <c r="WPA155" s="133"/>
      <c r="WPB155" s="133"/>
      <c r="WPC155" s="133"/>
      <c r="WPD155" s="133"/>
      <c r="WPE155" s="133"/>
      <c r="WPF155" s="133"/>
      <c r="WPG155" s="133"/>
      <c r="WPH155" s="133"/>
      <c r="WPI155" s="133"/>
      <c r="WPJ155" s="133"/>
      <c r="WPK155" s="133"/>
      <c r="WPL155" s="133"/>
      <c r="WPM155" s="133"/>
      <c r="WPN155" s="133"/>
      <c r="WPO155" s="133"/>
      <c r="WPP155" s="133"/>
      <c r="WPQ155" s="133"/>
      <c r="WPR155" s="133"/>
      <c r="WPS155" s="133"/>
      <c r="WPT155" s="133"/>
      <c r="WPU155" s="133"/>
      <c r="WPV155" s="133"/>
      <c r="WPW155" s="133"/>
      <c r="WPX155" s="133"/>
      <c r="WPY155" s="133"/>
      <c r="WPZ155" s="133"/>
      <c r="WQA155" s="133"/>
      <c r="WQB155" s="133"/>
      <c r="WQC155" s="133"/>
      <c r="WQD155" s="133"/>
      <c r="WQE155" s="133"/>
      <c r="WQF155" s="133"/>
      <c r="WQG155" s="133"/>
      <c r="WQH155" s="133"/>
      <c r="WQI155" s="133"/>
      <c r="WQJ155" s="133"/>
      <c r="WQK155" s="133"/>
      <c r="WQL155" s="133"/>
      <c r="WQM155" s="133"/>
      <c r="WQN155" s="133"/>
      <c r="WQO155" s="133"/>
      <c r="WQP155" s="133"/>
      <c r="WQQ155" s="133"/>
      <c r="WQR155" s="133"/>
      <c r="WQS155" s="133"/>
      <c r="WQT155" s="133"/>
      <c r="WQU155" s="133"/>
      <c r="WQV155" s="133"/>
      <c r="WQW155" s="133"/>
      <c r="WQX155" s="133"/>
      <c r="WQY155" s="133"/>
      <c r="WQZ155" s="133"/>
      <c r="WRA155" s="133"/>
      <c r="WRB155" s="133"/>
      <c r="WRC155" s="133"/>
      <c r="WRD155" s="133"/>
      <c r="WRE155" s="133"/>
      <c r="WRF155" s="133"/>
      <c r="WRG155" s="133"/>
      <c r="WRH155" s="133"/>
      <c r="WRI155" s="133"/>
      <c r="WRJ155" s="133"/>
      <c r="WRK155" s="133"/>
      <c r="WRL155" s="133"/>
      <c r="WRM155" s="133"/>
      <c r="WRN155" s="133"/>
      <c r="WRO155" s="133"/>
      <c r="WRP155" s="133"/>
      <c r="WRQ155" s="133"/>
      <c r="WRR155" s="133"/>
      <c r="WRS155" s="133"/>
      <c r="WRT155" s="133"/>
      <c r="WRU155" s="133"/>
      <c r="WRV155" s="133"/>
      <c r="WRW155" s="133"/>
      <c r="WRX155" s="133"/>
      <c r="WRY155" s="133"/>
      <c r="WRZ155" s="133"/>
      <c r="WSA155" s="133"/>
      <c r="WSB155" s="133"/>
      <c r="WSC155" s="133"/>
      <c r="WSD155" s="133"/>
      <c r="WSE155" s="133"/>
      <c r="WSF155" s="133"/>
      <c r="WSG155" s="133"/>
      <c r="WSH155" s="133"/>
      <c r="WSI155" s="133"/>
      <c r="WSJ155" s="133"/>
      <c r="WSK155" s="133"/>
      <c r="WSL155" s="133"/>
      <c r="WSM155" s="133"/>
      <c r="WSN155" s="133"/>
      <c r="WSO155" s="133"/>
      <c r="WSP155" s="133"/>
      <c r="WSQ155" s="133"/>
      <c r="WSR155" s="133"/>
      <c r="WSS155" s="133"/>
      <c r="WST155" s="133"/>
      <c r="WSU155" s="133"/>
      <c r="WSV155" s="133"/>
      <c r="WSW155" s="133"/>
      <c r="WSX155" s="133"/>
      <c r="WSY155" s="133"/>
      <c r="WSZ155" s="133"/>
      <c r="WTA155" s="133"/>
      <c r="WTB155" s="133"/>
      <c r="WTC155" s="133"/>
      <c r="WTD155" s="133"/>
      <c r="WTE155" s="133"/>
      <c r="WTF155" s="133"/>
      <c r="WTG155" s="133"/>
      <c r="WTH155" s="133"/>
      <c r="WTI155" s="133"/>
      <c r="WTJ155" s="133"/>
      <c r="WTK155" s="133"/>
      <c r="WTL155" s="133"/>
      <c r="WTM155" s="133"/>
      <c r="WTN155" s="133"/>
      <c r="WTO155" s="133"/>
      <c r="WTP155" s="133"/>
      <c r="WTQ155" s="133"/>
      <c r="WTR155" s="133"/>
      <c r="WTS155" s="133"/>
      <c r="WTT155" s="133"/>
      <c r="WTU155" s="133"/>
      <c r="WTV155" s="133"/>
      <c r="WTW155" s="133"/>
      <c r="WTX155" s="133"/>
      <c r="WTY155" s="133"/>
      <c r="WTZ155" s="133"/>
      <c r="WUA155" s="133"/>
      <c r="WUB155" s="133"/>
      <c r="WUC155" s="133"/>
      <c r="WUD155" s="133"/>
      <c r="WUE155" s="133"/>
      <c r="WUF155" s="133"/>
      <c r="WUG155" s="133"/>
      <c r="WUH155" s="133"/>
      <c r="WUI155" s="133"/>
      <c r="WUJ155" s="133"/>
      <c r="WUK155" s="133"/>
      <c r="WUL155" s="133"/>
      <c r="WUM155" s="133"/>
      <c r="WUN155" s="133"/>
      <c r="WUO155" s="133"/>
      <c r="WUP155" s="133"/>
      <c r="WUQ155" s="133"/>
      <c r="WUR155" s="133"/>
      <c r="WUS155" s="133"/>
      <c r="WUT155" s="133"/>
      <c r="WUU155" s="133"/>
      <c r="WUV155" s="133"/>
      <c r="WUW155" s="133"/>
      <c r="WUX155" s="133"/>
      <c r="WUY155" s="133"/>
      <c r="WUZ155" s="133"/>
      <c r="WVA155" s="133"/>
      <c r="WVB155" s="133"/>
      <c r="WVC155" s="133"/>
      <c r="WVD155" s="133"/>
      <c r="WVE155" s="133"/>
      <c r="WVF155" s="133"/>
      <c r="WVG155" s="133"/>
      <c r="WVH155" s="133"/>
      <c r="WVI155" s="133"/>
      <c r="WVJ155" s="133"/>
      <c r="WVK155" s="133"/>
      <c r="WVL155" s="133"/>
      <c r="WVM155" s="133"/>
      <c r="WVN155" s="133"/>
      <c r="WVO155" s="133"/>
      <c r="WVP155" s="133"/>
      <c r="WVQ155" s="133"/>
      <c r="WVR155" s="133"/>
      <c r="WVS155" s="133"/>
      <c r="WVT155" s="133"/>
      <c r="WVU155" s="133"/>
      <c r="WVV155" s="133"/>
      <c r="WVW155" s="133"/>
      <c r="WVX155" s="133"/>
      <c r="WVY155" s="133"/>
      <c r="WVZ155" s="133"/>
      <c r="WWA155" s="133"/>
      <c r="WWB155" s="133"/>
      <c r="WWC155" s="133"/>
      <c r="WWD155" s="133"/>
      <c r="WWE155" s="133"/>
      <c r="WWF155" s="133"/>
      <c r="WWG155" s="133"/>
      <c r="WWH155" s="133"/>
      <c r="WWI155" s="133"/>
      <c r="WWJ155" s="133"/>
      <c r="WWK155" s="133"/>
      <c r="WWL155" s="133"/>
      <c r="WWM155" s="133"/>
      <c r="WWN155" s="133"/>
      <c r="WWO155" s="133"/>
      <c r="WWP155" s="133"/>
      <c r="WWQ155" s="133"/>
      <c r="WWR155" s="133"/>
      <c r="WWS155" s="133"/>
      <c r="WWT155" s="133"/>
      <c r="WWU155" s="133"/>
      <c r="WWV155" s="133"/>
      <c r="WWW155" s="133"/>
      <c r="WWX155" s="133"/>
      <c r="WWY155" s="133"/>
      <c r="WWZ155" s="133"/>
      <c r="WXA155" s="133"/>
      <c r="WXB155" s="133"/>
      <c r="WXC155" s="133"/>
      <c r="WXD155" s="133"/>
      <c r="WXE155" s="133"/>
      <c r="WXF155" s="133"/>
      <c r="WXG155" s="133"/>
      <c r="WXH155" s="133"/>
      <c r="WXI155" s="133"/>
      <c r="WXJ155" s="133"/>
      <c r="WXK155" s="133"/>
      <c r="WXL155" s="133"/>
      <c r="WXM155" s="133"/>
      <c r="WXN155" s="133"/>
      <c r="WXO155" s="133"/>
      <c r="WXP155" s="133"/>
      <c r="WXQ155" s="133"/>
      <c r="WXR155" s="133"/>
      <c r="WXS155" s="133"/>
      <c r="WXT155" s="133"/>
      <c r="WXU155" s="133"/>
      <c r="WXV155" s="133"/>
      <c r="WXW155" s="133"/>
      <c r="WXX155" s="133"/>
      <c r="WXY155" s="133"/>
      <c r="WXZ155" s="133"/>
      <c r="WYA155" s="133"/>
      <c r="WYB155" s="133"/>
      <c r="WYC155" s="133"/>
      <c r="WYD155" s="133"/>
      <c r="WYE155" s="133"/>
      <c r="WYF155" s="133"/>
      <c r="WYG155" s="133"/>
      <c r="WYH155" s="133"/>
      <c r="WYI155" s="133"/>
      <c r="WYJ155" s="133"/>
      <c r="WYK155" s="133"/>
      <c r="WYL155" s="133"/>
      <c r="WYM155" s="133"/>
      <c r="WYN155" s="133"/>
      <c r="WYO155" s="133"/>
      <c r="WYP155" s="133"/>
      <c r="WYQ155" s="133"/>
      <c r="WYR155" s="133"/>
      <c r="WYS155" s="133"/>
      <c r="WYT155" s="133"/>
      <c r="WYU155" s="133"/>
      <c r="WYV155" s="133"/>
      <c r="WYW155" s="133"/>
      <c r="WYX155" s="133"/>
      <c r="WYY155" s="133"/>
      <c r="WYZ155" s="133"/>
      <c r="WZA155" s="133"/>
      <c r="WZB155" s="133"/>
      <c r="WZC155" s="133"/>
      <c r="WZD155" s="133"/>
      <c r="WZE155" s="133"/>
      <c r="WZF155" s="133"/>
      <c r="WZG155" s="133"/>
      <c r="WZH155" s="133"/>
      <c r="WZI155" s="133"/>
      <c r="WZJ155" s="133"/>
      <c r="WZK155" s="133"/>
      <c r="WZL155" s="133"/>
      <c r="WZM155" s="133"/>
      <c r="WZN155" s="133"/>
      <c r="WZO155" s="133"/>
      <c r="WZP155" s="133"/>
      <c r="WZQ155" s="133"/>
      <c r="WZR155" s="133"/>
      <c r="WZS155" s="133"/>
      <c r="WZT155" s="133"/>
      <c r="WZU155" s="133"/>
      <c r="WZV155" s="133"/>
      <c r="WZW155" s="133"/>
      <c r="WZX155" s="133"/>
      <c r="WZY155" s="133"/>
      <c r="WZZ155" s="133"/>
      <c r="XAA155" s="133"/>
      <c r="XAB155" s="133"/>
      <c r="XAC155" s="133"/>
      <c r="XAD155" s="133"/>
      <c r="XAE155" s="133"/>
      <c r="XAF155" s="133"/>
      <c r="XAG155" s="133"/>
      <c r="XAH155" s="133"/>
      <c r="XAI155" s="133"/>
      <c r="XAJ155" s="133"/>
      <c r="XAK155" s="133"/>
      <c r="XAL155" s="133"/>
      <c r="XAM155" s="133"/>
      <c r="XAN155" s="133"/>
      <c r="XAO155" s="133"/>
      <c r="XAP155" s="133"/>
      <c r="XAQ155" s="133"/>
      <c r="XAR155" s="133"/>
      <c r="XAS155" s="133"/>
      <c r="XAT155" s="133"/>
      <c r="XAU155" s="133"/>
      <c r="XAV155" s="133"/>
      <c r="XAW155" s="133"/>
      <c r="XAX155" s="133"/>
      <c r="XAY155" s="133"/>
      <c r="XAZ155" s="133"/>
      <c r="XBA155" s="133"/>
      <c r="XBB155" s="133"/>
      <c r="XBC155" s="133"/>
      <c r="XBD155" s="133"/>
      <c r="XBE155" s="133"/>
      <c r="XBF155" s="133"/>
      <c r="XBG155" s="133"/>
      <c r="XBH155" s="133"/>
      <c r="XBI155" s="133"/>
      <c r="XBJ155" s="133"/>
      <c r="XBK155" s="133"/>
      <c r="XBL155" s="133"/>
      <c r="XBM155" s="133"/>
      <c r="XBN155" s="133"/>
      <c r="XBO155" s="133"/>
      <c r="XBP155" s="133"/>
      <c r="XBQ155" s="133"/>
      <c r="XBR155" s="133"/>
      <c r="XBS155" s="133"/>
      <c r="XBT155" s="133"/>
      <c r="XBU155" s="133"/>
      <c r="XBV155" s="133"/>
      <c r="XBW155" s="133"/>
      <c r="XBX155" s="133"/>
      <c r="XBY155" s="133"/>
      <c r="XBZ155" s="133"/>
      <c r="XCA155" s="133"/>
      <c r="XCB155" s="133"/>
      <c r="XCC155" s="133"/>
      <c r="XCD155" s="133"/>
      <c r="XCE155" s="133"/>
      <c r="XCF155" s="133"/>
      <c r="XCG155" s="133"/>
      <c r="XCH155" s="133"/>
      <c r="XCI155" s="133"/>
      <c r="XCJ155" s="133"/>
      <c r="XCK155" s="133"/>
      <c r="XCL155" s="133"/>
      <c r="XCM155" s="133"/>
      <c r="XCN155" s="133"/>
      <c r="XCO155" s="133"/>
      <c r="XCP155" s="133"/>
      <c r="XCQ155" s="133"/>
      <c r="XCR155" s="133"/>
      <c r="XCS155" s="133"/>
      <c r="XCT155" s="133"/>
      <c r="XCU155" s="133"/>
      <c r="XCV155" s="133"/>
      <c r="XCW155" s="133"/>
      <c r="XCX155" s="133"/>
      <c r="XCY155" s="133"/>
      <c r="XCZ155" s="133"/>
      <c r="XDA155" s="133"/>
      <c r="XDB155" s="133"/>
      <c r="XDC155" s="133"/>
      <c r="XDD155" s="133"/>
      <c r="XDE155" s="133"/>
      <c r="XDF155" s="133"/>
      <c r="XDG155" s="133"/>
      <c r="XDH155" s="133"/>
      <c r="XDI155" s="133"/>
      <c r="XDJ155" s="133"/>
      <c r="XDK155" s="133"/>
      <c r="XDL155" s="133"/>
      <c r="XDM155" s="133"/>
      <c r="XDN155" s="133"/>
      <c r="XDO155" s="133"/>
      <c r="XDP155" s="133"/>
      <c r="XDQ155" s="133"/>
      <c r="XDR155" s="133"/>
      <c r="XDS155" s="133"/>
      <c r="XDT155" s="133"/>
      <c r="XDU155" s="133"/>
      <c r="XDV155" s="133"/>
      <c r="XDW155" s="133"/>
      <c r="XDX155" s="133"/>
      <c r="XDY155" s="133"/>
      <c r="XDZ155" s="133"/>
      <c r="XEA155" s="133"/>
      <c r="XEB155" s="133"/>
      <c r="XEC155" s="133"/>
      <c r="XED155" s="133"/>
      <c r="XEE155" s="133"/>
      <c r="XEF155" s="133"/>
      <c r="XEG155" s="133"/>
      <c r="XEH155" s="133"/>
      <c r="XEI155" s="133"/>
      <c r="XEJ155" s="133"/>
      <c r="XEK155" s="133"/>
      <c r="XEL155" s="133"/>
      <c r="XEM155" s="133"/>
      <c r="XEN155" s="133"/>
      <c r="XEO155" s="133"/>
      <c r="XEP155" s="133"/>
      <c r="XEQ155" s="133"/>
      <c r="XER155" s="133"/>
      <c r="XES155" s="133"/>
      <c r="XET155" s="133"/>
      <c r="XEU155" s="133"/>
      <c r="XEV155" s="133"/>
      <c r="XEW155" s="133"/>
      <c r="XEX155" s="133"/>
      <c r="XEY155" s="133"/>
      <c r="XEZ155" s="133"/>
      <c r="XFA155" s="133"/>
      <c r="XFB155" s="133"/>
    </row>
    <row r="156" spans="1:16382" s="133" customFormat="1" x14ac:dyDescent="0.2">
      <c r="A156" s="30" t="s">
        <v>47</v>
      </c>
      <c r="B156" s="30" t="s">
        <v>1317</v>
      </c>
      <c r="C156" s="30"/>
      <c r="D156" s="30" t="s">
        <v>37</v>
      </c>
      <c r="E156" s="30" t="s">
        <v>1280</v>
      </c>
      <c r="F156" s="30"/>
      <c r="G156" s="30"/>
      <c r="H156" s="139"/>
      <c r="I156" s="30" t="s">
        <v>1318</v>
      </c>
      <c r="J156" s="30" t="s">
        <v>1319</v>
      </c>
      <c r="K156" s="30" t="s">
        <v>42</v>
      </c>
      <c r="L156" s="31">
        <v>2023</v>
      </c>
      <c r="M156" s="31"/>
      <c r="N156" s="32"/>
      <c r="O156" s="33"/>
      <c r="P156" s="34"/>
      <c r="Q156" s="35"/>
      <c r="R156" s="35"/>
      <c r="S156" s="36"/>
      <c r="T156" s="31"/>
      <c r="U156" s="31"/>
      <c r="V156" s="31"/>
      <c r="W156" s="31"/>
      <c r="X156" s="31"/>
      <c r="Y156" s="31"/>
      <c r="Z156" s="30"/>
      <c r="AA156" s="30"/>
      <c r="AB156" s="30"/>
      <c r="AC156" s="30"/>
      <c r="AD156" s="30"/>
      <c r="AE156" s="30"/>
      <c r="AF156" s="72" t="s">
        <v>1320</v>
      </c>
      <c r="AG156" s="31"/>
      <c r="AH156" s="31"/>
      <c r="AI156" s="31"/>
      <c r="AJ156" s="31"/>
      <c r="AK156" s="31"/>
      <c r="AL156" s="31"/>
      <c r="AM156" s="31"/>
      <c r="AN156" s="30"/>
      <c r="AO156" s="37"/>
    </row>
    <row r="157" spans="1:16382" hidden="1" x14ac:dyDescent="0.2">
      <c r="A157" s="13" t="s">
        <v>35</v>
      </c>
      <c r="B157" s="13" t="s">
        <v>1025</v>
      </c>
      <c r="C157" s="13"/>
      <c r="D157" s="13" t="s">
        <v>37</v>
      </c>
      <c r="E157" s="13" t="s">
        <v>1024</v>
      </c>
      <c r="F157" s="70"/>
      <c r="G157" s="13"/>
      <c r="H157" s="13"/>
      <c r="I157" s="13" t="s">
        <v>1026</v>
      </c>
      <c r="J157" s="13" t="s">
        <v>1157</v>
      </c>
      <c r="K157" s="13" t="s">
        <v>63</v>
      </c>
      <c r="L157" s="14">
        <v>2022</v>
      </c>
      <c r="M157" s="14"/>
      <c r="N157" s="15"/>
      <c r="O157" s="16"/>
      <c r="P157" s="17">
        <v>30</v>
      </c>
      <c r="Q157" s="18"/>
      <c r="R157" s="18">
        <v>2000</v>
      </c>
      <c r="S157" s="19">
        <v>180</v>
      </c>
      <c r="T157" s="14"/>
      <c r="U157" s="14"/>
      <c r="V157" s="14"/>
      <c r="W157" s="14"/>
      <c r="X157" s="14"/>
      <c r="Y157" s="14"/>
      <c r="Z157" s="13" t="e">
        <f>#REF!</f>
        <v>#REF!</v>
      </c>
      <c r="AA157" s="13" t="e">
        <f>#REF!</f>
        <v>#REF!</v>
      </c>
      <c r="AB157" s="13"/>
      <c r="AC157" s="13"/>
      <c r="AD157" s="13"/>
      <c r="AE157" s="13"/>
      <c r="AF157" s="70"/>
      <c r="AG157" s="14"/>
      <c r="AH157" s="14"/>
      <c r="AI157" s="14"/>
      <c r="AJ157" s="14"/>
      <c r="AK157" s="14"/>
      <c r="AL157" s="14"/>
      <c r="AM157" s="14"/>
      <c r="AN157" s="13"/>
      <c r="AO157" s="13"/>
    </row>
    <row r="158" spans="1:16382" ht="38.25" hidden="1" x14ac:dyDescent="0.2">
      <c r="A158" s="22" t="s">
        <v>86</v>
      </c>
      <c r="B158" s="22" t="s">
        <v>259</v>
      </c>
      <c r="C158" s="22"/>
      <c r="D158" s="22" t="s">
        <v>37</v>
      </c>
      <c r="E158" s="22" t="s">
        <v>748</v>
      </c>
      <c r="F158" s="22"/>
      <c r="G158" s="110" t="s">
        <v>996</v>
      </c>
      <c r="H158" s="22"/>
      <c r="I158" s="22" t="s">
        <v>749</v>
      </c>
      <c r="J158" s="22" t="s">
        <v>750</v>
      </c>
      <c r="K158" s="22" t="s">
        <v>128</v>
      </c>
      <c r="L158" s="24">
        <v>2021</v>
      </c>
      <c r="M158" s="24"/>
      <c r="N158" s="38">
        <v>70000</v>
      </c>
      <c r="O158" s="39"/>
      <c r="P158" s="27">
        <f>N158*O158</f>
        <v>0</v>
      </c>
      <c r="Q158" s="28"/>
      <c r="R158" s="28">
        <f>IF(Q158&lt;4.99,(Q158*12%+4),IF(Q158&lt;10.99,(Q158*12%+8),IF(Q158&lt;14.99,(Q158*12%+12),IF(Q158&lt;879.99,(Q158*12%+16),IF(Q158&lt;2569.99,(Q158*7%+60),240)))))</f>
        <v>4</v>
      </c>
      <c r="S158" s="29">
        <f>R158*P158</f>
        <v>0</v>
      </c>
      <c r="T158" s="24"/>
      <c r="U158" s="24"/>
      <c r="V158" s="24"/>
      <c r="W158" s="24"/>
      <c r="X158" s="24"/>
      <c r="Y158" s="24"/>
      <c r="Z158" s="22"/>
      <c r="AA158" s="22"/>
      <c r="AB158" s="22"/>
      <c r="AC158" s="22" t="s">
        <v>751</v>
      </c>
      <c r="AD158" s="22"/>
      <c r="AE158" s="22"/>
      <c r="AF158" s="71"/>
      <c r="AG158" s="24">
        <v>2</v>
      </c>
      <c r="AH158" s="24">
        <v>3</v>
      </c>
      <c r="AI158" s="24">
        <v>2</v>
      </c>
      <c r="AJ158" s="24">
        <v>2</v>
      </c>
      <c r="AK158" s="24">
        <v>2</v>
      </c>
      <c r="AL158" s="24">
        <v>2</v>
      </c>
      <c r="AM158" s="24">
        <v>96</v>
      </c>
      <c r="AN158" s="22" t="s">
        <v>48</v>
      </c>
      <c r="AO158" s="22"/>
    </row>
    <row r="159" spans="1:16382" ht="38.25" hidden="1" x14ac:dyDescent="0.2">
      <c r="A159" s="22" t="s">
        <v>72</v>
      </c>
      <c r="B159" s="22" t="s">
        <v>773</v>
      </c>
      <c r="C159" s="22"/>
      <c r="D159" s="22" t="s">
        <v>37</v>
      </c>
      <c r="E159" s="22" t="s">
        <v>774</v>
      </c>
      <c r="F159" s="95"/>
      <c r="G159" s="22"/>
      <c r="H159" s="78" t="s">
        <v>998</v>
      </c>
      <c r="I159" s="22" t="s">
        <v>775</v>
      </c>
      <c r="J159" s="22" t="s">
        <v>776</v>
      </c>
      <c r="K159" s="22" t="s">
        <v>63</v>
      </c>
      <c r="L159" s="24">
        <v>2022</v>
      </c>
      <c r="M159" s="24"/>
      <c r="N159" s="38"/>
      <c r="O159" s="39"/>
      <c r="P159" s="27">
        <f>N159*O159</f>
        <v>0</v>
      </c>
      <c r="Q159" s="28"/>
      <c r="R159" s="28">
        <f>IF(Q159&lt;4.99,(Q159*12%+4),IF(Q159&lt;10.99,(Q159*12%+8),IF(Q159&lt;14.99,(Q159*12%+12),IF(Q159&lt;879.99,(Q159*12%+16),IF(Q159&lt;2569.99,(Q159*7%+60),240)))))</f>
        <v>4</v>
      </c>
      <c r="S159" s="29">
        <f>R159*P159</f>
        <v>0</v>
      </c>
      <c r="T159" s="24"/>
      <c r="U159" s="24"/>
      <c r="V159" s="24"/>
      <c r="W159" s="24"/>
      <c r="X159" s="24"/>
      <c r="Y159" s="24"/>
      <c r="Z159" s="22"/>
      <c r="AA159" s="22"/>
      <c r="AB159" s="22"/>
      <c r="AC159" s="22" t="s">
        <v>42</v>
      </c>
      <c r="AD159" s="22"/>
      <c r="AE159" s="22"/>
      <c r="AF159" s="71" t="s">
        <v>1395</v>
      </c>
      <c r="AG159" s="24">
        <v>1</v>
      </c>
      <c r="AH159" s="24">
        <v>2</v>
      </c>
      <c r="AI159" s="24">
        <v>1</v>
      </c>
      <c r="AJ159" s="24">
        <v>2</v>
      </c>
      <c r="AK159" s="24">
        <v>1</v>
      </c>
      <c r="AL159" s="24">
        <v>2</v>
      </c>
      <c r="AM159" s="24">
        <v>8</v>
      </c>
      <c r="AN159" s="22" t="s">
        <v>48</v>
      </c>
      <c r="AO159" s="22"/>
    </row>
    <row r="160" spans="1:16382" ht="38.25" x14ac:dyDescent="0.2">
      <c r="A160" s="22" t="s">
        <v>72</v>
      </c>
      <c r="B160" s="22" t="s">
        <v>1396</v>
      </c>
      <c r="C160" s="22"/>
      <c r="D160" s="22" t="s">
        <v>37</v>
      </c>
      <c r="E160" s="22" t="s">
        <v>774</v>
      </c>
      <c r="F160" s="95"/>
      <c r="G160" s="22"/>
      <c r="H160" s="225" t="s">
        <v>998</v>
      </c>
      <c r="I160" s="22" t="s">
        <v>1397</v>
      </c>
      <c r="J160" s="22"/>
      <c r="K160" s="22" t="s">
        <v>42</v>
      </c>
      <c r="L160" s="24">
        <v>2024</v>
      </c>
      <c r="M160" s="24"/>
      <c r="N160" s="38">
        <v>400</v>
      </c>
      <c r="O160" s="39">
        <v>0.4</v>
      </c>
      <c r="P160" s="27">
        <v>40</v>
      </c>
      <c r="Q160" s="28"/>
      <c r="R160" s="28"/>
      <c r="S160" s="29"/>
      <c r="T160" s="24"/>
      <c r="U160" s="24"/>
      <c r="V160" s="24"/>
      <c r="W160" s="24"/>
      <c r="X160" s="24"/>
      <c r="Y160" s="24"/>
      <c r="Z160" s="22"/>
      <c r="AA160" s="22"/>
      <c r="AB160" s="22"/>
      <c r="AC160" s="22"/>
      <c r="AD160" s="22"/>
      <c r="AE160" s="22"/>
      <c r="AF160" s="71" t="s">
        <v>1398</v>
      </c>
      <c r="AG160" s="24">
        <v>1</v>
      </c>
      <c r="AH160" s="24">
        <v>2</v>
      </c>
      <c r="AI160" s="24">
        <v>2</v>
      </c>
      <c r="AJ160" s="24">
        <v>3</v>
      </c>
      <c r="AK160" s="24">
        <v>1</v>
      </c>
      <c r="AL160" s="24">
        <v>2</v>
      </c>
      <c r="AM160" s="24">
        <f>AL160*AK160*AJ160*AI160*AH160*AG160</f>
        <v>24</v>
      </c>
      <c r="AN160" s="22"/>
      <c r="AO160" s="40">
        <v>45170</v>
      </c>
    </row>
    <row r="161" spans="1:41" ht="51" hidden="1" x14ac:dyDescent="0.2">
      <c r="A161" s="22" t="s">
        <v>35</v>
      </c>
      <c r="B161" s="22" t="s">
        <v>1002</v>
      </c>
      <c r="C161" s="22"/>
      <c r="D161" s="22" t="s">
        <v>37</v>
      </c>
      <c r="E161" s="22" t="s">
        <v>52</v>
      </c>
      <c r="F161" s="67" t="s">
        <v>908</v>
      </c>
      <c r="G161" s="22"/>
      <c r="H161" s="78"/>
      <c r="I161" s="22" t="s">
        <v>1003</v>
      </c>
      <c r="J161" s="22" t="s">
        <v>1128</v>
      </c>
      <c r="K161" s="22" t="s">
        <v>42</v>
      </c>
      <c r="L161" s="24">
        <v>2022</v>
      </c>
      <c r="M161" s="24"/>
      <c r="N161" s="38">
        <v>160</v>
      </c>
      <c r="O161" s="39"/>
      <c r="P161" s="27">
        <v>40</v>
      </c>
      <c r="Q161" s="28">
        <v>4500</v>
      </c>
      <c r="R161" s="28">
        <v>240</v>
      </c>
      <c r="S161" s="29"/>
      <c r="T161" s="24" t="s">
        <v>1004</v>
      </c>
      <c r="U161" s="24" t="s">
        <v>45</v>
      </c>
      <c r="V161" s="24" t="s">
        <v>48</v>
      </c>
      <c r="W161" s="24" t="s">
        <v>45</v>
      </c>
      <c r="X161" s="24" t="s">
        <v>45</v>
      </c>
      <c r="Y161" s="24"/>
      <c r="Z161" s="22" t="e">
        <f>#REF!*2</f>
        <v>#REF!</v>
      </c>
      <c r="AA161" s="22">
        <v>0</v>
      </c>
      <c r="AB161" s="22"/>
      <c r="AC161" s="22" t="s">
        <v>42</v>
      </c>
      <c r="AD161" s="22"/>
      <c r="AE161" s="22"/>
      <c r="AF161" s="71"/>
      <c r="AG161" s="24"/>
      <c r="AH161" s="24"/>
      <c r="AI161" s="24"/>
      <c r="AJ161" s="24"/>
      <c r="AK161" s="24"/>
      <c r="AL161" s="24"/>
      <c r="AM161" s="24"/>
      <c r="AN161" s="22"/>
      <c r="AO161" s="22"/>
    </row>
    <row r="162" spans="1:41" hidden="1" x14ac:dyDescent="0.2">
      <c r="A162" s="22" t="s">
        <v>35</v>
      </c>
      <c r="B162" s="22" t="s">
        <v>268</v>
      </c>
      <c r="C162" s="22"/>
      <c r="D162" s="22" t="s">
        <v>37</v>
      </c>
      <c r="E162" s="22" t="s">
        <v>52</v>
      </c>
      <c r="F162" s="67"/>
      <c r="G162" s="22"/>
      <c r="H162" s="78"/>
      <c r="I162" s="22" t="s">
        <v>1020</v>
      </c>
      <c r="J162" s="22" t="s">
        <v>1021</v>
      </c>
      <c r="K162" s="22" t="s">
        <v>1017</v>
      </c>
      <c r="L162" s="24">
        <v>2021</v>
      </c>
      <c r="M162" s="24"/>
      <c r="N162" s="38"/>
      <c r="O162" s="39"/>
      <c r="P162" s="27">
        <v>30</v>
      </c>
      <c r="Q162" s="28">
        <v>9300</v>
      </c>
      <c r="R162" s="28">
        <v>240</v>
      </c>
      <c r="S162" s="29">
        <f>Q162*40</f>
        <v>372000</v>
      </c>
      <c r="T162" s="24"/>
      <c r="U162" s="24"/>
      <c r="V162" s="24"/>
      <c r="W162" s="24"/>
      <c r="X162" s="24"/>
      <c r="Y162" s="24"/>
      <c r="Z162" s="22" t="e">
        <f>#REF!*1.2</f>
        <v>#REF!</v>
      </c>
      <c r="AA162" s="22"/>
      <c r="AB162" s="22"/>
      <c r="AC162" s="22"/>
      <c r="AD162" s="22"/>
      <c r="AE162" s="22"/>
      <c r="AF162" s="71"/>
      <c r="AG162" s="24"/>
      <c r="AH162" s="24"/>
      <c r="AI162" s="24"/>
      <c r="AJ162" s="24"/>
      <c r="AK162" s="24"/>
      <c r="AL162" s="24"/>
      <c r="AM162" s="24"/>
      <c r="AN162" s="22"/>
      <c r="AO162" s="22"/>
    </row>
    <row r="163" spans="1:41" ht="51" hidden="1" x14ac:dyDescent="0.2">
      <c r="A163" s="13" t="s">
        <v>58</v>
      </c>
      <c r="B163" s="13" t="s">
        <v>59</v>
      </c>
      <c r="C163" s="13"/>
      <c r="D163" s="13" t="s">
        <v>60</v>
      </c>
      <c r="E163" s="13" t="s">
        <v>52</v>
      </c>
      <c r="F163" s="101" t="s">
        <v>908</v>
      </c>
      <c r="G163" s="13"/>
      <c r="H163" s="13"/>
      <c r="I163" s="13" t="s">
        <v>61</v>
      </c>
      <c r="J163" s="13" t="s">
        <v>62</v>
      </c>
      <c r="K163" s="13" t="s">
        <v>63</v>
      </c>
      <c r="L163" s="14">
        <v>2020</v>
      </c>
      <c r="M163" s="14"/>
      <c r="N163" s="15">
        <v>220</v>
      </c>
      <c r="O163" s="16"/>
      <c r="P163" s="17">
        <f t="shared" ref="P163:P166" si="20">N163*O163</f>
        <v>0</v>
      </c>
      <c r="Q163" s="18"/>
      <c r="R163" s="18">
        <f t="shared" ref="R163:R166" si="21">IF(Q163&lt;4.99,(Q163*12%+4),IF(Q163&lt;10.99,(Q163*12%+8),IF(Q163&lt;14.99,(Q163*12%+12),IF(Q163&lt;879.99,(Q163*12%+16),IF(Q163&lt;2569.99,(Q163*7%+60),240)))))</f>
        <v>4</v>
      </c>
      <c r="S163" s="19">
        <f t="shared" ref="S163:S166" si="22">R163*P163</f>
        <v>0</v>
      </c>
      <c r="T163" s="14"/>
      <c r="U163" s="14"/>
      <c r="V163" s="14"/>
      <c r="W163" s="14"/>
      <c r="X163" s="14"/>
      <c r="Y163" s="14"/>
      <c r="Z163" s="13"/>
      <c r="AA163" s="13"/>
      <c r="AB163" s="13"/>
      <c r="AC163" s="13" t="s">
        <v>64</v>
      </c>
      <c r="AD163" s="13"/>
      <c r="AE163" s="13"/>
      <c r="AF163" s="70"/>
      <c r="AG163" s="14">
        <v>3</v>
      </c>
      <c r="AH163" s="14">
        <v>2</v>
      </c>
      <c r="AI163" s="14">
        <v>3</v>
      </c>
      <c r="AJ163" s="14">
        <v>3</v>
      </c>
      <c r="AK163" s="14">
        <v>1</v>
      </c>
      <c r="AL163" s="14">
        <v>2</v>
      </c>
      <c r="AM163" s="14">
        <v>108</v>
      </c>
      <c r="AN163" s="13" t="s">
        <v>48</v>
      </c>
      <c r="AO163" s="13"/>
    </row>
    <row r="164" spans="1:41" ht="51" hidden="1" x14ac:dyDescent="0.2">
      <c r="A164" s="22" t="s">
        <v>86</v>
      </c>
      <c r="B164" s="23" t="s">
        <v>509</v>
      </c>
      <c r="C164" s="22"/>
      <c r="D164" s="22" t="s">
        <v>98</v>
      </c>
      <c r="E164" s="22" t="s">
        <v>52</v>
      </c>
      <c r="F164" s="67" t="s">
        <v>908</v>
      </c>
      <c r="G164" s="22"/>
      <c r="H164" s="22"/>
      <c r="I164" s="22" t="s">
        <v>510</v>
      </c>
      <c r="J164" s="22"/>
      <c r="K164" s="22" t="s">
        <v>42</v>
      </c>
      <c r="L164" s="24">
        <v>2021</v>
      </c>
      <c r="M164" s="24"/>
      <c r="N164" s="38">
        <f>0.0075*8500000</f>
        <v>63750</v>
      </c>
      <c r="O164" s="39"/>
      <c r="P164" s="27">
        <f t="shared" si="20"/>
        <v>0</v>
      </c>
      <c r="Q164" s="28"/>
      <c r="R164" s="28">
        <f t="shared" si="21"/>
        <v>4</v>
      </c>
      <c r="S164" s="29">
        <f t="shared" si="22"/>
        <v>0</v>
      </c>
      <c r="T164" s="24"/>
      <c r="U164" s="24"/>
      <c r="V164" s="24"/>
      <c r="W164" s="24"/>
      <c r="X164" s="24"/>
      <c r="Y164" s="24"/>
      <c r="Z164" s="22"/>
      <c r="AA164" s="22"/>
      <c r="AB164" s="22"/>
      <c r="AC164" s="22" t="s">
        <v>42</v>
      </c>
      <c r="AD164" s="22"/>
      <c r="AE164" s="22"/>
      <c r="AF164" s="71" t="s">
        <v>511</v>
      </c>
      <c r="AG164" s="24">
        <v>3</v>
      </c>
      <c r="AH164" s="24">
        <v>1</v>
      </c>
      <c r="AI164" s="24">
        <v>2</v>
      </c>
      <c r="AJ164" s="24">
        <v>2</v>
      </c>
      <c r="AK164" s="24">
        <v>2</v>
      </c>
      <c r="AL164" s="24">
        <v>2</v>
      </c>
      <c r="AM164" s="24">
        <v>48</v>
      </c>
      <c r="AN164" s="22" t="s">
        <v>45</v>
      </c>
      <c r="AO164" s="22"/>
    </row>
    <row r="165" spans="1:41" x14ac:dyDescent="0.2">
      <c r="A165" s="22" t="s">
        <v>35</v>
      </c>
      <c r="B165" s="23" t="s">
        <v>268</v>
      </c>
      <c r="C165" s="22"/>
      <c r="D165" s="22" t="s">
        <v>60</v>
      </c>
      <c r="E165" s="22" t="s">
        <v>52</v>
      </c>
      <c r="F165" s="67"/>
      <c r="G165" s="22"/>
      <c r="H165" s="22"/>
      <c r="I165" s="22" t="s">
        <v>1245</v>
      </c>
      <c r="J165" s="22"/>
      <c r="K165" s="22" t="s">
        <v>42</v>
      </c>
      <c r="L165" s="24">
        <v>2023</v>
      </c>
      <c r="M165" s="24"/>
      <c r="N165" s="38">
        <v>4400</v>
      </c>
      <c r="O165" s="39"/>
      <c r="P165" s="27">
        <v>10</v>
      </c>
      <c r="Q165" s="28">
        <v>2700</v>
      </c>
      <c r="R165" s="28">
        <v>240</v>
      </c>
      <c r="S165" s="29"/>
      <c r="T165" s="24"/>
      <c r="U165" s="24"/>
      <c r="V165" s="24"/>
      <c r="W165" s="24"/>
      <c r="X165" s="24"/>
      <c r="Y165" s="24"/>
      <c r="Z165" s="113">
        <f>Q165*P165*12*0.3</f>
        <v>97200</v>
      </c>
      <c r="AA165" s="22"/>
      <c r="AB165" s="22"/>
      <c r="AC165" s="22"/>
      <c r="AD165" s="22"/>
      <c r="AE165" s="22"/>
      <c r="AF165" s="71" t="s">
        <v>1246</v>
      </c>
      <c r="AG165" s="24"/>
      <c r="AH165" s="24"/>
      <c r="AI165" s="24"/>
      <c r="AJ165" s="24"/>
      <c r="AK165" s="24"/>
      <c r="AL165" s="24"/>
      <c r="AM165" s="24"/>
      <c r="AN165" s="22"/>
      <c r="AO165" s="40">
        <v>44805</v>
      </c>
    </row>
    <row r="166" spans="1:41" ht="51" hidden="1" x14ac:dyDescent="0.2">
      <c r="A166" s="22" t="s">
        <v>35</v>
      </c>
      <c r="B166" s="22" t="s">
        <v>558</v>
      </c>
      <c r="C166" s="22"/>
      <c r="D166" s="22" t="s">
        <v>37</v>
      </c>
      <c r="E166" s="22" t="s">
        <v>52</v>
      </c>
      <c r="F166" s="67" t="s">
        <v>908</v>
      </c>
      <c r="G166" s="22"/>
      <c r="H166" s="22"/>
      <c r="I166" s="22" t="s">
        <v>126</v>
      </c>
      <c r="J166" s="22" t="s">
        <v>127</v>
      </c>
      <c r="K166" s="22" t="s">
        <v>42</v>
      </c>
      <c r="L166" s="24">
        <v>2020</v>
      </c>
      <c r="M166" s="24"/>
      <c r="N166" s="51">
        <v>1600</v>
      </c>
      <c r="O166" s="39"/>
      <c r="P166" s="27">
        <f t="shared" si="20"/>
        <v>0</v>
      </c>
      <c r="Q166" s="28"/>
      <c r="R166" s="28">
        <f t="shared" si="21"/>
        <v>4</v>
      </c>
      <c r="S166" s="29">
        <f t="shared" si="22"/>
        <v>0</v>
      </c>
      <c r="T166" s="24"/>
      <c r="U166" s="24"/>
      <c r="V166" s="24"/>
      <c r="W166" s="24"/>
      <c r="X166" s="24"/>
      <c r="Y166" s="24"/>
      <c r="Z166" s="22"/>
      <c r="AA166" s="22"/>
      <c r="AB166" s="22"/>
      <c r="AC166" s="22" t="s">
        <v>42</v>
      </c>
      <c r="AD166" s="22" t="s">
        <v>182</v>
      </c>
      <c r="AE166" s="41" t="s">
        <v>213</v>
      </c>
      <c r="AF166" s="71" t="s">
        <v>559</v>
      </c>
      <c r="AG166" s="24">
        <v>3</v>
      </c>
      <c r="AH166" s="24">
        <v>2</v>
      </c>
      <c r="AI166" s="24">
        <v>3</v>
      </c>
      <c r="AJ166" s="24">
        <v>3</v>
      </c>
      <c r="AK166" s="24">
        <v>1</v>
      </c>
      <c r="AL166" s="24">
        <v>1</v>
      </c>
      <c r="AM166" s="24">
        <v>54</v>
      </c>
      <c r="AN166" s="22" t="s">
        <v>45</v>
      </c>
      <c r="AO166" s="22"/>
    </row>
    <row r="167" spans="1:41" s="133" customFormat="1" ht="25.5" x14ac:dyDescent="0.2">
      <c r="A167" s="30" t="s">
        <v>58</v>
      </c>
      <c r="B167" s="30" t="s">
        <v>1260</v>
      </c>
      <c r="C167" s="30"/>
      <c r="D167" s="30" t="s">
        <v>37</v>
      </c>
      <c r="E167" s="30" t="s">
        <v>52</v>
      </c>
      <c r="F167" s="141"/>
      <c r="G167" s="30"/>
      <c r="H167" s="30"/>
      <c r="I167" s="30" t="s">
        <v>1261</v>
      </c>
      <c r="J167" s="30"/>
      <c r="K167" s="30" t="s">
        <v>42</v>
      </c>
      <c r="L167" s="31">
        <v>2024</v>
      </c>
      <c r="M167" s="31"/>
      <c r="N167" s="32">
        <v>128</v>
      </c>
      <c r="O167" s="33"/>
      <c r="P167" s="34">
        <v>5</v>
      </c>
      <c r="Q167" s="35">
        <v>15000</v>
      </c>
      <c r="R167" s="35"/>
      <c r="S167" s="36"/>
      <c r="T167" s="31"/>
      <c r="U167" s="31"/>
      <c r="V167" s="31"/>
      <c r="W167" s="31"/>
      <c r="X167" s="31"/>
      <c r="Y167" s="31"/>
      <c r="Z167" s="30"/>
      <c r="AA167" s="30"/>
      <c r="AB167" s="30"/>
      <c r="AC167" s="30" t="s">
        <v>42</v>
      </c>
      <c r="AD167" s="30"/>
      <c r="AE167" s="50"/>
      <c r="AF167" s="72" t="s">
        <v>1327</v>
      </c>
      <c r="AG167" s="31">
        <v>3</v>
      </c>
      <c r="AH167" s="31">
        <v>2</v>
      </c>
      <c r="AI167" s="31">
        <v>2</v>
      </c>
      <c r="AJ167" s="31">
        <v>3</v>
      </c>
      <c r="AK167" s="31">
        <v>1</v>
      </c>
      <c r="AL167" s="31">
        <v>2</v>
      </c>
      <c r="AM167" s="31">
        <f>AL167*AK167*AJ167*AI167*AH167*AG167</f>
        <v>72</v>
      </c>
      <c r="AN167" s="30" t="s">
        <v>45</v>
      </c>
      <c r="AO167" s="37">
        <v>44896</v>
      </c>
    </row>
    <row r="168" spans="1:41" s="129" customFormat="1" ht="38.25" x14ac:dyDescent="0.2">
      <c r="A168" s="13" t="s">
        <v>58</v>
      </c>
      <c r="B168" s="13" t="s">
        <v>849</v>
      </c>
      <c r="C168" s="13"/>
      <c r="D168" s="136" t="s">
        <v>98</v>
      </c>
      <c r="E168" s="136" t="s">
        <v>297</v>
      </c>
      <c r="F168" s="136" t="s">
        <v>907</v>
      </c>
      <c r="G168" s="136"/>
      <c r="H168" s="136"/>
      <c r="I168" s="136" t="s">
        <v>1365</v>
      </c>
      <c r="J168" s="13"/>
      <c r="K168" s="13" t="s">
        <v>42</v>
      </c>
      <c r="L168" s="14">
        <v>2023</v>
      </c>
      <c r="M168" s="14"/>
      <c r="N168" s="15"/>
      <c r="O168" s="16"/>
      <c r="P168" s="17"/>
      <c r="Q168" s="18"/>
      <c r="R168" s="18"/>
      <c r="S168" s="19"/>
      <c r="T168" s="14"/>
      <c r="U168" s="14"/>
      <c r="V168" s="14"/>
      <c r="W168" s="14"/>
      <c r="X168" s="14"/>
      <c r="Y168" s="14"/>
      <c r="Z168" s="13"/>
      <c r="AA168" s="13"/>
      <c r="AB168" s="13"/>
      <c r="AC168" s="13" t="s">
        <v>42</v>
      </c>
      <c r="AD168" s="22"/>
      <c r="AE168" s="41"/>
      <c r="AF168" s="137"/>
      <c r="AG168" s="14"/>
      <c r="AH168" s="14"/>
      <c r="AI168" s="14"/>
      <c r="AJ168" s="14"/>
      <c r="AK168" s="14"/>
      <c r="AL168" s="14"/>
      <c r="AM168" s="14">
        <v>0</v>
      </c>
      <c r="AN168" s="13"/>
      <c r="AO168" s="138"/>
    </row>
    <row r="169" spans="1:41" ht="38.25" hidden="1" x14ac:dyDescent="0.2">
      <c r="A169" s="30" t="s">
        <v>58</v>
      </c>
      <c r="B169" s="30" t="s">
        <v>296</v>
      </c>
      <c r="C169" s="30"/>
      <c r="D169" s="30" t="s">
        <v>60</v>
      </c>
      <c r="E169" s="30" t="s">
        <v>297</v>
      </c>
      <c r="F169" s="72" t="s">
        <v>907</v>
      </c>
      <c r="G169" s="30"/>
      <c r="H169" s="30"/>
      <c r="I169" s="30" t="s">
        <v>298</v>
      </c>
      <c r="J169" s="30" t="s">
        <v>299</v>
      </c>
      <c r="K169" s="30" t="s">
        <v>201</v>
      </c>
      <c r="L169" s="31">
        <v>2018</v>
      </c>
      <c r="M169" s="31"/>
      <c r="N169" s="32">
        <f>750/6*5</f>
        <v>625</v>
      </c>
      <c r="O169" s="33"/>
      <c r="P169" s="34">
        <f>N169*O169</f>
        <v>0</v>
      </c>
      <c r="Q169" s="35"/>
      <c r="R169" s="35">
        <f>IF(Q169&lt;4.99,(Q169*12%+4),IF(Q169&lt;10.99,(Q169*12%+8),IF(Q169&lt;14.99,(Q169*12%+12),IF(Q169&lt;879.99,(Q169*12%+16),IF(Q169&lt;2569.99,(Q169*7%+60),240)))))</f>
        <v>4</v>
      </c>
      <c r="S169" s="36">
        <f>R169*P169</f>
        <v>0</v>
      </c>
      <c r="T169" s="31"/>
      <c r="U169" s="31"/>
      <c r="V169" s="31"/>
      <c r="W169" s="31"/>
      <c r="X169" s="31"/>
      <c r="Y169" s="31"/>
      <c r="Z169" s="30"/>
      <c r="AA169" s="30"/>
      <c r="AB169" s="30"/>
      <c r="AC169" s="30"/>
      <c r="AD169" s="30"/>
      <c r="AE169" s="30"/>
      <c r="AF169" s="72"/>
      <c r="AG169" s="31"/>
      <c r="AH169" s="31"/>
      <c r="AI169" s="31"/>
      <c r="AJ169" s="31"/>
      <c r="AK169" s="31"/>
      <c r="AL169" s="31"/>
      <c r="AM169" s="31"/>
      <c r="AN169" s="30"/>
      <c r="AO169" s="30"/>
    </row>
    <row r="170" spans="1:41" ht="38.25" hidden="1" x14ac:dyDescent="0.2">
      <c r="A170" s="22" t="s">
        <v>58</v>
      </c>
      <c r="B170" s="22" t="s">
        <v>59</v>
      </c>
      <c r="C170" s="22"/>
      <c r="D170" s="22" t="s">
        <v>37</v>
      </c>
      <c r="E170" s="22" t="s">
        <v>297</v>
      </c>
      <c r="F170" s="71" t="s">
        <v>907</v>
      </c>
      <c r="G170" s="22"/>
      <c r="H170" s="22"/>
      <c r="I170" s="22" t="s">
        <v>397</v>
      </c>
      <c r="J170" s="22"/>
      <c r="K170" s="23" t="s">
        <v>42</v>
      </c>
      <c r="L170" s="24">
        <v>2022</v>
      </c>
      <c r="M170" s="24"/>
      <c r="N170" s="52">
        <v>220</v>
      </c>
      <c r="O170" s="39"/>
      <c r="P170" s="27">
        <f>N170*O170</f>
        <v>0</v>
      </c>
      <c r="Q170" s="28"/>
      <c r="R170" s="28">
        <f>IF(Q170&lt;4.99,(Q170*12%+4),IF(Q170&lt;10.99,(Q170*12%+8),IF(Q170&lt;14.99,(Q170*12%+12),IF(Q170&lt;879.99,(Q170*12%+16),IF(Q170&lt;2569.99,(Q170*7%+60),240)))))</f>
        <v>4</v>
      </c>
      <c r="S170" s="29">
        <f>R170*P170</f>
        <v>0</v>
      </c>
      <c r="T170" s="24"/>
      <c r="U170" s="24"/>
      <c r="V170" s="24"/>
      <c r="W170" s="24"/>
      <c r="X170" s="24"/>
      <c r="Y170" s="24"/>
      <c r="Z170" s="22"/>
      <c r="AA170" s="22"/>
      <c r="AB170" s="22"/>
      <c r="AC170" s="22" t="s">
        <v>42</v>
      </c>
      <c r="AD170" s="22"/>
      <c r="AE170" s="22"/>
      <c r="AF170" s="71" t="s">
        <v>398</v>
      </c>
      <c r="AG170" s="24">
        <v>1</v>
      </c>
      <c r="AH170" s="24">
        <v>2</v>
      </c>
      <c r="AI170" s="24">
        <v>2</v>
      </c>
      <c r="AJ170" s="24">
        <v>3</v>
      </c>
      <c r="AK170" s="24">
        <v>1</v>
      </c>
      <c r="AL170" s="24">
        <v>2</v>
      </c>
      <c r="AM170" s="24">
        <v>24</v>
      </c>
      <c r="AN170" s="22" t="s">
        <v>48</v>
      </c>
      <c r="AO170" s="22"/>
    </row>
    <row r="171" spans="1:41" ht="38.25" x14ac:dyDescent="0.2">
      <c r="A171" s="22" t="s">
        <v>35</v>
      </c>
      <c r="B171" s="22" t="s">
        <v>851</v>
      </c>
      <c r="C171" s="22"/>
      <c r="D171" s="65" t="s">
        <v>37</v>
      </c>
      <c r="E171" s="88" t="s">
        <v>852</v>
      </c>
      <c r="F171" s="88"/>
      <c r="G171" s="78" t="s">
        <v>906</v>
      </c>
      <c r="H171" s="88"/>
      <c r="I171" s="65" t="s">
        <v>853</v>
      </c>
      <c r="J171" s="22"/>
      <c r="K171" s="22" t="s">
        <v>42</v>
      </c>
      <c r="L171" s="24">
        <v>2023</v>
      </c>
      <c r="M171" s="24"/>
      <c r="N171" s="38"/>
      <c r="O171" s="39"/>
      <c r="P171" s="27"/>
      <c r="Q171" s="28"/>
      <c r="R171" s="28"/>
      <c r="S171" s="29"/>
      <c r="T171" s="24"/>
      <c r="U171" s="24"/>
      <c r="V171" s="24"/>
      <c r="W171" s="24"/>
      <c r="X171" s="24"/>
      <c r="Y171" s="24"/>
      <c r="Z171" s="22"/>
      <c r="AA171" s="22"/>
      <c r="AB171" s="22"/>
      <c r="AC171" s="22" t="s">
        <v>42</v>
      </c>
      <c r="AD171" s="22"/>
      <c r="AE171" s="41"/>
      <c r="AF171" s="67"/>
      <c r="AG171" s="24">
        <v>1</v>
      </c>
      <c r="AH171" s="24">
        <v>2</v>
      </c>
      <c r="AI171" s="24">
        <v>2</v>
      </c>
      <c r="AJ171" s="24">
        <v>3</v>
      </c>
      <c r="AK171" s="24">
        <v>1</v>
      </c>
      <c r="AL171" s="24">
        <v>1</v>
      </c>
      <c r="AM171" s="24">
        <v>12</v>
      </c>
      <c r="AN171" s="22" t="s">
        <v>45</v>
      </c>
      <c r="AO171" s="69"/>
    </row>
    <row r="172" spans="1:41" ht="51" hidden="1" x14ac:dyDescent="0.2">
      <c r="A172" s="22" t="s">
        <v>35</v>
      </c>
      <c r="B172" s="23" t="s">
        <v>637</v>
      </c>
      <c r="C172" s="22"/>
      <c r="D172" s="22" t="s">
        <v>60</v>
      </c>
      <c r="E172" s="22" t="s">
        <v>638</v>
      </c>
      <c r="F172" s="22"/>
      <c r="G172" s="22"/>
      <c r="H172" s="110" t="s">
        <v>982</v>
      </c>
      <c r="I172" s="22" t="s">
        <v>639</v>
      </c>
      <c r="J172" s="22" t="s">
        <v>640</v>
      </c>
      <c r="K172" s="22" t="s">
        <v>42</v>
      </c>
      <c r="L172" s="24">
        <v>2020</v>
      </c>
      <c r="M172" s="24"/>
      <c r="N172" s="38">
        <f>550000/7750000000*8500000*2</f>
        <v>1206.4516129032259</v>
      </c>
      <c r="O172" s="39"/>
      <c r="P172" s="27">
        <f>N172*O172</f>
        <v>0</v>
      </c>
      <c r="Q172" s="28"/>
      <c r="R172" s="28">
        <f>IF(Q172&lt;4.99,(Q172*12%+4),IF(Q172&lt;10.99,(Q172*12%+8),IF(Q172&lt;14.99,(Q172*12%+12),IF(Q172&lt;879.99,(Q172*12%+16),IF(Q172&lt;2569.99,(Q172*7%+60),240)))))</f>
        <v>4</v>
      </c>
      <c r="S172" s="29">
        <f>R172*P172</f>
        <v>0</v>
      </c>
      <c r="T172" s="24"/>
      <c r="U172" s="24"/>
      <c r="V172" s="24"/>
      <c r="W172" s="24"/>
      <c r="X172" s="24"/>
      <c r="Y172" s="24"/>
      <c r="Z172" s="22"/>
      <c r="AA172" s="22"/>
      <c r="AB172" s="22"/>
      <c r="AC172" s="22" t="s">
        <v>42</v>
      </c>
      <c r="AD172" s="22"/>
      <c r="AE172" s="22"/>
      <c r="AF172" s="71" t="s">
        <v>641</v>
      </c>
      <c r="AG172" s="24">
        <v>1</v>
      </c>
      <c r="AH172" s="24">
        <v>1</v>
      </c>
      <c r="AI172" s="24">
        <v>1</v>
      </c>
      <c r="AJ172" s="24">
        <v>3</v>
      </c>
      <c r="AK172" s="24">
        <v>1</v>
      </c>
      <c r="AL172" s="24">
        <v>1</v>
      </c>
      <c r="AM172" s="24">
        <v>3</v>
      </c>
      <c r="AN172" s="22" t="s">
        <v>48</v>
      </c>
      <c r="AO172" s="22"/>
    </row>
    <row r="173" spans="1:41" ht="38.25" hidden="1" x14ac:dyDescent="0.2">
      <c r="A173" s="22" t="s">
        <v>35</v>
      </c>
      <c r="B173" s="22" t="s">
        <v>642</v>
      </c>
      <c r="C173" s="22"/>
      <c r="D173" s="22" t="s">
        <v>37</v>
      </c>
      <c r="E173" s="22" t="s">
        <v>643</v>
      </c>
      <c r="F173" s="22"/>
      <c r="G173" s="22"/>
      <c r="H173" s="65" t="s">
        <v>983</v>
      </c>
      <c r="I173" s="22" t="s">
        <v>644</v>
      </c>
      <c r="J173" s="22"/>
      <c r="K173" s="22" t="s">
        <v>645</v>
      </c>
      <c r="L173" s="24">
        <v>2021</v>
      </c>
      <c r="M173" s="24"/>
      <c r="N173" s="52">
        <v>1680</v>
      </c>
      <c r="O173" s="39"/>
      <c r="P173" s="27">
        <f>N173*O173</f>
        <v>0</v>
      </c>
      <c r="Q173" s="28"/>
      <c r="R173" s="28">
        <f>IF(Q173&lt;4.99,(Q173*12%+4),IF(Q173&lt;10.99,(Q173*12%+8),IF(Q173&lt;14.99,(Q173*12%+12),IF(Q173&lt;879.99,(Q173*12%+16),IF(Q173&lt;2569.99,(Q173*7%+60),240)))))</f>
        <v>4</v>
      </c>
      <c r="S173" s="29">
        <f>R173*P173</f>
        <v>0</v>
      </c>
      <c r="T173" s="24"/>
      <c r="U173" s="24"/>
      <c r="V173" s="24"/>
      <c r="W173" s="24"/>
      <c r="X173" s="24"/>
      <c r="Y173" s="24"/>
      <c r="Z173" s="22"/>
      <c r="AA173" s="22"/>
      <c r="AB173" s="22"/>
      <c r="AC173" s="22" t="s">
        <v>42</v>
      </c>
      <c r="AD173" s="22"/>
      <c r="AE173" s="22"/>
      <c r="AF173" s="71" t="s">
        <v>646</v>
      </c>
      <c r="AG173" s="24">
        <v>2</v>
      </c>
      <c r="AH173" s="24">
        <v>2</v>
      </c>
      <c r="AI173" s="24">
        <v>1</v>
      </c>
      <c r="AJ173" s="24">
        <v>3</v>
      </c>
      <c r="AK173" s="24">
        <v>1</v>
      </c>
      <c r="AL173" s="24">
        <v>1</v>
      </c>
      <c r="AM173" s="24">
        <v>12</v>
      </c>
      <c r="AN173" s="22" t="s">
        <v>48</v>
      </c>
      <c r="AO173" s="22"/>
    </row>
    <row r="174" spans="1:41" s="133" customFormat="1" ht="25.5" x14ac:dyDescent="0.2">
      <c r="A174" s="30" t="s">
        <v>35</v>
      </c>
      <c r="B174" s="30" t="s">
        <v>526</v>
      </c>
      <c r="C174" s="30"/>
      <c r="D174" s="30" t="s">
        <v>37</v>
      </c>
      <c r="E174" s="30" t="s">
        <v>1144</v>
      </c>
      <c r="F174" s="30"/>
      <c r="G174" s="30"/>
      <c r="H174" s="139"/>
      <c r="I174" s="30" t="s">
        <v>1145</v>
      </c>
      <c r="J174" s="30" t="s">
        <v>1219</v>
      </c>
      <c r="K174" s="30" t="s">
        <v>315</v>
      </c>
      <c r="L174" s="31">
        <v>2023</v>
      </c>
      <c r="M174" s="31"/>
      <c r="N174" s="32"/>
      <c r="O174" s="33"/>
      <c r="P174" s="34">
        <v>10</v>
      </c>
      <c r="Q174" s="35">
        <v>5000</v>
      </c>
      <c r="R174" s="35">
        <v>240</v>
      </c>
      <c r="S174" s="36"/>
      <c r="T174" s="31"/>
      <c r="U174" s="31"/>
      <c r="V174" s="31"/>
      <c r="W174" s="31"/>
      <c r="X174" s="31"/>
      <c r="Y174" s="31"/>
      <c r="Z174" s="132">
        <f>Q174*P174*0.3*12</f>
        <v>180000</v>
      </c>
      <c r="AA174" s="30"/>
      <c r="AB174" s="30"/>
      <c r="AC174" s="30" t="s">
        <v>42</v>
      </c>
      <c r="AD174" s="30"/>
      <c r="AE174" s="30"/>
      <c r="AF174" s="72" t="s">
        <v>1257</v>
      </c>
      <c r="AG174" s="31">
        <v>1</v>
      </c>
      <c r="AH174" s="31">
        <v>2</v>
      </c>
      <c r="AI174" s="31">
        <v>1</v>
      </c>
      <c r="AJ174" s="31">
        <v>3</v>
      </c>
      <c r="AK174" s="31">
        <v>2</v>
      </c>
      <c r="AL174" s="31">
        <v>2</v>
      </c>
      <c r="AM174" s="31">
        <f>AL174*AK174*AJ174*AI174*AH174*AG174</f>
        <v>24</v>
      </c>
      <c r="AN174" s="30"/>
      <c r="AO174" s="37">
        <v>44621</v>
      </c>
    </row>
    <row r="175" spans="1:41" ht="38.25" hidden="1" x14ac:dyDescent="0.2">
      <c r="A175" s="22" t="s">
        <v>58</v>
      </c>
      <c r="B175" s="22" t="s">
        <v>660</v>
      </c>
      <c r="C175" s="22"/>
      <c r="D175" s="65" t="s">
        <v>98</v>
      </c>
      <c r="E175" s="88" t="s">
        <v>854</v>
      </c>
      <c r="F175" s="81" t="s">
        <v>905</v>
      </c>
      <c r="G175" s="88"/>
      <c r="H175" s="88"/>
      <c r="I175" s="65" t="s">
        <v>662</v>
      </c>
      <c r="J175" s="22" t="s">
        <v>663</v>
      </c>
      <c r="K175" s="22" t="s">
        <v>834</v>
      </c>
      <c r="L175" s="24">
        <v>2020</v>
      </c>
      <c r="M175" s="24"/>
      <c r="N175" s="38"/>
      <c r="O175" s="39"/>
      <c r="P175" s="27"/>
      <c r="Q175" s="28"/>
      <c r="R175" s="28"/>
      <c r="S175" s="29"/>
      <c r="T175" s="24"/>
      <c r="U175" s="24"/>
      <c r="V175" s="24"/>
      <c r="W175" s="24"/>
      <c r="X175" s="24"/>
      <c r="Y175" s="24"/>
      <c r="Z175" s="22"/>
      <c r="AA175" s="22"/>
      <c r="AB175" s="22"/>
      <c r="AC175" s="22" t="s">
        <v>855</v>
      </c>
      <c r="AD175" s="22"/>
      <c r="AE175" s="41"/>
      <c r="AF175" s="67" t="s">
        <v>856</v>
      </c>
      <c r="AG175" s="24">
        <v>1</v>
      </c>
      <c r="AH175" s="24">
        <v>2</v>
      </c>
      <c r="AI175" s="24">
        <v>2</v>
      </c>
      <c r="AJ175" s="24">
        <v>3</v>
      </c>
      <c r="AK175" s="24">
        <v>1</v>
      </c>
      <c r="AL175" s="24">
        <v>2</v>
      </c>
      <c r="AM175" s="24">
        <v>24</v>
      </c>
      <c r="AN175" s="22" t="s">
        <v>48</v>
      </c>
      <c r="AO175" s="69"/>
    </row>
    <row r="176" spans="1:41" ht="38.25" hidden="1" x14ac:dyDescent="0.2">
      <c r="A176" s="22" t="s">
        <v>58</v>
      </c>
      <c r="B176" s="22" t="s">
        <v>756</v>
      </c>
      <c r="C176" s="22"/>
      <c r="D176" s="22" t="s">
        <v>37</v>
      </c>
      <c r="E176" s="22" t="s">
        <v>757</v>
      </c>
      <c r="F176" s="95"/>
      <c r="G176" s="97" t="s">
        <v>997</v>
      </c>
      <c r="H176" s="22"/>
      <c r="I176" s="22" t="s">
        <v>758</v>
      </c>
      <c r="J176" s="22" t="s">
        <v>759</v>
      </c>
      <c r="K176" s="22" t="s">
        <v>315</v>
      </c>
      <c r="L176" s="24">
        <v>2020</v>
      </c>
      <c r="M176" s="24"/>
      <c r="N176" s="38"/>
      <c r="O176" s="39"/>
      <c r="P176" s="27">
        <f>N176*O176</f>
        <v>0</v>
      </c>
      <c r="Q176" s="28"/>
      <c r="R176" s="28">
        <f>IF(Q176&lt;4.99,(Q176*12%+4),IF(Q176&lt;10.99,(Q176*12%+8),IF(Q176&lt;14.99,(Q176*12%+12),IF(Q176&lt;879.99,(Q176*12%+16),IF(Q176&lt;2569.99,(Q176*7%+60),240)))))</f>
        <v>4</v>
      </c>
      <c r="S176" s="29">
        <f>R176*P176</f>
        <v>0</v>
      </c>
      <c r="T176" s="24"/>
      <c r="U176" s="24"/>
      <c r="V176" s="24"/>
      <c r="W176" s="24"/>
      <c r="X176" s="24"/>
      <c r="Y176" s="24"/>
      <c r="Z176" s="22"/>
      <c r="AA176" s="22"/>
      <c r="AB176" s="22"/>
      <c r="AC176" s="22" t="s">
        <v>42</v>
      </c>
      <c r="AD176" s="22" t="s">
        <v>132</v>
      </c>
      <c r="AE176" s="22"/>
      <c r="AF176" s="71" t="s">
        <v>760</v>
      </c>
      <c r="AG176" s="24">
        <v>2</v>
      </c>
      <c r="AH176" s="24">
        <v>1</v>
      </c>
      <c r="AI176" s="24">
        <v>1</v>
      </c>
      <c r="AJ176" s="24">
        <v>3</v>
      </c>
      <c r="AK176" s="24">
        <v>1</v>
      </c>
      <c r="AL176" s="24">
        <v>2</v>
      </c>
      <c r="AM176" s="24">
        <v>12</v>
      </c>
      <c r="AN176" s="22" t="s">
        <v>45</v>
      </c>
      <c r="AO176" s="22"/>
    </row>
    <row r="177" spans="1:41" hidden="1" x14ac:dyDescent="0.2">
      <c r="A177" s="22" t="s">
        <v>58</v>
      </c>
      <c r="B177" s="22" t="s">
        <v>1040</v>
      </c>
      <c r="C177" s="22"/>
      <c r="D177" s="22" t="s">
        <v>37</v>
      </c>
      <c r="E177" s="22" t="s">
        <v>1038</v>
      </c>
      <c r="F177" s="22"/>
      <c r="G177" s="97"/>
      <c r="H177" s="22"/>
      <c r="I177" s="22" t="s">
        <v>1039</v>
      </c>
      <c r="J177" s="22"/>
      <c r="K177" s="22" t="s">
        <v>645</v>
      </c>
      <c r="L177" s="24">
        <v>2022</v>
      </c>
      <c r="M177" s="24"/>
      <c r="N177" s="38">
        <v>40</v>
      </c>
      <c r="O177" s="39"/>
      <c r="P177" s="27">
        <v>5</v>
      </c>
      <c r="Q177" s="28">
        <v>5000</v>
      </c>
      <c r="R177" s="28"/>
      <c r="S177" s="29"/>
      <c r="T177" s="24"/>
      <c r="U177" s="24"/>
      <c r="V177" s="24"/>
      <c r="W177" s="24"/>
      <c r="X177" s="24"/>
      <c r="Y177" s="24"/>
      <c r="Z177" s="113" t="e">
        <f>#REF!</f>
        <v>#REF!</v>
      </c>
      <c r="AA177" s="22"/>
      <c r="AB177" s="22"/>
      <c r="AC177" s="22"/>
      <c r="AD177" s="22"/>
      <c r="AE177" s="22"/>
      <c r="AF177" s="71"/>
      <c r="AG177" s="24"/>
      <c r="AH177" s="24"/>
      <c r="AI177" s="24"/>
      <c r="AJ177" s="24"/>
      <c r="AK177" s="24"/>
      <c r="AL177" s="24"/>
      <c r="AM177" s="24"/>
      <c r="AN177" s="22"/>
      <c r="AO177" s="22"/>
    </row>
    <row r="178" spans="1:41" x14ac:dyDescent="0.2">
      <c r="A178" s="22" t="s">
        <v>35</v>
      </c>
      <c r="B178" s="22" t="s">
        <v>219</v>
      </c>
      <c r="C178" s="22"/>
      <c r="D178" s="22" t="s">
        <v>37</v>
      </c>
      <c r="E178" s="22" t="s">
        <v>1347</v>
      </c>
      <c r="F178" s="22"/>
      <c r="G178" s="81"/>
      <c r="H178" s="22"/>
      <c r="I178" s="22" t="s">
        <v>1348</v>
      </c>
      <c r="J178" s="22" t="s">
        <v>1349</v>
      </c>
      <c r="K178" s="22" t="s">
        <v>63</v>
      </c>
      <c r="L178" s="24">
        <v>2023</v>
      </c>
      <c r="M178" s="24"/>
      <c r="N178" s="38">
        <v>350</v>
      </c>
      <c r="O178" s="39"/>
      <c r="P178" s="27">
        <v>50</v>
      </c>
      <c r="Q178" s="28">
        <v>4000</v>
      </c>
      <c r="R178" s="28">
        <v>240</v>
      </c>
      <c r="S178" s="29"/>
      <c r="T178" s="24"/>
      <c r="U178" s="24"/>
      <c r="V178" s="24"/>
      <c r="W178" s="24"/>
      <c r="X178" s="24"/>
      <c r="Y178" s="24"/>
      <c r="Z178" s="113">
        <f>P178*Q178*0.1</f>
        <v>20000</v>
      </c>
      <c r="AA178" s="22"/>
      <c r="AB178" s="22"/>
      <c r="AC178" s="22"/>
      <c r="AD178" s="22"/>
      <c r="AE178" s="22"/>
      <c r="AF178" s="71"/>
      <c r="AG178" s="24">
        <v>1</v>
      </c>
      <c r="AH178" s="24">
        <v>2</v>
      </c>
      <c r="AI178" s="24">
        <v>2</v>
      </c>
      <c r="AJ178" s="24">
        <v>3</v>
      </c>
      <c r="AK178" s="24">
        <v>1</v>
      </c>
      <c r="AL178" s="24">
        <v>2</v>
      </c>
      <c r="AM178" s="24">
        <f>AL178*AK178*AJ178*AI178*AH178*AG178</f>
        <v>24</v>
      </c>
      <c r="AN178" s="22"/>
      <c r="AO178" s="40">
        <v>45078</v>
      </c>
    </row>
    <row r="179" spans="1:41" ht="38.25" hidden="1" x14ac:dyDescent="0.2">
      <c r="A179" s="144" t="s">
        <v>35</v>
      </c>
      <c r="B179" s="144" t="s">
        <v>268</v>
      </c>
      <c r="C179" s="144"/>
      <c r="D179" s="144" t="s">
        <v>37</v>
      </c>
      <c r="E179" s="144" t="s">
        <v>338</v>
      </c>
      <c r="F179" s="155" t="s">
        <v>904</v>
      </c>
      <c r="G179" s="147"/>
      <c r="H179" s="144"/>
      <c r="I179" s="144" t="s">
        <v>339</v>
      </c>
      <c r="J179" s="144" t="s">
        <v>340</v>
      </c>
      <c r="K179" s="144" t="s">
        <v>266</v>
      </c>
      <c r="L179" s="148">
        <v>2020</v>
      </c>
      <c r="M179" s="148"/>
      <c r="N179" s="149">
        <f>0.75*4400</f>
        <v>3300</v>
      </c>
      <c r="O179" s="150"/>
      <c r="P179" s="151">
        <f>N179*O179</f>
        <v>0</v>
      </c>
      <c r="Q179" s="152"/>
      <c r="R179" s="152">
        <f>IF(Q179&lt;4.99,(Q179*12%+4),IF(Q179&lt;10.99,(Q179*12%+8),IF(Q179&lt;14.99,(Q179*12%+12),IF(Q179&lt;879.99,(Q179*12%+16),IF(Q179&lt;2569.99,(Q179*7%+60),240)))))</f>
        <v>4</v>
      </c>
      <c r="S179" s="153">
        <f>R179*P179</f>
        <v>0</v>
      </c>
      <c r="T179" s="148"/>
      <c r="U179" s="148"/>
      <c r="V179" s="148"/>
      <c r="W179" s="148"/>
      <c r="X179" s="148"/>
      <c r="Y179" s="148"/>
      <c r="Z179" s="144"/>
      <c r="AA179" s="144"/>
      <c r="AB179" s="144"/>
      <c r="AC179" s="144" t="s">
        <v>42</v>
      </c>
      <c r="AD179" s="144" t="s">
        <v>43</v>
      </c>
      <c r="AE179" s="144" t="s">
        <v>76</v>
      </c>
      <c r="AF179" s="155" t="s">
        <v>341</v>
      </c>
      <c r="AG179" s="148">
        <v>2</v>
      </c>
      <c r="AH179" s="148">
        <v>2</v>
      </c>
      <c r="AI179" s="148">
        <v>3</v>
      </c>
      <c r="AJ179" s="148">
        <v>3</v>
      </c>
      <c r="AK179" s="148">
        <v>1</v>
      </c>
      <c r="AL179" s="148">
        <v>2</v>
      </c>
      <c r="AM179" s="148">
        <v>72</v>
      </c>
      <c r="AN179" s="144"/>
      <c r="AO179" s="144"/>
    </row>
    <row r="180" spans="1:41" ht="38.25" hidden="1" x14ac:dyDescent="0.2">
      <c r="A180" s="22" t="s">
        <v>58</v>
      </c>
      <c r="B180" s="22" t="s">
        <v>373</v>
      </c>
      <c r="C180" s="22"/>
      <c r="D180" s="22" t="s">
        <v>60</v>
      </c>
      <c r="E180" s="22" t="s">
        <v>338</v>
      </c>
      <c r="F180" s="71" t="s">
        <v>904</v>
      </c>
      <c r="G180" s="22"/>
      <c r="H180" s="22"/>
      <c r="I180" s="22" t="s">
        <v>713</v>
      </c>
      <c r="J180" s="22" t="s">
        <v>714</v>
      </c>
      <c r="K180" s="22" t="s">
        <v>128</v>
      </c>
      <c r="L180" s="24">
        <v>2021</v>
      </c>
      <c r="M180" s="24"/>
      <c r="N180" s="25">
        <f>8500000/57000</f>
        <v>149.12280701754386</v>
      </c>
      <c r="O180" s="26"/>
      <c r="P180" s="27">
        <f>N180*O180</f>
        <v>0</v>
      </c>
      <c r="Q180" s="28"/>
      <c r="R180" s="28">
        <f>IF(Q180&lt;4.99,(Q180*12%+4),IF(Q180&lt;10.99,(Q180*12%+8),IF(Q180&lt;14.99,(Q180*12%+12),IF(Q180&lt;879.99,(Q180*12%+16),IF(Q180&lt;2569.99,(Q180*7%+60),240)))))</f>
        <v>4</v>
      </c>
      <c r="S180" s="29">
        <f>R180*P180</f>
        <v>0</v>
      </c>
      <c r="T180" s="24"/>
      <c r="U180" s="24"/>
      <c r="V180" s="24"/>
      <c r="W180" s="24"/>
      <c r="X180" s="24"/>
      <c r="Y180" s="24"/>
      <c r="Z180" s="22"/>
      <c r="AA180" s="22"/>
      <c r="AB180" s="22"/>
      <c r="AC180" s="22" t="s">
        <v>715</v>
      </c>
      <c r="AD180" s="22"/>
      <c r="AE180" s="22" t="s">
        <v>129</v>
      </c>
      <c r="AF180" s="71" t="s">
        <v>716</v>
      </c>
      <c r="AG180" s="24">
        <v>3</v>
      </c>
      <c r="AH180" s="24">
        <v>1</v>
      </c>
      <c r="AI180" s="24">
        <v>3</v>
      </c>
      <c r="AJ180" s="24">
        <v>3</v>
      </c>
      <c r="AK180" s="24">
        <v>1</v>
      </c>
      <c r="AL180" s="24">
        <v>1</v>
      </c>
      <c r="AM180" s="24">
        <v>27</v>
      </c>
      <c r="AN180" s="22" t="s">
        <v>45</v>
      </c>
      <c r="AO180" s="22"/>
    </row>
    <row r="181" spans="1:41" x14ac:dyDescent="0.2">
      <c r="A181" s="22" t="s">
        <v>72</v>
      </c>
      <c r="B181" s="22" t="s">
        <v>1306</v>
      </c>
      <c r="C181" s="22"/>
      <c r="D181" s="22" t="s">
        <v>1303</v>
      </c>
      <c r="E181" s="22" t="s">
        <v>338</v>
      </c>
      <c r="F181" s="71"/>
      <c r="G181" s="95"/>
      <c r="H181" s="22"/>
      <c r="I181" s="22" t="s">
        <v>1304</v>
      </c>
      <c r="J181" s="22" t="s">
        <v>1305</v>
      </c>
      <c r="K181" s="22" t="s">
        <v>63</v>
      </c>
      <c r="L181" s="24">
        <v>2024</v>
      </c>
      <c r="M181" s="24"/>
      <c r="N181" s="25">
        <v>1000000</v>
      </c>
      <c r="O181" s="26"/>
      <c r="P181" s="27">
        <v>30</v>
      </c>
      <c r="Q181" s="28">
        <v>500</v>
      </c>
      <c r="R181" s="28">
        <v>80</v>
      </c>
      <c r="S181" s="29"/>
      <c r="T181" s="24"/>
      <c r="U181" s="24"/>
      <c r="V181" s="24"/>
      <c r="W181" s="24"/>
      <c r="X181" s="24"/>
      <c r="Y181" s="24"/>
      <c r="Z181" s="22"/>
      <c r="AA181" s="22"/>
      <c r="AB181" s="22"/>
      <c r="AC181" s="22"/>
      <c r="AD181" s="22"/>
      <c r="AE181" s="22"/>
      <c r="AF181" s="71"/>
      <c r="AG181" s="24"/>
      <c r="AH181" s="24"/>
      <c r="AI181" s="24"/>
      <c r="AJ181" s="24"/>
      <c r="AK181" s="24"/>
      <c r="AL181" s="24"/>
      <c r="AM181" s="24"/>
      <c r="AN181" s="22"/>
      <c r="AO181" s="22"/>
    </row>
    <row r="182" spans="1:41" hidden="1" x14ac:dyDescent="0.2">
      <c r="A182" s="22" t="s">
        <v>58</v>
      </c>
      <c r="B182" s="22" t="s">
        <v>1340</v>
      </c>
      <c r="C182" s="22"/>
      <c r="D182" s="22" t="s">
        <v>98</v>
      </c>
      <c r="E182" s="22" t="s">
        <v>338</v>
      </c>
      <c r="F182" s="71"/>
      <c r="G182" s="95"/>
      <c r="H182" s="22"/>
      <c r="I182" s="22" t="s">
        <v>1341</v>
      </c>
      <c r="J182" s="22"/>
      <c r="K182" s="22" t="s">
        <v>42</v>
      </c>
      <c r="L182" s="24">
        <v>2025</v>
      </c>
      <c r="M182" s="24"/>
      <c r="N182" s="25"/>
      <c r="O182" s="26"/>
      <c r="P182" s="27">
        <v>40</v>
      </c>
      <c r="Q182" s="28">
        <v>5000</v>
      </c>
      <c r="R182" s="28">
        <v>40</v>
      </c>
      <c r="S182" s="29"/>
      <c r="T182" s="24"/>
      <c r="U182" s="24"/>
      <c r="V182" s="24"/>
      <c r="W182" s="24"/>
      <c r="X182" s="24"/>
      <c r="Y182" s="24"/>
      <c r="Z182" s="22"/>
      <c r="AA182" s="22"/>
      <c r="AB182" s="22"/>
      <c r="AC182" s="22" t="s">
        <v>42</v>
      </c>
      <c r="AD182" s="22"/>
      <c r="AE182" s="22"/>
      <c r="AF182" s="71"/>
      <c r="AG182" s="24">
        <v>2</v>
      </c>
      <c r="AH182" s="24">
        <v>2</v>
      </c>
      <c r="AI182" s="24">
        <v>3</v>
      </c>
      <c r="AJ182" s="24">
        <v>2</v>
      </c>
      <c r="AK182" s="24">
        <v>3</v>
      </c>
      <c r="AL182" s="24">
        <v>2</v>
      </c>
      <c r="AM182" s="24">
        <f>AL182*AK182*AJ182*AI182*AH182*AG182</f>
        <v>144</v>
      </c>
      <c r="AN182" s="22" t="s">
        <v>45</v>
      </c>
      <c r="AO182" s="40">
        <v>45047</v>
      </c>
    </row>
    <row r="183" spans="1:41" ht="38.25" hidden="1" x14ac:dyDescent="0.2">
      <c r="A183" s="22" t="s">
        <v>86</v>
      </c>
      <c r="B183" s="23" t="s">
        <v>717</v>
      </c>
      <c r="C183" s="22"/>
      <c r="D183" s="22" t="s">
        <v>98</v>
      </c>
      <c r="E183" s="22" t="s">
        <v>338</v>
      </c>
      <c r="F183" s="71" t="s">
        <v>904</v>
      </c>
      <c r="G183" s="95"/>
      <c r="H183" s="22"/>
      <c r="I183" s="22" t="s">
        <v>718</v>
      </c>
      <c r="J183" s="22" t="s">
        <v>1214</v>
      </c>
      <c r="K183" s="22" t="s">
        <v>42</v>
      </c>
      <c r="L183" s="24">
        <v>2022</v>
      </c>
      <c r="M183" s="24"/>
      <c r="N183" s="38">
        <f>800000*0.08</f>
        <v>64000</v>
      </c>
      <c r="O183" s="39"/>
      <c r="P183" s="27">
        <f>N183*O183</f>
        <v>0</v>
      </c>
      <c r="Q183" s="28"/>
      <c r="R183" s="28">
        <f>IF(Q183&lt;4.99,(Q183*12%+4),IF(Q183&lt;10.99,(Q183*12%+8),IF(Q183&lt;14.99,(Q183*12%+12),IF(Q183&lt;879.99,(Q183*12%+16),IF(Q183&lt;2569.99,(Q183*7%+60),240)))))</f>
        <v>4</v>
      </c>
      <c r="S183" s="29">
        <f>R183*P183</f>
        <v>0</v>
      </c>
      <c r="T183" s="24"/>
      <c r="U183" s="24"/>
      <c r="V183" s="24"/>
      <c r="W183" s="24"/>
      <c r="X183" s="24"/>
      <c r="Y183" s="24"/>
      <c r="Z183" s="22">
        <v>10000</v>
      </c>
      <c r="AA183" s="22"/>
      <c r="AB183" s="22"/>
      <c r="AC183" s="22" t="s">
        <v>42</v>
      </c>
      <c r="AD183" s="22"/>
      <c r="AE183" s="22"/>
      <c r="AF183" s="71" t="s">
        <v>1129</v>
      </c>
      <c r="AG183" s="24">
        <v>2</v>
      </c>
      <c r="AH183" s="24">
        <v>3</v>
      </c>
      <c r="AI183" s="24">
        <v>3</v>
      </c>
      <c r="AJ183" s="24">
        <v>1</v>
      </c>
      <c r="AK183" s="24">
        <v>3</v>
      </c>
      <c r="AL183" s="24">
        <v>2</v>
      </c>
      <c r="AM183" s="24">
        <v>108</v>
      </c>
      <c r="AN183" s="22" t="s">
        <v>48</v>
      </c>
      <c r="AO183" s="22"/>
    </row>
    <row r="184" spans="1:41" s="129" customFormat="1" x14ac:dyDescent="0.2">
      <c r="A184" s="13" t="s">
        <v>58</v>
      </c>
      <c r="B184" s="13" t="s">
        <v>1297</v>
      </c>
      <c r="C184" s="13"/>
      <c r="D184" s="13" t="s">
        <v>37</v>
      </c>
      <c r="E184" s="13" t="s">
        <v>1294</v>
      </c>
      <c r="F184" s="70"/>
      <c r="G184" s="108"/>
      <c r="H184" s="13"/>
      <c r="I184" s="13" t="s">
        <v>1295</v>
      </c>
      <c r="J184" s="13" t="s">
        <v>1296</v>
      </c>
      <c r="K184" s="13" t="s">
        <v>42</v>
      </c>
      <c r="L184" s="14">
        <v>2024</v>
      </c>
      <c r="M184" s="14"/>
      <c r="N184" s="15">
        <v>10</v>
      </c>
      <c r="O184" s="16"/>
      <c r="P184" s="17"/>
      <c r="Q184" s="18"/>
      <c r="R184" s="18"/>
      <c r="S184" s="19"/>
      <c r="T184" s="14"/>
      <c r="U184" s="14"/>
      <c r="V184" s="14"/>
      <c r="W184" s="14"/>
      <c r="X184" s="14"/>
      <c r="Y184" s="14"/>
      <c r="Z184" s="13"/>
      <c r="AA184" s="13"/>
      <c r="AB184" s="13"/>
      <c r="AC184" s="13"/>
      <c r="AD184" s="13"/>
      <c r="AE184" s="13"/>
      <c r="AF184" s="70" t="s">
        <v>1298</v>
      </c>
      <c r="AG184" s="14">
        <v>3</v>
      </c>
      <c r="AH184" s="14">
        <v>2</v>
      </c>
      <c r="AI184" s="14">
        <v>1</v>
      </c>
      <c r="AJ184" s="14">
        <v>3</v>
      </c>
      <c r="AK184" s="14">
        <v>3</v>
      </c>
      <c r="AL184" s="14">
        <v>2</v>
      </c>
      <c r="AM184" s="14">
        <f>AL184*AK184*AJ184*AI184*AH184*AG184</f>
        <v>108</v>
      </c>
      <c r="AN184" s="13" t="s">
        <v>45</v>
      </c>
      <c r="AO184" s="20">
        <v>44866</v>
      </c>
    </row>
    <row r="185" spans="1:41" ht="51" hidden="1" x14ac:dyDescent="0.2">
      <c r="A185" s="22" t="s">
        <v>35</v>
      </c>
      <c r="B185" s="22" t="s">
        <v>858</v>
      </c>
      <c r="C185" s="22"/>
      <c r="D185" s="65" t="s">
        <v>37</v>
      </c>
      <c r="E185" s="88" t="s">
        <v>609</v>
      </c>
      <c r="F185" s="97" t="s">
        <v>903</v>
      </c>
      <c r="G185" s="77"/>
      <c r="H185" s="88"/>
      <c r="I185" s="65" t="s">
        <v>859</v>
      </c>
      <c r="J185" s="22" t="s">
        <v>860</v>
      </c>
      <c r="K185" s="22" t="s">
        <v>63</v>
      </c>
      <c r="L185" s="24">
        <v>2021</v>
      </c>
      <c r="M185" s="24"/>
      <c r="N185" s="38"/>
      <c r="O185" s="39"/>
      <c r="P185" s="27"/>
      <c r="Q185" s="28"/>
      <c r="R185" s="28"/>
      <c r="S185" s="29"/>
      <c r="T185" s="24"/>
      <c r="U185" s="24"/>
      <c r="V185" s="24"/>
      <c r="W185" s="24"/>
      <c r="X185" s="24"/>
      <c r="Y185" s="24"/>
      <c r="Z185" s="22"/>
      <c r="AA185" s="22"/>
      <c r="AB185" s="22"/>
      <c r="AC185" s="22" t="s">
        <v>42</v>
      </c>
      <c r="AD185" s="22"/>
      <c r="AE185" s="41"/>
      <c r="AF185" s="67"/>
      <c r="AG185" s="24"/>
      <c r="AH185" s="24"/>
      <c r="AI185" s="24"/>
      <c r="AJ185" s="24"/>
      <c r="AK185" s="24"/>
      <c r="AL185" s="24"/>
      <c r="AM185" s="24">
        <v>0</v>
      </c>
      <c r="AN185" s="22"/>
      <c r="AO185" s="69"/>
    </row>
    <row r="186" spans="1:41" ht="51" hidden="1" x14ac:dyDescent="0.2">
      <c r="A186" s="22" t="s">
        <v>35</v>
      </c>
      <c r="B186" s="22" t="s">
        <v>526</v>
      </c>
      <c r="C186" s="22"/>
      <c r="D186" s="22" t="s">
        <v>60</v>
      </c>
      <c r="E186" s="22" t="s">
        <v>609</v>
      </c>
      <c r="F186" s="71" t="s">
        <v>903</v>
      </c>
      <c r="G186" s="95"/>
      <c r="H186" s="22"/>
      <c r="I186" s="22" t="s">
        <v>610</v>
      </c>
      <c r="J186" s="22" t="s">
        <v>611</v>
      </c>
      <c r="K186" s="22" t="s">
        <v>42</v>
      </c>
      <c r="L186" s="24">
        <v>2018</v>
      </c>
      <c r="M186" s="24"/>
      <c r="N186" s="51">
        <v>622</v>
      </c>
      <c r="O186" s="39"/>
      <c r="P186" s="27">
        <f>N186*O186</f>
        <v>0</v>
      </c>
      <c r="Q186" s="28"/>
      <c r="R186" s="28">
        <f>IF(Q186&lt;4.99,(Q186*12%+4),IF(Q186&lt;10.99,(Q186*12%+8),IF(Q186&lt;14.99,(Q186*12%+12),IF(Q186&lt;879.99,(Q186*12%+16),IF(Q186&lt;2569.99,(Q186*7%+60),240)))))</f>
        <v>4</v>
      </c>
      <c r="S186" s="29">
        <f>R186*P186</f>
        <v>0</v>
      </c>
      <c r="T186" s="24"/>
      <c r="U186" s="24"/>
      <c r="V186" s="24"/>
      <c r="W186" s="24"/>
      <c r="X186" s="24"/>
      <c r="Y186" s="24"/>
      <c r="Z186" s="22"/>
      <c r="AA186" s="22"/>
      <c r="AB186" s="22"/>
      <c r="AC186" s="22" t="s">
        <v>181</v>
      </c>
      <c r="AD186" s="22"/>
      <c r="AE186" s="22"/>
      <c r="AF186" s="71"/>
      <c r="AG186" s="24">
        <v>1</v>
      </c>
      <c r="AH186" s="24">
        <v>2</v>
      </c>
      <c r="AI186" s="24">
        <v>1</v>
      </c>
      <c r="AJ186" s="24">
        <v>3</v>
      </c>
      <c r="AK186" s="24">
        <v>1</v>
      </c>
      <c r="AL186" s="24">
        <v>1</v>
      </c>
      <c r="AM186" s="24">
        <v>6</v>
      </c>
      <c r="AN186" s="22" t="s">
        <v>48</v>
      </c>
      <c r="AO186" s="22"/>
    </row>
    <row r="187" spans="1:41" ht="38.25" hidden="1" x14ac:dyDescent="0.2">
      <c r="A187" s="22" t="s">
        <v>35</v>
      </c>
      <c r="B187" s="22" t="s">
        <v>543</v>
      </c>
      <c r="C187" s="22"/>
      <c r="D187" s="22" t="s">
        <v>37</v>
      </c>
      <c r="E187" s="22" t="s">
        <v>544</v>
      </c>
      <c r="F187" s="71" t="s">
        <v>944</v>
      </c>
      <c r="G187" s="22"/>
      <c r="H187" s="22"/>
      <c r="I187" s="22" t="s">
        <v>545</v>
      </c>
      <c r="J187" s="22" t="s">
        <v>546</v>
      </c>
      <c r="K187" s="22" t="s">
        <v>315</v>
      </c>
      <c r="L187" s="24">
        <v>2020</v>
      </c>
      <c r="M187" s="24"/>
      <c r="N187" s="38">
        <v>76000</v>
      </c>
      <c r="O187" s="39"/>
      <c r="P187" s="27">
        <f>N187*O187</f>
        <v>0</v>
      </c>
      <c r="Q187" s="28"/>
      <c r="R187" s="28">
        <f>IF(Q187&lt;4.99,(Q187*12%+4),IF(Q187&lt;10.99,(Q187*12%+8),IF(Q187&lt;14.99,(Q187*12%+12),IF(Q187&lt;879.99,(Q187*12%+16),IF(Q187&lt;2569.99,(Q187*7%+60),240)))))</f>
        <v>4</v>
      </c>
      <c r="S187" s="29">
        <f>R187*P187</f>
        <v>0</v>
      </c>
      <c r="T187" s="24"/>
      <c r="U187" s="24"/>
      <c r="V187" s="24"/>
      <c r="W187" s="24"/>
      <c r="X187" s="24"/>
      <c r="Y187" s="24"/>
      <c r="Z187" s="22"/>
      <c r="AA187" s="22"/>
      <c r="AB187" s="22"/>
      <c r="AC187" s="22" t="s">
        <v>42</v>
      </c>
      <c r="AD187" s="22"/>
      <c r="AE187" s="22"/>
      <c r="AF187" s="71" t="s">
        <v>547</v>
      </c>
      <c r="AG187" s="24">
        <v>1</v>
      </c>
      <c r="AH187" s="24">
        <v>3</v>
      </c>
      <c r="AI187" s="24">
        <v>1</v>
      </c>
      <c r="AJ187" s="24">
        <v>3</v>
      </c>
      <c r="AK187" s="24">
        <v>1</v>
      </c>
      <c r="AL187" s="24">
        <v>1</v>
      </c>
      <c r="AM187" s="24">
        <v>9</v>
      </c>
      <c r="AN187" s="22" t="s">
        <v>48</v>
      </c>
      <c r="AO187" s="22"/>
    </row>
    <row r="188" spans="1:41" x14ac:dyDescent="0.2">
      <c r="A188" s="22" t="s">
        <v>86</v>
      </c>
      <c r="B188" s="22" t="s">
        <v>1069</v>
      </c>
      <c r="C188" s="22"/>
      <c r="D188" s="22" t="s">
        <v>37</v>
      </c>
      <c r="E188" s="22" t="s">
        <v>338</v>
      </c>
      <c r="F188" s="71"/>
      <c r="G188" s="22"/>
      <c r="H188" s="22"/>
      <c r="I188" s="22" t="s">
        <v>1070</v>
      </c>
      <c r="J188" s="22"/>
      <c r="K188" s="22" t="s">
        <v>63</v>
      </c>
      <c r="L188" s="24">
        <v>2024</v>
      </c>
      <c r="M188" s="24"/>
      <c r="N188" s="38"/>
      <c r="O188" s="39"/>
      <c r="P188" s="27"/>
      <c r="Q188" s="28"/>
      <c r="R188" s="28"/>
      <c r="S188" s="29"/>
      <c r="T188" s="24"/>
      <c r="U188" s="24"/>
      <c r="V188" s="24"/>
      <c r="W188" s="24"/>
      <c r="X188" s="24"/>
      <c r="Y188" s="24"/>
      <c r="Z188" s="22"/>
      <c r="AA188" s="22"/>
      <c r="AB188" s="22"/>
      <c r="AC188" s="22"/>
      <c r="AD188" s="22"/>
      <c r="AE188" s="22"/>
      <c r="AF188" s="71" t="s">
        <v>1380</v>
      </c>
      <c r="AG188" s="24"/>
      <c r="AH188" s="24"/>
      <c r="AI188" s="24"/>
      <c r="AJ188" s="24"/>
      <c r="AK188" s="24"/>
      <c r="AL188" s="24"/>
      <c r="AM188" s="24"/>
      <c r="AN188" s="22"/>
      <c r="AO188" s="22"/>
    </row>
    <row r="189" spans="1:41" s="133" customFormat="1" x14ac:dyDescent="0.2">
      <c r="A189" s="30" t="s">
        <v>58</v>
      </c>
      <c r="B189" s="30" t="s">
        <v>1381</v>
      </c>
      <c r="C189" s="30"/>
      <c r="D189" s="30" t="s">
        <v>98</v>
      </c>
      <c r="E189" s="30" t="s">
        <v>338</v>
      </c>
      <c r="F189" s="72"/>
      <c r="G189" s="30"/>
      <c r="H189" s="30"/>
      <c r="I189" s="30" t="s">
        <v>1382</v>
      </c>
      <c r="J189" s="30" t="s">
        <v>1383</v>
      </c>
      <c r="K189" s="30" t="s">
        <v>834</v>
      </c>
      <c r="L189" s="31">
        <v>2024</v>
      </c>
      <c r="M189" s="31"/>
      <c r="N189" s="32"/>
      <c r="O189" s="33"/>
      <c r="P189" s="34"/>
      <c r="Q189" s="35"/>
      <c r="R189" s="35"/>
      <c r="S189" s="36"/>
      <c r="T189" s="31"/>
      <c r="U189" s="31"/>
      <c r="V189" s="31"/>
      <c r="W189" s="31"/>
      <c r="X189" s="31"/>
      <c r="Y189" s="31"/>
      <c r="Z189" s="30"/>
      <c r="AA189" s="30"/>
      <c r="AB189" s="30"/>
      <c r="AC189" s="30"/>
      <c r="AD189" s="30"/>
      <c r="AE189" s="30"/>
      <c r="AF189" s="72"/>
      <c r="AG189" s="31"/>
      <c r="AH189" s="31"/>
      <c r="AI189" s="31"/>
      <c r="AJ189" s="31"/>
      <c r="AK189" s="31"/>
      <c r="AL189" s="31"/>
      <c r="AM189" s="31"/>
      <c r="AN189" s="30"/>
      <c r="AO189" s="37">
        <v>45078</v>
      </c>
    </row>
    <row r="190" spans="1:41" hidden="1" x14ac:dyDescent="0.2">
      <c r="A190" s="22" t="s">
        <v>58</v>
      </c>
      <c r="B190" s="22" t="s">
        <v>829</v>
      </c>
      <c r="C190" s="22"/>
      <c r="D190" s="22" t="s">
        <v>37</v>
      </c>
      <c r="E190" s="22" t="s">
        <v>1275</v>
      </c>
      <c r="F190" s="71"/>
      <c r="G190" s="22"/>
      <c r="H190" s="22"/>
      <c r="I190" s="22" t="s">
        <v>1276</v>
      </c>
      <c r="J190" s="22"/>
      <c r="K190" s="22" t="s">
        <v>64</v>
      </c>
      <c r="L190" s="24">
        <v>2025</v>
      </c>
      <c r="M190" s="24"/>
      <c r="N190" s="38">
        <v>1700</v>
      </c>
      <c r="O190" s="39"/>
      <c r="P190" s="27"/>
      <c r="Q190" s="28">
        <v>3500</v>
      </c>
      <c r="R190" s="28">
        <v>240</v>
      </c>
      <c r="S190" s="29"/>
      <c r="T190" s="24"/>
      <c r="U190" s="24"/>
      <c r="V190" s="24"/>
      <c r="W190" s="24"/>
      <c r="X190" s="24"/>
      <c r="Y190" s="24"/>
      <c r="Z190" s="22"/>
      <c r="AA190" s="22"/>
      <c r="AB190" s="22"/>
      <c r="AC190" s="22"/>
      <c r="AD190" s="22"/>
      <c r="AE190" s="22"/>
      <c r="AF190" s="71"/>
      <c r="AG190" s="24"/>
      <c r="AH190" s="24"/>
      <c r="AI190" s="24"/>
      <c r="AJ190" s="24"/>
      <c r="AK190" s="24"/>
      <c r="AL190" s="24"/>
      <c r="AM190" s="24"/>
      <c r="AN190" s="22"/>
      <c r="AO190" s="22"/>
    </row>
    <row r="191" spans="1:41" ht="51" hidden="1" x14ac:dyDescent="0.2">
      <c r="A191" s="22" t="s">
        <v>58</v>
      </c>
      <c r="B191" s="22" t="s">
        <v>97</v>
      </c>
      <c r="C191" s="22"/>
      <c r="D191" s="22" t="s">
        <v>37</v>
      </c>
      <c r="E191" s="22" t="s">
        <v>237</v>
      </c>
      <c r="F191" s="83" t="s">
        <v>940</v>
      </c>
      <c r="G191" s="22"/>
      <c r="H191" s="22"/>
      <c r="I191" s="22" t="s">
        <v>238</v>
      </c>
      <c r="J191" s="22" t="s">
        <v>239</v>
      </c>
      <c r="K191" s="22" t="s">
        <v>240</v>
      </c>
      <c r="L191" s="24">
        <v>2021</v>
      </c>
      <c r="M191" s="24" t="s">
        <v>829</v>
      </c>
      <c r="N191" s="38">
        <f>8500000/10000*1.5</f>
        <v>1275</v>
      </c>
      <c r="O191" s="39"/>
      <c r="P191" s="27">
        <f>N191*O191</f>
        <v>0</v>
      </c>
      <c r="Q191" s="28"/>
      <c r="R191" s="28">
        <f>IF(Q191&lt;4.99,(Q191*12%+4),IF(Q191&lt;10.99,(Q191*12%+8),IF(Q191&lt;14.99,(Q191*12%+12),IF(Q191&lt;879.99,(Q191*12%+16),IF(Q191&lt;2569.99,(Q191*7%+60),240)))))</f>
        <v>4</v>
      </c>
      <c r="S191" s="29">
        <f>R191*P191</f>
        <v>0</v>
      </c>
      <c r="T191" s="24"/>
      <c r="U191" s="24"/>
      <c r="V191" s="24"/>
      <c r="W191" s="24"/>
      <c r="X191" s="24"/>
      <c r="Y191" s="24"/>
      <c r="Z191" s="22"/>
      <c r="AA191" s="22"/>
      <c r="AB191" s="22"/>
      <c r="AC191" s="22" t="s">
        <v>42</v>
      </c>
      <c r="AD191" s="22" t="s">
        <v>241</v>
      </c>
      <c r="AE191" s="22" t="s">
        <v>227</v>
      </c>
      <c r="AF191" s="71" t="s">
        <v>242</v>
      </c>
      <c r="AG191" s="24">
        <v>1</v>
      </c>
      <c r="AH191" s="24">
        <v>2</v>
      </c>
      <c r="AI191" s="24">
        <v>1</v>
      </c>
      <c r="AJ191" s="24">
        <v>3</v>
      </c>
      <c r="AK191" s="24">
        <v>1</v>
      </c>
      <c r="AL191" s="24">
        <v>2</v>
      </c>
      <c r="AM191" s="24">
        <v>12</v>
      </c>
      <c r="AN191" s="22" t="s">
        <v>48</v>
      </c>
      <c r="AO191" s="22"/>
    </row>
    <row r="192" spans="1:41" ht="38.25" hidden="1" x14ac:dyDescent="0.2">
      <c r="A192" s="22" t="s">
        <v>58</v>
      </c>
      <c r="B192" s="23" t="s">
        <v>97</v>
      </c>
      <c r="C192" s="22"/>
      <c r="D192" s="22" t="s">
        <v>37</v>
      </c>
      <c r="E192" s="22" t="s">
        <v>237</v>
      </c>
      <c r="F192" s="71" t="s">
        <v>940</v>
      </c>
      <c r="G192" s="22"/>
      <c r="H192" s="22"/>
      <c r="I192" s="22" t="s">
        <v>346</v>
      </c>
      <c r="J192" s="22" t="s">
        <v>347</v>
      </c>
      <c r="K192" s="22" t="s">
        <v>63</v>
      </c>
      <c r="L192" s="24">
        <v>2018</v>
      </c>
      <c r="M192" s="24"/>
      <c r="N192" s="38">
        <f>8500000/10000*1.5</f>
        <v>1275</v>
      </c>
      <c r="O192" s="39"/>
      <c r="P192" s="27">
        <f>N192*O192</f>
        <v>0</v>
      </c>
      <c r="Q192" s="28"/>
      <c r="R192" s="28">
        <f>IF(Q192&lt;4.99,(Q192*12%+4),IF(Q192&lt;10.99,(Q192*12%+8),IF(Q192&lt;14.99,(Q192*12%+12),IF(Q192&lt;879.99,(Q192*12%+16),IF(Q192&lt;2569.99,(Q192*7%+60),240)))))</f>
        <v>4</v>
      </c>
      <c r="S192" s="29">
        <f>R192*P192</f>
        <v>0</v>
      </c>
      <c r="T192" s="24"/>
      <c r="U192" s="24"/>
      <c r="V192" s="24"/>
      <c r="W192" s="24"/>
      <c r="X192" s="24"/>
      <c r="Y192" s="24"/>
      <c r="Z192" s="22"/>
      <c r="AA192" s="22"/>
      <c r="AB192" s="22"/>
      <c r="AC192" s="22" t="s">
        <v>42</v>
      </c>
      <c r="AD192" s="22"/>
      <c r="AE192" s="22" t="s">
        <v>227</v>
      </c>
      <c r="AF192" s="71" t="s">
        <v>348</v>
      </c>
      <c r="AG192" s="24">
        <v>1</v>
      </c>
      <c r="AH192" s="24">
        <v>2</v>
      </c>
      <c r="AI192" s="24">
        <v>1</v>
      </c>
      <c r="AJ192" s="24">
        <v>3</v>
      </c>
      <c r="AK192" s="24">
        <v>2</v>
      </c>
      <c r="AL192" s="24">
        <v>2</v>
      </c>
      <c r="AM192" s="24">
        <v>24</v>
      </c>
      <c r="AN192" s="22" t="s">
        <v>48</v>
      </c>
      <c r="AO192" s="22"/>
    </row>
    <row r="193" spans="1:16382" ht="38.25" hidden="1" x14ac:dyDescent="0.2">
      <c r="A193" s="22" t="s">
        <v>58</v>
      </c>
      <c r="B193" s="22" t="s">
        <v>620</v>
      </c>
      <c r="C193" s="22"/>
      <c r="D193" s="22" t="s">
        <v>98</v>
      </c>
      <c r="E193" s="22" t="s">
        <v>621</v>
      </c>
      <c r="F193" s="71" t="s">
        <v>895</v>
      </c>
      <c r="G193" s="22"/>
      <c r="H193" s="22"/>
      <c r="I193" s="22" t="s">
        <v>622</v>
      </c>
      <c r="J193" s="22"/>
      <c r="K193" s="22" t="s">
        <v>623</v>
      </c>
      <c r="L193" s="24">
        <v>2021</v>
      </c>
      <c r="M193" s="24"/>
      <c r="N193" s="38">
        <f>16*8</f>
        <v>128</v>
      </c>
      <c r="O193" s="39"/>
      <c r="P193" s="27">
        <f>N193*O193</f>
        <v>0</v>
      </c>
      <c r="Q193" s="28"/>
      <c r="R193" s="28">
        <f>IF(Q193&lt;4.99,(Q193*12%+4),IF(Q193&lt;10.99,(Q193*12%+8),IF(Q193&lt;14.99,(Q193*12%+12),IF(Q193&lt;879.99,(Q193*12%+16),IF(Q193&lt;2569.99,(Q193*7%+60),240)))))</f>
        <v>4</v>
      </c>
      <c r="S193" s="29">
        <f>R193*P193</f>
        <v>0</v>
      </c>
      <c r="T193" s="24"/>
      <c r="U193" s="24"/>
      <c r="V193" s="24"/>
      <c r="W193" s="24"/>
      <c r="X193" s="24"/>
      <c r="Y193" s="24"/>
      <c r="Z193" s="22"/>
      <c r="AA193" s="22"/>
      <c r="AB193" s="22"/>
      <c r="AC193" s="22" t="s">
        <v>64</v>
      </c>
      <c r="AD193" s="22"/>
      <c r="AE193" s="22"/>
      <c r="AF193" s="71" t="s">
        <v>624</v>
      </c>
      <c r="AG193" s="24">
        <v>1</v>
      </c>
      <c r="AH193" s="24">
        <v>1</v>
      </c>
      <c r="AI193" s="24">
        <v>1</v>
      </c>
      <c r="AJ193" s="24">
        <v>3</v>
      </c>
      <c r="AK193" s="24">
        <v>1</v>
      </c>
      <c r="AL193" s="24">
        <v>2</v>
      </c>
      <c r="AM193" s="24">
        <v>6</v>
      </c>
      <c r="AN193" s="22" t="s">
        <v>48</v>
      </c>
      <c r="AO193" s="22"/>
    </row>
    <row r="194" spans="1:16382" s="133" customFormat="1" hidden="1" x14ac:dyDescent="0.2">
      <c r="A194" s="30" t="s">
        <v>58</v>
      </c>
      <c r="B194" s="30" t="s">
        <v>1370</v>
      </c>
      <c r="C194" s="30"/>
      <c r="D194" s="30" t="s">
        <v>37</v>
      </c>
      <c r="E194" s="30" t="s">
        <v>1369</v>
      </c>
      <c r="F194" s="96"/>
      <c r="G194" s="30"/>
      <c r="H194" s="30"/>
      <c r="I194" s="133" t="s">
        <v>1371</v>
      </c>
      <c r="J194" s="30" t="s">
        <v>1372</v>
      </c>
      <c r="K194" s="30" t="s">
        <v>63</v>
      </c>
      <c r="L194" s="31">
        <v>2025</v>
      </c>
      <c r="M194" s="31"/>
      <c r="N194" s="32">
        <v>400</v>
      </c>
      <c r="O194" s="33"/>
      <c r="P194" s="34">
        <v>30</v>
      </c>
      <c r="Q194" s="35">
        <v>20000</v>
      </c>
      <c r="R194" s="35">
        <v>240</v>
      </c>
      <c r="S194" s="36"/>
      <c r="T194" s="31"/>
      <c r="U194" s="31"/>
      <c r="V194" s="31"/>
      <c r="W194" s="31"/>
      <c r="X194" s="31"/>
      <c r="Y194" s="31"/>
      <c r="Z194" s="30"/>
      <c r="AA194" s="30"/>
      <c r="AB194" s="30"/>
      <c r="AC194" s="30"/>
      <c r="AD194" s="30"/>
      <c r="AE194" s="30"/>
      <c r="AF194" s="72" t="s">
        <v>1373</v>
      </c>
      <c r="AG194" s="31">
        <v>1</v>
      </c>
      <c r="AH194" s="31">
        <v>2</v>
      </c>
      <c r="AI194" s="31">
        <v>2</v>
      </c>
      <c r="AJ194" s="31">
        <v>3</v>
      </c>
      <c r="AK194" s="31">
        <v>2</v>
      </c>
      <c r="AL194" s="31">
        <v>2</v>
      </c>
      <c r="AM194" s="31">
        <f>AL194*AK194*AJ194*AI194*AH194*AG194</f>
        <v>48</v>
      </c>
      <c r="AN194" s="30" t="s">
        <v>45</v>
      </c>
      <c r="AO194" s="37">
        <v>45078</v>
      </c>
    </row>
    <row r="195" spans="1:16382" ht="38.25" hidden="1" x14ac:dyDescent="0.2">
      <c r="A195" s="22" t="s">
        <v>86</v>
      </c>
      <c r="B195" s="22" t="s">
        <v>861</v>
      </c>
      <c r="C195" s="22"/>
      <c r="D195" s="65"/>
      <c r="E195" s="88" t="s">
        <v>862</v>
      </c>
      <c r="F195" s="77"/>
      <c r="G195" s="88"/>
      <c r="H195" s="78" t="s">
        <v>902</v>
      </c>
      <c r="I195" s="65" t="s">
        <v>863</v>
      </c>
      <c r="J195" s="22" t="s">
        <v>864</v>
      </c>
      <c r="K195" s="22" t="s">
        <v>42</v>
      </c>
      <c r="L195" s="24">
        <v>2022</v>
      </c>
      <c r="M195" s="24"/>
      <c r="N195" s="38"/>
      <c r="O195" s="39"/>
      <c r="P195" s="27"/>
      <c r="Q195" s="28"/>
      <c r="R195" s="28"/>
      <c r="S195" s="29"/>
      <c r="T195" s="24"/>
      <c r="U195" s="24"/>
      <c r="V195" s="24"/>
      <c r="W195" s="24"/>
      <c r="X195" s="24"/>
      <c r="Y195" s="24"/>
      <c r="Z195" s="22"/>
      <c r="AA195" s="22"/>
      <c r="AB195" s="22"/>
      <c r="AC195" s="22" t="s">
        <v>42</v>
      </c>
      <c r="AD195" s="22"/>
      <c r="AE195" s="41"/>
      <c r="AF195" s="67" t="s">
        <v>865</v>
      </c>
      <c r="AG195" s="24"/>
      <c r="AH195" s="24"/>
      <c r="AI195" s="24"/>
      <c r="AJ195" s="24"/>
      <c r="AK195" s="24"/>
      <c r="AL195" s="24"/>
      <c r="AM195" s="24">
        <v>0</v>
      </c>
      <c r="AN195" s="22"/>
      <c r="AO195" s="69"/>
    </row>
    <row r="196" spans="1:16382" s="129" customFormat="1" ht="38.25" hidden="1" x14ac:dyDescent="0.2">
      <c r="A196" s="22" t="s">
        <v>58</v>
      </c>
      <c r="B196" s="23" t="s">
        <v>165</v>
      </c>
      <c r="C196" s="22"/>
      <c r="D196" s="22" t="s">
        <v>37</v>
      </c>
      <c r="E196" s="22" t="s">
        <v>862</v>
      </c>
      <c r="F196" s="95"/>
      <c r="G196" s="22"/>
      <c r="H196" s="71" t="s">
        <v>902</v>
      </c>
      <c r="I196" s="22" t="s">
        <v>166</v>
      </c>
      <c r="J196" s="22" t="s">
        <v>167</v>
      </c>
      <c r="K196" s="22" t="s">
        <v>168</v>
      </c>
      <c r="L196" s="24">
        <v>2020</v>
      </c>
      <c r="M196" s="24"/>
      <c r="N196" s="25">
        <f>8500000/100000</f>
        <v>85</v>
      </c>
      <c r="O196" s="26"/>
      <c r="P196" s="27">
        <f>N196*O196</f>
        <v>0</v>
      </c>
      <c r="Q196" s="28"/>
      <c r="R196" s="28">
        <f>IF(Q196&lt;4.99,(Q196*12%+4),IF(Q196&lt;10.99,(Q196*12%+8),IF(Q196&lt;14.99,(Q196*12%+12),IF(Q196&lt;879.99,(Q196*12%+16),IF(Q196&lt;2569.99,(Q196*7%+60),240)))))</f>
        <v>4</v>
      </c>
      <c r="S196" s="29">
        <f>R196*P196</f>
        <v>0</v>
      </c>
      <c r="T196" s="24"/>
      <c r="U196" s="24"/>
      <c r="V196" s="24"/>
      <c r="W196" s="24"/>
      <c r="X196" s="24"/>
      <c r="Y196" s="24"/>
      <c r="Z196" s="22"/>
      <c r="AA196" s="22"/>
      <c r="AB196" s="22"/>
      <c r="AC196" s="22" t="s">
        <v>64</v>
      </c>
      <c r="AD196" s="22"/>
      <c r="AE196" s="22"/>
      <c r="AF196" s="71"/>
      <c r="AG196" s="24">
        <v>1</v>
      </c>
      <c r="AH196" s="24">
        <v>1</v>
      </c>
      <c r="AI196" s="24">
        <v>2</v>
      </c>
      <c r="AJ196" s="24">
        <v>3</v>
      </c>
      <c r="AK196" s="24">
        <v>1</v>
      </c>
      <c r="AL196" s="24">
        <v>1</v>
      </c>
      <c r="AM196" s="24">
        <v>6</v>
      </c>
      <c r="AN196" s="22" t="s">
        <v>48</v>
      </c>
      <c r="AO196" s="22"/>
    </row>
    <row r="197" spans="1:16382" ht="38.25" hidden="1" x14ac:dyDescent="0.2">
      <c r="A197" s="22" t="s">
        <v>35</v>
      </c>
      <c r="B197" s="22"/>
      <c r="C197" s="22"/>
      <c r="D197" s="22" t="s">
        <v>37</v>
      </c>
      <c r="E197" s="22" t="s">
        <v>862</v>
      </c>
      <c r="F197" s="22"/>
      <c r="G197" s="22"/>
      <c r="H197" s="71" t="s">
        <v>902</v>
      </c>
      <c r="I197" s="22" t="s">
        <v>563</v>
      </c>
      <c r="J197" s="22" t="s">
        <v>167</v>
      </c>
      <c r="K197" s="22" t="s">
        <v>42</v>
      </c>
      <c r="L197" s="24">
        <v>2021</v>
      </c>
      <c r="M197" s="24"/>
      <c r="N197" s="38"/>
      <c r="O197" s="39"/>
      <c r="P197" s="24"/>
      <c r="Q197" s="28"/>
      <c r="R197" s="24"/>
      <c r="S197" s="24"/>
      <c r="T197" s="24"/>
      <c r="U197" s="24"/>
      <c r="V197" s="24"/>
      <c r="W197" s="24"/>
      <c r="X197" s="24"/>
      <c r="Y197" s="24"/>
      <c r="Z197" s="22"/>
      <c r="AA197" s="22"/>
      <c r="AB197" s="22"/>
      <c r="AC197" s="22"/>
      <c r="AD197" s="22"/>
      <c r="AE197" s="22"/>
      <c r="AF197" s="71" t="s">
        <v>564</v>
      </c>
      <c r="AG197" s="24"/>
      <c r="AH197" s="24"/>
      <c r="AI197" s="24"/>
      <c r="AJ197" s="24"/>
      <c r="AK197" s="24"/>
      <c r="AL197" s="24"/>
      <c r="AM197" s="24"/>
      <c r="AN197" s="22"/>
      <c r="AO197" s="22"/>
    </row>
    <row r="198" spans="1:16382" ht="38.25" hidden="1" x14ac:dyDescent="0.2">
      <c r="A198" s="22" t="s">
        <v>58</v>
      </c>
      <c r="B198" s="22" t="s">
        <v>625</v>
      </c>
      <c r="C198" s="22"/>
      <c r="D198" s="22" t="s">
        <v>37</v>
      </c>
      <c r="E198" s="22" t="s">
        <v>665</v>
      </c>
      <c r="F198" s="22"/>
      <c r="G198" s="22"/>
      <c r="H198" s="81" t="s">
        <v>987</v>
      </c>
      <c r="I198" s="22" t="s">
        <v>666</v>
      </c>
      <c r="J198" s="22"/>
      <c r="K198" s="22" t="s">
        <v>64</v>
      </c>
      <c r="L198" s="24">
        <v>2022</v>
      </c>
      <c r="M198" s="24"/>
      <c r="N198" s="51">
        <f>8500000/1000000*4</f>
        <v>34</v>
      </c>
      <c r="O198" s="39"/>
      <c r="P198" s="27">
        <f>N198*O198</f>
        <v>0</v>
      </c>
      <c r="Q198" s="28"/>
      <c r="R198" s="28">
        <f>IF(Q198&lt;4.99,(Q198*12%+4),IF(Q198&lt;10.99,(Q198*12%+8),IF(Q198&lt;14.99,(Q198*12%+12),IF(Q198&lt;879.99,(Q198*12%+16),IF(Q198&lt;2569.99,(Q198*7%+60),240)))))</f>
        <v>4</v>
      </c>
      <c r="S198" s="29">
        <f>R198*P198</f>
        <v>0</v>
      </c>
      <c r="T198" s="24"/>
      <c r="U198" s="24"/>
      <c r="V198" s="24"/>
      <c r="W198" s="24"/>
      <c r="X198" s="24"/>
      <c r="Y198" s="24"/>
      <c r="Z198" s="22"/>
      <c r="AA198" s="22"/>
      <c r="AB198" s="22"/>
      <c r="AC198" s="22" t="s">
        <v>64</v>
      </c>
      <c r="AD198" s="22"/>
      <c r="AE198" s="22"/>
      <c r="AF198" s="71" t="s">
        <v>667</v>
      </c>
      <c r="AG198" s="24">
        <v>1</v>
      </c>
      <c r="AH198" s="24">
        <v>2</v>
      </c>
      <c r="AI198" s="24">
        <v>1</v>
      </c>
      <c r="AJ198" s="24">
        <v>2</v>
      </c>
      <c r="AK198" s="24">
        <v>1</v>
      </c>
      <c r="AL198" s="24">
        <v>2</v>
      </c>
      <c r="AM198" s="24">
        <v>8</v>
      </c>
      <c r="AN198" s="22" t="s">
        <v>48</v>
      </c>
      <c r="AO198" s="22"/>
    </row>
    <row r="199" spans="1:16382" x14ac:dyDescent="0.2">
      <c r="A199" s="22"/>
      <c r="B199" s="22" t="s">
        <v>1225</v>
      </c>
      <c r="C199" s="22"/>
      <c r="D199" s="22" t="s">
        <v>98</v>
      </c>
      <c r="E199" s="22" t="s">
        <v>1222</v>
      </c>
      <c r="F199" s="22"/>
      <c r="G199" s="22"/>
      <c r="H199" s="81"/>
      <c r="I199" s="22" t="s">
        <v>1223</v>
      </c>
      <c r="J199" s="22" t="s">
        <v>1224</v>
      </c>
      <c r="K199" s="22" t="s">
        <v>42</v>
      </c>
      <c r="L199" s="24">
        <v>2023</v>
      </c>
      <c r="M199" s="24"/>
      <c r="N199" s="51">
        <v>70</v>
      </c>
      <c r="O199" s="39"/>
      <c r="P199" s="27">
        <v>10</v>
      </c>
      <c r="Q199" s="28">
        <v>15000</v>
      </c>
      <c r="R199" s="28">
        <v>240</v>
      </c>
      <c r="S199" s="29"/>
      <c r="T199" s="24"/>
      <c r="U199" s="24"/>
      <c r="V199" s="24"/>
      <c r="W199" s="24"/>
      <c r="X199" s="24"/>
      <c r="Y199" s="24"/>
      <c r="Z199" s="22">
        <v>200000</v>
      </c>
      <c r="AA199" s="22"/>
      <c r="AB199" s="22"/>
      <c r="AC199" s="22" t="s">
        <v>42</v>
      </c>
      <c r="AD199" s="22"/>
      <c r="AE199" s="22"/>
      <c r="AF199" s="71"/>
      <c r="AG199" s="24"/>
      <c r="AH199" s="24"/>
      <c r="AI199" s="24"/>
      <c r="AJ199" s="24"/>
      <c r="AK199" s="24"/>
      <c r="AL199" s="24"/>
      <c r="AM199" s="24"/>
      <c r="AN199" s="22"/>
      <c r="AO199" s="40">
        <v>44805</v>
      </c>
    </row>
    <row r="200" spans="1:16382" hidden="1" x14ac:dyDescent="0.2">
      <c r="A200" s="22" t="s">
        <v>49</v>
      </c>
      <c r="B200" s="22" t="s">
        <v>1018</v>
      </c>
      <c r="C200" s="22"/>
      <c r="D200" s="22" t="s">
        <v>51</v>
      </c>
      <c r="E200" s="22" t="s">
        <v>138</v>
      </c>
      <c r="F200" s="22"/>
      <c r="G200" s="22"/>
      <c r="H200" s="81"/>
      <c r="I200" s="22" t="s">
        <v>1019</v>
      </c>
      <c r="J200" s="22" t="s">
        <v>1131</v>
      </c>
      <c r="K200" s="22" t="s">
        <v>42</v>
      </c>
      <c r="L200" s="24">
        <v>2022</v>
      </c>
      <c r="M200" s="24"/>
      <c r="N200" s="51"/>
      <c r="O200" s="39"/>
      <c r="P200" s="27">
        <v>10</v>
      </c>
      <c r="Q200" s="28">
        <v>1200</v>
      </c>
      <c r="R200" s="28">
        <v>120</v>
      </c>
      <c r="S200" s="29">
        <f>P200*Q200*3</f>
        <v>36000</v>
      </c>
      <c r="T200" s="24"/>
      <c r="U200" s="24"/>
      <c r="V200" s="24"/>
      <c r="W200" s="24"/>
      <c r="X200" s="24"/>
      <c r="Y200" s="24"/>
      <c r="Z200" s="22" t="e">
        <f>#REF!*5</f>
        <v>#REF!</v>
      </c>
      <c r="AA200" s="22"/>
      <c r="AB200" s="22"/>
      <c r="AC200" s="22" t="s">
        <v>645</v>
      </c>
      <c r="AD200" s="22"/>
      <c r="AE200" s="22"/>
      <c r="AF200" s="71"/>
      <c r="AG200" s="24"/>
      <c r="AH200" s="24"/>
      <c r="AI200" s="24"/>
      <c r="AJ200" s="24"/>
      <c r="AK200" s="24"/>
      <c r="AL200" s="24"/>
      <c r="AM200" s="24"/>
      <c r="AN200" s="22"/>
      <c r="AO200" s="22"/>
    </row>
    <row r="201" spans="1:16382" ht="38.25" x14ac:dyDescent="0.2">
      <c r="A201" s="22" t="s">
        <v>72</v>
      </c>
      <c r="B201" s="22" t="s">
        <v>184</v>
      </c>
      <c r="C201" s="22"/>
      <c r="D201" s="65" t="s">
        <v>98</v>
      </c>
      <c r="E201" s="88" t="s">
        <v>138</v>
      </c>
      <c r="F201" s="97" t="s">
        <v>901</v>
      </c>
      <c r="G201" s="88"/>
      <c r="H201" s="88"/>
      <c r="I201" s="65" t="s">
        <v>866</v>
      </c>
      <c r="J201" s="22"/>
      <c r="K201" s="22" t="s">
        <v>42</v>
      </c>
      <c r="L201" s="24">
        <v>2023</v>
      </c>
      <c r="M201" s="24"/>
      <c r="N201" s="38"/>
      <c r="O201" s="39"/>
      <c r="P201" s="27"/>
      <c r="Q201" s="28"/>
      <c r="R201" s="28"/>
      <c r="S201" s="29"/>
      <c r="T201" s="24"/>
      <c r="U201" s="24"/>
      <c r="V201" s="24"/>
      <c r="W201" s="24"/>
      <c r="X201" s="24"/>
      <c r="Y201" s="24"/>
      <c r="Z201" s="22"/>
      <c r="AA201" s="22"/>
      <c r="AB201" s="22"/>
      <c r="AC201" s="22" t="s">
        <v>42</v>
      </c>
      <c r="AD201" s="22"/>
      <c r="AE201" s="41"/>
      <c r="AF201" s="68" t="s">
        <v>869</v>
      </c>
      <c r="AG201" s="24">
        <v>2</v>
      </c>
      <c r="AH201" s="24">
        <v>3</v>
      </c>
      <c r="AI201" s="24">
        <v>3</v>
      </c>
      <c r="AJ201" s="24">
        <v>3</v>
      </c>
      <c r="AK201" s="24">
        <v>1</v>
      </c>
      <c r="AL201" s="24">
        <v>3</v>
      </c>
      <c r="AM201" s="24">
        <v>162</v>
      </c>
      <c r="AN201" s="22" t="s">
        <v>48</v>
      </c>
      <c r="AO201" s="69"/>
    </row>
    <row r="202" spans="1:16382" ht="38.25" hidden="1" x14ac:dyDescent="0.2">
      <c r="A202" s="22" t="s">
        <v>72</v>
      </c>
      <c r="B202" s="22" t="s">
        <v>184</v>
      </c>
      <c r="C202" s="22"/>
      <c r="D202" s="22" t="s">
        <v>98</v>
      </c>
      <c r="E202" s="22" t="s">
        <v>138</v>
      </c>
      <c r="F202" s="71" t="s">
        <v>901</v>
      </c>
      <c r="G202" s="22"/>
      <c r="H202" s="22"/>
      <c r="I202" s="22" t="s">
        <v>326</v>
      </c>
      <c r="J202" s="22"/>
      <c r="K202" s="22" t="s">
        <v>42</v>
      </c>
      <c r="L202" s="24">
        <v>2022</v>
      </c>
      <c r="M202" s="24"/>
      <c r="N202" s="38">
        <f>150000*2/3</f>
        <v>100000</v>
      </c>
      <c r="O202" s="39"/>
      <c r="P202" s="27">
        <f>N202*O202</f>
        <v>0</v>
      </c>
      <c r="Q202" s="28"/>
      <c r="R202" s="28">
        <f>IF(Q202&lt;4.99,(Q202*12%+4),IF(Q202&lt;10.99,(Q202*12%+8),IF(Q202&lt;14.99,(Q202*12%+12),IF(Q202&lt;879.99,(Q202*12%+16),IF(Q202&lt;2569.99,(Q202*7%+60),240)))))</f>
        <v>4</v>
      </c>
      <c r="S202" s="29">
        <f>R202*P202</f>
        <v>0</v>
      </c>
      <c r="T202" s="24"/>
      <c r="U202" s="24"/>
      <c r="V202" s="24"/>
      <c r="W202" s="24"/>
      <c r="X202" s="24"/>
      <c r="Y202" s="24"/>
      <c r="Z202" s="22"/>
      <c r="AA202" s="22"/>
      <c r="AB202" s="22"/>
      <c r="AC202" s="22" t="s">
        <v>42</v>
      </c>
      <c r="AD202" s="22"/>
      <c r="AE202" s="22" t="s">
        <v>129</v>
      </c>
      <c r="AF202" s="71" t="s">
        <v>327</v>
      </c>
      <c r="AG202" s="24">
        <v>2</v>
      </c>
      <c r="AH202" s="24">
        <v>3</v>
      </c>
      <c r="AI202" s="24">
        <v>3</v>
      </c>
      <c r="AJ202" s="24">
        <v>3</v>
      </c>
      <c r="AK202" s="24">
        <v>1</v>
      </c>
      <c r="AL202" s="24">
        <v>3</v>
      </c>
      <c r="AM202" s="24">
        <v>162</v>
      </c>
      <c r="AN202" s="22" t="s">
        <v>48</v>
      </c>
      <c r="AO202" s="22"/>
    </row>
    <row r="203" spans="1:16382" ht="38.25" hidden="1" x14ac:dyDescent="0.2">
      <c r="A203" s="22" t="s">
        <v>86</v>
      </c>
      <c r="B203" s="22" t="s">
        <v>415</v>
      </c>
      <c r="C203" s="22"/>
      <c r="D203" s="22" t="s">
        <v>98</v>
      </c>
      <c r="E203" s="22" t="s">
        <v>138</v>
      </c>
      <c r="F203" s="98" t="s">
        <v>901</v>
      </c>
      <c r="G203" s="22"/>
      <c r="H203" s="22"/>
      <c r="I203" s="22" t="s">
        <v>416</v>
      </c>
      <c r="J203" s="22"/>
      <c r="K203" s="22" t="s">
        <v>42</v>
      </c>
      <c r="L203" s="24">
        <v>2021</v>
      </c>
      <c r="M203" s="24"/>
      <c r="N203" s="38">
        <f>8500000/1000</f>
        <v>8500</v>
      </c>
      <c r="O203" s="39"/>
      <c r="P203" s="27">
        <f>N203*O203</f>
        <v>0</v>
      </c>
      <c r="Q203" s="28"/>
      <c r="R203" s="28">
        <f>IF(Q203&lt;4.99,(Q203*12%+4),IF(Q203&lt;10.99,(Q203*12%+8),IF(Q203&lt;14.99,(Q203*12%+12),IF(Q203&lt;879.99,(Q203*12%+16),IF(Q203&lt;2569.99,(Q203*7%+60),240)))))</f>
        <v>4</v>
      </c>
      <c r="S203" s="29">
        <f>R203*P203</f>
        <v>0</v>
      </c>
      <c r="T203" s="24"/>
      <c r="U203" s="24"/>
      <c r="V203" s="24"/>
      <c r="W203" s="24"/>
      <c r="X203" s="24"/>
      <c r="Y203" s="24"/>
      <c r="Z203" s="22"/>
      <c r="AA203" s="22"/>
      <c r="AB203" s="22"/>
      <c r="AC203" s="22" t="s">
        <v>42</v>
      </c>
      <c r="AD203" s="22"/>
      <c r="AE203" s="22"/>
      <c r="AF203" s="71" t="s">
        <v>417</v>
      </c>
      <c r="AG203" s="24">
        <v>1</v>
      </c>
      <c r="AH203" s="24">
        <v>3</v>
      </c>
      <c r="AI203" s="24">
        <v>3</v>
      </c>
      <c r="AJ203" s="24">
        <v>1</v>
      </c>
      <c r="AK203" s="24">
        <v>2</v>
      </c>
      <c r="AL203" s="24">
        <v>2</v>
      </c>
      <c r="AM203" s="24">
        <v>36</v>
      </c>
      <c r="AN203" s="22" t="s">
        <v>48</v>
      </c>
      <c r="AO203" s="22"/>
    </row>
    <row r="204" spans="1:16382" s="133" customFormat="1" x14ac:dyDescent="0.2">
      <c r="A204" s="30" t="s">
        <v>58</v>
      </c>
      <c r="B204" s="30" t="s">
        <v>1260</v>
      </c>
      <c r="C204" s="30"/>
      <c r="D204" s="30" t="s">
        <v>98</v>
      </c>
      <c r="E204" s="30" t="s">
        <v>138</v>
      </c>
      <c r="F204" s="96"/>
      <c r="G204" s="30"/>
      <c r="H204" s="30"/>
      <c r="I204" s="30" t="s">
        <v>1282</v>
      </c>
      <c r="J204" s="30"/>
      <c r="K204" s="30" t="s">
        <v>42</v>
      </c>
      <c r="L204" s="31">
        <v>2023</v>
      </c>
      <c r="M204" s="31"/>
      <c r="N204" s="32">
        <v>10</v>
      </c>
      <c r="O204" s="33"/>
      <c r="P204" s="34"/>
      <c r="Q204" s="35">
        <v>20000</v>
      </c>
      <c r="R204" s="35">
        <v>240</v>
      </c>
      <c r="S204" s="36"/>
      <c r="T204" s="31"/>
      <c r="U204" s="31"/>
      <c r="V204" s="31"/>
      <c r="W204" s="31"/>
      <c r="X204" s="31"/>
      <c r="Y204" s="31"/>
      <c r="Z204" s="30"/>
      <c r="AA204" s="30"/>
      <c r="AB204" s="30"/>
      <c r="AC204" s="30" t="s">
        <v>42</v>
      </c>
      <c r="AD204" s="30"/>
      <c r="AE204" s="30"/>
      <c r="AF204" s="72" t="s">
        <v>1283</v>
      </c>
      <c r="AG204" s="31">
        <v>2</v>
      </c>
      <c r="AH204" s="31">
        <v>1</v>
      </c>
      <c r="AI204" s="31">
        <v>3</v>
      </c>
      <c r="AJ204" s="31">
        <v>3</v>
      </c>
      <c r="AK204" s="31">
        <v>2</v>
      </c>
      <c r="AL204" s="31">
        <v>2</v>
      </c>
      <c r="AM204" s="31">
        <f>AL204*AK204*AJ204*AI204*AH204*AG204</f>
        <v>72</v>
      </c>
      <c r="AN204" s="30"/>
      <c r="AO204" s="37">
        <v>44958</v>
      </c>
    </row>
    <row r="205" spans="1:16382" ht="38.25" hidden="1" x14ac:dyDescent="0.2">
      <c r="A205" s="22" t="s">
        <v>35</v>
      </c>
      <c r="B205" s="23" t="s">
        <v>612</v>
      </c>
      <c r="C205" s="22"/>
      <c r="D205" s="22" t="s">
        <v>60</v>
      </c>
      <c r="E205" s="22" t="s">
        <v>138</v>
      </c>
      <c r="F205" s="71" t="s">
        <v>901</v>
      </c>
      <c r="G205" s="22"/>
      <c r="H205" s="22"/>
      <c r="I205" s="22" t="s">
        <v>613</v>
      </c>
      <c r="J205" s="22" t="s">
        <v>614</v>
      </c>
      <c r="K205" s="22" t="s">
        <v>42</v>
      </c>
      <c r="L205" s="24">
        <v>2020</v>
      </c>
      <c r="M205" s="24"/>
      <c r="N205" s="25">
        <f>8500000/10000*2.5</f>
        <v>2125</v>
      </c>
      <c r="O205" s="26"/>
      <c r="P205" s="27">
        <f>N205*O205</f>
        <v>0</v>
      </c>
      <c r="Q205" s="28"/>
      <c r="R205" s="28">
        <f>IF(Q205&lt;4.99,(Q205*12%+4),IF(Q205&lt;10.99,(Q205*12%+8),IF(Q205&lt;14.99,(Q205*12%+12),IF(Q205&lt;879.99,(Q205*12%+16),IF(Q205&lt;2569.99,(Q205*7%+60),240)))))</f>
        <v>4</v>
      </c>
      <c r="S205" s="29">
        <f>R205*P205</f>
        <v>0</v>
      </c>
      <c r="T205" s="24"/>
      <c r="U205" s="24"/>
      <c r="V205" s="24"/>
      <c r="W205" s="24"/>
      <c r="X205" s="24"/>
      <c r="Y205" s="24"/>
      <c r="Z205" s="22"/>
      <c r="AA205" s="22"/>
      <c r="AB205" s="22"/>
      <c r="AC205" s="22" t="s">
        <v>42</v>
      </c>
      <c r="AD205" s="22"/>
      <c r="AE205" s="22"/>
      <c r="AF205" s="71" t="s">
        <v>615</v>
      </c>
      <c r="AG205" s="24">
        <v>2</v>
      </c>
      <c r="AH205" s="24">
        <v>1</v>
      </c>
      <c r="AI205" s="24">
        <v>3</v>
      </c>
      <c r="AJ205" s="24">
        <v>2</v>
      </c>
      <c r="AK205" s="24">
        <v>1</v>
      </c>
      <c r="AL205" s="24">
        <v>1</v>
      </c>
      <c r="AM205" s="24">
        <v>12</v>
      </c>
      <c r="AN205" s="22" t="s">
        <v>45</v>
      </c>
      <c r="AO205" s="40">
        <v>43617</v>
      </c>
    </row>
    <row r="206" spans="1:16382" s="133" customFormat="1" ht="25.5" x14ac:dyDescent="0.2">
      <c r="A206" s="30" t="s">
        <v>35</v>
      </c>
      <c r="B206" s="72" t="s">
        <v>1200</v>
      </c>
      <c r="C206" s="30"/>
      <c r="D206" s="30" t="s">
        <v>60</v>
      </c>
      <c r="E206" s="30" t="s">
        <v>138</v>
      </c>
      <c r="F206" s="72"/>
      <c r="G206" s="30"/>
      <c r="H206" s="106"/>
      <c r="I206" s="30" t="s">
        <v>1202</v>
      </c>
      <c r="J206" s="30" t="s">
        <v>1201</v>
      </c>
      <c r="K206" s="30" t="s">
        <v>63</v>
      </c>
      <c r="L206" s="31">
        <v>2023</v>
      </c>
      <c r="M206" s="31"/>
      <c r="N206" s="32"/>
      <c r="O206" s="33"/>
      <c r="P206" s="34"/>
      <c r="Q206" s="35"/>
      <c r="R206" s="35"/>
      <c r="S206" s="36"/>
      <c r="T206" s="31"/>
      <c r="U206" s="31"/>
      <c r="V206" s="31"/>
      <c r="W206" s="31"/>
      <c r="X206" s="31"/>
      <c r="Y206" s="31"/>
      <c r="Z206" s="30"/>
      <c r="AA206" s="30"/>
      <c r="AB206" s="30"/>
      <c r="AC206" s="30" t="s">
        <v>1302</v>
      </c>
      <c r="AD206" s="30"/>
      <c r="AE206" s="30"/>
      <c r="AF206" s="72" t="s">
        <v>1265</v>
      </c>
      <c r="AG206" s="31">
        <v>1</v>
      </c>
      <c r="AH206" s="31">
        <v>2</v>
      </c>
      <c r="AI206" s="31">
        <v>3</v>
      </c>
      <c r="AJ206" s="31">
        <v>3</v>
      </c>
      <c r="AK206" s="31">
        <v>1</v>
      </c>
      <c r="AL206" s="31">
        <v>2</v>
      </c>
      <c r="AM206" s="31">
        <f>AG206*AH206*AI206*AJ206*AK206*AL206</f>
        <v>36</v>
      </c>
      <c r="AN206" s="30" t="s">
        <v>48</v>
      </c>
      <c r="AO206" s="37">
        <v>44743</v>
      </c>
    </row>
    <row r="207" spans="1:16382" ht="38.25" hidden="1" x14ac:dyDescent="0.2">
      <c r="A207" s="22" t="s">
        <v>72</v>
      </c>
      <c r="B207" s="22" t="s">
        <v>271</v>
      </c>
      <c r="C207" s="22"/>
      <c r="D207" s="22" t="s">
        <v>60</v>
      </c>
      <c r="E207" s="22" t="s">
        <v>272</v>
      </c>
      <c r="F207" s="22"/>
      <c r="G207" s="22"/>
      <c r="H207" s="79" t="s">
        <v>945</v>
      </c>
      <c r="I207" s="22" t="s">
        <v>273</v>
      </c>
      <c r="J207" s="22" t="s">
        <v>274</v>
      </c>
      <c r="K207" s="22" t="s">
        <v>63</v>
      </c>
      <c r="L207" s="24">
        <v>2020</v>
      </c>
      <c r="M207" s="24"/>
      <c r="N207" s="38">
        <v>13000</v>
      </c>
      <c r="O207" s="39"/>
      <c r="P207" s="27">
        <f>N207*O207</f>
        <v>0</v>
      </c>
      <c r="Q207" s="28"/>
      <c r="R207" s="28">
        <f>IF(Q207&lt;4.99,(Q207*12%+4),IF(Q207&lt;10.99,(Q207*12%+8),IF(Q207&lt;14.99,(Q207*12%+12),IF(Q207&lt;879.99,(Q207*12%+16),IF(Q207&lt;2569.99,(Q207*7%+60),240)))))</f>
        <v>4</v>
      </c>
      <c r="S207" s="29">
        <f>R207*P207</f>
        <v>0</v>
      </c>
      <c r="T207" s="24"/>
      <c r="U207" s="24"/>
      <c r="V207" s="24"/>
      <c r="W207" s="24"/>
      <c r="X207" s="24"/>
      <c r="Y207" s="24"/>
      <c r="Z207" s="22"/>
      <c r="AA207" s="22"/>
      <c r="AB207" s="22"/>
      <c r="AC207" s="22" t="s">
        <v>42</v>
      </c>
      <c r="AD207" s="22"/>
      <c r="AE207" s="22"/>
      <c r="AF207" s="71" t="s">
        <v>275</v>
      </c>
      <c r="AG207" s="24">
        <v>1</v>
      </c>
      <c r="AH207" s="24">
        <v>2</v>
      </c>
      <c r="AI207" s="24">
        <v>1</v>
      </c>
      <c r="AJ207" s="24">
        <v>3</v>
      </c>
      <c r="AK207" s="24">
        <v>1</v>
      </c>
      <c r="AL207" s="24">
        <v>2</v>
      </c>
      <c r="AM207" s="24">
        <v>12</v>
      </c>
      <c r="AN207" s="22" t="s">
        <v>48</v>
      </c>
      <c r="AO207" s="22"/>
    </row>
    <row r="208" spans="1:16382" ht="38.25" x14ac:dyDescent="0.2">
      <c r="A208" s="30" t="s">
        <v>72</v>
      </c>
      <c r="B208" s="30" t="s">
        <v>73</v>
      </c>
      <c r="C208" s="30"/>
      <c r="D208" s="30" t="s">
        <v>37</v>
      </c>
      <c r="E208" s="30" t="s">
        <v>685</v>
      </c>
      <c r="F208" s="72" t="s">
        <v>900</v>
      </c>
      <c r="G208" s="30"/>
      <c r="H208" s="106"/>
      <c r="I208" s="30" t="s">
        <v>1195</v>
      </c>
      <c r="J208" s="30"/>
      <c r="K208" s="30" t="s">
        <v>42</v>
      </c>
      <c r="L208" s="31">
        <v>2025</v>
      </c>
      <c r="M208" s="31"/>
      <c r="N208" s="32"/>
      <c r="O208" s="33"/>
      <c r="P208" s="31"/>
      <c r="Q208" s="35"/>
      <c r="R208" s="31"/>
      <c r="S208" s="31"/>
      <c r="T208" s="31"/>
      <c r="U208" s="31"/>
      <c r="V208" s="31"/>
      <c r="W208" s="31"/>
      <c r="X208" s="31"/>
      <c r="Y208" s="31"/>
      <c r="Z208" s="30"/>
      <c r="AA208" s="30"/>
      <c r="AB208" s="30"/>
      <c r="AC208" s="30" t="s">
        <v>42</v>
      </c>
      <c r="AD208" s="72"/>
      <c r="AE208" s="31"/>
      <c r="AF208" s="31" t="s">
        <v>1433</v>
      </c>
      <c r="AG208" s="31">
        <v>3</v>
      </c>
      <c r="AH208" s="31">
        <v>2</v>
      </c>
      <c r="AI208" s="31">
        <v>3</v>
      </c>
      <c r="AJ208" s="31">
        <v>1</v>
      </c>
      <c r="AK208" s="31">
        <v>3</v>
      </c>
      <c r="AL208" s="30">
        <v>2</v>
      </c>
      <c r="AM208" s="37"/>
      <c r="AN208" s="133" t="s">
        <v>45</v>
      </c>
      <c r="AO208" s="133">
        <v>43922</v>
      </c>
      <c r="AP208" s="133"/>
      <c r="AQ208" s="133"/>
      <c r="AR208" s="133"/>
      <c r="AS208" s="133"/>
      <c r="AT208" s="133"/>
      <c r="AU208" s="133"/>
      <c r="AV208" s="133"/>
      <c r="AW208" s="133"/>
      <c r="AX208" s="133"/>
      <c r="AY208" s="133"/>
      <c r="AZ208" s="133"/>
      <c r="BA208" s="133"/>
      <c r="BB208" s="133"/>
      <c r="BC208" s="133"/>
      <c r="BD208" s="133"/>
      <c r="BE208" s="133"/>
      <c r="BF208" s="133"/>
      <c r="BG208" s="133"/>
      <c r="BH208" s="133"/>
      <c r="BI208" s="133"/>
      <c r="BJ208" s="133"/>
      <c r="BK208" s="133"/>
      <c r="BL208" s="133"/>
      <c r="BM208" s="133"/>
      <c r="BN208" s="133"/>
      <c r="BO208" s="133"/>
      <c r="BP208" s="133"/>
      <c r="BQ208" s="133"/>
      <c r="BR208" s="133"/>
      <c r="BS208" s="133"/>
      <c r="BT208" s="133"/>
      <c r="BU208" s="133"/>
      <c r="BV208" s="133"/>
      <c r="BW208" s="133"/>
      <c r="BX208" s="133"/>
      <c r="BY208" s="133"/>
      <c r="BZ208" s="133"/>
      <c r="CA208" s="133"/>
      <c r="CB208" s="133"/>
      <c r="CC208" s="133"/>
      <c r="CD208" s="133"/>
      <c r="CE208" s="133"/>
      <c r="CF208" s="133"/>
      <c r="CG208" s="133"/>
      <c r="CH208" s="133"/>
      <c r="CI208" s="133"/>
      <c r="CJ208" s="133"/>
      <c r="CK208" s="133"/>
      <c r="CL208" s="133"/>
      <c r="CM208" s="133"/>
      <c r="CN208" s="133"/>
      <c r="CO208" s="133"/>
      <c r="CP208" s="133"/>
      <c r="CQ208" s="133"/>
      <c r="CR208" s="133"/>
      <c r="CS208" s="133"/>
      <c r="CT208" s="133"/>
      <c r="CU208" s="133"/>
      <c r="CV208" s="133"/>
      <c r="CW208" s="133"/>
      <c r="CX208" s="133"/>
      <c r="CY208" s="133"/>
      <c r="CZ208" s="133"/>
      <c r="DA208" s="133"/>
      <c r="DB208" s="133"/>
      <c r="DC208" s="133"/>
      <c r="DD208" s="133"/>
      <c r="DE208" s="133"/>
      <c r="DF208" s="133"/>
      <c r="DG208" s="133"/>
      <c r="DH208" s="133"/>
      <c r="DI208" s="133"/>
      <c r="DJ208" s="133"/>
      <c r="DK208" s="133"/>
      <c r="DL208" s="133"/>
      <c r="DM208" s="133"/>
      <c r="DN208" s="133"/>
      <c r="DO208" s="133"/>
      <c r="DP208" s="133"/>
      <c r="DQ208" s="133"/>
      <c r="DR208" s="133"/>
      <c r="DS208" s="133"/>
      <c r="DT208" s="133"/>
      <c r="DU208" s="133"/>
      <c r="DV208" s="133"/>
      <c r="DW208" s="133"/>
      <c r="DX208" s="133"/>
      <c r="DY208" s="133"/>
      <c r="DZ208" s="133"/>
      <c r="EA208" s="133"/>
      <c r="EB208" s="133"/>
      <c r="EC208" s="133"/>
      <c r="ED208" s="133"/>
      <c r="EE208" s="133"/>
      <c r="EF208" s="133"/>
      <c r="EG208" s="133"/>
      <c r="EH208" s="133"/>
      <c r="EI208" s="133"/>
      <c r="EJ208" s="133"/>
      <c r="EK208" s="133"/>
      <c r="EL208" s="133"/>
      <c r="EM208" s="133"/>
      <c r="EN208" s="133"/>
      <c r="EO208" s="133"/>
      <c r="EP208" s="133"/>
      <c r="EQ208" s="133"/>
      <c r="ER208" s="133"/>
      <c r="ES208" s="133"/>
      <c r="ET208" s="133"/>
      <c r="EU208" s="133"/>
      <c r="EV208" s="133"/>
      <c r="EW208" s="133"/>
      <c r="EX208" s="133"/>
      <c r="EY208" s="133"/>
      <c r="EZ208" s="133"/>
      <c r="FA208" s="133"/>
      <c r="FB208" s="133"/>
      <c r="FC208" s="133"/>
      <c r="FD208" s="133"/>
      <c r="FE208" s="133"/>
      <c r="FF208" s="133"/>
      <c r="FG208" s="133"/>
      <c r="FH208" s="133"/>
      <c r="FI208" s="133"/>
      <c r="FJ208" s="133"/>
      <c r="FK208" s="133"/>
      <c r="FL208" s="133"/>
      <c r="FM208" s="133"/>
      <c r="FN208" s="133"/>
      <c r="FO208" s="133"/>
      <c r="FP208" s="133"/>
      <c r="FQ208" s="133"/>
      <c r="FR208" s="133"/>
      <c r="FS208" s="133"/>
      <c r="FT208" s="133"/>
      <c r="FU208" s="133"/>
      <c r="FV208" s="133"/>
      <c r="FW208" s="133"/>
      <c r="FX208" s="133"/>
      <c r="FY208" s="133"/>
      <c r="FZ208" s="133"/>
      <c r="GA208" s="133"/>
      <c r="GB208" s="133"/>
      <c r="GC208" s="133"/>
      <c r="GD208" s="133"/>
      <c r="GE208" s="133"/>
      <c r="GF208" s="133"/>
      <c r="GG208" s="133"/>
      <c r="GH208" s="133"/>
      <c r="GI208" s="133"/>
      <c r="GJ208" s="133"/>
      <c r="GK208" s="133"/>
      <c r="GL208" s="133"/>
      <c r="GM208" s="133"/>
      <c r="GN208" s="133"/>
      <c r="GO208" s="133"/>
      <c r="GP208" s="133"/>
      <c r="GQ208" s="133"/>
      <c r="GR208" s="133"/>
      <c r="GS208" s="133"/>
      <c r="GT208" s="133"/>
      <c r="GU208" s="133"/>
      <c r="GV208" s="133"/>
      <c r="GW208" s="133"/>
      <c r="GX208" s="133"/>
      <c r="GY208" s="133"/>
      <c r="GZ208" s="133"/>
      <c r="HA208" s="133"/>
      <c r="HB208" s="133"/>
      <c r="HC208" s="133"/>
      <c r="HD208" s="133"/>
      <c r="HE208" s="133"/>
      <c r="HF208" s="133"/>
      <c r="HG208" s="133"/>
      <c r="HH208" s="133"/>
      <c r="HI208" s="133"/>
      <c r="HJ208" s="133"/>
      <c r="HK208" s="133"/>
      <c r="HL208" s="133"/>
      <c r="HM208" s="133"/>
      <c r="HN208" s="133"/>
      <c r="HO208" s="133"/>
      <c r="HP208" s="133"/>
      <c r="HQ208" s="133"/>
      <c r="HR208" s="133"/>
      <c r="HS208" s="133"/>
      <c r="HT208" s="133"/>
      <c r="HU208" s="133"/>
      <c r="HV208" s="133"/>
      <c r="HW208" s="133"/>
      <c r="HX208" s="133"/>
      <c r="HY208" s="133"/>
      <c r="HZ208" s="133"/>
      <c r="IA208" s="133"/>
      <c r="IB208" s="133"/>
      <c r="IC208" s="133"/>
      <c r="ID208" s="133"/>
      <c r="IE208" s="133"/>
      <c r="IF208" s="133"/>
      <c r="IG208" s="133"/>
      <c r="IH208" s="133"/>
      <c r="II208" s="133"/>
      <c r="IJ208" s="133"/>
      <c r="IK208" s="133"/>
      <c r="IL208" s="133"/>
      <c r="IM208" s="133"/>
      <c r="IN208" s="133"/>
      <c r="IO208" s="133"/>
      <c r="IP208" s="133"/>
      <c r="IQ208" s="133"/>
      <c r="IR208" s="133"/>
      <c r="IS208" s="133"/>
      <c r="IT208" s="133"/>
      <c r="IU208" s="133"/>
      <c r="IV208" s="133"/>
      <c r="IW208" s="133"/>
      <c r="IX208" s="133"/>
      <c r="IY208" s="133"/>
      <c r="IZ208" s="133"/>
      <c r="JA208" s="133"/>
      <c r="JB208" s="133"/>
      <c r="JC208" s="133"/>
      <c r="JD208" s="133"/>
      <c r="JE208" s="133"/>
      <c r="JF208" s="133"/>
      <c r="JG208" s="133"/>
      <c r="JH208" s="133"/>
      <c r="JI208" s="133"/>
      <c r="JJ208" s="133"/>
      <c r="JK208" s="133"/>
      <c r="JL208" s="133"/>
      <c r="JM208" s="133"/>
      <c r="JN208" s="133"/>
      <c r="JO208" s="133"/>
      <c r="JP208" s="133"/>
      <c r="JQ208" s="133"/>
      <c r="JR208" s="133"/>
      <c r="JS208" s="133"/>
      <c r="JT208" s="133"/>
      <c r="JU208" s="133"/>
      <c r="JV208" s="133"/>
      <c r="JW208" s="133"/>
      <c r="JX208" s="133"/>
      <c r="JY208" s="133"/>
      <c r="JZ208" s="133"/>
      <c r="KA208" s="133"/>
      <c r="KB208" s="133"/>
      <c r="KC208" s="133"/>
      <c r="KD208" s="133"/>
      <c r="KE208" s="133"/>
      <c r="KF208" s="133"/>
      <c r="KG208" s="133"/>
      <c r="KH208" s="133"/>
      <c r="KI208" s="133"/>
      <c r="KJ208" s="133"/>
      <c r="KK208" s="133"/>
      <c r="KL208" s="133"/>
      <c r="KM208" s="133"/>
      <c r="KN208" s="133"/>
      <c r="KO208" s="133"/>
      <c r="KP208" s="133"/>
      <c r="KQ208" s="133"/>
      <c r="KR208" s="133"/>
      <c r="KS208" s="133"/>
      <c r="KT208" s="133"/>
      <c r="KU208" s="133"/>
      <c r="KV208" s="133"/>
      <c r="KW208" s="133"/>
      <c r="KX208" s="133"/>
      <c r="KY208" s="133"/>
      <c r="KZ208" s="133"/>
      <c r="LA208" s="133"/>
      <c r="LB208" s="133"/>
      <c r="LC208" s="133"/>
      <c r="LD208" s="133"/>
      <c r="LE208" s="133"/>
      <c r="LF208" s="133"/>
      <c r="LG208" s="133"/>
      <c r="LH208" s="133"/>
      <c r="LI208" s="133"/>
      <c r="LJ208" s="133"/>
      <c r="LK208" s="133"/>
      <c r="LL208" s="133"/>
      <c r="LM208" s="133"/>
      <c r="LN208" s="133"/>
      <c r="LO208" s="133"/>
      <c r="LP208" s="133"/>
      <c r="LQ208" s="133"/>
      <c r="LR208" s="133"/>
      <c r="LS208" s="133"/>
      <c r="LT208" s="133"/>
      <c r="LU208" s="133"/>
      <c r="LV208" s="133"/>
      <c r="LW208" s="133"/>
      <c r="LX208" s="133"/>
      <c r="LY208" s="133"/>
      <c r="LZ208" s="133"/>
      <c r="MA208" s="133"/>
      <c r="MB208" s="133"/>
      <c r="MC208" s="133"/>
      <c r="MD208" s="133"/>
      <c r="ME208" s="133"/>
      <c r="MF208" s="133"/>
      <c r="MG208" s="133"/>
      <c r="MH208" s="133"/>
      <c r="MI208" s="133"/>
      <c r="MJ208" s="133"/>
      <c r="MK208" s="133"/>
      <c r="ML208" s="133"/>
      <c r="MM208" s="133"/>
      <c r="MN208" s="133"/>
      <c r="MO208" s="133"/>
      <c r="MP208" s="133"/>
      <c r="MQ208" s="133"/>
      <c r="MR208" s="133"/>
      <c r="MS208" s="133"/>
      <c r="MT208" s="133"/>
      <c r="MU208" s="133"/>
      <c r="MV208" s="133"/>
      <c r="MW208" s="133"/>
      <c r="MX208" s="133"/>
      <c r="MY208" s="133"/>
      <c r="MZ208" s="133"/>
      <c r="NA208" s="133"/>
      <c r="NB208" s="133"/>
      <c r="NC208" s="133"/>
      <c r="ND208" s="133"/>
      <c r="NE208" s="133"/>
      <c r="NF208" s="133"/>
      <c r="NG208" s="133"/>
      <c r="NH208" s="133"/>
      <c r="NI208" s="133"/>
      <c r="NJ208" s="133"/>
      <c r="NK208" s="133"/>
      <c r="NL208" s="133"/>
      <c r="NM208" s="133"/>
      <c r="NN208" s="133"/>
      <c r="NO208" s="133"/>
      <c r="NP208" s="133"/>
      <c r="NQ208" s="133"/>
      <c r="NR208" s="133"/>
      <c r="NS208" s="133"/>
      <c r="NT208" s="133"/>
      <c r="NU208" s="133"/>
      <c r="NV208" s="133"/>
      <c r="NW208" s="133"/>
      <c r="NX208" s="133"/>
      <c r="NY208" s="133"/>
      <c r="NZ208" s="133"/>
      <c r="OA208" s="133"/>
      <c r="OB208" s="133"/>
      <c r="OC208" s="133"/>
      <c r="OD208" s="133"/>
      <c r="OE208" s="133"/>
      <c r="OF208" s="133"/>
      <c r="OG208" s="133"/>
      <c r="OH208" s="133"/>
      <c r="OI208" s="133"/>
      <c r="OJ208" s="133"/>
      <c r="OK208" s="133"/>
      <c r="OL208" s="133"/>
      <c r="OM208" s="133"/>
      <c r="ON208" s="133"/>
      <c r="OO208" s="133"/>
      <c r="OP208" s="133"/>
      <c r="OQ208" s="133"/>
      <c r="OR208" s="133"/>
      <c r="OS208" s="133"/>
      <c r="OT208" s="133"/>
      <c r="OU208" s="133"/>
      <c r="OV208" s="133"/>
      <c r="OW208" s="133"/>
      <c r="OX208" s="133"/>
      <c r="OY208" s="133"/>
      <c r="OZ208" s="133"/>
      <c r="PA208" s="133"/>
      <c r="PB208" s="133"/>
      <c r="PC208" s="133"/>
      <c r="PD208" s="133"/>
      <c r="PE208" s="133"/>
      <c r="PF208" s="133"/>
      <c r="PG208" s="133"/>
      <c r="PH208" s="133"/>
      <c r="PI208" s="133"/>
      <c r="PJ208" s="133"/>
      <c r="PK208" s="133"/>
      <c r="PL208" s="133"/>
      <c r="PM208" s="133"/>
      <c r="PN208" s="133"/>
      <c r="PO208" s="133"/>
      <c r="PP208" s="133"/>
      <c r="PQ208" s="133"/>
      <c r="PR208" s="133"/>
      <c r="PS208" s="133"/>
      <c r="PT208" s="133"/>
      <c r="PU208" s="133"/>
      <c r="PV208" s="133"/>
      <c r="PW208" s="133"/>
      <c r="PX208" s="133"/>
      <c r="PY208" s="133"/>
      <c r="PZ208" s="133"/>
      <c r="QA208" s="133"/>
      <c r="QB208" s="133"/>
      <c r="QC208" s="133"/>
      <c r="QD208" s="133"/>
      <c r="QE208" s="133"/>
      <c r="QF208" s="133"/>
      <c r="QG208" s="133"/>
      <c r="QH208" s="133"/>
      <c r="QI208" s="133"/>
      <c r="QJ208" s="133"/>
      <c r="QK208" s="133"/>
      <c r="QL208" s="133"/>
      <c r="QM208" s="133"/>
      <c r="QN208" s="133"/>
      <c r="QO208" s="133"/>
      <c r="QP208" s="133"/>
      <c r="QQ208" s="133"/>
      <c r="QR208" s="133"/>
      <c r="QS208" s="133"/>
      <c r="QT208" s="133"/>
      <c r="QU208" s="133"/>
      <c r="QV208" s="133"/>
      <c r="QW208" s="133"/>
      <c r="QX208" s="133"/>
      <c r="QY208" s="133"/>
      <c r="QZ208" s="133"/>
      <c r="RA208" s="133"/>
      <c r="RB208" s="133"/>
      <c r="RC208" s="133"/>
      <c r="RD208" s="133"/>
      <c r="RE208" s="133"/>
      <c r="RF208" s="133"/>
      <c r="RG208" s="133"/>
      <c r="RH208" s="133"/>
      <c r="RI208" s="133"/>
      <c r="RJ208" s="133"/>
      <c r="RK208" s="133"/>
      <c r="RL208" s="133"/>
      <c r="RM208" s="133"/>
      <c r="RN208" s="133"/>
      <c r="RO208" s="133"/>
      <c r="RP208" s="133"/>
      <c r="RQ208" s="133"/>
      <c r="RR208" s="133"/>
      <c r="RS208" s="133"/>
      <c r="RT208" s="133"/>
      <c r="RU208" s="133"/>
      <c r="RV208" s="133"/>
      <c r="RW208" s="133"/>
      <c r="RX208" s="133"/>
      <c r="RY208" s="133"/>
      <c r="RZ208" s="133"/>
      <c r="SA208" s="133"/>
      <c r="SB208" s="133"/>
      <c r="SC208" s="133"/>
      <c r="SD208" s="133"/>
      <c r="SE208" s="133"/>
      <c r="SF208" s="133"/>
      <c r="SG208" s="133"/>
      <c r="SH208" s="133"/>
      <c r="SI208" s="133"/>
      <c r="SJ208" s="133"/>
      <c r="SK208" s="133"/>
      <c r="SL208" s="133"/>
      <c r="SM208" s="133"/>
      <c r="SN208" s="133"/>
      <c r="SO208" s="133"/>
      <c r="SP208" s="133"/>
      <c r="SQ208" s="133"/>
      <c r="SR208" s="133"/>
      <c r="SS208" s="133"/>
      <c r="ST208" s="133"/>
      <c r="SU208" s="133"/>
      <c r="SV208" s="133"/>
      <c r="SW208" s="133"/>
      <c r="SX208" s="133"/>
      <c r="SY208" s="133"/>
      <c r="SZ208" s="133"/>
      <c r="TA208" s="133"/>
      <c r="TB208" s="133"/>
      <c r="TC208" s="133"/>
      <c r="TD208" s="133"/>
      <c r="TE208" s="133"/>
      <c r="TF208" s="133"/>
      <c r="TG208" s="133"/>
      <c r="TH208" s="133"/>
      <c r="TI208" s="133"/>
      <c r="TJ208" s="133"/>
      <c r="TK208" s="133"/>
      <c r="TL208" s="133"/>
      <c r="TM208" s="133"/>
      <c r="TN208" s="133"/>
      <c r="TO208" s="133"/>
      <c r="TP208" s="133"/>
      <c r="TQ208" s="133"/>
      <c r="TR208" s="133"/>
      <c r="TS208" s="133"/>
      <c r="TT208" s="133"/>
      <c r="TU208" s="133"/>
      <c r="TV208" s="133"/>
      <c r="TW208" s="133"/>
      <c r="TX208" s="133"/>
      <c r="TY208" s="133"/>
      <c r="TZ208" s="133"/>
      <c r="UA208" s="133"/>
      <c r="UB208" s="133"/>
      <c r="UC208" s="133"/>
      <c r="UD208" s="133"/>
      <c r="UE208" s="133"/>
      <c r="UF208" s="133"/>
      <c r="UG208" s="133"/>
      <c r="UH208" s="133"/>
      <c r="UI208" s="133"/>
      <c r="UJ208" s="133"/>
      <c r="UK208" s="133"/>
      <c r="UL208" s="133"/>
      <c r="UM208" s="133"/>
      <c r="UN208" s="133"/>
      <c r="UO208" s="133"/>
      <c r="UP208" s="133"/>
      <c r="UQ208" s="133"/>
      <c r="UR208" s="133"/>
      <c r="US208" s="133"/>
      <c r="UT208" s="133"/>
      <c r="UU208" s="133"/>
      <c r="UV208" s="133"/>
      <c r="UW208" s="133"/>
      <c r="UX208" s="133"/>
      <c r="UY208" s="133"/>
      <c r="UZ208" s="133"/>
      <c r="VA208" s="133"/>
      <c r="VB208" s="133"/>
      <c r="VC208" s="133"/>
      <c r="VD208" s="133"/>
      <c r="VE208" s="133"/>
      <c r="VF208" s="133"/>
      <c r="VG208" s="133"/>
      <c r="VH208" s="133"/>
      <c r="VI208" s="133"/>
      <c r="VJ208" s="133"/>
      <c r="VK208" s="133"/>
      <c r="VL208" s="133"/>
      <c r="VM208" s="133"/>
      <c r="VN208" s="133"/>
      <c r="VO208" s="133"/>
      <c r="VP208" s="133"/>
      <c r="VQ208" s="133"/>
      <c r="VR208" s="133"/>
      <c r="VS208" s="133"/>
      <c r="VT208" s="133"/>
      <c r="VU208" s="133"/>
      <c r="VV208" s="133"/>
      <c r="VW208" s="133"/>
      <c r="VX208" s="133"/>
      <c r="VY208" s="133"/>
      <c r="VZ208" s="133"/>
      <c r="WA208" s="133"/>
      <c r="WB208" s="133"/>
      <c r="WC208" s="133"/>
      <c r="WD208" s="133"/>
      <c r="WE208" s="133"/>
      <c r="WF208" s="133"/>
      <c r="WG208" s="133"/>
      <c r="WH208" s="133"/>
      <c r="WI208" s="133"/>
      <c r="WJ208" s="133"/>
      <c r="WK208" s="133"/>
      <c r="WL208" s="133"/>
      <c r="WM208" s="133"/>
      <c r="WN208" s="133"/>
      <c r="WO208" s="133"/>
      <c r="WP208" s="133"/>
      <c r="WQ208" s="133"/>
      <c r="WR208" s="133"/>
      <c r="WS208" s="133"/>
      <c r="WT208" s="133"/>
      <c r="WU208" s="133"/>
      <c r="WV208" s="133"/>
      <c r="WW208" s="133"/>
      <c r="WX208" s="133"/>
      <c r="WY208" s="133"/>
      <c r="WZ208" s="133"/>
      <c r="XA208" s="133"/>
      <c r="XB208" s="133"/>
      <c r="XC208" s="133"/>
      <c r="XD208" s="133"/>
      <c r="XE208" s="133"/>
      <c r="XF208" s="133"/>
      <c r="XG208" s="133"/>
      <c r="XH208" s="133"/>
      <c r="XI208" s="133"/>
      <c r="XJ208" s="133"/>
      <c r="XK208" s="133"/>
      <c r="XL208" s="133"/>
      <c r="XM208" s="133"/>
      <c r="XN208" s="133"/>
      <c r="XO208" s="133"/>
      <c r="XP208" s="133"/>
      <c r="XQ208" s="133"/>
      <c r="XR208" s="133"/>
      <c r="XS208" s="133"/>
      <c r="XT208" s="133"/>
      <c r="XU208" s="133"/>
      <c r="XV208" s="133"/>
      <c r="XW208" s="133"/>
      <c r="XX208" s="133"/>
      <c r="XY208" s="133"/>
      <c r="XZ208" s="133"/>
      <c r="YA208" s="133"/>
      <c r="YB208" s="133"/>
      <c r="YC208" s="133"/>
      <c r="YD208" s="133"/>
      <c r="YE208" s="133"/>
      <c r="YF208" s="133"/>
      <c r="YG208" s="133"/>
      <c r="YH208" s="133"/>
      <c r="YI208" s="133"/>
      <c r="YJ208" s="133"/>
      <c r="YK208" s="133"/>
      <c r="YL208" s="133"/>
      <c r="YM208" s="133"/>
      <c r="YN208" s="133"/>
      <c r="YO208" s="133"/>
      <c r="YP208" s="133"/>
      <c r="YQ208" s="133"/>
      <c r="YR208" s="133"/>
      <c r="YS208" s="133"/>
      <c r="YT208" s="133"/>
      <c r="YU208" s="133"/>
      <c r="YV208" s="133"/>
      <c r="YW208" s="133"/>
      <c r="YX208" s="133"/>
      <c r="YY208" s="133"/>
      <c r="YZ208" s="133"/>
      <c r="ZA208" s="133"/>
      <c r="ZB208" s="133"/>
      <c r="ZC208" s="133"/>
      <c r="ZD208" s="133"/>
      <c r="ZE208" s="133"/>
      <c r="ZF208" s="133"/>
      <c r="ZG208" s="133"/>
      <c r="ZH208" s="133"/>
      <c r="ZI208" s="133"/>
      <c r="ZJ208" s="133"/>
      <c r="ZK208" s="133"/>
      <c r="ZL208" s="133"/>
      <c r="ZM208" s="133"/>
      <c r="ZN208" s="133"/>
      <c r="ZO208" s="133"/>
      <c r="ZP208" s="133"/>
      <c r="ZQ208" s="133"/>
      <c r="ZR208" s="133"/>
      <c r="ZS208" s="133"/>
      <c r="ZT208" s="133"/>
      <c r="ZU208" s="133"/>
      <c r="ZV208" s="133"/>
      <c r="ZW208" s="133"/>
      <c r="ZX208" s="133"/>
      <c r="ZY208" s="133"/>
      <c r="ZZ208" s="133"/>
      <c r="AAA208" s="133"/>
      <c r="AAB208" s="133"/>
      <c r="AAC208" s="133"/>
      <c r="AAD208" s="133"/>
      <c r="AAE208" s="133"/>
      <c r="AAF208" s="133"/>
      <c r="AAG208" s="133"/>
      <c r="AAH208" s="133"/>
      <c r="AAI208" s="133"/>
      <c r="AAJ208" s="133"/>
      <c r="AAK208" s="133"/>
      <c r="AAL208" s="133"/>
      <c r="AAM208" s="133"/>
      <c r="AAN208" s="133"/>
      <c r="AAO208" s="133"/>
      <c r="AAP208" s="133"/>
      <c r="AAQ208" s="133"/>
      <c r="AAR208" s="133"/>
      <c r="AAS208" s="133"/>
      <c r="AAT208" s="133"/>
      <c r="AAU208" s="133"/>
      <c r="AAV208" s="133"/>
      <c r="AAW208" s="133"/>
      <c r="AAX208" s="133"/>
      <c r="AAY208" s="133"/>
      <c r="AAZ208" s="133"/>
      <c r="ABA208" s="133"/>
      <c r="ABB208" s="133"/>
      <c r="ABC208" s="133"/>
      <c r="ABD208" s="133"/>
      <c r="ABE208" s="133"/>
      <c r="ABF208" s="133"/>
      <c r="ABG208" s="133"/>
      <c r="ABH208" s="133"/>
      <c r="ABI208" s="133"/>
      <c r="ABJ208" s="133"/>
      <c r="ABK208" s="133"/>
      <c r="ABL208" s="133"/>
      <c r="ABM208" s="133"/>
      <c r="ABN208" s="133"/>
      <c r="ABO208" s="133"/>
      <c r="ABP208" s="133"/>
      <c r="ABQ208" s="133"/>
      <c r="ABR208" s="133"/>
      <c r="ABS208" s="133"/>
      <c r="ABT208" s="133"/>
      <c r="ABU208" s="133"/>
      <c r="ABV208" s="133"/>
      <c r="ABW208" s="133"/>
      <c r="ABX208" s="133"/>
      <c r="ABY208" s="133"/>
      <c r="ABZ208" s="133"/>
      <c r="ACA208" s="133"/>
      <c r="ACB208" s="133"/>
      <c r="ACC208" s="133"/>
      <c r="ACD208" s="133"/>
      <c r="ACE208" s="133"/>
      <c r="ACF208" s="133"/>
      <c r="ACG208" s="133"/>
      <c r="ACH208" s="133"/>
      <c r="ACI208" s="133"/>
      <c r="ACJ208" s="133"/>
      <c r="ACK208" s="133"/>
      <c r="ACL208" s="133"/>
      <c r="ACM208" s="133"/>
      <c r="ACN208" s="133"/>
      <c r="ACO208" s="133"/>
      <c r="ACP208" s="133"/>
      <c r="ACQ208" s="133"/>
      <c r="ACR208" s="133"/>
      <c r="ACS208" s="133"/>
      <c r="ACT208" s="133"/>
      <c r="ACU208" s="133"/>
      <c r="ACV208" s="133"/>
      <c r="ACW208" s="133"/>
      <c r="ACX208" s="133"/>
      <c r="ACY208" s="133"/>
      <c r="ACZ208" s="133"/>
      <c r="ADA208" s="133"/>
      <c r="ADB208" s="133"/>
      <c r="ADC208" s="133"/>
      <c r="ADD208" s="133"/>
      <c r="ADE208" s="133"/>
      <c r="ADF208" s="133"/>
      <c r="ADG208" s="133"/>
      <c r="ADH208" s="133"/>
      <c r="ADI208" s="133"/>
      <c r="ADJ208" s="133"/>
      <c r="ADK208" s="133"/>
      <c r="ADL208" s="133"/>
      <c r="ADM208" s="133"/>
      <c r="ADN208" s="133"/>
      <c r="ADO208" s="133"/>
      <c r="ADP208" s="133"/>
      <c r="ADQ208" s="133"/>
      <c r="ADR208" s="133"/>
      <c r="ADS208" s="133"/>
      <c r="ADT208" s="133"/>
      <c r="ADU208" s="133"/>
      <c r="ADV208" s="133"/>
      <c r="ADW208" s="133"/>
      <c r="ADX208" s="133"/>
      <c r="ADY208" s="133"/>
      <c r="ADZ208" s="133"/>
      <c r="AEA208" s="133"/>
      <c r="AEB208" s="133"/>
      <c r="AEC208" s="133"/>
      <c r="AED208" s="133"/>
      <c r="AEE208" s="133"/>
      <c r="AEF208" s="133"/>
      <c r="AEG208" s="133"/>
      <c r="AEH208" s="133"/>
      <c r="AEI208" s="133"/>
      <c r="AEJ208" s="133"/>
      <c r="AEK208" s="133"/>
      <c r="AEL208" s="133"/>
      <c r="AEM208" s="133"/>
      <c r="AEN208" s="133"/>
      <c r="AEO208" s="133"/>
      <c r="AEP208" s="133"/>
      <c r="AEQ208" s="133"/>
      <c r="AER208" s="133"/>
      <c r="AES208" s="133"/>
      <c r="AET208" s="133"/>
      <c r="AEU208" s="133"/>
      <c r="AEV208" s="133"/>
      <c r="AEW208" s="133"/>
      <c r="AEX208" s="133"/>
      <c r="AEY208" s="133"/>
      <c r="AEZ208" s="133"/>
      <c r="AFA208" s="133"/>
      <c r="AFB208" s="133"/>
      <c r="AFC208" s="133"/>
      <c r="AFD208" s="133"/>
      <c r="AFE208" s="133"/>
      <c r="AFF208" s="133"/>
      <c r="AFG208" s="133"/>
      <c r="AFH208" s="133"/>
      <c r="AFI208" s="133"/>
      <c r="AFJ208" s="133"/>
      <c r="AFK208" s="133"/>
      <c r="AFL208" s="133"/>
      <c r="AFM208" s="133"/>
      <c r="AFN208" s="133"/>
      <c r="AFO208" s="133"/>
      <c r="AFP208" s="133"/>
      <c r="AFQ208" s="133"/>
      <c r="AFR208" s="133"/>
      <c r="AFS208" s="133"/>
      <c r="AFT208" s="133"/>
      <c r="AFU208" s="133"/>
      <c r="AFV208" s="133"/>
      <c r="AFW208" s="133"/>
      <c r="AFX208" s="133"/>
      <c r="AFY208" s="133"/>
      <c r="AFZ208" s="133"/>
      <c r="AGA208" s="133"/>
      <c r="AGB208" s="133"/>
      <c r="AGC208" s="133"/>
      <c r="AGD208" s="133"/>
      <c r="AGE208" s="133"/>
      <c r="AGF208" s="133"/>
      <c r="AGG208" s="133"/>
      <c r="AGH208" s="133"/>
      <c r="AGI208" s="133"/>
      <c r="AGJ208" s="133"/>
      <c r="AGK208" s="133"/>
      <c r="AGL208" s="133"/>
      <c r="AGM208" s="133"/>
      <c r="AGN208" s="133"/>
      <c r="AGO208" s="133"/>
      <c r="AGP208" s="133"/>
      <c r="AGQ208" s="133"/>
      <c r="AGR208" s="133"/>
      <c r="AGS208" s="133"/>
      <c r="AGT208" s="133"/>
      <c r="AGU208" s="133"/>
      <c r="AGV208" s="133"/>
      <c r="AGW208" s="133"/>
      <c r="AGX208" s="133"/>
      <c r="AGY208" s="133"/>
      <c r="AGZ208" s="133"/>
      <c r="AHA208" s="133"/>
      <c r="AHB208" s="133"/>
      <c r="AHC208" s="133"/>
      <c r="AHD208" s="133"/>
      <c r="AHE208" s="133"/>
      <c r="AHF208" s="133"/>
      <c r="AHG208" s="133"/>
      <c r="AHH208" s="133"/>
      <c r="AHI208" s="133"/>
      <c r="AHJ208" s="133"/>
      <c r="AHK208" s="133"/>
      <c r="AHL208" s="133"/>
      <c r="AHM208" s="133"/>
      <c r="AHN208" s="133"/>
      <c r="AHO208" s="133"/>
      <c r="AHP208" s="133"/>
      <c r="AHQ208" s="133"/>
      <c r="AHR208" s="133"/>
      <c r="AHS208" s="133"/>
      <c r="AHT208" s="133"/>
      <c r="AHU208" s="133"/>
      <c r="AHV208" s="133"/>
      <c r="AHW208" s="133"/>
      <c r="AHX208" s="133"/>
      <c r="AHY208" s="133"/>
      <c r="AHZ208" s="133"/>
      <c r="AIA208" s="133"/>
      <c r="AIB208" s="133"/>
      <c r="AIC208" s="133"/>
      <c r="AID208" s="133"/>
      <c r="AIE208" s="133"/>
      <c r="AIF208" s="133"/>
      <c r="AIG208" s="133"/>
      <c r="AIH208" s="133"/>
      <c r="AII208" s="133"/>
      <c r="AIJ208" s="133"/>
      <c r="AIK208" s="133"/>
      <c r="AIL208" s="133"/>
      <c r="AIM208" s="133"/>
      <c r="AIN208" s="133"/>
      <c r="AIO208" s="133"/>
      <c r="AIP208" s="133"/>
      <c r="AIQ208" s="133"/>
      <c r="AIR208" s="133"/>
      <c r="AIS208" s="133"/>
      <c r="AIT208" s="133"/>
      <c r="AIU208" s="133"/>
      <c r="AIV208" s="133"/>
      <c r="AIW208" s="133"/>
      <c r="AIX208" s="133"/>
      <c r="AIY208" s="133"/>
      <c r="AIZ208" s="133"/>
      <c r="AJA208" s="133"/>
      <c r="AJB208" s="133"/>
      <c r="AJC208" s="133"/>
      <c r="AJD208" s="133"/>
      <c r="AJE208" s="133"/>
      <c r="AJF208" s="133"/>
      <c r="AJG208" s="133"/>
      <c r="AJH208" s="133"/>
      <c r="AJI208" s="133"/>
      <c r="AJJ208" s="133"/>
      <c r="AJK208" s="133"/>
      <c r="AJL208" s="133"/>
      <c r="AJM208" s="133"/>
      <c r="AJN208" s="133"/>
      <c r="AJO208" s="133"/>
      <c r="AJP208" s="133"/>
      <c r="AJQ208" s="133"/>
      <c r="AJR208" s="133"/>
      <c r="AJS208" s="133"/>
      <c r="AJT208" s="133"/>
      <c r="AJU208" s="133"/>
      <c r="AJV208" s="133"/>
      <c r="AJW208" s="133"/>
      <c r="AJX208" s="133"/>
      <c r="AJY208" s="133"/>
      <c r="AJZ208" s="133"/>
      <c r="AKA208" s="133"/>
      <c r="AKB208" s="133"/>
      <c r="AKC208" s="133"/>
      <c r="AKD208" s="133"/>
      <c r="AKE208" s="133"/>
      <c r="AKF208" s="133"/>
      <c r="AKG208" s="133"/>
      <c r="AKH208" s="133"/>
      <c r="AKI208" s="133"/>
      <c r="AKJ208" s="133"/>
      <c r="AKK208" s="133"/>
      <c r="AKL208" s="133"/>
      <c r="AKM208" s="133"/>
      <c r="AKN208" s="133"/>
      <c r="AKO208" s="133"/>
      <c r="AKP208" s="133"/>
      <c r="AKQ208" s="133"/>
      <c r="AKR208" s="133"/>
      <c r="AKS208" s="133"/>
      <c r="AKT208" s="133"/>
      <c r="AKU208" s="133"/>
      <c r="AKV208" s="133"/>
      <c r="AKW208" s="133"/>
      <c r="AKX208" s="133"/>
      <c r="AKY208" s="133"/>
      <c r="AKZ208" s="133"/>
      <c r="ALA208" s="133"/>
      <c r="ALB208" s="133"/>
      <c r="ALC208" s="133"/>
      <c r="ALD208" s="133"/>
      <c r="ALE208" s="133"/>
      <c r="ALF208" s="133"/>
      <c r="ALG208" s="133"/>
      <c r="ALH208" s="133"/>
      <c r="ALI208" s="133"/>
      <c r="ALJ208" s="133"/>
      <c r="ALK208" s="133"/>
      <c r="ALL208" s="133"/>
      <c r="ALM208" s="133"/>
      <c r="ALN208" s="133"/>
      <c r="ALO208" s="133"/>
      <c r="ALP208" s="133"/>
      <c r="ALQ208" s="133"/>
      <c r="ALR208" s="133"/>
      <c r="ALS208" s="133"/>
      <c r="ALT208" s="133"/>
      <c r="ALU208" s="133"/>
      <c r="ALV208" s="133"/>
      <c r="ALW208" s="133"/>
      <c r="ALX208" s="133"/>
      <c r="ALY208" s="133"/>
      <c r="ALZ208" s="133"/>
      <c r="AMA208" s="133"/>
      <c r="AMB208" s="133"/>
      <c r="AMC208" s="133"/>
      <c r="AMD208" s="133"/>
      <c r="AME208" s="133"/>
      <c r="AMF208" s="133"/>
      <c r="AMG208" s="133"/>
      <c r="AMH208" s="133"/>
      <c r="AMI208" s="133"/>
      <c r="AMJ208" s="133"/>
      <c r="AMK208" s="133"/>
      <c r="AML208" s="133"/>
      <c r="AMM208" s="133"/>
      <c r="AMN208" s="133"/>
      <c r="AMO208" s="133"/>
      <c r="AMP208" s="133"/>
      <c r="AMQ208" s="133"/>
      <c r="AMR208" s="133"/>
      <c r="AMS208" s="133"/>
      <c r="AMT208" s="133"/>
      <c r="AMU208" s="133"/>
      <c r="AMV208" s="133"/>
      <c r="AMW208" s="133"/>
      <c r="AMX208" s="133"/>
      <c r="AMY208" s="133"/>
      <c r="AMZ208" s="133"/>
      <c r="ANA208" s="133"/>
      <c r="ANB208" s="133"/>
      <c r="ANC208" s="133"/>
      <c r="AND208" s="133"/>
      <c r="ANE208" s="133"/>
      <c r="ANF208" s="133"/>
      <c r="ANG208" s="133"/>
      <c r="ANH208" s="133"/>
      <c r="ANI208" s="133"/>
      <c r="ANJ208" s="133"/>
      <c r="ANK208" s="133"/>
      <c r="ANL208" s="133"/>
      <c r="ANM208" s="133"/>
      <c r="ANN208" s="133"/>
      <c r="ANO208" s="133"/>
      <c r="ANP208" s="133"/>
      <c r="ANQ208" s="133"/>
      <c r="ANR208" s="133"/>
      <c r="ANS208" s="133"/>
      <c r="ANT208" s="133"/>
      <c r="ANU208" s="133"/>
      <c r="ANV208" s="133"/>
      <c r="ANW208" s="133"/>
      <c r="ANX208" s="133"/>
      <c r="ANY208" s="133"/>
      <c r="ANZ208" s="133"/>
      <c r="AOA208" s="133"/>
      <c r="AOB208" s="133"/>
      <c r="AOC208" s="133"/>
      <c r="AOD208" s="133"/>
      <c r="AOE208" s="133"/>
      <c r="AOF208" s="133"/>
      <c r="AOG208" s="133"/>
      <c r="AOH208" s="133"/>
      <c r="AOI208" s="133"/>
      <c r="AOJ208" s="133"/>
      <c r="AOK208" s="133"/>
      <c r="AOL208" s="133"/>
      <c r="AOM208" s="133"/>
      <c r="AON208" s="133"/>
      <c r="AOO208" s="133"/>
      <c r="AOP208" s="133"/>
      <c r="AOQ208" s="133"/>
      <c r="AOR208" s="133"/>
      <c r="AOS208" s="133"/>
      <c r="AOT208" s="133"/>
      <c r="AOU208" s="133"/>
      <c r="AOV208" s="133"/>
      <c r="AOW208" s="133"/>
      <c r="AOX208" s="133"/>
      <c r="AOY208" s="133"/>
      <c r="AOZ208" s="133"/>
      <c r="APA208" s="133"/>
      <c r="APB208" s="133"/>
      <c r="APC208" s="133"/>
      <c r="APD208" s="133"/>
      <c r="APE208" s="133"/>
      <c r="APF208" s="133"/>
      <c r="APG208" s="133"/>
      <c r="APH208" s="133"/>
      <c r="API208" s="133"/>
      <c r="APJ208" s="133"/>
      <c r="APK208" s="133"/>
      <c r="APL208" s="133"/>
      <c r="APM208" s="133"/>
      <c r="APN208" s="133"/>
      <c r="APO208" s="133"/>
      <c r="APP208" s="133"/>
      <c r="APQ208" s="133"/>
      <c r="APR208" s="133"/>
      <c r="APS208" s="133"/>
      <c r="APT208" s="133"/>
      <c r="APU208" s="133"/>
      <c r="APV208" s="133"/>
      <c r="APW208" s="133"/>
      <c r="APX208" s="133"/>
      <c r="APY208" s="133"/>
      <c r="APZ208" s="133"/>
      <c r="AQA208" s="133"/>
      <c r="AQB208" s="133"/>
      <c r="AQC208" s="133"/>
      <c r="AQD208" s="133"/>
      <c r="AQE208" s="133"/>
      <c r="AQF208" s="133"/>
      <c r="AQG208" s="133"/>
      <c r="AQH208" s="133"/>
      <c r="AQI208" s="133"/>
      <c r="AQJ208" s="133"/>
      <c r="AQK208" s="133"/>
      <c r="AQL208" s="133"/>
      <c r="AQM208" s="133"/>
      <c r="AQN208" s="133"/>
      <c r="AQO208" s="133"/>
      <c r="AQP208" s="133"/>
      <c r="AQQ208" s="133"/>
      <c r="AQR208" s="133"/>
      <c r="AQS208" s="133"/>
      <c r="AQT208" s="133"/>
      <c r="AQU208" s="133"/>
      <c r="AQV208" s="133"/>
      <c r="AQW208" s="133"/>
      <c r="AQX208" s="133"/>
      <c r="AQY208" s="133"/>
      <c r="AQZ208" s="133"/>
      <c r="ARA208" s="133"/>
      <c r="ARB208" s="133"/>
      <c r="ARC208" s="133"/>
      <c r="ARD208" s="133"/>
      <c r="ARE208" s="133"/>
      <c r="ARF208" s="133"/>
      <c r="ARG208" s="133"/>
      <c r="ARH208" s="133"/>
      <c r="ARI208" s="133"/>
      <c r="ARJ208" s="133"/>
      <c r="ARK208" s="133"/>
      <c r="ARL208" s="133"/>
      <c r="ARM208" s="133"/>
      <c r="ARN208" s="133"/>
      <c r="ARO208" s="133"/>
      <c r="ARP208" s="133"/>
      <c r="ARQ208" s="133"/>
      <c r="ARR208" s="133"/>
      <c r="ARS208" s="133"/>
      <c r="ART208" s="133"/>
      <c r="ARU208" s="133"/>
      <c r="ARV208" s="133"/>
      <c r="ARW208" s="133"/>
      <c r="ARX208" s="133"/>
      <c r="ARY208" s="133"/>
      <c r="ARZ208" s="133"/>
      <c r="ASA208" s="133"/>
      <c r="ASB208" s="133"/>
      <c r="ASC208" s="133"/>
      <c r="ASD208" s="133"/>
      <c r="ASE208" s="133"/>
      <c r="ASF208" s="133"/>
      <c r="ASG208" s="133"/>
      <c r="ASH208" s="133"/>
      <c r="ASI208" s="133"/>
      <c r="ASJ208" s="133"/>
      <c r="ASK208" s="133"/>
      <c r="ASL208" s="133"/>
      <c r="ASM208" s="133"/>
      <c r="ASN208" s="133"/>
      <c r="ASO208" s="133"/>
      <c r="ASP208" s="133"/>
      <c r="ASQ208" s="133"/>
      <c r="ASR208" s="133"/>
      <c r="ASS208" s="133"/>
      <c r="AST208" s="133"/>
      <c r="ASU208" s="133"/>
      <c r="ASV208" s="133"/>
      <c r="ASW208" s="133"/>
      <c r="ASX208" s="133"/>
      <c r="ASY208" s="133"/>
      <c r="ASZ208" s="133"/>
      <c r="ATA208" s="133"/>
      <c r="ATB208" s="133"/>
      <c r="ATC208" s="133"/>
      <c r="ATD208" s="133"/>
      <c r="ATE208" s="133"/>
      <c r="ATF208" s="133"/>
      <c r="ATG208" s="133"/>
      <c r="ATH208" s="133"/>
      <c r="ATI208" s="133"/>
      <c r="ATJ208" s="133"/>
      <c r="ATK208" s="133"/>
      <c r="ATL208" s="133"/>
      <c r="ATM208" s="133"/>
      <c r="ATN208" s="133"/>
      <c r="ATO208" s="133"/>
      <c r="ATP208" s="133"/>
      <c r="ATQ208" s="133"/>
      <c r="ATR208" s="133"/>
      <c r="ATS208" s="133"/>
      <c r="ATT208" s="133"/>
      <c r="ATU208" s="133"/>
      <c r="ATV208" s="133"/>
      <c r="ATW208" s="133"/>
      <c r="ATX208" s="133"/>
      <c r="ATY208" s="133"/>
      <c r="ATZ208" s="133"/>
      <c r="AUA208" s="133"/>
      <c r="AUB208" s="133"/>
      <c r="AUC208" s="133"/>
      <c r="AUD208" s="133"/>
      <c r="AUE208" s="133"/>
      <c r="AUF208" s="133"/>
      <c r="AUG208" s="133"/>
      <c r="AUH208" s="133"/>
      <c r="AUI208" s="133"/>
      <c r="AUJ208" s="133"/>
      <c r="AUK208" s="133"/>
      <c r="AUL208" s="133"/>
      <c r="AUM208" s="133"/>
      <c r="AUN208" s="133"/>
      <c r="AUO208" s="133"/>
      <c r="AUP208" s="133"/>
      <c r="AUQ208" s="133"/>
      <c r="AUR208" s="133"/>
      <c r="AUS208" s="133"/>
      <c r="AUT208" s="133"/>
      <c r="AUU208" s="133"/>
      <c r="AUV208" s="133"/>
      <c r="AUW208" s="133"/>
      <c r="AUX208" s="133"/>
      <c r="AUY208" s="133"/>
      <c r="AUZ208" s="133"/>
      <c r="AVA208" s="133"/>
      <c r="AVB208" s="133"/>
      <c r="AVC208" s="133"/>
      <c r="AVD208" s="133"/>
      <c r="AVE208" s="133"/>
      <c r="AVF208" s="133"/>
      <c r="AVG208" s="133"/>
      <c r="AVH208" s="133"/>
      <c r="AVI208" s="133"/>
      <c r="AVJ208" s="133"/>
      <c r="AVK208" s="133"/>
      <c r="AVL208" s="133"/>
      <c r="AVM208" s="133"/>
      <c r="AVN208" s="133"/>
      <c r="AVO208" s="133"/>
      <c r="AVP208" s="133"/>
      <c r="AVQ208" s="133"/>
      <c r="AVR208" s="133"/>
      <c r="AVS208" s="133"/>
      <c r="AVT208" s="133"/>
      <c r="AVU208" s="133"/>
      <c r="AVV208" s="133"/>
      <c r="AVW208" s="133"/>
      <c r="AVX208" s="133"/>
      <c r="AVY208" s="133"/>
      <c r="AVZ208" s="133"/>
      <c r="AWA208" s="133"/>
      <c r="AWB208" s="133"/>
      <c r="AWC208" s="133"/>
      <c r="AWD208" s="133"/>
      <c r="AWE208" s="133"/>
      <c r="AWF208" s="133"/>
      <c r="AWG208" s="133"/>
      <c r="AWH208" s="133"/>
      <c r="AWI208" s="133"/>
      <c r="AWJ208" s="133"/>
      <c r="AWK208" s="133"/>
      <c r="AWL208" s="133"/>
      <c r="AWM208" s="133"/>
      <c r="AWN208" s="133"/>
      <c r="AWO208" s="133"/>
      <c r="AWP208" s="133"/>
      <c r="AWQ208" s="133"/>
      <c r="AWR208" s="133"/>
      <c r="AWS208" s="133"/>
      <c r="AWT208" s="133"/>
      <c r="AWU208" s="133"/>
      <c r="AWV208" s="133"/>
      <c r="AWW208" s="133"/>
      <c r="AWX208" s="133"/>
      <c r="AWY208" s="133"/>
      <c r="AWZ208" s="133"/>
      <c r="AXA208" s="133"/>
      <c r="AXB208" s="133"/>
      <c r="AXC208" s="133"/>
      <c r="AXD208" s="133"/>
      <c r="AXE208" s="133"/>
      <c r="AXF208" s="133"/>
      <c r="AXG208" s="133"/>
      <c r="AXH208" s="133"/>
      <c r="AXI208" s="133"/>
      <c r="AXJ208" s="133"/>
      <c r="AXK208" s="133"/>
      <c r="AXL208" s="133"/>
      <c r="AXM208" s="133"/>
      <c r="AXN208" s="133"/>
      <c r="AXO208" s="133"/>
      <c r="AXP208" s="133"/>
      <c r="AXQ208" s="133"/>
      <c r="AXR208" s="133"/>
      <c r="AXS208" s="133"/>
      <c r="AXT208" s="133"/>
      <c r="AXU208" s="133"/>
      <c r="AXV208" s="133"/>
      <c r="AXW208" s="133"/>
      <c r="AXX208" s="133"/>
      <c r="AXY208" s="133"/>
      <c r="AXZ208" s="133"/>
      <c r="AYA208" s="133"/>
      <c r="AYB208" s="133"/>
      <c r="AYC208" s="133"/>
      <c r="AYD208" s="133"/>
      <c r="AYE208" s="133"/>
      <c r="AYF208" s="133"/>
      <c r="AYG208" s="133"/>
      <c r="AYH208" s="133"/>
      <c r="AYI208" s="133"/>
      <c r="AYJ208" s="133"/>
      <c r="AYK208" s="133"/>
      <c r="AYL208" s="133"/>
      <c r="AYM208" s="133"/>
      <c r="AYN208" s="133"/>
      <c r="AYO208" s="133"/>
      <c r="AYP208" s="133"/>
      <c r="AYQ208" s="133"/>
      <c r="AYR208" s="133"/>
      <c r="AYS208" s="133"/>
      <c r="AYT208" s="133"/>
      <c r="AYU208" s="133"/>
      <c r="AYV208" s="133"/>
      <c r="AYW208" s="133"/>
      <c r="AYX208" s="133"/>
      <c r="AYY208" s="133"/>
      <c r="AYZ208" s="133"/>
      <c r="AZA208" s="133"/>
      <c r="AZB208" s="133"/>
      <c r="AZC208" s="133"/>
      <c r="AZD208" s="133"/>
      <c r="AZE208" s="133"/>
      <c r="AZF208" s="133"/>
      <c r="AZG208" s="133"/>
      <c r="AZH208" s="133"/>
      <c r="AZI208" s="133"/>
      <c r="AZJ208" s="133"/>
      <c r="AZK208" s="133"/>
      <c r="AZL208" s="133"/>
      <c r="AZM208" s="133"/>
      <c r="AZN208" s="133"/>
      <c r="AZO208" s="133"/>
      <c r="AZP208" s="133"/>
      <c r="AZQ208" s="133"/>
      <c r="AZR208" s="133"/>
      <c r="AZS208" s="133"/>
      <c r="AZT208" s="133"/>
      <c r="AZU208" s="133"/>
      <c r="AZV208" s="133"/>
      <c r="AZW208" s="133"/>
      <c r="AZX208" s="133"/>
      <c r="AZY208" s="133"/>
      <c r="AZZ208" s="133"/>
      <c r="BAA208" s="133"/>
      <c r="BAB208" s="133"/>
      <c r="BAC208" s="133"/>
      <c r="BAD208" s="133"/>
      <c r="BAE208" s="133"/>
      <c r="BAF208" s="133"/>
      <c r="BAG208" s="133"/>
      <c r="BAH208" s="133"/>
      <c r="BAI208" s="133"/>
      <c r="BAJ208" s="133"/>
      <c r="BAK208" s="133"/>
      <c r="BAL208" s="133"/>
      <c r="BAM208" s="133"/>
      <c r="BAN208" s="133"/>
      <c r="BAO208" s="133"/>
      <c r="BAP208" s="133"/>
      <c r="BAQ208" s="133"/>
      <c r="BAR208" s="133"/>
      <c r="BAS208" s="133"/>
      <c r="BAT208" s="133"/>
      <c r="BAU208" s="133"/>
      <c r="BAV208" s="133"/>
      <c r="BAW208" s="133"/>
      <c r="BAX208" s="133"/>
      <c r="BAY208" s="133"/>
      <c r="BAZ208" s="133"/>
      <c r="BBA208" s="133"/>
      <c r="BBB208" s="133"/>
      <c r="BBC208" s="133"/>
      <c r="BBD208" s="133"/>
      <c r="BBE208" s="133"/>
      <c r="BBF208" s="133"/>
      <c r="BBG208" s="133"/>
      <c r="BBH208" s="133"/>
      <c r="BBI208" s="133"/>
      <c r="BBJ208" s="133"/>
      <c r="BBK208" s="133"/>
      <c r="BBL208" s="133"/>
      <c r="BBM208" s="133"/>
      <c r="BBN208" s="133"/>
      <c r="BBO208" s="133"/>
      <c r="BBP208" s="133"/>
      <c r="BBQ208" s="133"/>
      <c r="BBR208" s="133"/>
      <c r="BBS208" s="133"/>
      <c r="BBT208" s="133"/>
      <c r="BBU208" s="133"/>
      <c r="BBV208" s="133"/>
      <c r="BBW208" s="133"/>
      <c r="BBX208" s="133"/>
      <c r="BBY208" s="133"/>
      <c r="BBZ208" s="133"/>
      <c r="BCA208" s="133"/>
      <c r="BCB208" s="133"/>
      <c r="BCC208" s="133"/>
      <c r="BCD208" s="133"/>
      <c r="BCE208" s="133"/>
      <c r="BCF208" s="133"/>
      <c r="BCG208" s="133"/>
      <c r="BCH208" s="133"/>
      <c r="BCI208" s="133"/>
      <c r="BCJ208" s="133"/>
      <c r="BCK208" s="133"/>
      <c r="BCL208" s="133"/>
      <c r="BCM208" s="133"/>
      <c r="BCN208" s="133"/>
      <c r="BCO208" s="133"/>
      <c r="BCP208" s="133"/>
      <c r="BCQ208" s="133"/>
      <c r="BCR208" s="133"/>
      <c r="BCS208" s="133"/>
      <c r="BCT208" s="133"/>
      <c r="BCU208" s="133"/>
      <c r="BCV208" s="133"/>
      <c r="BCW208" s="133"/>
      <c r="BCX208" s="133"/>
      <c r="BCY208" s="133"/>
      <c r="BCZ208" s="133"/>
      <c r="BDA208" s="133"/>
      <c r="BDB208" s="133"/>
      <c r="BDC208" s="133"/>
      <c r="BDD208" s="133"/>
      <c r="BDE208" s="133"/>
      <c r="BDF208" s="133"/>
      <c r="BDG208" s="133"/>
      <c r="BDH208" s="133"/>
      <c r="BDI208" s="133"/>
      <c r="BDJ208" s="133"/>
      <c r="BDK208" s="133"/>
      <c r="BDL208" s="133"/>
      <c r="BDM208" s="133"/>
      <c r="BDN208" s="133"/>
      <c r="BDO208" s="133"/>
      <c r="BDP208" s="133"/>
      <c r="BDQ208" s="133"/>
      <c r="BDR208" s="133"/>
      <c r="BDS208" s="133"/>
      <c r="BDT208" s="133"/>
      <c r="BDU208" s="133"/>
      <c r="BDV208" s="133"/>
      <c r="BDW208" s="133"/>
      <c r="BDX208" s="133"/>
      <c r="BDY208" s="133"/>
      <c r="BDZ208" s="133"/>
      <c r="BEA208" s="133"/>
      <c r="BEB208" s="133"/>
      <c r="BEC208" s="133"/>
      <c r="BED208" s="133"/>
      <c r="BEE208" s="133"/>
      <c r="BEF208" s="133"/>
      <c r="BEG208" s="133"/>
      <c r="BEH208" s="133"/>
      <c r="BEI208" s="133"/>
      <c r="BEJ208" s="133"/>
      <c r="BEK208" s="133"/>
      <c r="BEL208" s="133"/>
      <c r="BEM208" s="133"/>
      <c r="BEN208" s="133"/>
      <c r="BEO208" s="133"/>
      <c r="BEP208" s="133"/>
      <c r="BEQ208" s="133"/>
      <c r="BER208" s="133"/>
      <c r="BES208" s="133"/>
      <c r="BET208" s="133"/>
      <c r="BEU208" s="133"/>
      <c r="BEV208" s="133"/>
      <c r="BEW208" s="133"/>
      <c r="BEX208" s="133"/>
      <c r="BEY208" s="133"/>
      <c r="BEZ208" s="133"/>
      <c r="BFA208" s="133"/>
      <c r="BFB208" s="133"/>
      <c r="BFC208" s="133"/>
      <c r="BFD208" s="133"/>
      <c r="BFE208" s="133"/>
      <c r="BFF208" s="133"/>
      <c r="BFG208" s="133"/>
      <c r="BFH208" s="133"/>
      <c r="BFI208" s="133"/>
      <c r="BFJ208" s="133"/>
      <c r="BFK208" s="133"/>
      <c r="BFL208" s="133"/>
      <c r="BFM208" s="133"/>
      <c r="BFN208" s="133"/>
      <c r="BFO208" s="133"/>
      <c r="BFP208" s="133"/>
      <c r="BFQ208" s="133"/>
      <c r="BFR208" s="133"/>
      <c r="BFS208" s="133"/>
      <c r="BFT208" s="133"/>
      <c r="BFU208" s="133"/>
      <c r="BFV208" s="133"/>
      <c r="BFW208" s="133"/>
      <c r="BFX208" s="133"/>
      <c r="BFY208" s="133"/>
      <c r="BFZ208" s="133"/>
      <c r="BGA208" s="133"/>
      <c r="BGB208" s="133"/>
      <c r="BGC208" s="133"/>
      <c r="BGD208" s="133"/>
      <c r="BGE208" s="133"/>
      <c r="BGF208" s="133"/>
      <c r="BGG208" s="133"/>
      <c r="BGH208" s="133"/>
      <c r="BGI208" s="133"/>
      <c r="BGJ208" s="133"/>
      <c r="BGK208" s="133"/>
      <c r="BGL208" s="133"/>
      <c r="BGM208" s="133"/>
      <c r="BGN208" s="133"/>
      <c r="BGO208" s="133"/>
      <c r="BGP208" s="133"/>
      <c r="BGQ208" s="133"/>
      <c r="BGR208" s="133"/>
      <c r="BGS208" s="133"/>
      <c r="BGT208" s="133"/>
      <c r="BGU208" s="133"/>
      <c r="BGV208" s="133"/>
      <c r="BGW208" s="133"/>
      <c r="BGX208" s="133"/>
      <c r="BGY208" s="133"/>
      <c r="BGZ208" s="133"/>
      <c r="BHA208" s="133"/>
      <c r="BHB208" s="133"/>
      <c r="BHC208" s="133"/>
      <c r="BHD208" s="133"/>
      <c r="BHE208" s="133"/>
      <c r="BHF208" s="133"/>
      <c r="BHG208" s="133"/>
      <c r="BHH208" s="133"/>
      <c r="BHI208" s="133"/>
      <c r="BHJ208" s="133"/>
      <c r="BHK208" s="133"/>
      <c r="BHL208" s="133"/>
      <c r="BHM208" s="133"/>
      <c r="BHN208" s="133"/>
      <c r="BHO208" s="133"/>
      <c r="BHP208" s="133"/>
      <c r="BHQ208" s="133"/>
      <c r="BHR208" s="133"/>
      <c r="BHS208" s="133"/>
      <c r="BHT208" s="133"/>
      <c r="BHU208" s="133"/>
      <c r="BHV208" s="133"/>
      <c r="BHW208" s="133"/>
      <c r="BHX208" s="133"/>
      <c r="BHY208" s="133"/>
      <c r="BHZ208" s="133"/>
      <c r="BIA208" s="133"/>
      <c r="BIB208" s="133"/>
      <c r="BIC208" s="133"/>
      <c r="BID208" s="133"/>
      <c r="BIE208" s="133"/>
      <c r="BIF208" s="133"/>
      <c r="BIG208" s="133"/>
      <c r="BIH208" s="133"/>
      <c r="BII208" s="133"/>
      <c r="BIJ208" s="133"/>
      <c r="BIK208" s="133"/>
      <c r="BIL208" s="133"/>
      <c r="BIM208" s="133"/>
      <c r="BIN208" s="133"/>
      <c r="BIO208" s="133"/>
      <c r="BIP208" s="133"/>
      <c r="BIQ208" s="133"/>
      <c r="BIR208" s="133"/>
      <c r="BIS208" s="133"/>
      <c r="BIT208" s="133"/>
      <c r="BIU208" s="133"/>
      <c r="BIV208" s="133"/>
      <c r="BIW208" s="133"/>
      <c r="BIX208" s="133"/>
      <c r="BIY208" s="133"/>
      <c r="BIZ208" s="133"/>
      <c r="BJA208" s="133"/>
      <c r="BJB208" s="133"/>
      <c r="BJC208" s="133"/>
      <c r="BJD208" s="133"/>
      <c r="BJE208" s="133"/>
      <c r="BJF208" s="133"/>
      <c r="BJG208" s="133"/>
      <c r="BJH208" s="133"/>
      <c r="BJI208" s="133"/>
      <c r="BJJ208" s="133"/>
      <c r="BJK208" s="133"/>
      <c r="BJL208" s="133"/>
      <c r="BJM208" s="133"/>
      <c r="BJN208" s="133"/>
      <c r="BJO208" s="133"/>
      <c r="BJP208" s="133"/>
      <c r="BJQ208" s="133"/>
      <c r="BJR208" s="133"/>
      <c r="BJS208" s="133"/>
      <c r="BJT208" s="133"/>
      <c r="BJU208" s="133"/>
      <c r="BJV208" s="133"/>
      <c r="BJW208" s="133"/>
      <c r="BJX208" s="133"/>
      <c r="BJY208" s="133"/>
      <c r="BJZ208" s="133"/>
      <c r="BKA208" s="133"/>
      <c r="BKB208" s="133"/>
      <c r="BKC208" s="133"/>
      <c r="BKD208" s="133"/>
      <c r="BKE208" s="133"/>
      <c r="BKF208" s="133"/>
      <c r="BKG208" s="133"/>
      <c r="BKH208" s="133"/>
      <c r="BKI208" s="133"/>
      <c r="BKJ208" s="133"/>
      <c r="BKK208" s="133"/>
      <c r="BKL208" s="133"/>
      <c r="BKM208" s="133"/>
      <c r="BKN208" s="133"/>
      <c r="BKO208" s="133"/>
      <c r="BKP208" s="133"/>
      <c r="BKQ208" s="133"/>
      <c r="BKR208" s="133"/>
      <c r="BKS208" s="133"/>
      <c r="BKT208" s="133"/>
      <c r="BKU208" s="133"/>
      <c r="BKV208" s="133"/>
      <c r="BKW208" s="133"/>
      <c r="BKX208" s="133"/>
      <c r="BKY208" s="133"/>
      <c r="BKZ208" s="133"/>
      <c r="BLA208" s="133"/>
      <c r="BLB208" s="133"/>
      <c r="BLC208" s="133"/>
      <c r="BLD208" s="133"/>
      <c r="BLE208" s="133"/>
      <c r="BLF208" s="133"/>
      <c r="BLG208" s="133"/>
      <c r="BLH208" s="133"/>
      <c r="BLI208" s="133"/>
      <c r="BLJ208" s="133"/>
      <c r="BLK208" s="133"/>
      <c r="BLL208" s="133"/>
      <c r="BLM208" s="133"/>
      <c r="BLN208" s="133"/>
      <c r="BLO208" s="133"/>
      <c r="BLP208" s="133"/>
      <c r="BLQ208" s="133"/>
      <c r="BLR208" s="133"/>
      <c r="BLS208" s="133"/>
      <c r="BLT208" s="133"/>
      <c r="BLU208" s="133"/>
      <c r="BLV208" s="133"/>
      <c r="BLW208" s="133"/>
      <c r="BLX208" s="133"/>
      <c r="BLY208" s="133"/>
      <c r="BLZ208" s="133"/>
      <c r="BMA208" s="133"/>
      <c r="BMB208" s="133"/>
      <c r="BMC208" s="133"/>
      <c r="BMD208" s="133"/>
      <c r="BME208" s="133"/>
      <c r="BMF208" s="133"/>
      <c r="BMG208" s="133"/>
      <c r="BMH208" s="133"/>
      <c r="BMI208" s="133"/>
      <c r="BMJ208" s="133"/>
      <c r="BMK208" s="133"/>
      <c r="BML208" s="133"/>
      <c r="BMM208" s="133"/>
      <c r="BMN208" s="133"/>
      <c r="BMO208" s="133"/>
      <c r="BMP208" s="133"/>
      <c r="BMQ208" s="133"/>
      <c r="BMR208" s="133"/>
      <c r="BMS208" s="133"/>
      <c r="BMT208" s="133"/>
      <c r="BMU208" s="133"/>
      <c r="BMV208" s="133"/>
      <c r="BMW208" s="133"/>
      <c r="BMX208" s="133"/>
      <c r="BMY208" s="133"/>
      <c r="BMZ208" s="133"/>
      <c r="BNA208" s="133"/>
      <c r="BNB208" s="133"/>
      <c r="BNC208" s="133"/>
      <c r="BND208" s="133"/>
      <c r="BNE208" s="133"/>
      <c r="BNF208" s="133"/>
      <c r="BNG208" s="133"/>
      <c r="BNH208" s="133"/>
      <c r="BNI208" s="133"/>
      <c r="BNJ208" s="133"/>
      <c r="BNK208" s="133"/>
      <c r="BNL208" s="133"/>
      <c r="BNM208" s="133"/>
      <c r="BNN208" s="133"/>
      <c r="BNO208" s="133"/>
      <c r="BNP208" s="133"/>
      <c r="BNQ208" s="133"/>
      <c r="BNR208" s="133"/>
      <c r="BNS208" s="133"/>
      <c r="BNT208" s="133"/>
      <c r="BNU208" s="133"/>
      <c r="BNV208" s="133"/>
      <c r="BNW208" s="133"/>
      <c r="BNX208" s="133"/>
      <c r="BNY208" s="133"/>
      <c r="BNZ208" s="133"/>
      <c r="BOA208" s="133"/>
      <c r="BOB208" s="133"/>
      <c r="BOC208" s="133"/>
      <c r="BOD208" s="133"/>
      <c r="BOE208" s="133"/>
      <c r="BOF208" s="133"/>
      <c r="BOG208" s="133"/>
      <c r="BOH208" s="133"/>
      <c r="BOI208" s="133"/>
      <c r="BOJ208" s="133"/>
      <c r="BOK208" s="133"/>
      <c r="BOL208" s="133"/>
      <c r="BOM208" s="133"/>
      <c r="BON208" s="133"/>
      <c r="BOO208" s="133"/>
      <c r="BOP208" s="133"/>
      <c r="BOQ208" s="133"/>
      <c r="BOR208" s="133"/>
      <c r="BOS208" s="133"/>
      <c r="BOT208" s="133"/>
      <c r="BOU208" s="133"/>
      <c r="BOV208" s="133"/>
      <c r="BOW208" s="133"/>
      <c r="BOX208" s="133"/>
      <c r="BOY208" s="133"/>
      <c r="BOZ208" s="133"/>
      <c r="BPA208" s="133"/>
      <c r="BPB208" s="133"/>
      <c r="BPC208" s="133"/>
      <c r="BPD208" s="133"/>
      <c r="BPE208" s="133"/>
      <c r="BPF208" s="133"/>
      <c r="BPG208" s="133"/>
      <c r="BPH208" s="133"/>
      <c r="BPI208" s="133"/>
      <c r="BPJ208" s="133"/>
      <c r="BPK208" s="133"/>
      <c r="BPL208" s="133"/>
      <c r="BPM208" s="133"/>
      <c r="BPN208" s="133"/>
      <c r="BPO208" s="133"/>
      <c r="BPP208" s="133"/>
      <c r="BPQ208" s="133"/>
      <c r="BPR208" s="133"/>
      <c r="BPS208" s="133"/>
      <c r="BPT208" s="133"/>
      <c r="BPU208" s="133"/>
      <c r="BPV208" s="133"/>
      <c r="BPW208" s="133"/>
      <c r="BPX208" s="133"/>
      <c r="BPY208" s="133"/>
      <c r="BPZ208" s="133"/>
      <c r="BQA208" s="133"/>
      <c r="BQB208" s="133"/>
      <c r="BQC208" s="133"/>
      <c r="BQD208" s="133"/>
      <c r="BQE208" s="133"/>
      <c r="BQF208" s="133"/>
      <c r="BQG208" s="133"/>
      <c r="BQH208" s="133"/>
      <c r="BQI208" s="133"/>
      <c r="BQJ208" s="133"/>
      <c r="BQK208" s="133"/>
      <c r="BQL208" s="133"/>
      <c r="BQM208" s="133"/>
      <c r="BQN208" s="133"/>
      <c r="BQO208" s="133"/>
      <c r="BQP208" s="133"/>
      <c r="BQQ208" s="133"/>
      <c r="BQR208" s="133"/>
      <c r="BQS208" s="133"/>
      <c r="BQT208" s="133"/>
      <c r="BQU208" s="133"/>
      <c r="BQV208" s="133"/>
      <c r="BQW208" s="133"/>
      <c r="BQX208" s="133"/>
      <c r="BQY208" s="133"/>
      <c r="BQZ208" s="133"/>
      <c r="BRA208" s="133"/>
      <c r="BRB208" s="133"/>
      <c r="BRC208" s="133"/>
      <c r="BRD208" s="133"/>
      <c r="BRE208" s="133"/>
      <c r="BRF208" s="133"/>
      <c r="BRG208" s="133"/>
      <c r="BRH208" s="133"/>
      <c r="BRI208" s="133"/>
      <c r="BRJ208" s="133"/>
      <c r="BRK208" s="133"/>
      <c r="BRL208" s="133"/>
      <c r="BRM208" s="133"/>
      <c r="BRN208" s="133"/>
      <c r="BRO208" s="133"/>
      <c r="BRP208" s="133"/>
      <c r="BRQ208" s="133"/>
      <c r="BRR208" s="133"/>
      <c r="BRS208" s="133"/>
      <c r="BRT208" s="133"/>
      <c r="BRU208" s="133"/>
      <c r="BRV208" s="133"/>
      <c r="BRW208" s="133"/>
      <c r="BRX208" s="133"/>
      <c r="BRY208" s="133"/>
      <c r="BRZ208" s="133"/>
      <c r="BSA208" s="133"/>
      <c r="BSB208" s="133"/>
      <c r="BSC208" s="133"/>
      <c r="BSD208" s="133"/>
      <c r="BSE208" s="133"/>
      <c r="BSF208" s="133"/>
      <c r="BSG208" s="133"/>
      <c r="BSH208" s="133"/>
      <c r="BSI208" s="133"/>
      <c r="BSJ208" s="133"/>
      <c r="BSK208" s="133"/>
      <c r="BSL208" s="133"/>
      <c r="BSM208" s="133"/>
      <c r="BSN208" s="133"/>
      <c r="BSO208" s="133"/>
      <c r="BSP208" s="133"/>
      <c r="BSQ208" s="133"/>
      <c r="BSR208" s="133"/>
      <c r="BSS208" s="133"/>
      <c r="BST208" s="133"/>
      <c r="BSU208" s="133"/>
      <c r="BSV208" s="133"/>
      <c r="BSW208" s="133"/>
      <c r="BSX208" s="133"/>
      <c r="BSY208" s="133"/>
      <c r="BSZ208" s="133"/>
      <c r="BTA208" s="133"/>
      <c r="BTB208" s="133"/>
      <c r="BTC208" s="133"/>
      <c r="BTD208" s="133"/>
      <c r="BTE208" s="133"/>
      <c r="BTF208" s="133"/>
      <c r="BTG208" s="133"/>
      <c r="BTH208" s="133"/>
      <c r="BTI208" s="133"/>
      <c r="BTJ208" s="133"/>
      <c r="BTK208" s="133"/>
      <c r="BTL208" s="133"/>
      <c r="BTM208" s="133"/>
      <c r="BTN208" s="133"/>
      <c r="BTO208" s="133"/>
      <c r="BTP208" s="133"/>
      <c r="BTQ208" s="133"/>
      <c r="BTR208" s="133"/>
      <c r="BTS208" s="133"/>
      <c r="BTT208" s="133"/>
      <c r="BTU208" s="133"/>
      <c r="BTV208" s="133"/>
      <c r="BTW208" s="133"/>
      <c r="BTX208" s="133"/>
      <c r="BTY208" s="133"/>
      <c r="BTZ208" s="133"/>
      <c r="BUA208" s="133"/>
      <c r="BUB208" s="133"/>
      <c r="BUC208" s="133"/>
      <c r="BUD208" s="133"/>
      <c r="BUE208" s="133"/>
      <c r="BUF208" s="133"/>
      <c r="BUG208" s="133"/>
      <c r="BUH208" s="133"/>
      <c r="BUI208" s="133"/>
      <c r="BUJ208" s="133"/>
      <c r="BUK208" s="133"/>
      <c r="BUL208" s="133"/>
      <c r="BUM208" s="133"/>
      <c r="BUN208" s="133"/>
      <c r="BUO208" s="133"/>
      <c r="BUP208" s="133"/>
      <c r="BUQ208" s="133"/>
      <c r="BUR208" s="133"/>
      <c r="BUS208" s="133"/>
      <c r="BUT208" s="133"/>
      <c r="BUU208" s="133"/>
      <c r="BUV208" s="133"/>
      <c r="BUW208" s="133"/>
      <c r="BUX208" s="133"/>
      <c r="BUY208" s="133"/>
      <c r="BUZ208" s="133"/>
      <c r="BVA208" s="133"/>
      <c r="BVB208" s="133"/>
      <c r="BVC208" s="133"/>
      <c r="BVD208" s="133"/>
      <c r="BVE208" s="133"/>
      <c r="BVF208" s="133"/>
      <c r="BVG208" s="133"/>
      <c r="BVH208" s="133"/>
      <c r="BVI208" s="133"/>
      <c r="BVJ208" s="133"/>
      <c r="BVK208" s="133"/>
      <c r="BVL208" s="133"/>
      <c r="BVM208" s="133"/>
      <c r="BVN208" s="133"/>
      <c r="BVO208" s="133"/>
      <c r="BVP208" s="133"/>
      <c r="BVQ208" s="133"/>
      <c r="BVR208" s="133"/>
      <c r="BVS208" s="133"/>
      <c r="BVT208" s="133"/>
      <c r="BVU208" s="133"/>
      <c r="BVV208" s="133"/>
      <c r="BVW208" s="133"/>
      <c r="BVX208" s="133"/>
      <c r="BVY208" s="133"/>
      <c r="BVZ208" s="133"/>
      <c r="BWA208" s="133"/>
      <c r="BWB208" s="133"/>
      <c r="BWC208" s="133"/>
      <c r="BWD208" s="133"/>
      <c r="BWE208" s="133"/>
      <c r="BWF208" s="133"/>
      <c r="BWG208" s="133"/>
      <c r="BWH208" s="133"/>
      <c r="BWI208" s="133"/>
      <c r="BWJ208" s="133"/>
      <c r="BWK208" s="133"/>
      <c r="BWL208" s="133"/>
      <c r="BWM208" s="133"/>
      <c r="BWN208" s="133"/>
      <c r="BWO208" s="133"/>
      <c r="BWP208" s="133"/>
      <c r="BWQ208" s="133"/>
      <c r="BWR208" s="133"/>
      <c r="BWS208" s="133"/>
      <c r="BWT208" s="133"/>
      <c r="BWU208" s="133"/>
      <c r="BWV208" s="133"/>
      <c r="BWW208" s="133"/>
      <c r="BWX208" s="133"/>
      <c r="BWY208" s="133"/>
      <c r="BWZ208" s="133"/>
      <c r="BXA208" s="133"/>
      <c r="BXB208" s="133"/>
      <c r="BXC208" s="133"/>
      <c r="BXD208" s="133"/>
      <c r="BXE208" s="133"/>
      <c r="BXF208" s="133"/>
      <c r="BXG208" s="133"/>
      <c r="BXH208" s="133"/>
      <c r="BXI208" s="133"/>
      <c r="BXJ208" s="133"/>
      <c r="BXK208" s="133"/>
      <c r="BXL208" s="133"/>
      <c r="BXM208" s="133"/>
      <c r="BXN208" s="133"/>
      <c r="BXO208" s="133"/>
      <c r="BXP208" s="133"/>
      <c r="BXQ208" s="133"/>
      <c r="BXR208" s="133"/>
      <c r="BXS208" s="133"/>
      <c r="BXT208" s="133"/>
      <c r="BXU208" s="133"/>
      <c r="BXV208" s="133"/>
      <c r="BXW208" s="133"/>
      <c r="BXX208" s="133"/>
      <c r="BXY208" s="133"/>
      <c r="BXZ208" s="133"/>
      <c r="BYA208" s="133"/>
      <c r="BYB208" s="133"/>
      <c r="BYC208" s="133"/>
      <c r="BYD208" s="133"/>
      <c r="BYE208" s="133"/>
      <c r="BYF208" s="133"/>
      <c r="BYG208" s="133"/>
      <c r="BYH208" s="133"/>
      <c r="BYI208" s="133"/>
      <c r="BYJ208" s="133"/>
      <c r="BYK208" s="133"/>
      <c r="BYL208" s="133"/>
      <c r="BYM208" s="133"/>
      <c r="BYN208" s="133"/>
      <c r="BYO208" s="133"/>
      <c r="BYP208" s="133"/>
      <c r="BYQ208" s="133"/>
      <c r="BYR208" s="133"/>
      <c r="BYS208" s="133"/>
      <c r="BYT208" s="133"/>
      <c r="BYU208" s="133"/>
      <c r="BYV208" s="133"/>
      <c r="BYW208" s="133"/>
      <c r="BYX208" s="133"/>
      <c r="BYY208" s="133"/>
      <c r="BYZ208" s="133"/>
      <c r="BZA208" s="133"/>
      <c r="BZB208" s="133"/>
      <c r="BZC208" s="133"/>
      <c r="BZD208" s="133"/>
      <c r="BZE208" s="133"/>
      <c r="BZF208" s="133"/>
      <c r="BZG208" s="133"/>
      <c r="BZH208" s="133"/>
      <c r="BZI208" s="133"/>
      <c r="BZJ208" s="133"/>
      <c r="BZK208" s="133"/>
      <c r="BZL208" s="133"/>
      <c r="BZM208" s="133"/>
      <c r="BZN208" s="133"/>
      <c r="BZO208" s="133"/>
      <c r="BZP208" s="133"/>
      <c r="BZQ208" s="133"/>
      <c r="BZR208" s="133"/>
      <c r="BZS208" s="133"/>
      <c r="BZT208" s="133"/>
      <c r="BZU208" s="133"/>
      <c r="BZV208" s="133"/>
      <c r="BZW208" s="133"/>
      <c r="BZX208" s="133"/>
      <c r="BZY208" s="133"/>
      <c r="BZZ208" s="133"/>
      <c r="CAA208" s="133"/>
      <c r="CAB208" s="133"/>
      <c r="CAC208" s="133"/>
      <c r="CAD208" s="133"/>
      <c r="CAE208" s="133"/>
      <c r="CAF208" s="133"/>
      <c r="CAG208" s="133"/>
      <c r="CAH208" s="133"/>
      <c r="CAI208" s="133"/>
      <c r="CAJ208" s="133"/>
      <c r="CAK208" s="133"/>
      <c r="CAL208" s="133"/>
      <c r="CAM208" s="133"/>
      <c r="CAN208" s="133"/>
      <c r="CAO208" s="133"/>
      <c r="CAP208" s="133"/>
      <c r="CAQ208" s="133"/>
      <c r="CAR208" s="133"/>
      <c r="CAS208" s="133"/>
      <c r="CAT208" s="133"/>
      <c r="CAU208" s="133"/>
      <c r="CAV208" s="133"/>
      <c r="CAW208" s="133"/>
      <c r="CAX208" s="133"/>
      <c r="CAY208" s="133"/>
      <c r="CAZ208" s="133"/>
      <c r="CBA208" s="133"/>
      <c r="CBB208" s="133"/>
      <c r="CBC208" s="133"/>
      <c r="CBD208" s="133"/>
      <c r="CBE208" s="133"/>
      <c r="CBF208" s="133"/>
      <c r="CBG208" s="133"/>
      <c r="CBH208" s="133"/>
      <c r="CBI208" s="133"/>
      <c r="CBJ208" s="133"/>
      <c r="CBK208" s="133"/>
      <c r="CBL208" s="133"/>
      <c r="CBM208" s="133"/>
      <c r="CBN208" s="133"/>
      <c r="CBO208" s="133"/>
      <c r="CBP208" s="133"/>
      <c r="CBQ208" s="133"/>
      <c r="CBR208" s="133"/>
      <c r="CBS208" s="133"/>
      <c r="CBT208" s="133"/>
      <c r="CBU208" s="133"/>
      <c r="CBV208" s="133"/>
      <c r="CBW208" s="133"/>
      <c r="CBX208" s="133"/>
      <c r="CBY208" s="133"/>
      <c r="CBZ208" s="133"/>
      <c r="CCA208" s="133"/>
      <c r="CCB208" s="133"/>
      <c r="CCC208" s="133"/>
      <c r="CCD208" s="133"/>
      <c r="CCE208" s="133"/>
      <c r="CCF208" s="133"/>
      <c r="CCG208" s="133"/>
      <c r="CCH208" s="133"/>
      <c r="CCI208" s="133"/>
      <c r="CCJ208" s="133"/>
      <c r="CCK208" s="133"/>
      <c r="CCL208" s="133"/>
      <c r="CCM208" s="133"/>
      <c r="CCN208" s="133"/>
      <c r="CCO208" s="133"/>
      <c r="CCP208" s="133"/>
      <c r="CCQ208" s="133"/>
      <c r="CCR208" s="133"/>
      <c r="CCS208" s="133"/>
      <c r="CCT208" s="133"/>
      <c r="CCU208" s="133"/>
      <c r="CCV208" s="133"/>
      <c r="CCW208" s="133"/>
      <c r="CCX208" s="133"/>
      <c r="CCY208" s="133"/>
      <c r="CCZ208" s="133"/>
      <c r="CDA208" s="133"/>
      <c r="CDB208" s="133"/>
      <c r="CDC208" s="133"/>
      <c r="CDD208" s="133"/>
      <c r="CDE208" s="133"/>
      <c r="CDF208" s="133"/>
      <c r="CDG208" s="133"/>
      <c r="CDH208" s="133"/>
      <c r="CDI208" s="133"/>
      <c r="CDJ208" s="133"/>
      <c r="CDK208" s="133"/>
      <c r="CDL208" s="133"/>
      <c r="CDM208" s="133"/>
      <c r="CDN208" s="133"/>
      <c r="CDO208" s="133"/>
      <c r="CDP208" s="133"/>
      <c r="CDQ208" s="133"/>
      <c r="CDR208" s="133"/>
      <c r="CDS208" s="133"/>
      <c r="CDT208" s="133"/>
      <c r="CDU208" s="133"/>
      <c r="CDV208" s="133"/>
      <c r="CDW208" s="133"/>
      <c r="CDX208" s="133"/>
      <c r="CDY208" s="133"/>
      <c r="CDZ208" s="133"/>
      <c r="CEA208" s="133"/>
      <c r="CEB208" s="133"/>
      <c r="CEC208" s="133"/>
      <c r="CED208" s="133"/>
      <c r="CEE208" s="133"/>
      <c r="CEF208" s="133"/>
      <c r="CEG208" s="133"/>
      <c r="CEH208" s="133"/>
      <c r="CEI208" s="133"/>
      <c r="CEJ208" s="133"/>
      <c r="CEK208" s="133"/>
      <c r="CEL208" s="133"/>
      <c r="CEM208" s="133"/>
      <c r="CEN208" s="133"/>
      <c r="CEO208" s="133"/>
      <c r="CEP208" s="133"/>
      <c r="CEQ208" s="133"/>
      <c r="CER208" s="133"/>
      <c r="CES208" s="133"/>
      <c r="CET208" s="133"/>
      <c r="CEU208" s="133"/>
      <c r="CEV208" s="133"/>
      <c r="CEW208" s="133"/>
      <c r="CEX208" s="133"/>
      <c r="CEY208" s="133"/>
      <c r="CEZ208" s="133"/>
      <c r="CFA208" s="133"/>
      <c r="CFB208" s="133"/>
      <c r="CFC208" s="133"/>
      <c r="CFD208" s="133"/>
      <c r="CFE208" s="133"/>
      <c r="CFF208" s="133"/>
      <c r="CFG208" s="133"/>
      <c r="CFH208" s="133"/>
      <c r="CFI208" s="133"/>
      <c r="CFJ208" s="133"/>
      <c r="CFK208" s="133"/>
      <c r="CFL208" s="133"/>
      <c r="CFM208" s="133"/>
      <c r="CFN208" s="133"/>
      <c r="CFO208" s="133"/>
      <c r="CFP208" s="133"/>
      <c r="CFQ208" s="133"/>
      <c r="CFR208" s="133"/>
      <c r="CFS208" s="133"/>
      <c r="CFT208" s="133"/>
      <c r="CFU208" s="133"/>
      <c r="CFV208" s="133"/>
      <c r="CFW208" s="133"/>
      <c r="CFX208" s="133"/>
      <c r="CFY208" s="133"/>
      <c r="CFZ208" s="133"/>
      <c r="CGA208" s="133"/>
      <c r="CGB208" s="133"/>
      <c r="CGC208" s="133"/>
      <c r="CGD208" s="133"/>
      <c r="CGE208" s="133"/>
      <c r="CGF208" s="133"/>
      <c r="CGG208" s="133"/>
      <c r="CGH208" s="133"/>
      <c r="CGI208" s="133"/>
      <c r="CGJ208" s="133"/>
      <c r="CGK208" s="133"/>
      <c r="CGL208" s="133"/>
      <c r="CGM208" s="133"/>
      <c r="CGN208" s="133"/>
      <c r="CGO208" s="133"/>
      <c r="CGP208" s="133"/>
      <c r="CGQ208" s="133"/>
      <c r="CGR208" s="133"/>
      <c r="CGS208" s="133"/>
      <c r="CGT208" s="133"/>
      <c r="CGU208" s="133"/>
      <c r="CGV208" s="133"/>
      <c r="CGW208" s="133"/>
      <c r="CGX208" s="133"/>
      <c r="CGY208" s="133"/>
      <c r="CGZ208" s="133"/>
      <c r="CHA208" s="133"/>
      <c r="CHB208" s="133"/>
      <c r="CHC208" s="133"/>
      <c r="CHD208" s="133"/>
      <c r="CHE208" s="133"/>
      <c r="CHF208" s="133"/>
      <c r="CHG208" s="133"/>
      <c r="CHH208" s="133"/>
      <c r="CHI208" s="133"/>
      <c r="CHJ208" s="133"/>
      <c r="CHK208" s="133"/>
      <c r="CHL208" s="133"/>
      <c r="CHM208" s="133"/>
      <c r="CHN208" s="133"/>
      <c r="CHO208" s="133"/>
      <c r="CHP208" s="133"/>
      <c r="CHQ208" s="133"/>
      <c r="CHR208" s="133"/>
      <c r="CHS208" s="133"/>
      <c r="CHT208" s="133"/>
      <c r="CHU208" s="133"/>
      <c r="CHV208" s="133"/>
      <c r="CHW208" s="133"/>
      <c r="CHX208" s="133"/>
      <c r="CHY208" s="133"/>
      <c r="CHZ208" s="133"/>
      <c r="CIA208" s="133"/>
      <c r="CIB208" s="133"/>
      <c r="CIC208" s="133"/>
      <c r="CID208" s="133"/>
      <c r="CIE208" s="133"/>
      <c r="CIF208" s="133"/>
      <c r="CIG208" s="133"/>
      <c r="CIH208" s="133"/>
      <c r="CII208" s="133"/>
      <c r="CIJ208" s="133"/>
      <c r="CIK208" s="133"/>
      <c r="CIL208" s="133"/>
      <c r="CIM208" s="133"/>
      <c r="CIN208" s="133"/>
      <c r="CIO208" s="133"/>
      <c r="CIP208" s="133"/>
      <c r="CIQ208" s="133"/>
      <c r="CIR208" s="133"/>
      <c r="CIS208" s="133"/>
      <c r="CIT208" s="133"/>
      <c r="CIU208" s="133"/>
      <c r="CIV208" s="133"/>
      <c r="CIW208" s="133"/>
      <c r="CIX208" s="133"/>
      <c r="CIY208" s="133"/>
      <c r="CIZ208" s="133"/>
      <c r="CJA208" s="133"/>
      <c r="CJB208" s="133"/>
      <c r="CJC208" s="133"/>
      <c r="CJD208" s="133"/>
      <c r="CJE208" s="133"/>
      <c r="CJF208" s="133"/>
      <c r="CJG208" s="133"/>
      <c r="CJH208" s="133"/>
      <c r="CJI208" s="133"/>
      <c r="CJJ208" s="133"/>
      <c r="CJK208" s="133"/>
      <c r="CJL208" s="133"/>
      <c r="CJM208" s="133"/>
      <c r="CJN208" s="133"/>
      <c r="CJO208" s="133"/>
      <c r="CJP208" s="133"/>
      <c r="CJQ208" s="133"/>
      <c r="CJR208" s="133"/>
      <c r="CJS208" s="133"/>
      <c r="CJT208" s="133"/>
      <c r="CJU208" s="133"/>
      <c r="CJV208" s="133"/>
      <c r="CJW208" s="133"/>
      <c r="CJX208" s="133"/>
      <c r="CJY208" s="133"/>
      <c r="CJZ208" s="133"/>
      <c r="CKA208" s="133"/>
      <c r="CKB208" s="133"/>
      <c r="CKC208" s="133"/>
      <c r="CKD208" s="133"/>
      <c r="CKE208" s="133"/>
      <c r="CKF208" s="133"/>
      <c r="CKG208" s="133"/>
      <c r="CKH208" s="133"/>
      <c r="CKI208" s="133"/>
      <c r="CKJ208" s="133"/>
      <c r="CKK208" s="133"/>
      <c r="CKL208" s="133"/>
      <c r="CKM208" s="133"/>
      <c r="CKN208" s="133"/>
      <c r="CKO208" s="133"/>
      <c r="CKP208" s="133"/>
      <c r="CKQ208" s="133"/>
      <c r="CKR208" s="133"/>
      <c r="CKS208" s="133"/>
      <c r="CKT208" s="133"/>
      <c r="CKU208" s="133"/>
      <c r="CKV208" s="133"/>
      <c r="CKW208" s="133"/>
      <c r="CKX208" s="133"/>
      <c r="CKY208" s="133"/>
      <c r="CKZ208" s="133"/>
      <c r="CLA208" s="133"/>
      <c r="CLB208" s="133"/>
      <c r="CLC208" s="133"/>
      <c r="CLD208" s="133"/>
      <c r="CLE208" s="133"/>
      <c r="CLF208" s="133"/>
      <c r="CLG208" s="133"/>
      <c r="CLH208" s="133"/>
      <c r="CLI208" s="133"/>
      <c r="CLJ208" s="133"/>
      <c r="CLK208" s="133"/>
      <c r="CLL208" s="133"/>
      <c r="CLM208" s="133"/>
      <c r="CLN208" s="133"/>
      <c r="CLO208" s="133"/>
      <c r="CLP208" s="133"/>
      <c r="CLQ208" s="133"/>
      <c r="CLR208" s="133"/>
      <c r="CLS208" s="133"/>
      <c r="CLT208" s="133"/>
      <c r="CLU208" s="133"/>
      <c r="CLV208" s="133"/>
      <c r="CLW208" s="133"/>
      <c r="CLX208" s="133"/>
      <c r="CLY208" s="133"/>
      <c r="CLZ208" s="133"/>
      <c r="CMA208" s="133"/>
      <c r="CMB208" s="133"/>
      <c r="CMC208" s="133"/>
      <c r="CMD208" s="133"/>
      <c r="CME208" s="133"/>
      <c r="CMF208" s="133"/>
      <c r="CMG208" s="133"/>
      <c r="CMH208" s="133"/>
      <c r="CMI208" s="133"/>
      <c r="CMJ208" s="133"/>
      <c r="CMK208" s="133"/>
      <c r="CML208" s="133"/>
      <c r="CMM208" s="133"/>
      <c r="CMN208" s="133"/>
      <c r="CMO208" s="133"/>
      <c r="CMP208" s="133"/>
      <c r="CMQ208" s="133"/>
      <c r="CMR208" s="133"/>
      <c r="CMS208" s="133"/>
      <c r="CMT208" s="133"/>
      <c r="CMU208" s="133"/>
      <c r="CMV208" s="133"/>
      <c r="CMW208" s="133"/>
      <c r="CMX208" s="133"/>
      <c r="CMY208" s="133"/>
      <c r="CMZ208" s="133"/>
      <c r="CNA208" s="133"/>
      <c r="CNB208" s="133"/>
      <c r="CNC208" s="133"/>
      <c r="CND208" s="133"/>
      <c r="CNE208" s="133"/>
      <c r="CNF208" s="133"/>
      <c r="CNG208" s="133"/>
      <c r="CNH208" s="133"/>
      <c r="CNI208" s="133"/>
      <c r="CNJ208" s="133"/>
      <c r="CNK208" s="133"/>
      <c r="CNL208" s="133"/>
      <c r="CNM208" s="133"/>
      <c r="CNN208" s="133"/>
      <c r="CNO208" s="133"/>
      <c r="CNP208" s="133"/>
      <c r="CNQ208" s="133"/>
      <c r="CNR208" s="133"/>
      <c r="CNS208" s="133"/>
      <c r="CNT208" s="133"/>
      <c r="CNU208" s="133"/>
      <c r="CNV208" s="133"/>
      <c r="CNW208" s="133"/>
      <c r="CNX208" s="133"/>
      <c r="CNY208" s="133"/>
      <c r="CNZ208" s="133"/>
      <c r="COA208" s="133"/>
      <c r="COB208" s="133"/>
      <c r="COC208" s="133"/>
      <c r="COD208" s="133"/>
      <c r="COE208" s="133"/>
      <c r="COF208" s="133"/>
      <c r="COG208" s="133"/>
      <c r="COH208" s="133"/>
      <c r="COI208" s="133"/>
      <c r="COJ208" s="133"/>
      <c r="COK208" s="133"/>
      <c r="COL208" s="133"/>
      <c r="COM208" s="133"/>
      <c r="CON208" s="133"/>
      <c r="COO208" s="133"/>
      <c r="COP208" s="133"/>
      <c r="COQ208" s="133"/>
      <c r="COR208" s="133"/>
      <c r="COS208" s="133"/>
      <c r="COT208" s="133"/>
      <c r="COU208" s="133"/>
      <c r="COV208" s="133"/>
      <c r="COW208" s="133"/>
      <c r="COX208" s="133"/>
      <c r="COY208" s="133"/>
      <c r="COZ208" s="133"/>
      <c r="CPA208" s="133"/>
      <c r="CPB208" s="133"/>
      <c r="CPC208" s="133"/>
      <c r="CPD208" s="133"/>
      <c r="CPE208" s="133"/>
      <c r="CPF208" s="133"/>
      <c r="CPG208" s="133"/>
      <c r="CPH208" s="133"/>
      <c r="CPI208" s="133"/>
      <c r="CPJ208" s="133"/>
      <c r="CPK208" s="133"/>
      <c r="CPL208" s="133"/>
      <c r="CPM208" s="133"/>
      <c r="CPN208" s="133"/>
      <c r="CPO208" s="133"/>
      <c r="CPP208" s="133"/>
      <c r="CPQ208" s="133"/>
      <c r="CPR208" s="133"/>
      <c r="CPS208" s="133"/>
      <c r="CPT208" s="133"/>
      <c r="CPU208" s="133"/>
      <c r="CPV208" s="133"/>
      <c r="CPW208" s="133"/>
      <c r="CPX208" s="133"/>
      <c r="CPY208" s="133"/>
      <c r="CPZ208" s="133"/>
      <c r="CQA208" s="133"/>
      <c r="CQB208" s="133"/>
      <c r="CQC208" s="133"/>
      <c r="CQD208" s="133"/>
      <c r="CQE208" s="133"/>
      <c r="CQF208" s="133"/>
      <c r="CQG208" s="133"/>
      <c r="CQH208" s="133"/>
      <c r="CQI208" s="133"/>
      <c r="CQJ208" s="133"/>
      <c r="CQK208" s="133"/>
      <c r="CQL208" s="133"/>
      <c r="CQM208" s="133"/>
      <c r="CQN208" s="133"/>
      <c r="CQO208" s="133"/>
      <c r="CQP208" s="133"/>
      <c r="CQQ208" s="133"/>
      <c r="CQR208" s="133"/>
      <c r="CQS208" s="133"/>
      <c r="CQT208" s="133"/>
      <c r="CQU208" s="133"/>
      <c r="CQV208" s="133"/>
      <c r="CQW208" s="133"/>
      <c r="CQX208" s="133"/>
      <c r="CQY208" s="133"/>
      <c r="CQZ208" s="133"/>
      <c r="CRA208" s="133"/>
      <c r="CRB208" s="133"/>
      <c r="CRC208" s="133"/>
      <c r="CRD208" s="133"/>
      <c r="CRE208" s="133"/>
      <c r="CRF208" s="133"/>
      <c r="CRG208" s="133"/>
      <c r="CRH208" s="133"/>
      <c r="CRI208" s="133"/>
      <c r="CRJ208" s="133"/>
      <c r="CRK208" s="133"/>
      <c r="CRL208" s="133"/>
      <c r="CRM208" s="133"/>
      <c r="CRN208" s="133"/>
      <c r="CRO208" s="133"/>
      <c r="CRP208" s="133"/>
      <c r="CRQ208" s="133"/>
      <c r="CRR208" s="133"/>
      <c r="CRS208" s="133"/>
      <c r="CRT208" s="133"/>
      <c r="CRU208" s="133"/>
      <c r="CRV208" s="133"/>
      <c r="CRW208" s="133"/>
      <c r="CRX208" s="133"/>
      <c r="CRY208" s="133"/>
      <c r="CRZ208" s="133"/>
      <c r="CSA208" s="133"/>
      <c r="CSB208" s="133"/>
      <c r="CSC208" s="133"/>
      <c r="CSD208" s="133"/>
      <c r="CSE208" s="133"/>
      <c r="CSF208" s="133"/>
      <c r="CSG208" s="133"/>
      <c r="CSH208" s="133"/>
      <c r="CSI208" s="133"/>
      <c r="CSJ208" s="133"/>
      <c r="CSK208" s="133"/>
      <c r="CSL208" s="133"/>
      <c r="CSM208" s="133"/>
      <c r="CSN208" s="133"/>
      <c r="CSO208" s="133"/>
      <c r="CSP208" s="133"/>
      <c r="CSQ208" s="133"/>
      <c r="CSR208" s="133"/>
      <c r="CSS208" s="133"/>
      <c r="CST208" s="133"/>
      <c r="CSU208" s="133"/>
      <c r="CSV208" s="133"/>
      <c r="CSW208" s="133"/>
      <c r="CSX208" s="133"/>
      <c r="CSY208" s="133"/>
      <c r="CSZ208" s="133"/>
      <c r="CTA208" s="133"/>
      <c r="CTB208" s="133"/>
      <c r="CTC208" s="133"/>
      <c r="CTD208" s="133"/>
      <c r="CTE208" s="133"/>
      <c r="CTF208" s="133"/>
      <c r="CTG208" s="133"/>
      <c r="CTH208" s="133"/>
      <c r="CTI208" s="133"/>
      <c r="CTJ208" s="133"/>
      <c r="CTK208" s="133"/>
      <c r="CTL208" s="133"/>
      <c r="CTM208" s="133"/>
      <c r="CTN208" s="133"/>
      <c r="CTO208" s="133"/>
      <c r="CTP208" s="133"/>
      <c r="CTQ208" s="133"/>
      <c r="CTR208" s="133"/>
      <c r="CTS208" s="133"/>
      <c r="CTT208" s="133"/>
      <c r="CTU208" s="133"/>
      <c r="CTV208" s="133"/>
      <c r="CTW208" s="133"/>
      <c r="CTX208" s="133"/>
      <c r="CTY208" s="133"/>
      <c r="CTZ208" s="133"/>
      <c r="CUA208" s="133"/>
      <c r="CUB208" s="133"/>
      <c r="CUC208" s="133"/>
      <c r="CUD208" s="133"/>
      <c r="CUE208" s="133"/>
      <c r="CUF208" s="133"/>
      <c r="CUG208" s="133"/>
      <c r="CUH208" s="133"/>
      <c r="CUI208" s="133"/>
      <c r="CUJ208" s="133"/>
      <c r="CUK208" s="133"/>
      <c r="CUL208" s="133"/>
      <c r="CUM208" s="133"/>
      <c r="CUN208" s="133"/>
      <c r="CUO208" s="133"/>
      <c r="CUP208" s="133"/>
      <c r="CUQ208" s="133"/>
      <c r="CUR208" s="133"/>
      <c r="CUS208" s="133"/>
      <c r="CUT208" s="133"/>
      <c r="CUU208" s="133"/>
      <c r="CUV208" s="133"/>
      <c r="CUW208" s="133"/>
      <c r="CUX208" s="133"/>
      <c r="CUY208" s="133"/>
      <c r="CUZ208" s="133"/>
      <c r="CVA208" s="133"/>
      <c r="CVB208" s="133"/>
      <c r="CVC208" s="133"/>
      <c r="CVD208" s="133"/>
      <c r="CVE208" s="133"/>
      <c r="CVF208" s="133"/>
      <c r="CVG208" s="133"/>
      <c r="CVH208" s="133"/>
      <c r="CVI208" s="133"/>
      <c r="CVJ208" s="133"/>
      <c r="CVK208" s="133"/>
      <c r="CVL208" s="133"/>
      <c r="CVM208" s="133"/>
      <c r="CVN208" s="133"/>
      <c r="CVO208" s="133"/>
      <c r="CVP208" s="133"/>
      <c r="CVQ208" s="133"/>
      <c r="CVR208" s="133"/>
      <c r="CVS208" s="133"/>
      <c r="CVT208" s="133"/>
      <c r="CVU208" s="133"/>
      <c r="CVV208" s="133"/>
      <c r="CVW208" s="133"/>
      <c r="CVX208" s="133"/>
      <c r="CVY208" s="133"/>
      <c r="CVZ208" s="133"/>
      <c r="CWA208" s="133"/>
      <c r="CWB208" s="133"/>
      <c r="CWC208" s="133"/>
      <c r="CWD208" s="133"/>
      <c r="CWE208" s="133"/>
      <c r="CWF208" s="133"/>
      <c r="CWG208" s="133"/>
      <c r="CWH208" s="133"/>
      <c r="CWI208" s="133"/>
      <c r="CWJ208" s="133"/>
      <c r="CWK208" s="133"/>
      <c r="CWL208" s="133"/>
      <c r="CWM208" s="133"/>
      <c r="CWN208" s="133"/>
      <c r="CWO208" s="133"/>
      <c r="CWP208" s="133"/>
      <c r="CWQ208" s="133"/>
      <c r="CWR208" s="133"/>
      <c r="CWS208" s="133"/>
      <c r="CWT208" s="133"/>
      <c r="CWU208" s="133"/>
      <c r="CWV208" s="133"/>
      <c r="CWW208" s="133"/>
      <c r="CWX208" s="133"/>
      <c r="CWY208" s="133"/>
      <c r="CWZ208" s="133"/>
      <c r="CXA208" s="133"/>
      <c r="CXB208" s="133"/>
      <c r="CXC208" s="133"/>
      <c r="CXD208" s="133"/>
      <c r="CXE208" s="133"/>
      <c r="CXF208" s="133"/>
      <c r="CXG208" s="133"/>
      <c r="CXH208" s="133"/>
      <c r="CXI208" s="133"/>
      <c r="CXJ208" s="133"/>
      <c r="CXK208" s="133"/>
      <c r="CXL208" s="133"/>
      <c r="CXM208" s="133"/>
      <c r="CXN208" s="133"/>
      <c r="CXO208" s="133"/>
      <c r="CXP208" s="133"/>
      <c r="CXQ208" s="133"/>
      <c r="CXR208" s="133"/>
      <c r="CXS208" s="133"/>
      <c r="CXT208" s="133"/>
      <c r="CXU208" s="133"/>
      <c r="CXV208" s="133"/>
      <c r="CXW208" s="133"/>
      <c r="CXX208" s="133"/>
      <c r="CXY208" s="133"/>
      <c r="CXZ208" s="133"/>
      <c r="CYA208" s="133"/>
      <c r="CYB208" s="133"/>
      <c r="CYC208" s="133"/>
      <c r="CYD208" s="133"/>
      <c r="CYE208" s="133"/>
      <c r="CYF208" s="133"/>
      <c r="CYG208" s="133"/>
      <c r="CYH208" s="133"/>
      <c r="CYI208" s="133"/>
      <c r="CYJ208" s="133"/>
      <c r="CYK208" s="133"/>
      <c r="CYL208" s="133"/>
      <c r="CYM208" s="133"/>
      <c r="CYN208" s="133"/>
      <c r="CYO208" s="133"/>
      <c r="CYP208" s="133"/>
      <c r="CYQ208" s="133"/>
      <c r="CYR208" s="133"/>
      <c r="CYS208" s="133"/>
      <c r="CYT208" s="133"/>
      <c r="CYU208" s="133"/>
      <c r="CYV208" s="133"/>
      <c r="CYW208" s="133"/>
      <c r="CYX208" s="133"/>
      <c r="CYY208" s="133"/>
      <c r="CYZ208" s="133"/>
      <c r="CZA208" s="133"/>
      <c r="CZB208" s="133"/>
      <c r="CZC208" s="133"/>
      <c r="CZD208" s="133"/>
      <c r="CZE208" s="133"/>
      <c r="CZF208" s="133"/>
      <c r="CZG208" s="133"/>
      <c r="CZH208" s="133"/>
      <c r="CZI208" s="133"/>
      <c r="CZJ208" s="133"/>
      <c r="CZK208" s="133"/>
      <c r="CZL208" s="133"/>
      <c r="CZM208" s="133"/>
      <c r="CZN208" s="133"/>
      <c r="CZO208" s="133"/>
      <c r="CZP208" s="133"/>
      <c r="CZQ208" s="133"/>
      <c r="CZR208" s="133"/>
      <c r="CZS208" s="133"/>
      <c r="CZT208" s="133"/>
      <c r="CZU208" s="133"/>
      <c r="CZV208" s="133"/>
      <c r="CZW208" s="133"/>
      <c r="CZX208" s="133"/>
      <c r="CZY208" s="133"/>
      <c r="CZZ208" s="133"/>
      <c r="DAA208" s="133"/>
      <c r="DAB208" s="133"/>
      <c r="DAC208" s="133"/>
      <c r="DAD208" s="133"/>
      <c r="DAE208" s="133"/>
      <c r="DAF208" s="133"/>
      <c r="DAG208" s="133"/>
      <c r="DAH208" s="133"/>
      <c r="DAI208" s="133"/>
      <c r="DAJ208" s="133"/>
      <c r="DAK208" s="133"/>
      <c r="DAL208" s="133"/>
      <c r="DAM208" s="133"/>
      <c r="DAN208" s="133"/>
      <c r="DAO208" s="133"/>
      <c r="DAP208" s="133"/>
      <c r="DAQ208" s="133"/>
      <c r="DAR208" s="133"/>
      <c r="DAS208" s="133"/>
      <c r="DAT208" s="133"/>
      <c r="DAU208" s="133"/>
      <c r="DAV208" s="133"/>
      <c r="DAW208" s="133"/>
      <c r="DAX208" s="133"/>
      <c r="DAY208" s="133"/>
      <c r="DAZ208" s="133"/>
      <c r="DBA208" s="133"/>
      <c r="DBB208" s="133"/>
      <c r="DBC208" s="133"/>
      <c r="DBD208" s="133"/>
      <c r="DBE208" s="133"/>
      <c r="DBF208" s="133"/>
      <c r="DBG208" s="133"/>
      <c r="DBH208" s="133"/>
      <c r="DBI208" s="133"/>
      <c r="DBJ208" s="133"/>
      <c r="DBK208" s="133"/>
      <c r="DBL208" s="133"/>
      <c r="DBM208" s="133"/>
      <c r="DBN208" s="133"/>
      <c r="DBO208" s="133"/>
      <c r="DBP208" s="133"/>
      <c r="DBQ208" s="133"/>
      <c r="DBR208" s="133"/>
      <c r="DBS208" s="133"/>
      <c r="DBT208" s="133"/>
      <c r="DBU208" s="133"/>
      <c r="DBV208" s="133"/>
      <c r="DBW208" s="133"/>
      <c r="DBX208" s="133"/>
      <c r="DBY208" s="133"/>
      <c r="DBZ208" s="133"/>
      <c r="DCA208" s="133"/>
      <c r="DCB208" s="133"/>
      <c r="DCC208" s="133"/>
      <c r="DCD208" s="133"/>
      <c r="DCE208" s="133"/>
      <c r="DCF208" s="133"/>
      <c r="DCG208" s="133"/>
      <c r="DCH208" s="133"/>
      <c r="DCI208" s="133"/>
      <c r="DCJ208" s="133"/>
      <c r="DCK208" s="133"/>
      <c r="DCL208" s="133"/>
      <c r="DCM208" s="133"/>
      <c r="DCN208" s="133"/>
      <c r="DCO208" s="133"/>
      <c r="DCP208" s="133"/>
      <c r="DCQ208" s="133"/>
      <c r="DCR208" s="133"/>
      <c r="DCS208" s="133"/>
      <c r="DCT208" s="133"/>
      <c r="DCU208" s="133"/>
      <c r="DCV208" s="133"/>
      <c r="DCW208" s="133"/>
      <c r="DCX208" s="133"/>
      <c r="DCY208" s="133"/>
      <c r="DCZ208" s="133"/>
      <c r="DDA208" s="133"/>
      <c r="DDB208" s="133"/>
      <c r="DDC208" s="133"/>
      <c r="DDD208" s="133"/>
      <c r="DDE208" s="133"/>
      <c r="DDF208" s="133"/>
      <c r="DDG208" s="133"/>
      <c r="DDH208" s="133"/>
      <c r="DDI208" s="133"/>
      <c r="DDJ208" s="133"/>
      <c r="DDK208" s="133"/>
      <c r="DDL208" s="133"/>
      <c r="DDM208" s="133"/>
      <c r="DDN208" s="133"/>
      <c r="DDO208" s="133"/>
      <c r="DDP208" s="133"/>
      <c r="DDQ208" s="133"/>
      <c r="DDR208" s="133"/>
      <c r="DDS208" s="133"/>
      <c r="DDT208" s="133"/>
      <c r="DDU208" s="133"/>
      <c r="DDV208" s="133"/>
      <c r="DDW208" s="133"/>
      <c r="DDX208" s="133"/>
      <c r="DDY208" s="133"/>
      <c r="DDZ208" s="133"/>
      <c r="DEA208" s="133"/>
      <c r="DEB208" s="133"/>
      <c r="DEC208" s="133"/>
      <c r="DED208" s="133"/>
      <c r="DEE208" s="133"/>
      <c r="DEF208" s="133"/>
      <c r="DEG208" s="133"/>
      <c r="DEH208" s="133"/>
      <c r="DEI208" s="133"/>
      <c r="DEJ208" s="133"/>
      <c r="DEK208" s="133"/>
      <c r="DEL208" s="133"/>
      <c r="DEM208" s="133"/>
      <c r="DEN208" s="133"/>
      <c r="DEO208" s="133"/>
      <c r="DEP208" s="133"/>
      <c r="DEQ208" s="133"/>
      <c r="DER208" s="133"/>
      <c r="DES208" s="133"/>
      <c r="DET208" s="133"/>
      <c r="DEU208" s="133"/>
      <c r="DEV208" s="133"/>
      <c r="DEW208" s="133"/>
      <c r="DEX208" s="133"/>
      <c r="DEY208" s="133"/>
      <c r="DEZ208" s="133"/>
      <c r="DFA208" s="133"/>
      <c r="DFB208" s="133"/>
      <c r="DFC208" s="133"/>
      <c r="DFD208" s="133"/>
      <c r="DFE208" s="133"/>
      <c r="DFF208" s="133"/>
      <c r="DFG208" s="133"/>
      <c r="DFH208" s="133"/>
      <c r="DFI208" s="133"/>
      <c r="DFJ208" s="133"/>
      <c r="DFK208" s="133"/>
      <c r="DFL208" s="133"/>
      <c r="DFM208" s="133"/>
      <c r="DFN208" s="133"/>
      <c r="DFO208" s="133"/>
      <c r="DFP208" s="133"/>
      <c r="DFQ208" s="133"/>
      <c r="DFR208" s="133"/>
      <c r="DFS208" s="133"/>
      <c r="DFT208" s="133"/>
      <c r="DFU208" s="133"/>
      <c r="DFV208" s="133"/>
      <c r="DFW208" s="133"/>
      <c r="DFX208" s="133"/>
      <c r="DFY208" s="133"/>
      <c r="DFZ208" s="133"/>
      <c r="DGA208" s="133"/>
      <c r="DGB208" s="133"/>
      <c r="DGC208" s="133"/>
      <c r="DGD208" s="133"/>
      <c r="DGE208" s="133"/>
      <c r="DGF208" s="133"/>
      <c r="DGG208" s="133"/>
      <c r="DGH208" s="133"/>
      <c r="DGI208" s="133"/>
      <c r="DGJ208" s="133"/>
      <c r="DGK208" s="133"/>
      <c r="DGL208" s="133"/>
      <c r="DGM208" s="133"/>
      <c r="DGN208" s="133"/>
      <c r="DGO208" s="133"/>
      <c r="DGP208" s="133"/>
      <c r="DGQ208" s="133"/>
      <c r="DGR208" s="133"/>
      <c r="DGS208" s="133"/>
      <c r="DGT208" s="133"/>
      <c r="DGU208" s="133"/>
      <c r="DGV208" s="133"/>
      <c r="DGW208" s="133"/>
      <c r="DGX208" s="133"/>
      <c r="DGY208" s="133"/>
      <c r="DGZ208" s="133"/>
      <c r="DHA208" s="133"/>
      <c r="DHB208" s="133"/>
      <c r="DHC208" s="133"/>
      <c r="DHD208" s="133"/>
      <c r="DHE208" s="133"/>
      <c r="DHF208" s="133"/>
      <c r="DHG208" s="133"/>
      <c r="DHH208" s="133"/>
      <c r="DHI208" s="133"/>
      <c r="DHJ208" s="133"/>
      <c r="DHK208" s="133"/>
      <c r="DHL208" s="133"/>
      <c r="DHM208" s="133"/>
      <c r="DHN208" s="133"/>
      <c r="DHO208" s="133"/>
      <c r="DHP208" s="133"/>
      <c r="DHQ208" s="133"/>
      <c r="DHR208" s="133"/>
      <c r="DHS208" s="133"/>
      <c r="DHT208" s="133"/>
      <c r="DHU208" s="133"/>
      <c r="DHV208" s="133"/>
      <c r="DHW208" s="133"/>
      <c r="DHX208" s="133"/>
      <c r="DHY208" s="133"/>
      <c r="DHZ208" s="133"/>
      <c r="DIA208" s="133"/>
      <c r="DIB208" s="133"/>
      <c r="DIC208" s="133"/>
      <c r="DID208" s="133"/>
      <c r="DIE208" s="133"/>
      <c r="DIF208" s="133"/>
      <c r="DIG208" s="133"/>
      <c r="DIH208" s="133"/>
      <c r="DII208" s="133"/>
      <c r="DIJ208" s="133"/>
      <c r="DIK208" s="133"/>
      <c r="DIL208" s="133"/>
      <c r="DIM208" s="133"/>
      <c r="DIN208" s="133"/>
      <c r="DIO208" s="133"/>
      <c r="DIP208" s="133"/>
      <c r="DIQ208" s="133"/>
      <c r="DIR208" s="133"/>
      <c r="DIS208" s="133"/>
      <c r="DIT208" s="133"/>
      <c r="DIU208" s="133"/>
      <c r="DIV208" s="133"/>
      <c r="DIW208" s="133"/>
      <c r="DIX208" s="133"/>
      <c r="DIY208" s="133"/>
      <c r="DIZ208" s="133"/>
      <c r="DJA208" s="133"/>
      <c r="DJB208" s="133"/>
      <c r="DJC208" s="133"/>
      <c r="DJD208" s="133"/>
      <c r="DJE208" s="133"/>
      <c r="DJF208" s="133"/>
      <c r="DJG208" s="133"/>
      <c r="DJH208" s="133"/>
      <c r="DJI208" s="133"/>
      <c r="DJJ208" s="133"/>
      <c r="DJK208" s="133"/>
      <c r="DJL208" s="133"/>
      <c r="DJM208" s="133"/>
      <c r="DJN208" s="133"/>
      <c r="DJO208" s="133"/>
      <c r="DJP208" s="133"/>
      <c r="DJQ208" s="133"/>
      <c r="DJR208" s="133"/>
      <c r="DJS208" s="133"/>
      <c r="DJT208" s="133"/>
      <c r="DJU208" s="133"/>
      <c r="DJV208" s="133"/>
      <c r="DJW208" s="133"/>
      <c r="DJX208" s="133"/>
      <c r="DJY208" s="133"/>
      <c r="DJZ208" s="133"/>
      <c r="DKA208" s="133"/>
      <c r="DKB208" s="133"/>
      <c r="DKC208" s="133"/>
      <c r="DKD208" s="133"/>
      <c r="DKE208" s="133"/>
      <c r="DKF208" s="133"/>
      <c r="DKG208" s="133"/>
      <c r="DKH208" s="133"/>
      <c r="DKI208" s="133"/>
      <c r="DKJ208" s="133"/>
      <c r="DKK208" s="133"/>
      <c r="DKL208" s="133"/>
      <c r="DKM208" s="133"/>
      <c r="DKN208" s="133"/>
      <c r="DKO208" s="133"/>
      <c r="DKP208" s="133"/>
      <c r="DKQ208" s="133"/>
      <c r="DKR208" s="133"/>
      <c r="DKS208" s="133"/>
      <c r="DKT208" s="133"/>
      <c r="DKU208" s="133"/>
      <c r="DKV208" s="133"/>
      <c r="DKW208" s="133"/>
      <c r="DKX208" s="133"/>
      <c r="DKY208" s="133"/>
      <c r="DKZ208" s="133"/>
      <c r="DLA208" s="133"/>
      <c r="DLB208" s="133"/>
      <c r="DLC208" s="133"/>
      <c r="DLD208" s="133"/>
      <c r="DLE208" s="133"/>
      <c r="DLF208" s="133"/>
      <c r="DLG208" s="133"/>
      <c r="DLH208" s="133"/>
      <c r="DLI208" s="133"/>
      <c r="DLJ208" s="133"/>
      <c r="DLK208" s="133"/>
      <c r="DLL208" s="133"/>
      <c r="DLM208" s="133"/>
      <c r="DLN208" s="133"/>
      <c r="DLO208" s="133"/>
      <c r="DLP208" s="133"/>
      <c r="DLQ208" s="133"/>
      <c r="DLR208" s="133"/>
      <c r="DLS208" s="133"/>
      <c r="DLT208" s="133"/>
      <c r="DLU208" s="133"/>
      <c r="DLV208" s="133"/>
      <c r="DLW208" s="133"/>
      <c r="DLX208" s="133"/>
      <c r="DLY208" s="133"/>
      <c r="DLZ208" s="133"/>
      <c r="DMA208" s="133"/>
      <c r="DMB208" s="133"/>
      <c r="DMC208" s="133"/>
      <c r="DMD208" s="133"/>
      <c r="DME208" s="133"/>
      <c r="DMF208" s="133"/>
      <c r="DMG208" s="133"/>
      <c r="DMH208" s="133"/>
      <c r="DMI208" s="133"/>
      <c r="DMJ208" s="133"/>
      <c r="DMK208" s="133"/>
      <c r="DML208" s="133"/>
      <c r="DMM208" s="133"/>
      <c r="DMN208" s="133"/>
      <c r="DMO208" s="133"/>
      <c r="DMP208" s="133"/>
      <c r="DMQ208" s="133"/>
      <c r="DMR208" s="133"/>
      <c r="DMS208" s="133"/>
      <c r="DMT208" s="133"/>
      <c r="DMU208" s="133"/>
      <c r="DMV208" s="133"/>
      <c r="DMW208" s="133"/>
      <c r="DMX208" s="133"/>
      <c r="DMY208" s="133"/>
      <c r="DMZ208" s="133"/>
      <c r="DNA208" s="133"/>
      <c r="DNB208" s="133"/>
      <c r="DNC208" s="133"/>
      <c r="DND208" s="133"/>
      <c r="DNE208" s="133"/>
      <c r="DNF208" s="133"/>
      <c r="DNG208" s="133"/>
      <c r="DNH208" s="133"/>
      <c r="DNI208" s="133"/>
      <c r="DNJ208" s="133"/>
      <c r="DNK208" s="133"/>
      <c r="DNL208" s="133"/>
      <c r="DNM208" s="133"/>
      <c r="DNN208" s="133"/>
      <c r="DNO208" s="133"/>
      <c r="DNP208" s="133"/>
      <c r="DNQ208" s="133"/>
      <c r="DNR208" s="133"/>
      <c r="DNS208" s="133"/>
      <c r="DNT208" s="133"/>
      <c r="DNU208" s="133"/>
      <c r="DNV208" s="133"/>
      <c r="DNW208" s="133"/>
      <c r="DNX208" s="133"/>
      <c r="DNY208" s="133"/>
      <c r="DNZ208" s="133"/>
      <c r="DOA208" s="133"/>
      <c r="DOB208" s="133"/>
      <c r="DOC208" s="133"/>
      <c r="DOD208" s="133"/>
      <c r="DOE208" s="133"/>
      <c r="DOF208" s="133"/>
      <c r="DOG208" s="133"/>
      <c r="DOH208" s="133"/>
      <c r="DOI208" s="133"/>
      <c r="DOJ208" s="133"/>
      <c r="DOK208" s="133"/>
      <c r="DOL208" s="133"/>
      <c r="DOM208" s="133"/>
      <c r="DON208" s="133"/>
      <c r="DOO208" s="133"/>
      <c r="DOP208" s="133"/>
      <c r="DOQ208" s="133"/>
      <c r="DOR208" s="133"/>
      <c r="DOS208" s="133"/>
      <c r="DOT208" s="133"/>
      <c r="DOU208" s="133"/>
      <c r="DOV208" s="133"/>
      <c r="DOW208" s="133"/>
      <c r="DOX208" s="133"/>
      <c r="DOY208" s="133"/>
      <c r="DOZ208" s="133"/>
      <c r="DPA208" s="133"/>
      <c r="DPB208" s="133"/>
      <c r="DPC208" s="133"/>
      <c r="DPD208" s="133"/>
      <c r="DPE208" s="133"/>
      <c r="DPF208" s="133"/>
      <c r="DPG208" s="133"/>
      <c r="DPH208" s="133"/>
      <c r="DPI208" s="133"/>
      <c r="DPJ208" s="133"/>
      <c r="DPK208" s="133"/>
      <c r="DPL208" s="133"/>
      <c r="DPM208" s="133"/>
      <c r="DPN208" s="133"/>
      <c r="DPO208" s="133"/>
      <c r="DPP208" s="133"/>
      <c r="DPQ208" s="133"/>
      <c r="DPR208" s="133"/>
      <c r="DPS208" s="133"/>
      <c r="DPT208" s="133"/>
      <c r="DPU208" s="133"/>
      <c r="DPV208" s="133"/>
      <c r="DPW208" s="133"/>
      <c r="DPX208" s="133"/>
      <c r="DPY208" s="133"/>
      <c r="DPZ208" s="133"/>
      <c r="DQA208" s="133"/>
      <c r="DQB208" s="133"/>
      <c r="DQC208" s="133"/>
      <c r="DQD208" s="133"/>
      <c r="DQE208" s="133"/>
      <c r="DQF208" s="133"/>
      <c r="DQG208" s="133"/>
      <c r="DQH208" s="133"/>
      <c r="DQI208" s="133"/>
      <c r="DQJ208" s="133"/>
      <c r="DQK208" s="133"/>
      <c r="DQL208" s="133"/>
      <c r="DQM208" s="133"/>
      <c r="DQN208" s="133"/>
      <c r="DQO208" s="133"/>
      <c r="DQP208" s="133"/>
      <c r="DQQ208" s="133"/>
      <c r="DQR208" s="133"/>
      <c r="DQS208" s="133"/>
      <c r="DQT208" s="133"/>
      <c r="DQU208" s="133"/>
      <c r="DQV208" s="133"/>
      <c r="DQW208" s="133"/>
      <c r="DQX208" s="133"/>
      <c r="DQY208" s="133"/>
      <c r="DQZ208" s="133"/>
      <c r="DRA208" s="133"/>
      <c r="DRB208" s="133"/>
      <c r="DRC208" s="133"/>
      <c r="DRD208" s="133"/>
      <c r="DRE208" s="133"/>
      <c r="DRF208" s="133"/>
      <c r="DRG208" s="133"/>
      <c r="DRH208" s="133"/>
      <c r="DRI208" s="133"/>
      <c r="DRJ208" s="133"/>
      <c r="DRK208" s="133"/>
      <c r="DRL208" s="133"/>
      <c r="DRM208" s="133"/>
      <c r="DRN208" s="133"/>
      <c r="DRO208" s="133"/>
      <c r="DRP208" s="133"/>
      <c r="DRQ208" s="133"/>
      <c r="DRR208" s="133"/>
      <c r="DRS208" s="133"/>
      <c r="DRT208" s="133"/>
      <c r="DRU208" s="133"/>
      <c r="DRV208" s="133"/>
      <c r="DRW208" s="133"/>
      <c r="DRX208" s="133"/>
      <c r="DRY208" s="133"/>
      <c r="DRZ208" s="133"/>
      <c r="DSA208" s="133"/>
      <c r="DSB208" s="133"/>
      <c r="DSC208" s="133"/>
      <c r="DSD208" s="133"/>
      <c r="DSE208" s="133"/>
      <c r="DSF208" s="133"/>
      <c r="DSG208" s="133"/>
      <c r="DSH208" s="133"/>
      <c r="DSI208" s="133"/>
      <c r="DSJ208" s="133"/>
      <c r="DSK208" s="133"/>
      <c r="DSL208" s="133"/>
      <c r="DSM208" s="133"/>
      <c r="DSN208" s="133"/>
      <c r="DSO208" s="133"/>
      <c r="DSP208" s="133"/>
      <c r="DSQ208" s="133"/>
      <c r="DSR208" s="133"/>
      <c r="DSS208" s="133"/>
      <c r="DST208" s="133"/>
      <c r="DSU208" s="133"/>
      <c r="DSV208" s="133"/>
      <c r="DSW208" s="133"/>
      <c r="DSX208" s="133"/>
      <c r="DSY208" s="133"/>
      <c r="DSZ208" s="133"/>
      <c r="DTA208" s="133"/>
      <c r="DTB208" s="133"/>
      <c r="DTC208" s="133"/>
      <c r="DTD208" s="133"/>
      <c r="DTE208" s="133"/>
      <c r="DTF208" s="133"/>
      <c r="DTG208" s="133"/>
      <c r="DTH208" s="133"/>
      <c r="DTI208" s="133"/>
      <c r="DTJ208" s="133"/>
      <c r="DTK208" s="133"/>
      <c r="DTL208" s="133"/>
      <c r="DTM208" s="133"/>
      <c r="DTN208" s="133"/>
      <c r="DTO208" s="133"/>
      <c r="DTP208" s="133"/>
      <c r="DTQ208" s="133"/>
      <c r="DTR208" s="133"/>
      <c r="DTS208" s="133"/>
      <c r="DTT208" s="133"/>
      <c r="DTU208" s="133"/>
      <c r="DTV208" s="133"/>
      <c r="DTW208" s="133"/>
      <c r="DTX208" s="133"/>
      <c r="DTY208" s="133"/>
      <c r="DTZ208" s="133"/>
      <c r="DUA208" s="133"/>
      <c r="DUB208" s="133"/>
      <c r="DUC208" s="133"/>
      <c r="DUD208" s="133"/>
      <c r="DUE208" s="133"/>
      <c r="DUF208" s="133"/>
      <c r="DUG208" s="133"/>
      <c r="DUH208" s="133"/>
      <c r="DUI208" s="133"/>
      <c r="DUJ208" s="133"/>
      <c r="DUK208" s="133"/>
      <c r="DUL208" s="133"/>
      <c r="DUM208" s="133"/>
      <c r="DUN208" s="133"/>
      <c r="DUO208" s="133"/>
      <c r="DUP208" s="133"/>
      <c r="DUQ208" s="133"/>
      <c r="DUR208" s="133"/>
      <c r="DUS208" s="133"/>
      <c r="DUT208" s="133"/>
      <c r="DUU208" s="133"/>
      <c r="DUV208" s="133"/>
      <c r="DUW208" s="133"/>
      <c r="DUX208" s="133"/>
      <c r="DUY208" s="133"/>
      <c r="DUZ208" s="133"/>
      <c r="DVA208" s="133"/>
      <c r="DVB208" s="133"/>
      <c r="DVC208" s="133"/>
      <c r="DVD208" s="133"/>
      <c r="DVE208" s="133"/>
      <c r="DVF208" s="133"/>
      <c r="DVG208" s="133"/>
      <c r="DVH208" s="133"/>
      <c r="DVI208" s="133"/>
      <c r="DVJ208" s="133"/>
      <c r="DVK208" s="133"/>
      <c r="DVL208" s="133"/>
      <c r="DVM208" s="133"/>
      <c r="DVN208" s="133"/>
      <c r="DVO208" s="133"/>
      <c r="DVP208" s="133"/>
      <c r="DVQ208" s="133"/>
      <c r="DVR208" s="133"/>
      <c r="DVS208" s="133"/>
      <c r="DVT208" s="133"/>
      <c r="DVU208" s="133"/>
      <c r="DVV208" s="133"/>
      <c r="DVW208" s="133"/>
      <c r="DVX208" s="133"/>
      <c r="DVY208" s="133"/>
      <c r="DVZ208" s="133"/>
      <c r="DWA208" s="133"/>
      <c r="DWB208" s="133"/>
      <c r="DWC208" s="133"/>
      <c r="DWD208" s="133"/>
      <c r="DWE208" s="133"/>
      <c r="DWF208" s="133"/>
      <c r="DWG208" s="133"/>
      <c r="DWH208" s="133"/>
      <c r="DWI208" s="133"/>
      <c r="DWJ208" s="133"/>
      <c r="DWK208" s="133"/>
      <c r="DWL208" s="133"/>
      <c r="DWM208" s="133"/>
      <c r="DWN208" s="133"/>
      <c r="DWO208" s="133"/>
      <c r="DWP208" s="133"/>
      <c r="DWQ208" s="133"/>
      <c r="DWR208" s="133"/>
      <c r="DWS208" s="133"/>
      <c r="DWT208" s="133"/>
      <c r="DWU208" s="133"/>
      <c r="DWV208" s="133"/>
      <c r="DWW208" s="133"/>
      <c r="DWX208" s="133"/>
      <c r="DWY208" s="133"/>
      <c r="DWZ208" s="133"/>
      <c r="DXA208" s="133"/>
      <c r="DXB208" s="133"/>
      <c r="DXC208" s="133"/>
      <c r="DXD208" s="133"/>
      <c r="DXE208" s="133"/>
      <c r="DXF208" s="133"/>
      <c r="DXG208" s="133"/>
      <c r="DXH208" s="133"/>
      <c r="DXI208" s="133"/>
      <c r="DXJ208" s="133"/>
      <c r="DXK208" s="133"/>
      <c r="DXL208" s="133"/>
      <c r="DXM208" s="133"/>
      <c r="DXN208" s="133"/>
      <c r="DXO208" s="133"/>
      <c r="DXP208" s="133"/>
      <c r="DXQ208" s="133"/>
      <c r="DXR208" s="133"/>
      <c r="DXS208" s="133"/>
      <c r="DXT208" s="133"/>
      <c r="DXU208" s="133"/>
      <c r="DXV208" s="133"/>
      <c r="DXW208" s="133"/>
      <c r="DXX208" s="133"/>
      <c r="DXY208" s="133"/>
      <c r="DXZ208" s="133"/>
      <c r="DYA208" s="133"/>
      <c r="DYB208" s="133"/>
      <c r="DYC208" s="133"/>
      <c r="DYD208" s="133"/>
      <c r="DYE208" s="133"/>
      <c r="DYF208" s="133"/>
      <c r="DYG208" s="133"/>
      <c r="DYH208" s="133"/>
      <c r="DYI208" s="133"/>
      <c r="DYJ208" s="133"/>
      <c r="DYK208" s="133"/>
      <c r="DYL208" s="133"/>
      <c r="DYM208" s="133"/>
      <c r="DYN208" s="133"/>
      <c r="DYO208" s="133"/>
      <c r="DYP208" s="133"/>
      <c r="DYQ208" s="133"/>
      <c r="DYR208" s="133"/>
      <c r="DYS208" s="133"/>
      <c r="DYT208" s="133"/>
      <c r="DYU208" s="133"/>
      <c r="DYV208" s="133"/>
      <c r="DYW208" s="133"/>
      <c r="DYX208" s="133"/>
      <c r="DYY208" s="133"/>
      <c r="DYZ208" s="133"/>
      <c r="DZA208" s="133"/>
      <c r="DZB208" s="133"/>
      <c r="DZC208" s="133"/>
      <c r="DZD208" s="133"/>
      <c r="DZE208" s="133"/>
      <c r="DZF208" s="133"/>
      <c r="DZG208" s="133"/>
      <c r="DZH208" s="133"/>
      <c r="DZI208" s="133"/>
      <c r="DZJ208" s="133"/>
      <c r="DZK208" s="133"/>
      <c r="DZL208" s="133"/>
      <c r="DZM208" s="133"/>
      <c r="DZN208" s="133"/>
      <c r="DZO208" s="133"/>
      <c r="DZP208" s="133"/>
      <c r="DZQ208" s="133"/>
      <c r="DZR208" s="133"/>
      <c r="DZS208" s="133"/>
      <c r="DZT208" s="133"/>
      <c r="DZU208" s="133"/>
      <c r="DZV208" s="133"/>
      <c r="DZW208" s="133"/>
      <c r="DZX208" s="133"/>
      <c r="DZY208" s="133"/>
      <c r="DZZ208" s="133"/>
      <c r="EAA208" s="133"/>
      <c r="EAB208" s="133"/>
      <c r="EAC208" s="133"/>
      <c r="EAD208" s="133"/>
      <c r="EAE208" s="133"/>
      <c r="EAF208" s="133"/>
      <c r="EAG208" s="133"/>
      <c r="EAH208" s="133"/>
      <c r="EAI208" s="133"/>
      <c r="EAJ208" s="133"/>
      <c r="EAK208" s="133"/>
      <c r="EAL208" s="133"/>
      <c r="EAM208" s="133"/>
      <c r="EAN208" s="133"/>
      <c r="EAO208" s="133"/>
      <c r="EAP208" s="133"/>
      <c r="EAQ208" s="133"/>
      <c r="EAR208" s="133"/>
      <c r="EAS208" s="133"/>
      <c r="EAT208" s="133"/>
      <c r="EAU208" s="133"/>
      <c r="EAV208" s="133"/>
      <c r="EAW208" s="133"/>
      <c r="EAX208" s="133"/>
      <c r="EAY208" s="133"/>
      <c r="EAZ208" s="133"/>
      <c r="EBA208" s="133"/>
      <c r="EBB208" s="133"/>
      <c r="EBC208" s="133"/>
      <c r="EBD208" s="133"/>
      <c r="EBE208" s="133"/>
      <c r="EBF208" s="133"/>
      <c r="EBG208" s="133"/>
      <c r="EBH208" s="133"/>
      <c r="EBI208" s="133"/>
      <c r="EBJ208" s="133"/>
      <c r="EBK208" s="133"/>
      <c r="EBL208" s="133"/>
      <c r="EBM208" s="133"/>
      <c r="EBN208" s="133"/>
      <c r="EBO208" s="133"/>
      <c r="EBP208" s="133"/>
      <c r="EBQ208" s="133"/>
      <c r="EBR208" s="133"/>
      <c r="EBS208" s="133"/>
      <c r="EBT208" s="133"/>
      <c r="EBU208" s="133"/>
      <c r="EBV208" s="133"/>
      <c r="EBW208" s="133"/>
      <c r="EBX208" s="133"/>
      <c r="EBY208" s="133"/>
      <c r="EBZ208" s="133"/>
      <c r="ECA208" s="133"/>
      <c r="ECB208" s="133"/>
      <c r="ECC208" s="133"/>
      <c r="ECD208" s="133"/>
      <c r="ECE208" s="133"/>
      <c r="ECF208" s="133"/>
      <c r="ECG208" s="133"/>
      <c r="ECH208" s="133"/>
      <c r="ECI208" s="133"/>
      <c r="ECJ208" s="133"/>
      <c r="ECK208" s="133"/>
      <c r="ECL208" s="133"/>
      <c r="ECM208" s="133"/>
      <c r="ECN208" s="133"/>
      <c r="ECO208" s="133"/>
      <c r="ECP208" s="133"/>
      <c r="ECQ208" s="133"/>
      <c r="ECR208" s="133"/>
      <c r="ECS208" s="133"/>
      <c r="ECT208" s="133"/>
      <c r="ECU208" s="133"/>
      <c r="ECV208" s="133"/>
      <c r="ECW208" s="133"/>
      <c r="ECX208" s="133"/>
      <c r="ECY208" s="133"/>
      <c r="ECZ208" s="133"/>
      <c r="EDA208" s="133"/>
      <c r="EDB208" s="133"/>
      <c r="EDC208" s="133"/>
      <c r="EDD208" s="133"/>
      <c r="EDE208" s="133"/>
      <c r="EDF208" s="133"/>
      <c r="EDG208" s="133"/>
      <c r="EDH208" s="133"/>
      <c r="EDI208" s="133"/>
      <c r="EDJ208" s="133"/>
      <c r="EDK208" s="133"/>
      <c r="EDL208" s="133"/>
      <c r="EDM208" s="133"/>
      <c r="EDN208" s="133"/>
      <c r="EDO208" s="133"/>
      <c r="EDP208" s="133"/>
      <c r="EDQ208" s="133"/>
      <c r="EDR208" s="133"/>
      <c r="EDS208" s="133"/>
      <c r="EDT208" s="133"/>
      <c r="EDU208" s="133"/>
      <c r="EDV208" s="133"/>
      <c r="EDW208" s="133"/>
      <c r="EDX208" s="133"/>
      <c r="EDY208" s="133"/>
      <c r="EDZ208" s="133"/>
      <c r="EEA208" s="133"/>
      <c r="EEB208" s="133"/>
      <c r="EEC208" s="133"/>
      <c r="EED208" s="133"/>
      <c r="EEE208" s="133"/>
      <c r="EEF208" s="133"/>
      <c r="EEG208" s="133"/>
      <c r="EEH208" s="133"/>
      <c r="EEI208" s="133"/>
      <c r="EEJ208" s="133"/>
      <c r="EEK208" s="133"/>
      <c r="EEL208" s="133"/>
      <c r="EEM208" s="133"/>
      <c r="EEN208" s="133"/>
      <c r="EEO208" s="133"/>
      <c r="EEP208" s="133"/>
      <c r="EEQ208" s="133"/>
      <c r="EER208" s="133"/>
      <c r="EES208" s="133"/>
      <c r="EET208" s="133"/>
      <c r="EEU208" s="133"/>
      <c r="EEV208" s="133"/>
      <c r="EEW208" s="133"/>
      <c r="EEX208" s="133"/>
      <c r="EEY208" s="133"/>
      <c r="EEZ208" s="133"/>
      <c r="EFA208" s="133"/>
      <c r="EFB208" s="133"/>
      <c r="EFC208" s="133"/>
      <c r="EFD208" s="133"/>
      <c r="EFE208" s="133"/>
      <c r="EFF208" s="133"/>
      <c r="EFG208" s="133"/>
      <c r="EFH208" s="133"/>
      <c r="EFI208" s="133"/>
      <c r="EFJ208" s="133"/>
      <c r="EFK208" s="133"/>
      <c r="EFL208" s="133"/>
      <c r="EFM208" s="133"/>
      <c r="EFN208" s="133"/>
      <c r="EFO208" s="133"/>
      <c r="EFP208" s="133"/>
      <c r="EFQ208" s="133"/>
      <c r="EFR208" s="133"/>
      <c r="EFS208" s="133"/>
      <c r="EFT208" s="133"/>
      <c r="EFU208" s="133"/>
      <c r="EFV208" s="133"/>
      <c r="EFW208" s="133"/>
      <c r="EFX208" s="133"/>
      <c r="EFY208" s="133"/>
      <c r="EFZ208" s="133"/>
      <c r="EGA208" s="133"/>
      <c r="EGB208" s="133"/>
      <c r="EGC208" s="133"/>
      <c r="EGD208" s="133"/>
      <c r="EGE208" s="133"/>
      <c r="EGF208" s="133"/>
      <c r="EGG208" s="133"/>
      <c r="EGH208" s="133"/>
      <c r="EGI208" s="133"/>
      <c r="EGJ208" s="133"/>
      <c r="EGK208" s="133"/>
      <c r="EGL208" s="133"/>
      <c r="EGM208" s="133"/>
      <c r="EGN208" s="133"/>
      <c r="EGO208" s="133"/>
      <c r="EGP208" s="133"/>
      <c r="EGQ208" s="133"/>
      <c r="EGR208" s="133"/>
      <c r="EGS208" s="133"/>
      <c r="EGT208" s="133"/>
      <c r="EGU208" s="133"/>
      <c r="EGV208" s="133"/>
      <c r="EGW208" s="133"/>
      <c r="EGX208" s="133"/>
      <c r="EGY208" s="133"/>
      <c r="EGZ208" s="133"/>
      <c r="EHA208" s="133"/>
      <c r="EHB208" s="133"/>
      <c r="EHC208" s="133"/>
      <c r="EHD208" s="133"/>
      <c r="EHE208" s="133"/>
      <c r="EHF208" s="133"/>
      <c r="EHG208" s="133"/>
      <c r="EHH208" s="133"/>
      <c r="EHI208" s="133"/>
      <c r="EHJ208" s="133"/>
      <c r="EHK208" s="133"/>
      <c r="EHL208" s="133"/>
      <c r="EHM208" s="133"/>
      <c r="EHN208" s="133"/>
      <c r="EHO208" s="133"/>
      <c r="EHP208" s="133"/>
      <c r="EHQ208" s="133"/>
      <c r="EHR208" s="133"/>
      <c r="EHS208" s="133"/>
      <c r="EHT208" s="133"/>
      <c r="EHU208" s="133"/>
      <c r="EHV208" s="133"/>
      <c r="EHW208" s="133"/>
      <c r="EHX208" s="133"/>
      <c r="EHY208" s="133"/>
      <c r="EHZ208" s="133"/>
      <c r="EIA208" s="133"/>
      <c r="EIB208" s="133"/>
      <c r="EIC208" s="133"/>
      <c r="EID208" s="133"/>
      <c r="EIE208" s="133"/>
      <c r="EIF208" s="133"/>
      <c r="EIG208" s="133"/>
      <c r="EIH208" s="133"/>
      <c r="EII208" s="133"/>
      <c r="EIJ208" s="133"/>
      <c r="EIK208" s="133"/>
      <c r="EIL208" s="133"/>
      <c r="EIM208" s="133"/>
      <c r="EIN208" s="133"/>
      <c r="EIO208" s="133"/>
      <c r="EIP208" s="133"/>
      <c r="EIQ208" s="133"/>
      <c r="EIR208" s="133"/>
      <c r="EIS208" s="133"/>
      <c r="EIT208" s="133"/>
      <c r="EIU208" s="133"/>
      <c r="EIV208" s="133"/>
      <c r="EIW208" s="133"/>
      <c r="EIX208" s="133"/>
      <c r="EIY208" s="133"/>
      <c r="EIZ208" s="133"/>
      <c r="EJA208" s="133"/>
      <c r="EJB208" s="133"/>
      <c r="EJC208" s="133"/>
      <c r="EJD208" s="133"/>
      <c r="EJE208" s="133"/>
      <c r="EJF208" s="133"/>
      <c r="EJG208" s="133"/>
      <c r="EJH208" s="133"/>
      <c r="EJI208" s="133"/>
      <c r="EJJ208" s="133"/>
      <c r="EJK208" s="133"/>
      <c r="EJL208" s="133"/>
      <c r="EJM208" s="133"/>
      <c r="EJN208" s="133"/>
      <c r="EJO208" s="133"/>
      <c r="EJP208" s="133"/>
      <c r="EJQ208" s="133"/>
      <c r="EJR208" s="133"/>
      <c r="EJS208" s="133"/>
      <c r="EJT208" s="133"/>
      <c r="EJU208" s="133"/>
      <c r="EJV208" s="133"/>
      <c r="EJW208" s="133"/>
      <c r="EJX208" s="133"/>
      <c r="EJY208" s="133"/>
      <c r="EJZ208" s="133"/>
      <c r="EKA208" s="133"/>
      <c r="EKB208" s="133"/>
      <c r="EKC208" s="133"/>
      <c r="EKD208" s="133"/>
      <c r="EKE208" s="133"/>
      <c r="EKF208" s="133"/>
      <c r="EKG208" s="133"/>
      <c r="EKH208" s="133"/>
      <c r="EKI208" s="133"/>
      <c r="EKJ208" s="133"/>
      <c r="EKK208" s="133"/>
      <c r="EKL208" s="133"/>
      <c r="EKM208" s="133"/>
      <c r="EKN208" s="133"/>
      <c r="EKO208" s="133"/>
      <c r="EKP208" s="133"/>
      <c r="EKQ208" s="133"/>
      <c r="EKR208" s="133"/>
      <c r="EKS208" s="133"/>
      <c r="EKT208" s="133"/>
      <c r="EKU208" s="133"/>
      <c r="EKV208" s="133"/>
      <c r="EKW208" s="133"/>
      <c r="EKX208" s="133"/>
      <c r="EKY208" s="133"/>
      <c r="EKZ208" s="133"/>
      <c r="ELA208" s="133"/>
      <c r="ELB208" s="133"/>
      <c r="ELC208" s="133"/>
      <c r="ELD208" s="133"/>
      <c r="ELE208" s="133"/>
      <c r="ELF208" s="133"/>
      <c r="ELG208" s="133"/>
      <c r="ELH208" s="133"/>
      <c r="ELI208" s="133"/>
      <c r="ELJ208" s="133"/>
      <c r="ELK208" s="133"/>
      <c r="ELL208" s="133"/>
      <c r="ELM208" s="133"/>
      <c r="ELN208" s="133"/>
      <c r="ELO208" s="133"/>
      <c r="ELP208" s="133"/>
      <c r="ELQ208" s="133"/>
      <c r="ELR208" s="133"/>
      <c r="ELS208" s="133"/>
      <c r="ELT208" s="133"/>
      <c r="ELU208" s="133"/>
      <c r="ELV208" s="133"/>
      <c r="ELW208" s="133"/>
      <c r="ELX208" s="133"/>
      <c r="ELY208" s="133"/>
      <c r="ELZ208" s="133"/>
      <c r="EMA208" s="133"/>
      <c r="EMB208" s="133"/>
      <c r="EMC208" s="133"/>
      <c r="EMD208" s="133"/>
      <c r="EME208" s="133"/>
      <c r="EMF208" s="133"/>
      <c r="EMG208" s="133"/>
      <c r="EMH208" s="133"/>
      <c r="EMI208" s="133"/>
      <c r="EMJ208" s="133"/>
      <c r="EMK208" s="133"/>
      <c r="EML208" s="133"/>
      <c r="EMM208" s="133"/>
      <c r="EMN208" s="133"/>
      <c r="EMO208" s="133"/>
      <c r="EMP208" s="133"/>
      <c r="EMQ208" s="133"/>
      <c r="EMR208" s="133"/>
      <c r="EMS208" s="133"/>
      <c r="EMT208" s="133"/>
      <c r="EMU208" s="133"/>
      <c r="EMV208" s="133"/>
      <c r="EMW208" s="133"/>
      <c r="EMX208" s="133"/>
      <c r="EMY208" s="133"/>
      <c r="EMZ208" s="133"/>
      <c r="ENA208" s="133"/>
      <c r="ENB208" s="133"/>
      <c r="ENC208" s="133"/>
      <c r="END208" s="133"/>
      <c r="ENE208" s="133"/>
      <c r="ENF208" s="133"/>
      <c r="ENG208" s="133"/>
      <c r="ENH208" s="133"/>
      <c r="ENI208" s="133"/>
      <c r="ENJ208" s="133"/>
      <c r="ENK208" s="133"/>
      <c r="ENL208" s="133"/>
      <c r="ENM208" s="133"/>
      <c r="ENN208" s="133"/>
      <c r="ENO208" s="133"/>
      <c r="ENP208" s="133"/>
      <c r="ENQ208" s="133"/>
      <c r="ENR208" s="133"/>
      <c r="ENS208" s="133"/>
      <c r="ENT208" s="133"/>
      <c r="ENU208" s="133"/>
      <c r="ENV208" s="133"/>
      <c r="ENW208" s="133"/>
      <c r="ENX208" s="133"/>
      <c r="ENY208" s="133"/>
      <c r="ENZ208" s="133"/>
      <c r="EOA208" s="133"/>
      <c r="EOB208" s="133"/>
      <c r="EOC208" s="133"/>
      <c r="EOD208" s="133"/>
      <c r="EOE208" s="133"/>
      <c r="EOF208" s="133"/>
      <c r="EOG208" s="133"/>
      <c r="EOH208" s="133"/>
      <c r="EOI208" s="133"/>
      <c r="EOJ208" s="133"/>
      <c r="EOK208" s="133"/>
      <c r="EOL208" s="133"/>
      <c r="EOM208" s="133"/>
      <c r="EON208" s="133"/>
      <c r="EOO208" s="133"/>
      <c r="EOP208" s="133"/>
      <c r="EOQ208" s="133"/>
      <c r="EOR208" s="133"/>
      <c r="EOS208" s="133"/>
      <c r="EOT208" s="133"/>
      <c r="EOU208" s="133"/>
      <c r="EOV208" s="133"/>
      <c r="EOW208" s="133"/>
      <c r="EOX208" s="133"/>
      <c r="EOY208" s="133"/>
      <c r="EOZ208" s="133"/>
      <c r="EPA208" s="133"/>
      <c r="EPB208" s="133"/>
      <c r="EPC208" s="133"/>
      <c r="EPD208" s="133"/>
      <c r="EPE208" s="133"/>
      <c r="EPF208" s="133"/>
      <c r="EPG208" s="133"/>
      <c r="EPH208" s="133"/>
      <c r="EPI208" s="133"/>
      <c r="EPJ208" s="133"/>
      <c r="EPK208" s="133"/>
      <c r="EPL208" s="133"/>
      <c r="EPM208" s="133"/>
      <c r="EPN208" s="133"/>
      <c r="EPO208" s="133"/>
      <c r="EPP208" s="133"/>
      <c r="EPQ208" s="133"/>
      <c r="EPR208" s="133"/>
      <c r="EPS208" s="133"/>
      <c r="EPT208" s="133"/>
      <c r="EPU208" s="133"/>
      <c r="EPV208" s="133"/>
      <c r="EPW208" s="133"/>
      <c r="EPX208" s="133"/>
      <c r="EPY208" s="133"/>
      <c r="EPZ208" s="133"/>
      <c r="EQA208" s="133"/>
      <c r="EQB208" s="133"/>
      <c r="EQC208" s="133"/>
      <c r="EQD208" s="133"/>
      <c r="EQE208" s="133"/>
      <c r="EQF208" s="133"/>
      <c r="EQG208" s="133"/>
      <c r="EQH208" s="133"/>
      <c r="EQI208" s="133"/>
      <c r="EQJ208" s="133"/>
      <c r="EQK208" s="133"/>
      <c r="EQL208" s="133"/>
      <c r="EQM208" s="133"/>
      <c r="EQN208" s="133"/>
      <c r="EQO208" s="133"/>
      <c r="EQP208" s="133"/>
      <c r="EQQ208" s="133"/>
      <c r="EQR208" s="133"/>
      <c r="EQS208" s="133"/>
      <c r="EQT208" s="133"/>
      <c r="EQU208" s="133"/>
      <c r="EQV208" s="133"/>
      <c r="EQW208" s="133"/>
      <c r="EQX208" s="133"/>
      <c r="EQY208" s="133"/>
      <c r="EQZ208" s="133"/>
      <c r="ERA208" s="133"/>
      <c r="ERB208" s="133"/>
      <c r="ERC208" s="133"/>
      <c r="ERD208" s="133"/>
      <c r="ERE208" s="133"/>
      <c r="ERF208" s="133"/>
      <c r="ERG208" s="133"/>
      <c r="ERH208" s="133"/>
      <c r="ERI208" s="133"/>
      <c r="ERJ208" s="133"/>
      <c r="ERK208" s="133"/>
      <c r="ERL208" s="133"/>
      <c r="ERM208" s="133"/>
      <c r="ERN208" s="133"/>
      <c r="ERO208" s="133"/>
      <c r="ERP208" s="133"/>
      <c r="ERQ208" s="133"/>
      <c r="ERR208" s="133"/>
      <c r="ERS208" s="133"/>
      <c r="ERT208" s="133"/>
      <c r="ERU208" s="133"/>
      <c r="ERV208" s="133"/>
      <c r="ERW208" s="133"/>
      <c r="ERX208" s="133"/>
      <c r="ERY208" s="133"/>
      <c r="ERZ208" s="133"/>
      <c r="ESA208" s="133"/>
      <c r="ESB208" s="133"/>
      <c r="ESC208" s="133"/>
      <c r="ESD208" s="133"/>
      <c r="ESE208" s="133"/>
      <c r="ESF208" s="133"/>
      <c r="ESG208" s="133"/>
      <c r="ESH208" s="133"/>
      <c r="ESI208" s="133"/>
      <c r="ESJ208" s="133"/>
      <c r="ESK208" s="133"/>
      <c r="ESL208" s="133"/>
      <c r="ESM208" s="133"/>
      <c r="ESN208" s="133"/>
      <c r="ESO208" s="133"/>
      <c r="ESP208" s="133"/>
      <c r="ESQ208" s="133"/>
      <c r="ESR208" s="133"/>
      <c r="ESS208" s="133"/>
      <c r="EST208" s="133"/>
      <c r="ESU208" s="133"/>
      <c r="ESV208" s="133"/>
      <c r="ESW208" s="133"/>
      <c r="ESX208" s="133"/>
      <c r="ESY208" s="133"/>
      <c r="ESZ208" s="133"/>
      <c r="ETA208" s="133"/>
      <c r="ETB208" s="133"/>
      <c r="ETC208" s="133"/>
      <c r="ETD208" s="133"/>
      <c r="ETE208" s="133"/>
      <c r="ETF208" s="133"/>
      <c r="ETG208" s="133"/>
      <c r="ETH208" s="133"/>
      <c r="ETI208" s="133"/>
      <c r="ETJ208" s="133"/>
      <c r="ETK208" s="133"/>
      <c r="ETL208" s="133"/>
      <c r="ETM208" s="133"/>
      <c r="ETN208" s="133"/>
      <c r="ETO208" s="133"/>
      <c r="ETP208" s="133"/>
      <c r="ETQ208" s="133"/>
      <c r="ETR208" s="133"/>
      <c r="ETS208" s="133"/>
      <c r="ETT208" s="133"/>
      <c r="ETU208" s="133"/>
      <c r="ETV208" s="133"/>
      <c r="ETW208" s="133"/>
      <c r="ETX208" s="133"/>
      <c r="ETY208" s="133"/>
      <c r="ETZ208" s="133"/>
      <c r="EUA208" s="133"/>
      <c r="EUB208" s="133"/>
      <c r="EUC208" s="133"/>
      <c r="EUD208" s="133"/>
      <c r="EUE208" s="133"/>
      <c r="EUF208" s="133"/>
      <c r="EUG208" s="133"/>
      <c r="EUH208" s="133"/>
      <c r="EUI208" s="133"/>
      <c r="EUJ208" s="133"/>
      <c r="EUK208" s="133"/>
      <c r="EUL208" s="133"/>
      <c r="EUM208" s="133"/>
      <c r="EUN208" s="133"/>
      <c r="EUO208" s="133"/>
      <c r="EUP208" s="133"/>
      <c r="EUQ208" s="133"/>
      <c r="EUR208" s="133"/>
      <c r="EUS208" s="133"/>
      <c r="EUT208" s="133"/>
      <c r="EUU208" s="133"/>
      <c r="EUV208" s="133"/>
      <c r="EUW208" s="133"/>
      <c r="EUX208" s="133"/>
      <c r="EUY208" s="133"/>
      <c r="EUZ208" s="133"/>
      <c r="EVA208" s="133"/>
      <c r="EVB208" s="133"/>
      <c r="EVC208" s="133"/>
      <c r="EVD208" s="133"/>
      <c r="EVE208" s="133"/>
      <c r="EVF208" s="133"/>
      <c r="EVG208" s="133"/>
      <c r="EVH208" s="133"/>
      <c r="EVI208" s="133"/>
      <c r="EVJ208" s="133"/>
      <c r="EVK208" s="133"/>
      <c r="EVL208" s="133"/>
      <c r="EVM208" s="133"/>
      <c r="EVN208" s="133"/>
      <c r="EVO208" s="133"/>
      <c r="EVP208" s="133"/>
      <c r="EVQ208" s="133"/>
      <c r="EVR208" s="133"/>
      <c r="EVS208" s="133"/>
      <c r="EVT208" s="133"/>
      <c r="EVU208" s="133"/>
      <c r="EVV208" s="133"/>
      <c r="EVW208" s="133"/>
      <c r="EVX208" s="133"/>
      <c r="EVY208" s="133"/>
      <c r="EVZ208" s="133"/>
      <c r="EWA208" s="133"/>
      <c r="EWB208" s="133"/>
      <c r="EWC208" s="133"/>
      <c r="EWD208" s="133"/>
      <c r="EWE208" s="133"/>
      <c r="EWF208" s="133"/>
      <c r="EWG208" s="133"/>
      <c r="EWH208" s="133"/>
      <c r="EWI208" s="133"/>
      <c r="EWJ208" s="133"/>
      <c r="EWK208" s="133"/>
      <c r="EWL208" s="133"/>
      <c r="EWM208" s="133"/>
      <c r="EWN208" s="133"/>
      <c r="EWO208" s="133"/>
      <c r="EWP208" s="133"/>
      <c r="EWQ208" s="133"/>
      <c r="EWR208" s="133"/>
      <c r="EWS208" s="133"/>
      <c r="EWT208" s="133"/>
      <c r="EWU208" s="133"/>
      <c r="EWV208" s="133"/>
      <c r="EWW208" s="133"/>
      <c r="EWX208" s="133"/>
      <c r="EWY208" s="133"/>
      <c r="EWZ208" s="133"/>
      <c r="EXA208" s="133"/>
      <c r="EXB208" s="133"/>
      <c r="EXC208" s="133"/>
      <c r="EXD208" s="133"/>
      <c r="EXE208" s="133"/>
      <c r="EXF208" s="133"/>
      <c r="EXG208" s="133"/>
      <c r="EXH208" s="133"/>
      <c r="EXI208" s="133"/>
      <c r="EXJ208" s="133"/>
      <c r="EXK208" s="133"/>
      <c r="EXL208" s="133"/>
      <c r="EXM208" s="133"/>
      <c r="EXN208" s="133"/>
      <c r="EXO208" s="133"/>
      <c r="EXP208" s="133"/>
      <c r="EXQ208" s="133"/>
      <c r="EXR208" s="133"/>
      <c r="EXS208" s="133"/>
      <c r="EXT208" s="133"/>
      <c r="EXU208" s="133"/>
      <c r="EXV208" s="133"/>
      <c r="EXW208" s="133"/>
      <c r="EXX208" s="133"/>
      <c r="EXY208" s="133"/>
      <c r="EXZ208" s="133"/>
      <c r="EYA208" s="133"/>
      <c r="EYB208" s="133"/>
      <c r="EYC208" s="133"/>
      <c r="EYD208" s="133"/>
      <c r="EYE208" s="133"/>
      <c r="EYF208" s="133"/>
      <c r="EYG208" s="133"/>
      <c r="EYH208" s="133"/>
      <c r="EYI208" s="133"/>
      <c r="EYJ208" s="133"/>
      <c r="EYK208" s="133"/>
      <c r="EYL208" s="133"/>
      <c r="EYM208" s="133"/>
      <c r="EYN208" s="133"/>
      <c r="EYO208" s="133"/>
      <c r="EYP208" s="133"/>
      <c r="EYQ208" s="133"/>
      <c r="EYR208" s="133"/>
      <c r="EYS208" s="133"/>
      <c r="EYT208" s="133"/>
      <c r="EYU208" s="133"/>
      <c r="EYV208" s="133"/>
      <c r="EYW208" s="133"/>
      <c r="EYX208" s="133"/>
      <c r="EYY208" s="133"/>
      <c r="EYZ208" s="133"/>
      <c r="EZA208" s="133"/>
      <c r="EZB208" s="133"/>
      <c r="EZC208" s="133"/>
      <c r="EZD208" s="133"/>
      <c r="EZE208" s="133"/>
      <c r="EZF208" s="133"/>
      <c r="EZG208" s="133"/>
      <c r="EZH208" s="133"/>
      <c r="EZI208" s="133"/>
      <c r="EZJ208" s="133"/>
      <c r="EZK208" s="133"/>
      <c r="EZL208" s="133"/>
      <c r="EZM208" s="133"/>
      <c r="EZN208" s="133"/>
      <c r="EZO208" s="133"/>
      <c r="EZP208" s="133"/>
      <c r="EZQ208" s="133"/>
      <c r="EZR208" s="133"/>
      <c r="EZS208" s="133"/>
      <c r="EZT208" s="133"/>
      <c r="EZU208" s="133"/>
      <c r="EZV208" s="133"/>
      <c r="EZW208" s="133"/>
      <c r="EZX208" s="133"/>
      <c r="EZY208" s="133"/>
      <c r="EZZ208" s="133"/>
      <c r="FAA208" s="133"/>
      <c r="FAB208" s="133"/>
      <c r="FAC208" s="133"/>
      <c r="FAD208" s="133"/>
      <c r="FAE208" s="133"/>
      <c r="FAF208" s="133"/>
      <c r="FAG208" s="133"/>
      <c r="FAH208" s="133"/>
      <c r="FAI208" s="133"/>
      <c r="FAJ208" s="133"/>
      <c r="FAK208" s="133"/>
      <c r="FAL208" s="133"/>
      <c r="FAM208" s="133"/>
      <c r="FAN208" s="133"/>
      <c r="FAO208" s="133"/>
      <c r="FAP208" s="133"/>
      <c r="FAQ208" s="133"/>
      <c r="FAR208" s="133"/>
      <c r="FAS208" s="133"/>
      <c r="FAT208" s="133"/>
      <c r="FAU208" s="133"/>
      <c r="FAV208" s="133"/>
      <c r="FAW208" s="133"/>
      <c r="FAX208" s="133"/>
      <c r="FAY208" s="133"/>
      <c r="FAZ208" s="133"/>
      <c r="FBA208" s="133"/>
      <c r="FBB208" s="133"/>
      <c r="FBC208" s="133"/>
      <c r="FBD208" s="133"/>
      <c r="FBE208" s="133"/>
      <c r="FBF208" s="133"/>
      <c r="FBG208" s="133"/>
      <c r="FBH208" s="133"/>
      <c r="FBI208" s="133"/>
      <c r="FBJ208" s="133"/>
      <c r="FBK208" s="133"/>
      <c r="FBL208" s="133"/>
      <c r="FBM208" s="133"/>
      <c r="FBN208" s="133"/>
      <c r="FBO208" s="133"/>
      <c r="FBP208" s="133"/>
      <c r="FBQ208" s="133"/>
      <c r="FBR208" s="133"/>
      <c r="FBS208" s="133"/>
      <c r="FBT208" s="133"/>
      <c r="FBU208" s="133"/>
      <c r="FBV208" s="133"/>
      <c r="FBW208" s="133"/>
      <c r="FBX208" s="133"/>
      <c r="FBY208" s="133"/>
      <c r="FBZ208" s="133"/>
      <c r="FCA208" s="133"/>
      <c r="FCB208" s="133"/>
      <c r="FCC208" s="133"/>
      <c r="FCD208" s="133"/>
      <c r="FCE208" s="133"/>
      <c r="FCF208" s="133"/>
      <c r="FCG208" s="133"/>
      <c r="FCH208" s="133"/>
      <c r="FCI208" s="133"/>
      <c r="FCJ208" s="133"/>
      <c r="FCK208" s="133"/>
      <c r="FCL208" s="133"/>
      <c r="FCM208" s="133"/>
      <c r="FCN208" s="133"/>
      <c r="FCO208" s="133"/>
      <c r="FCP208" s="133"/>
      <c r="FCQ208" s="133"/>
      <c r="FCR208" s="133"/>
      <c r="FCS208" s="133"/>
      <c r="FCT208" s="133"/>
      <c r="FCU208" s="133"/>
      <c r="FCV208" s="133"/>
      <c r="FCW208" s="133"/>
      <c r="FCX208" s="133"/>
      <c r="FCY208" s="133"/>
      <c r="FCZ208" s="133"/>
      <c r="FDA208" s="133"/>
      <c r="FDB208" s="133"/>
      <c r="FDC208" s="133"/>
      <c r="FDD208" s="133"/>
      <c r="FDE208" s="133"/>
      <c r="FDF208" s="133"/>
      <c r="FDG208" s="133"/>
      <c r="FDH208" s="133"/>
      <c r="FDI208" s="133"/>
      <c r="FDJ208" s="133"/>
      <c r="FDK208" s="133"/>
      <c r="FDL208" s="133"/>
      <c r="FDM208" s="133"/>
      <c r="FDN208" s="133"/>
      <c r="FDO208" s="133"/>
      <c r="FDP208" s="133"/>
      <c r="FDQ208" s="133"/>
      <c r="FDR208" s="133"/>
      <c r="FDS208" s="133"/>
      <c r="FDT208" s="133"/>
      <c r="FDU208" s="133"/>
      <c r="FDV208" s="133"/>
      <c r="FDW208" s="133"/>
      <c r="FDX208" s="133"/>
      <c r="FDY208" s="133"/>
      <c r="FDZ208" s="133"/>
      <c r="FEA208" s="133"/>
      <c r="FEB208" s="133"/>
      <c r="FEC208" s="133"/>
      <c r="FED208" s="133"/>
      <c r="FEE208" s="133"/>
      <c r="FEF208" s="133"/>
      <c r="FEG208" s="133"/>
      <c r="FEH208" s="133"/>
      <c r="FEI208" s="133"/>
      <c r="FEJ208" s="133"/>
      <c r="FEK208" s="133"/>
      <c r="FEL208" s="133"/>
      <c r="FEM208" s="133"/>
      <c r="FEN208" s="133"/>
      <c r="FEO208" s="133"/>
      <c r="FEP208" s="133"/>
      <c r="FEQ208" s="133"/>
      <c r="FER208" s="133"/>
      <c r="FES208" s="133"/>
      <c r="FET208" s="133"/>
      <c r="FEU208" s="133"/>
      <c r="FEV208" s="133"/>
      <c r="FEW208" s="133"/>
      <c r="FEX208" s="133"/>
      <c r="FEY208" s="133"/>
      <c r="FEZ208" s="133"/>
      <c r="FFA208" s="133"/>
      <c r="FFB208" s="133"/>
      <c r="FFC208" s="133"/>
      <c r="FFD208" s="133"/>
      <c r="FFE208" s="133"/>
      <c r="FFF208" s="133"/>
      <c r="FFG208" s="133"/>
      <c r="FFH208" s="133"/>
      <c r="FFI208" s="133"/>
      <c r="FFJ208" s="133"/>
      <c r="FFK208" s="133"/>
      <c r="FFL208" s="133"/>
      <c r="FFM208" s="133"/>
      <c r="FFN208" s="133"/>
      <c r="FFO208" s="133"/>
      <c r="FFP208" s="133"/>
      <c r="FFQ208" s="133"/>
      <c r="FFR208" s="133"/>
      <c r="FFS208" s="133"/>
      <c r="FFT208" s="133"/>
      <c r="FFU208" s="133"/>
      <c r="FFV208" s="133"/>
      <c r="FFW208" s="133"/>
      <c r="FFX208" s="133"/>
      <c r="FFY208" s="133"/>
      <c r="FFZ208" s="133"/>
      <c r="FGA208" s="133"/>
      <c r="FGB208" s="133"/>
      <c r="FGC208" s="133"/>
      <c r="FGD208" s="133"/>
      <c r="FGE208" s="133"/>
      <c r="FGF208" s="133"/>
      <c r="FGG208" s="133"/>
      <c r="FGH208" s="133"/>
      <c r="FGI208" s="133"/>
      <c r="FGJ208" s="133"/>
      <c r="FGK208" s="133"/>
      <c r="FGL208" s="133"/>
      <c r="FGM208" s="133"/>
      <c r="FGN208" s="133"/>
      <c r="FGO208" s="133"/>
      <c r="FGP208" s="133"/>
      <c r="FGQ208" s="133"/>
      <c r="FGR208" s="133"/>
      <c r="FGS208" s="133"/>
      <c r="FGT208" s="133"/>
      <c r="FGU208" s="133"/>
      <c r="FGV208" s="133"/>
      <c r="FGW208" s="133"/>
      <c r="FGX208" s="133"/>
      <c r="FGY208" s="133"/>
      <c r="FGZ208" s="133"/>
      <c r="FHA208" s="133"/>
      <c r="FHB208" s="133"/>
      <c r="FHC208" s="133"/>
      <c r="FHD208" s="133"/>
      <c r="FHE208" s="133"/>
      <c r="FHF208" s="133"/>
      <c r="FHG208" s="133"/>
      <c r="FHH208" s="133"/>
      <c r="FHI208" s="133"/>
      <c r="FHJ208" s="133"/>
      <c r="FHK208" s="133"/>
      <c r="FHL208" s="133"/>
      <c r="FHM208" s="133"/>
      <c r="FHN208" s="133"/>
      <c r="FHO208" s="133"/>
      <c r="FHP208" s="133"/>
      <c r="FHQ208" s="133"/>
      <c r="FHR208" s="133"/>
      <c r="FHS208" s="133"/>
      <c r="FHT208" s="133"/>
      <c r="FHU208" s="133"/>
      <c r="FHV208" s="133"/>
      <c r="FHW208" s="133"/>
      <c r="FHX208" s="133"/>
      <c r="FHY208" s="133"/>
      <c r="FHZ208" s="133"/>
      <c r="FIA208" s="133"/>
      <c r="FIB208" s="133"/>
      <c r="FIC208" s="133"/>
      <c r="FID208" s="133"/>
      <c r="FIE208" s="133"/>
      <c r="FIF208" s="133"/>
      <c r="FIG208" s="133"/>
      <c r="FIH208" s="133"/>
      <c r="FII208" s="133"/>
      <c r="FIJ208" s="133"/>
      <c r="FIK208" s="133"/>
      <c r="FIL208" s="133"/>
      <c r="FIM208" s="133"/>
      <c r="FIN208" s="133"/>
      <c r="FIO208" s="133"/>
      <c r="FIP208" s="133"/>
      <c r="FIQ208" s="133"/>
      <c r="FIR208" s="133"/>
      <c r="FIS208" s="133"/>
      <c r="FIT208" s="133"/>
      <c r="FIU208" s="133"/>
      <c r="FIV208" s="133"/>
      <c r="FIW208" s="133"/>
      <c r="FIX208" s="133"/>
      <c r="FIY208" s="133"/>
      <c r="FIZ208" s="133"/>
      <c r="FJA208" s="133"/>
      <c r="FJB208" s="133"/>
      <c r="FJC208" s="133"/>
      <c r="FJD208" s="133"/>
      <c r="FJE208" s="133"/>
      <c r="FJF208" s="133"/>
      <c r="FJG208" s="133"/>
      <c r="FJH208" s="133"/>
      <c r="FJI208" s="133"/>
      <c r="FJJ208" s="133"/>
      <c r="FJK208" s="133"/>
      <c r="FJL208" s="133"/>
      <c r="FJM208" s="133"/>
      <c r="FJN208" s="133"/>
      <c r="FJO208" s="133"/>
      <c r="FJP208" s="133"/>
      <c r="FJQ208" s="133"/>
      <c r="FJR208" s="133"/>
      <c r="FJS208" s="133"/>
      <c r="FJT208" s="133"/>
      <c r="FJU208" s="133"/>
      <c r="FJV208" s="133"/>
      <c r="FJW208" s="133"/>
      <c r="FJX208" s="133"/>
      <c r="FJY208" s="133"/>
      <c r="FJZ208" s="133"/>
      <c r="FKA208" s="133"/>
      <c r="FKB208" s="133"/>
      <c r="FKC208" s="133"/>
      <c r="FKD208" s="133"/>
      <c r="FKE208" s="133"/>
      <c r="FKF208" s="133"/>
      <c r="FKG208" s="133"/>
      <c r="FKH208" s="133"/>
      <c r="FKI208" s="133"/>
      <c r="FKJ208" s="133"/>
      <c r="FKK208" s="133"/>
      <c r="FKL208" s="133"/>
      <c r="FKM208" s="133"/>
      <c r="FKN208" s="133"/>
      <c r="FKO208" s="133"/>
      <c r="FKP208" s="133"/>
      <c r="FKQ208" s="133"/>
      <c r="FKR208" s="133"/>
      <c r="FKS208" s="133"/>
      <c r="FKT208" s="133"/>
      <c r="FKU208" s="133"/>
      <c r="FKV208" s="133"/>
      <c r="FKW208" s="133"/>
      <c r="FKX208" s="133"/>
      <c r="FKY208" s="133"/>
      <c r="FKZ208" s="133"/>
      <c r="FLA208" s="133"/>
      <c r="FLB208" s="133"/>
      <c r="FLC208" s="133"/>
      <c r="FLD208" s="133"/>
      <c r="FLE208" s="133"/>
      <c r="FLF208" s="133"/>
      <c r="FLG208" s="133"/>
      <c r="FLH208" s="133"/>
      <c r="FLI208" s="133"/>
      <c r="FLJ208" s="133"/>
      <c r="FLK208" s="133"/>
      <c r="FLL208" s="133"/>
      <c r="FLM208" s="133"/>
      <c r="FLN208" s="133"/>
      <c r="FLO208" s="133"/>
      <c r="FLP208" s="133"/>
      <c r="FLQ208" s="133"/>
      <c r="FLR208" s="133"/>
      <c r="FLS208" s="133"/>
      <c r="FLT208" s="133"/>
      <c r="FLU208" s="133"/>
      <c r="FLV208" s="133"/>
      <c r="FLW208" s="133"/>
      <c r="FLX208" s="133"/>
      <c r="FLY208" s="133"/>
      <c r="FLZ208" s="133"/>
      <c r="FMA208" s="133"/>
      <c r="FMB208" s="133"/>
      <c r="FMC208" s="133"/>
      <c r="FMD208" s="133"/>
      <c r="FME208" s="133"/>
      <c r="FMF208" s="133"/>
      <c r="FMG208" s="133"/>
      <c r="FMH208" s="133"/>
      <c r="FMI208" s="133"/>
      <c r="FMJ208" s="133"/>
      <c r="FMK208" s="133"/>
      <c r="FML208" s="133"/>
      <c r="FMM208" s="133"/>
      <c r="FMN208" s="133"/>
      <c r="FMO208" s="133"/>
      <c r="FMP208" s="133"/>
      <c r="FMQ208" s="133"/>
      <c r="FMR208" s="133"/>
      <c r="FMS208" s="133"/>
      <c r="FMT208" s="133"/>
      <c r="FMU208" s="133"/>
      <c r="FMV208" s="133"/>
      <c r="FMW208" s="133"/>
      <c r="FMX208" s="133"/>
      <c r="FMY208" s="133"/>
      <c r="FMZ208" s="133"/>
      <c r="FNA208" s="133"/>
      <c r="FNB208" s="133"/>
      <c r="FNC208" s="133"/>
      <c r="FND208" s="133"/>
      <c r="FNE208" s="133"/>
      <c r="FNF208" s="133"/>
      <c r="FNG208" s="133"/>
      <c r="FNH208" s="133"/>
      <c r="FNI208" s="133"/>
      <c r="FNJ208" s="133"/>
      <c r="FNK208" s="133"/>
      <c r="FNL208" s="133"/>
      <c r="FNM208" s="133"/>
      <c r="FNN208" s="133"/>
      <c r="FNO208" s="133"/>
      <c r="FNP208" s="133"/>
      <c r="FNQ208" s="133"/>
      <c r="FNR208" s="133"/>
      <c r="FNS208" s="133"/>
      <c r="FNT208" s="133"/>
      <c r="FNU208" s="133"/>
      <c r="FNV208" s="133"/>
      <c r="FNW208" s="133"/>
      <c r="FNX208" s="133"/>
      <c r="FNY208" s="133"/>
      <c r="FNZ208" s="133"/>
      <c r="FOA208" s="133"/>
      <c r="FOB208" s="133"/>
      <c r="FOC208" s="133"/>
      <c r="FOD208" s="133"/>
      <c r="FOE208" s="133"/>
      <c r="FOF208" s="133"/>
      <c r="FOG208" s="133"/>
      <c r="FOH208" s="133"/>
      <c r="FOI208" s="133"/>
      <c r="FOJ208" s="133"/>
      <c r="FOK208" s="133"/>
      <c r="FOL208" s="133"/>
      <c r="FOM208" s="133"/>
      <c r="FON208" s="133"/>
      <c r="FOO208" s="133"/>
      <c r="FOP208" s="133"/>
      <c r="FOQ208" s="133"/>
      <c r="FOR208" s="133"/>
      <c r="FOS208" s="133"/>
      <c r="FOT208" s="133"/>
      <c r="FOU208" s="133"/>
      <c r="FOV208" s="133"/>
      <c r="FOW208" s="133"/>
      <c r="FOX208" s="133"/>
      <c r="FOY208" s="133"/>
      <c r="FOZ208" s="133"/>
      <c r="FPA208" s="133"/>
      <c r="FPB208" s="133"/>
      <c r="FPC208" s="133"/>
      <c r="FPD208" s="133"/>
      <c r="FPE208" s="133"/>
      <c r="FPF208" s="133"/>
      <c r="FPG208" s="133"/>
      <c r="FPH208" s="133"/>
      <c r="FPI208" s="133"/>
      <c r="FPJ208" s="133"/>
      <c r="FPK208" s="133"/>
      <c r="FPL208" s="133"/>
      <c r="FPM208" s="133"/>
      <c r="FPN208" s="133"/>
      <c r="FPO208" s="133"/>
      <c r="FPP208" s="133"/>
      <c r="FPQ208" s="133"/>
      <c r="FPR208" s="133"/>
      <c r="FPS208" s="133"/>
      <c r="FPT208" s="133"/>
      <c r="FPU208" s="133"/>
      <c r="FPV208" s="133"/>
      <c r="FPW208" s="133"/>
      <c r="FPX208" s="133"/>
      <c r="FPY208" s="133"/>
      <c r="FPZ208" s="133"/>
      <c r="FQA208" s="133"/>
      <c r="FQB208" s="133"/>
      <c r="FQC208" s="133"/>
      <c r="FQD208" s="133"/>
      <c r="FQE208" s="133"/>
      <c r="FQF208" s="133"/>
      <c r="FQG208" s="133"/>
      <c r="FQH208" s="133"/>
      <c r="FQI208" s="133"/>
      <c r="FQJ208" s="133"/>
      <c r="FQK208" s="133"/>
      <c r="FQL208" s="133"/>
      <c r="FQM208" s="133"/>
      <c r="FQN208" s="133"/>
      <c r="FQO208" s="133"/>
      <c r="FQP208" s="133"/>
      <c r="FQQ208" s="133"/>
      <c r="FQR208" s="133"/>
      <c r="FQS208" s="133"/>
      <c r="FQT208" s="133"/>
      <c r="FQU208" s="133"/>
      <c r="FQV208" s="133"/>
      <c r="FQW208" s="133"/>
      <c r="FQX208" s="133"/>
      <c r="FQY208" s="133"/>
      <c r="FQZ208" s="133"/>
      <c r="FRA208" s="133"/>
      <c r="FRB208" s="133"/>
      <c r="FRC208" s="133"/>
      <c r="FRD208" s="133"/>
      <c r="FRE208" s="133"/>
      <c r="FRF208" s="133"/>
      <c r="FRG208" s="133"/>
      <c r="FRH208" s="133"/>
      <c r="FRI208" s="133"/>
      <c r="FRJ208" s="133"/>
      <c r="FRK208" s="133"/>
      <c r="FRL208" s="133"/>
      <c r="FRM208" s="133"/>
      <c r="FRN208" s="133"/>
      <c r="FRO208" s="133"/>
      <c r="FRP208" s="133"/>
      <c r="FRQ208" s="133"/>
      <c r="FRR208" s="133"/>
      <c r="FRS208" s="133"/>
      <c r="FRT208" s="133"/>
      <c r="FRU208" s="133"/>
      <c r="FRV208" s="133"/>
      <c r="FRW208" s="133"/>
      <c r="FRX208" s="133"/>
      <c r="FRY208" s="133"/>
      <c r="FRZ208" s="133"/>
      <c r="FSA208" s="133"/>
      <c r="FSB208" s="133"/>
      <c r="FSC208" s="133"/>
      <c r="FSD208" s="133"/>
      <c r="FSE208" s="133"/>
      <c r="FSF208" s="133"/>
      <c r="FSG208" s="133"/>
      <c r="FSH208" s="133"/>
      <c r="FSI208" s="133"/>
      <c r="FSJ208" s="133"/>
      <c r="FSK208" s="133"/>
      <c r="FSL208" s="133"/>
      <c r="FSM208" s="133"/>
      <c r="FSN208" s="133"/>
      <c r="FSO208" s="133"/>
      <c r="FSP208" s="133"/>
      <c r="FSQ208" s="133"/>
      <c r="FSR208" s="133"/>
      <c r="FSS208" s="133"/>
      <c r="FST208" s="133"/>
      <c r="FSU208" s="133"/>
      <c r="FSV208" s="133"/>
      <c r="FSW208" s="133"/>
      <c r="FSX208" s="133"/>
      <c r="FSY208" s="133"/>
      <c r="FSZ208" s="133"/>
      <c r="FTA208" s="133"/>
      <c r="FTB208" s="133"/>
      <c r="FTC208" s="133"/>
      <c r="FTD208" s="133"/>
      <c r="FTE208" s="133"/>
      <c r="FTF208" s="133"/>
      <c r="FTG208" s="133"/>
      <c r="FTH208" s="133"/>
      <c r="FTI208" s="133"/>
      <c r="FTJ208" s="133"/>
      <c r="FTK208" s="133"/>
      <c r="FTL208" s="133"/>
      <c r="FTM208" s="133"/>
      <c r="FTN208" s="133"/>
      <c r="FTO208" s="133"/>
      <c r="FTP208" s="133"/>
      <c r="FTQ208" s="133"/>
      <c r="FTR208" s="133"/>
      <c r="FTS208" s="133"/>
      <c r="FTT208" s="133"/>
      <c r="FTU208" s="133"/>
      <c r="FTV208" s="133"/>
      <c r="FTW208" s="133"/>
      <c r="FTX208" s="133"/>
      <c r="FTY208" s="133"/>
      <c r="FTZ208" s="133"/>
      <c r="FUA208" s="133"/>
      <c r="FUB208" s="133"/>
      <c r="FUC208" s="133"/>
      <c r="FUD208" s="133"/>
      <c r="FUE208" s="133"/>
      <c r="FUF208" s="133"/>
      <c r="FUG208" s="133"/>
      <c r="FUH208" s="133"/>
      <c r="FUI208" s="133"/>
      <c r="FUJ208" s="133"/>
      <c r="FUK208" s="133"/>
      <c r="FUL208" s="133"/>
      <c r="FUM208" s="133"/>
      <c r="FUN208" s="133"/>
      <c r="FUO208" s="133"/>
      <c r="FUP208" s="133"/>
      <c r="FUQ208" s="133"/>
      <c r="FUR208" s="133"/>
      <c r="FUS208" s="133"/>
      <c r="FUT208" s="133"/>
      <c r="FUU208" s="133"/>
      <c r="FUV208" s="133"/>
      <c r="FUW208" s="133"/>
      <c r="FUX208" s="133"/>
      <c r="FUY208" s="133"/>
      <c r="FUZ208" s="133"/>
      <c r="FVA208" s="133"/>
      <c r="FVB208" s="133"/>
      <c r="FVC208" s="133"/>
      <c r="FVD208" s="133"/>
      <c r="FVE208" s="133"/>
      <c r="FVF208" s="133"/>
      <c r="FVG208" s="133"/>
      <c r="FVH208" s="133"/>
      <c r="FVI208" s="133"/>
      <c r="FVJ208" s="133"/>
      <c r="FVK208" s="133"/>
      <c r="FVL208" s="133"/>
      <c r="FVM208" s="133"/>
      <c r="FVN208" s="133"/>
      <c r="FVO208" s="133"/>
      <c r="FVP208" s="133"/>
      <c r="FVQ208" s="133"/>
      <c r="FVR208" s="133"/>
      <c r="FVS208" s="133"/>
      <c r="FVT208" s="133"/>
      <c r="FVU208" s="133"/>
      <c r="FVV208" s="133"/>
      <c r="FVW208" s="133"/>
      <c r="FVX208" s="133"/>
      <c r="FVY208" s="133"/>
      <c r="FVZ208" s="133"/>
      <c r="FWA208" s="133"/>
      <c r="FWB208" s="133"/>
      <c r="FWC208" s="133"/>
      <c r="FWD208" s="133"/>
      <c r="FWE208" s="133"/>
      <c r="FWF208" s="133"/>
      <c r="FWG208" s="133"/>
      <c r="FWH208" s="133"/>
      <c r="FWI208" s="133"/>
      <c r="FWJ208" s="133"/>
      <c r="FWK208" s="133"/>
      <c r="FWL208" s="133"/>
      <c r="FWM208" s="133"/>
      <c r="FWN208" s="133"/>
      <c r="FWO208" s="133"/>
      <c r="FWP208" s="133"/>
      <c r="FWQ208" s="133"/>
      <c r="FWR208" s="133"/>
      <c r="FWS208" s="133"/>
      <c r="FWT208" s="133"/>
      <c r="FWU208" s="133"/>
      <c r="FWV208" s="133"/>
      <c r="FWW208" s="133"/>
      <c r="FWX208" s="133"/>
      <c r="FWY208" s="133"/>
      <c r="FWZ208" s="133"/>
      <c r="FXA208" s="133"/>
      <c r="FXB208" s="133"/>
      <c r="FXC208" s="133"/>
      <c r="FXD208" s="133"/>
      <c r="FXE208" s="133"/>
      <c r="FXF208" s="133"/>
      <c r="FXG208" s="133"/>
      <c r="FXH208" s="133"/>
      <c r="FXI208" s="133"/>
      <c r="FXJ208" s="133"/>
      <c r="FXK208" s="133"/>
      <c r="FXL208" s="133"/>
      <c r="FXM208" s="133"/>
      <c r="FXN208" s="133"/>
      <c r="FXO208" s="133"/>
      <c r="FXP208" s="133"/>
      <c r="FXQ208" s="133"/>
      <c r="FXR208" s="133"/>
      <c r="FXS208" s="133"/>
      <c r="FXT208" s="133"/>
      <c r="FXU208" s="133"/>
      <c r="FXV208" s="133"/>
      <c r="FXW208" s="133"/>
      <c r="FXX208" s="133"/>
      <c r="FXY208" s="133"/>
      <c r="FXZ208" s="133"/>
      <c r="FYA208" s="133"/>
      <c r="FYB208" s="133"/>
      <c r="FYC208" s="133"/>
      <c r="FYD208" s="133"/>
      <c r="FYE208" s="133"/>
      <c r="FYF208" s="133"/>
      <c r="FYG208" s="133"/>
      <c r="FYH208" s="133"/>
      <c r="FYI208" s="133"/>
      <c r="FYJ208" s="133"/>
      <c r="FYK208" s="133"/>
      <c r="FYL208" s="133"/>
      <c r="FYM208" s="133"/>
      <c r="FYN208" s="133"/>
      <c r="FYO208" s="133"/>
      <c r="FYP208" s="133"/>
      <c r="FYQ208" s="133"/>
      <c r="FYR208" s="133"/>
      <c r="FYS208" s="133"/>
      <c r="FYT208" s="133"/>
      <c r="FYU208" s="133"/>
      <c r="FYV208" s="133"/>
      <c r="FYW208" s="133"/>
      <c r="FYX208" s="133"/>
      <c r="FYY208" s="133"/>
      <c r="FYZ208" s="133"/>
      <c r="FZA208" s="133"/>
      <c r="FZB208" s="133"/>
      <c r="FZC208" s="133"/>
      <c r="FZD208" s="133"/>
      <c r="FZE208" s="133"/>
      <c r="FZF208" s="133"/>
      <c r="FZG208" s="133"/>
      <c r="FZH208" s="133"/>
      <c r="FZI208" s="133"/>
      <c r="FZJ208" s="133"/>
      <c r="FZK208" s="133"/>
      <c r="FZL208" s="133"/>
      <c r="FZM208" s="133"/>
      <c r="FZN208" s="133"/>
      <c r="FZO208" s="133"/>
      <c r="FZP208" s="133"/>
      <c r="FZQ208" s="133"/>
      <c r="FZR208" s="133"/>
      <c r="FZS208" s="133"/>
      <c r="FZT208" s="133"/>
      <c r="FZU208" s="133"/>
      <c r="FZV208" s="133"/>
      <c r="FZW208" s="133"/>
      <c r="FZX208" s="133"/>
      <c r="FZY208" s="133"/>
      <c r="FZZ208" s="133"/>
      <c r="GAA208" s="133"/>
      <c r="GAB208" s="133"/>
      <c r="GAC208" s="133"/>
      <c r="GAD208" s="133"/>
      <c r="GAE208" s="133"/>
      <c r="GAF208" s="133"/>
      <c r="GAG208" s="133"/>
      <c r="GAH208" s="133"/>
      <c r="GAI208" s="133"/>
      <c r="GAJ208" s="133"/>
      <c r="GAK208" s="133"/>
      <c r="GAL208" s="133"/>
      <c r="GAM208" s="133"/>
      <c r="GAN208" s="133"/>
      <c r="GAO208" s="133"/>
      <c r="GAP208" s="133"/>
      <c r="GAQ208" s="133"/>
      <c r="GAR208" s="133"/>
      <c r="GAS208" s="133"/>
      <c r="GAT208" s="133"/>
      <c r="GAU208" s="133"/>
      <c r="GAV208" s="133"/>
      <c r="GAW208" s="133"/>
      <c r="GAX208" s="133"/>
      <c r="GAY208" s="133"/>
      <c r="GAZ208" s="133"/>
      <c r="GBA208" s="133"/>
      <c r="GBB208" s="133"/>
      <c r="GBC208" s="133"/>
      <c r="GBD208" s="133"/>
      <c r="GBE208" s="133"/>
      <c r="GBF208" s="133"/>
      <c r="GBG208" s="133"/>
      <c r="GBH208" s="133"/>
      <c r="GBI208" s="133"/>
      <c r="GBJ208" s="133"/>
      <c r="GBK208" s="133"/>
      <c r="GBL208" s="133"/>
      <c r="GBM208" s="133"/>
      <c r="GBN208" s="133"/>
      <c r="GBO208" s="133"/>
      <c r="GBP208" s="133"/>
      <c r="GBQ208" s="133"/>
      <c r="GBR208" s="133"/>
      <c r="GBS208" s="133"/>
      <c r="GBT208" s="133"/>
      <c r="GBU208" s="133"/>
      <c r="GBV208" s="133"/>
      <c r="GBW208" s="133"/>
      <c r="GBX208" s="133"/>
      <c r="GBY208" s="133"/>
      <c r="GBZ208" s="133"/>
      <c r="GCA208" s="133"/>
      <c r="GCB208" s="133"/>
      <c r="GCC208" s="133"/>
      <c r="GCD208" s="133"/>
      <c r="GCE208" s="133"/>
      <c r="GCF208" s="133"/>
      <c r="GCG208" s="133"/>
      <c r="GCH208" s="133"/>
      <c r="GCI208" s="133"/>
      <c r="GCJ208" s="133"/>
      <c r="GCK208" s="133"/>
      <c r="GCL208" s="133"/>
      <c r="GCM208" s="133"/>
      <c r="GCN208" s="133"/>
      <c r="GCO208" s="133"/>
      <c r="GCP208" s="133"/>
      <c r="GCQ208" s="133"/>
      <c r="GCR208" s="133"/>
      <c r="GCS208" s="133"/>
      <c r="GCT208" s="133"/>
      <c r="GCU208" s="133"/>
      <c r="GCV208" s="133"/>
      <c r="GCW208" s="133"/>
      <c r="GCX208" s="133"/>
      <c r="GCY208" s="133"/>
      <c r="GCZ208" s="133"/>
      <c r="GDA208" s="133"/>
      <c r="GDB208" s="133"/>
      <c r="GDC208" s="133"/>
      <c r="GDD208" s="133"/>
      <c r="GDE208" s="133"/>
      <c r="GDF208" s="133"/>
      <c r="GDG208" s="133"/>
      <c r="GDH208" s="133"/>
      <c r="GDI208" s="133"/>
      <c r="GDJ208" s="133"/>
      <c r="GDK208" s="133"/>
      <c r="GDL208" s="133"/>
      <c r="GDM208" s="133"/>
      <c r="GDN208" s="133"/>
      <c r="GDO208" s="133"/>
      <c r="GDP208" s="133"/>
      <c r="GDQ208" s="133"/>
      <c r="GDR208" s="133"/>
      <c r="GDS208" s="133"/>
      <c r="GDT208" s="133"/>
      <c r="GDU208" s="133"/>
      <c r="GDV208" s="133"/>
      <c r="GDW208" s="133"/>
      <c r="GDX208" s="133"/>
      <c r="GDY208" s="133"/>
      <c r="GDZ208" s="133"/>
      <c r="GEA208" s="133"/>
      <c r="GEB208" s="133"/>
      <c r="GEC208" s="133"/>
      <c r="GED208" s="133"/>
      <c r="GEE208" s="133"/>
      <c r="GEF208" s="133"/>
      <c r="GEG208" s="133"/>
      <c r="GEH208" s="133"/>
      <c r="GEI208" s="133"/>
      <c r="GEJ208" s="133"/>
      <c r="GEK208" s="133"/>
      <c r="GEL208" s="133"/>
      <c r="GEM208" s="133"/>
      <c r="GEN208" s="133"/>
      <c r="GEO208" s="133"/>
      <c r="GEP208" s="133"/>
      <c r="GEQ208" s="133"/>
      <c r="GER208" s="133"/>
      <c r="GES208" s="133"/>
      <c r="GET208" s="133"/>
      <c r="GEU208" s="133"/>
      <c r="GEV208" s="133"/>
      <c r="GEW208" s="133"/>
      <c r="GEX208" s="133"/>
      <c r="GEY208" s="133"/>
      <c r="GEZ208" s="133"/>
      <c r="GFA208" s="133"/>
      <c r="GFB208" s="133"/>
      <c r="GFC208" s="133"/>
      <c r="GFD208" s="133"/>
      <c r="GFE208" s="133"/>
      <c r="GFF208" s="133"/>
      <c r="GFG208" s="133"/>
      <c r="GFH208" s="133"/>
      <c r="GFI208" s="133"/>
      <c r="GFJ208" s="133"/>
      <c r="GFK208" s="133"/>
      <c r="GFL208" s="133"/>
      <c r="GFM208" s="133"/>
      <c r="GFN208" s="133"/>
      <c r="GFO208" s="133"/>
      <c r="GFP208" s="133"/>
      <c r="GFQ208" s="133"/>
      <c r="GFR208" s="133"/>
      <c r="GFS208" s="133"/>
      <c r="GFT208" s="133"/>
      <c r="GFU208" s="133"/>
      <c r="GFV208" s="133"/>
      <c r="GFW208" s="133"/>
      <c r="GFX208" s="133"/>
      <c r="GFY208" s="133"/>
      <c r="GFZ208" s="133"/>
      <c r="GGA208" s="133"/>
      <c r="GGB208" s="133"/>
      <c r="GGC208" s="133"/>
      <c r="GGD208" s="133"/>
      <c r="GGE208" s="133"/>
      <c r="GGF208" s="133"/>
      <c r="GGG208" s="133"/>
      <c r="GGH208" s="133"/>
      <c r="GGI208" s="133"/>
      <c r="GGJ208" s="133"/>
      <c r="GGK208" s="133"/>
      <c r="GGL208" s="133"/>
      <c r="GGM208" s="133"/>
      <c r="GGN208" s="133"/>
      <c r="GGO208" s="133"/>
      <c r="GGP208" s="133"/>
      <c r="GGQ208" s="133"/>
      <c r="GGR208" s="133"/>
      <c r="GGS208" s="133"/>
      <c r="GGT208" s="133"/>
      <c r="GGU208" s="133"/>
      <c r="GGV208" s="133"/>
      <c r="GGW208" s="133"/>
      <c r="GGX208" s="133"/>
      <c r="GGY208" s="133"/>
      <c r="GGZ208" s="133"/>
      <c r="GHA208" s="133"/>
      <c r="GHB208" s="133"/>
      <c r="GHC208" s="133"/>
      <c r="GHD208" s="133"/>
      <c r="GHE208" s="133"/>
      <c r="GHF208" s="133"/>
      <c r="GHG208" s="133"/>
      <c r="GHH208" s="133"/>
      <c r="GHI208" s="133"/>
      <c r="GHJ208" s="133"/>
      <c r="GHK208" s="133"/>
      <c r="GHL208" s="133"/>
      <c r="GHM208" s="133"/>
      <c r="GHN208" s="133"/>
      <c r="GHO208" s="133"/>
      <c r="GHP208" s="133"/>
      <c r="GHQ208" s="133"/>
      <c r="GHR208" s="133"/>
      <c r="GHS208" s="133"/>
      <c r="GHT208" s="133"/>
      <c r="GHU208" s="133"/>
      <c r="GHV208" s="133"/>
      <c r="GHW208" s="133"/>
      <c r="GHX208" s="133"/>
      <c r="GHY208" s="133"/>
      <c r="GHZ208" s="133"/>
      <c r="GIA208" s="133"/>
      <c r="GIB208" s="133"/>
      <c r="GIC208" s="133"/>
      <c r="GID208" s="133"/>
      <c r="GIE208" s="133"/>
      <c r="GIF208" s="133"/>
      <c r="GIG208" s="133"/>
      <c r="GIH208" s="133"/>
      <c r="GII208" s="133"/>
      <c r="GIJ208" s="133"/>
      <c r="GIK208" s="133"/>
      <c r="GIL208" s="133"/>
      <c r="GIM208" s="133"/>
      <c r="GIN208" s="133"/>
      <c r="GIO208" s="133"/>
      <c r="GIP208" s="133"/>
      <c r="GIQ208" s="133"/>
      <c r="GIR208" s="133"/>
      <c r="GIS208" s="133"/>
      <c r="GIT208" s="133"/>
      <c r="GIU208" s="133"/>
      <c r="GIV208" s="133"/>
      <c r="GIW208" s="133"/>
      <c r="GIX208" s="133"/>
      <c r="GIY208" s="133"/>
      <c r="GIZ208" s="133"/>
      <c r="GJA208" s="133"/>
      <c r="GJB208" s="133"/>
      <c r="GJC208" s="133"/>
      <c r="GJD208" s="133"/>
      <c r="GJE208" s="133"/>
      <c r="GJF208" s="133"/>
      <c r="GJG208" s="133"/>
      <c r="GJH208" s="133"/>
      <c r="GJI208" s="133"/>
      <c r="GJJ208" s="133"/>
      <c r="GJK208" s="133"/>
      <c r="GJL208" s="133"/>
      <c r="GJM208" s="133"/>
      <c r="GJN208" s="133"/>
      <c r="GJO208" s="133"/>
      <c r="GJP208" s="133"/>
      <c r="GJQ208" s="133"/>
      <c r="GJR208" s="133"/>
      <c r="GJS208" s="133"/>
      <c r="GJT208" s="133"/>
      <c r="GJU208" s="133"/>
      <c r="GJV208" s="133"/>
      <c r="GJW208" s="133"/>
      <c r="GJX208" s="133"/>
      <c r="GJY208" s="133"/>
      <c r="GJZ208" s="133"/>
      <c r="GKA208" s="133"/>
      <c r="GKB208" s="133"/>
      <c r="GKC208" s="133"/>
      <c r="GKD208" s="133"/>
      <c r="GKE208" s="133"/>
      <c r="GKF208" s="133"/>
      <c r="GKG208" s="133"/>
      <c r="GKH208" s="133"/>
      <c r="GKI208" s="133"/>
      <c r="GKJ208" s="133"/>
      <c r="GKK208" s="133"/>
      <c r="GKL208" s="133"/>
      <c r="GKM208" s="133"/>
      <c r="GKN208" s="133"/>
      <c r="GKO208" s="133"/>
      <c r="GKP208" s="133"/>
      <c r="GKQ208" s="133"/>
      <c r="GKR208" s="133"/>
      <c r="GKS208" s="133"/>
      <c r="GKT208" s="133"/>
      <c r="GKU208" s="133"/>
      <c r="GKV208" s="133"/>
      <c r="GKW208" s="133"/>
      <c r="GKX208" s="133"/>
      <c r="GKY208" s="133"/>
      <c r="GKZ208" s="133"/>
      <c r="GLA208" s="133"/>
      <c r="GLB208" s="133"/>
      <c r="GLC208" s="133"/>
      <c r="GLD208" s="133"/>
      <c r="GLE208" s="133"/>
      <c r="GLF208" s="133"/>
      <c r="GLG208" s="133"/>
      <c r="GLH208" s="133"/>
      <c r="GLI208" s="133"/>
      <c r="GLJ208" s="133"/>
      <c r="GLK208" s="133"/>
      <c r="GLL208" s="133"/>
      <c r="GLM208" s="133"/>
      <c r="GLN208" s="133"/>
      <c r="GLO208" s="133"/>
      <c r="GLP208" s="133"/>
      <c r="GLQ208" s="133"/>
      <c r="GLR208" s="133"/>
      <c r="GLS208" s="133"/>
      <c r="GLT208" s="133"/>
      <c r="GLU208" s="133"/>
      <c r="GLV208" s="133"/>
      <c r="GLW208" s="133"/>
      <c r="GLX208" s="133"/>
      <c r="GLY208" s="133"/>
      <c r="GLZ208" s="133"/>
      <c r="GMA208" s="133"/>
      <c r="GMB208" s="133"/>
      <c r="GMC208" s="133"/>
      <c r="GMD208" s="133"/>
      <c r="GME208" s="133"/>
      <c r="GMF208" s="133"/>
      <c r="GMG208" s="133"/>
      <c r="GMH208" s="133"/>
      <c r="GMI208" s="133"/>
      <c r="GMJ208" s="133"/>
      <c r="GMK208" s="133"/>
      <c r="GML208" s="133"/>
      <c r="GMM208" s="133"/>
      <c r="GMN208" s="133"/>
      <c r="GMO208" s="133"/>
      <c r="GMP208" s="133"/>
      <c r="GMQ208" s="133"/>
      <c r="GMR208" s="133"/>
      <c r="GMS208" s="133"/>
      <c r="GMT208" s="133"/>
      <c r="GMU208" s="133"/>
      <c r="GMV208" s="133"/>
      <c r="GMW208" s="133"/>
      <c r="GMX208" s="133"/>
      <c r="GMY208" s="133"/>
      <c r="GMZ208" s="133"/>
      <c r="GNA208" s="133"/>
      <c r="GNB208" s="133"/>
      <c r="GNC208" s="133"/>
      <c r="GND208" s="133"/>
      <c r="GNE208" s="133"/>
      <c r="GNF208" s="133"/>
      <c r="GNG208" s="133"/>
      <c r="GNH208" s="133"/>
      <c r="GNI208" s="133"/>
      <c r="GNJ208" s="133"/>
      <c r="GNK208" s="133"/>
      <c r="GNL208" s="133"/>
      <c r="GNM208" s="133"/>
      <c r="GNN208" s="133"/>
      <c r="GNO208" s="133"/>
      <c r="GNP208" s="133"/>
      <c r="GNQ208" s="133"/>
      <c r="GNR208" s="133"/>
      <c r="GNS208" s="133"/>
      <c r="GNT208" s="133"/>
      <c r="GNU208" s="133"/>
      <c r="GNV208" s="133"/>
      <c r="GNW208" s="133"/>
      <c r="GNX208" s="133"/>
      <c r="GNY208" s="133"/>
      <c r="GNZ208" s="133"/>
      <c r="GOA208" s="133"/>
      <c r="GOB208" s="133"/>
      <c r="GOC208" s="133"/>
      <c r="GOD208" s="133"/>
      <c r="GOE208" s="133"/>
      <c r="GOF208" s="133"/>
      <c r="GOG208" s="133"/>
      <c r="GOH208" s="133"/>
      <c r="GOI208" s="133"/>
      <c r="GOJ208" s="133"/>
      <c r="GOK208" s="133"/>
      <c r="GOL208" s="133"/>
      <c r="GOM208" s="133"/>
      <c r="GON208" s="133"/>
      <c r="GOO208" s="133"/>
      <c r="GOP208" s="133"/>
      <c r="GOQ208" s="133"/>
      <c r="GOR208" s="133"/>
      <c r="GOS208" s="133"/>
      <c r="GOT208" s="133"/>
      <c r="GOU208" s="133"/>
      <c r="GOV208" s="133"/>
      <c r="GOW208" s="133"/>
      <c r="GOX208" s="133"/>
      <c r="GOY208" s="133"/>
      <c r="GOZ208" s="133"/>
      <c r="GPA208" s="133"/>
      <c r="GPB208" s="133"/>
      <c r="GPC208" s="133"/>
      <c r="GPD208" s="133"/>
      <c r="GPE208" s="133"/>
      <c r="GPF208" s="133"/>
      <c r="GPG208" s="133"/>
      <c r="GPH208" s="133"/>
      <c r="GPI208" s="133"/>
      <c r="GPJ208" s="133"/>
      <c r="GPK208" s="133"/>
      <c r="GPL208" s="133"/>
      <c r="GPM208" s="133"/>
      <c r="GPN208" s="133"/>
      <c r="GPO208" s="133"/>
      <c r="GPP208" s="133"/>
      <c r="GPQ208" s="133"/>
      <c r="GPR208" s="133"/>
      <c r="GPS208" s="133"/>
      <c r="GPT208" s="133"/>
      <c r="GPU208" s="133"/>
      <c r="GPV208" s="133"/>
      <c r="GPW208" s="133"/>
      <c r="GPX208" s="133"/>
      <c r="GPY208" s="133"/>
      <c r="GPZ208" s="133"/>
      <c r="GQA208" s="133"/>
      <c r="GQB208" s="133"/>
      <c r="GQC208" s="133"/>
      <c r="GQD208" s="133"/>
      <c r="GQE208" s="133"/>
      <c r="GQF208" s="133"/>
      <c r="GQG208" s="133"/>
      <c r="GQH208" s="133"/>
      <c r="GQI208" s="133"/>
      <c r="GQJ208" s="133"/>
      <c r="GQK208" s="133"/>
      <c r="GQL208" s="133"/>
      <c r="GQM208" s="133"/>
      <c r="GQN208" s="133"/>
      <c r="GQO208" s="133"/>
      <c r="GQP208" s="133"/>
      <c r="GQQ208" s="133"/>
      <c r="GQR208" s="133"/>
      <c r="GQS208" s="133"/>
      <c r="GQT208" s="133"/>
      <c r="GQU208" s="133"/>
      <c r="GQV208" s="133"/>
      <c r="GQW208" s="133"/>
      <c r="GQX208" s="133"/>
      <c r="GQY208" s="133"/>
      <c r="GQZ208" s="133"/>
      <c r="GRA208" s="133"/>
      <c r="GRB208" s="133"/>
      <c r="GRC208" s="133"/>
      <c r="GRD208" s="133"/>
      <c r="GRE208" s="133"/>
      <c r="GRF208" s="133"/>
      <c r="GRG208" s="133"/>
      <c r="GRH208" s="133"/>
      <c r="GRI208" s="133"/>
      <c r="GRJ208" s="133"/>
      <c r="GRK208" s="133"/>
      <c r="GRL208" s="133"/>
      <c r="GRM208" s="133"/>
      <c r="GRN208" s="133"/>
      <c r="GRO208" s="133"/>
      <c r="GRP208" s="133"/>
      <c r="GRQ208" s="133"/>
      <c r="GRR208" s="133"/>
      <c r="GRS208" s="133"/>
      <c r="GRT208" s="133"/>
      <c r="GRU208" s="133"/>
      <c r="GRV208" s="133"/>
      <c r="GRW208" s="133"/>
      <c r="GRX208" s="133"/>
      <c r="GRY208" s="133"/>
      <c r="GRZ208" s="133"/>
      <c r="GSA208" s="133"/>
      <c r="GSB208" s="133"/>
      <c r="GSC208" s="133"/>
      <c r="GSD208" s="133"/>
      <c r="GSE208" s="133"/>
      <c r="GSF208" s="133"/>
      <c r="GSG208" s="133"/>
      <c r="GSH208" s="133"/>
      <c r="GSI208" s="133"/>
      <c r="GSJ208" s="133"/>
      <c r="GSK208" s="133"/>
      <c r="GSL208" s="133"/>
      <c r="GSM208" s="133"/>
      <c r="GSN208" s="133"/>
      <c r="GSO208" s="133"/>
      <c r="GSP208" s="133"/>
      <c r="GSQ208" s="133"/>
      <c r="GSR208" s="133"/>
      <c r="GSS208" s="133"/>
      <c r="GST208" s="133"/>
      <c r="GSU208" s="133"/>
      <c r="GSV208" s="133"/>
      <c r="GSW208" s="133"/>
      <c r="GSX208" s="133"/>
      <c r="GSY208" s="133"/>
      <c r="GSZ208" s="133"/>
      <c r="GTA208" s="133"/>
      <c r="GTB208" s="133"/>
      <c r="GTC208" s="133"/>
      <c r="GTD208" s="133"/>
      <c r="GTE208" s="133"/>
      <c r="GTF208" s="133"/>
      <c r="GTG208" s="133"/>
      <c r="GTH208" s="133"/>
      <c r="GTI208" s="133"/>
      <c r="GTJ208" s="133"/>
      <c r="GTK208" s="133"/>
      <c r="GTL208" s="133"/>
      <c r="GTM208" s="133"/>
      <c r="GTN208" s="133"/>
      <c r="GTO208" s="133"/>
      <c r="GTP208" s="133"/>
      <c r="GTQ208" s="133"/>
      <c r="GTR208" s="133"/>
      <c r="GTS208" s="133"/>
      <c r="GTT208" s="133"/>
      <c r="GTU208" s="133"/>
      <c r="GTV208" s="133"/>
      <c r="GTW208" s="133"/>
      <c r="GTX208" s="133"/>
      <c r="GTY208" s="133"/>
      <c r="GTZ208" s="133"/>
      <c r="GUA208" s="133"/>
      <c r="GUB208" s="133"/>
      <c r="GUC208" s="133"/>
      <c r="GUD208" s="133"/>
      <c r="GUE208" s="133"/>
      <c r="GUF208" s="133"/>
      <c r="GUG208" s="133"/>
      <c r="GUH208" s="133"/>
      <c r="GUI208" s="133"/>
      <c r="GUJ208" s="133"/>
      <c r="GUK208" s="133"/>
      <c r="GUL208" s="133"/>
      <c r="GUM208" s="133"/>
      <c r="GUN208" s="133"/>
      <c r="GUO208" s="133"/>
      <c r="GUP208" s="133"/>
      <c r="GUQ208" s="133"/>
      <c r="GUR208" s="133"/>
      <c r="GUS208" s="133"/>
      <c r="GUT208" s="133"/>
      <c r="GUU208" s="133"/>
      <c r="GUV208" s="133"/>
      <c r="GUW208" s="133"/>
      <c r="GUX208" s="133"/>
      <c r="GUY208" s="133"/>
      <c r="GUZ208" s="133"/>
      <c r="GVA208" s="133"/>
      <c r="GVB208" s="133"/>
      <c r="GVC208" s="133"/>
      <c r="GVD208" s="133"/>
      <c r="GVE208" s="133"/>
      <c r="GVF208" s="133"/>
      <c r="GVG208" s="133"/>
      <c r="GVH208" s="133"/>
      <c r="GVI208" s="133"/>
      <c r="GVJ208" s="133"/>
      <c r="GVK208" s="133"/>
      <c r="GVL208" s="133"/>
      <c r="GVM208" s="133"/>
      <c r="GVN208" s="133"/>
      <c r="GVO208" s="133"/>
      <c r="GVP208" s="133"/>
      <c r="GVQ208" s="133"/>
      <c r="GVR208" s="133"/>
      <c r="GVS208" s="133"/>
      <c r="GVT208" s="133"/>
      <c r="GVU208" s="133"/>
      <c r="GVV208" s="133"/>
      <c r="GVW208" s="133"/>
      <c r="GVX208" s="133"/>
      <c r="GVY208" s="133"/>
      <c r="GVZ208" s="133"/>
      <c r="GWA208" s="133"/>
      <c r="GWB208" s="133"/>
      <c r="GWC208" s="133"/>
      <c r="GWD208" s="133"/>
      <c r="GWE208" s="133"/>
      <c r="GWF208" s="133"/>
      <c r="GWG208" s="133"/>
      <c r="GWH208" s="133"/>
      <c r="GWI208" s="133"/>
      <c r="GWJ208" s="133"/>
      <c r="GWK208" s="133"/>
      <c r="GWL208" s="133"/>
      <c r="GWM208" s="133"/>
      <c r="GWN208" s="133"/>
      <c r="GWO208" s="133"/>
      <c r="GWP208" s="133"/>
      <c r="GWQ208" s="133"/>
      <c r="GWR208" s="133"/>
      <c r="GWS208" s="133"/>
      <c r="GWT208" s="133"/>
      <c r="GWU208" s="133"/>
      <c r="GWV208" s="133"/>
      <c r="GWW208" s="133"/>
      <c r="GWX208" s="133"/>
      <c r="GWY208" s="133"/>
      <c r="GWZ208" s="133"/>
      <c r="GXA208" s="133"/>
      <c r="GXB208" s="133"/>
      <c r="GXC208" s="133"/>
      <c r="GXD208" s="133"/>
      <c r="GXE208" s="133"/>
      <c r="GXF208" s="133"/>
      <c r="GXG208" s="133"/>
      <c r="GXH208" s="133"/>
      <c r="GXI208" s="133"/>
      <c r="GXJ208" s="133"/>
      <c r="GXK208" s="133"/>
      <c r="GXL208" s="133"/>
      <c r="GXM208" s="133"/>
      <c r="GXN208" s="133"/>
      <c r="GXO208" s="133"/>
      <c r="GXP208" s="133"/>
      <c r="GXQ208" s="133"/>
      <c r="GXR208" s="133"/>
      <c r="GXS208" s="133"/>
      <c r="GXT208" s="133"/>
      <c r="GXU208" s="133"/>
      <c r="GXV208" s="133"/>
      <c r="GXW208" s="133"/>
      <c r="GXX208" s="133"/>
      <c r="GXY208" s="133"/>
      <c r="GXZ208" s="133"/>
      <c r="GYA208" s="133"/>
      <c r="GYB208" s="133"/>
      <c r="GYC208" s="133"/>
      <c r="GYD208" s="133"/>
      <c r="GYE208" s="133"/>
      <c r="GYF208" s="133"/>
      <c r="GYG208" s="133"/>
      <c r="GYH208" s="133"/>
      <c r="GYI208" s="133"/>
      <c r="GYJ208" s="133"/>
      <c r="GYK208" s="133"/>
      <c r="GYL208" s="133"/>
      <c r="GYM208" s="133"/>
      <c r="GYN208" s="133"/>
      <c r="GYO208" s="133"/>
      <c r="GYP208" s="133"/>
      <c r="GYQ208" s="133"/>
      <c r="GYR208" s="133"/>
      <c r="GYS208" s="133"/>
      <c r="GYT208" s="133"/>
      <c r="GYU208" s="133"/>
      <c r="GYV208" s="133"/>
      <c r="GYW208" s="133"/>
      <c r="GYX208" s="133"/>
      <c r="GYY208" s="133"/>
      <c r="GYZ208" s="133"/>
      <c r="GZA208" s="133"/>
      <c r="GZB208" s="133"/>
      <c r="GZC208" s="133"/>
      <c r="GZD208" s="133"/>
      <c r="GZE208" s="133"/>
      <c r="GZF208" s="133"/>
      <c r="GZG208" s="133"/>
      <c r="GZH208" s="133"/>
      <c r="GZI208" s="133"/>
      <c r="GZJ208" s="133"/>
      <c r="GZK208" s="133"/>
      <c r="GZL208" s="133"/>
      <c r="GZM208" s="133"/>
      <c r="GZN208" s="133"/>
      <c r="GZO208" s="133"/>
      <c r="GZP208" s="133"/>
      <c r="GZQ208" s="133"/>
      <c r="GZR208" s="133"/>
      <c r="GZS208" s="133"/>
      <c r="GZT208" s="133"/>
      <c r="GZU208" s="133"/>
      <c r="GZV208" s="133"/>
      <c r="GZW208" s="133"/>
      <c r="GZX208" s="133"/>
      <c r="GZY208" s="133"/>
      <c r="GZZ208" s="133"/>
      <c r="HAA208" s="133"/>
      <c r="HAB208" s="133"/>
      <c r="HAC208" s="133"/>
      <c r="HAD208" s="133"/>
      <c r="HAE208" s="133"/>
      <c r="HAF208" s="133"/>
      <c r="HAG208" s="133"/>
      <c r="HAH208" s="133"/>
      <c r="HAI208" s="133"/>
      <c r="HAJ208" s="133"/>
      <c r="HAK208" s="133"/>
      <c r="HAL208" s="133"/>
      <c r="HAM208" s="133"/>
      <c r="HAN208" s="133"/>
      <c r="HAO208" s="133"/>
      <c r="HAP208" s="133"/>
      <c r="HAQ208" s="133"/>
      <c r="HAR208" s="133"/>
      <c r="HAS208" s="133"/>
      <c r="HAT208" s="133"/>
      <c r="HAU208" s="133"/>
      <c r="HAV208" s="133"/>
      <c r="HAW208" s="133"/>
      <c r="HAX208" s="133"/>
      <c r="HAY208" s="133"/>
      <c r="HAZ208" s="133"/>
      <c r="HBA208" s="133"/>
      <c r="HBB208" s="133"/>
      <c r="HBC208" s="133"/>
      <c r="HBD208" s="133"/>
      <c r="HBE208" s="133"/>
      <c r="HBF208" s="133"/>
      <c r="HBG208" s="133"/>
      <c r="HBH208" s="133"/>
      <c r="HBI208" s="133"/>
      <c r="HBJ208" s="133"/>
      <c r="HBK208" s="133"/>
      <c r="HBL208" s="133"/>
      <c r="HBM208" s="133"/>
      <c r="HBN208" s="133"/>
      <c r="HBO208" s="133"/>
      <c r="HBP208" s="133"/>
      <c r="HBQ208" s="133"/>
      <c r="HBR208" s="133"/>
      <c r="HBS208" s="133"/>
      <c r="HBT208" s="133"/>
      <c r="HBU208" s="133"/>
      <c r="HBV208" s="133"/>
      <c r="HBW208" s="133"/>
      <c r="HBX208" s="133"/>
      <c r="HBY208" s="133"/>
      <c r="HBZ208" s="133"/>
      <c r="HCA208" s="133"/>
      <c r="HCB208" s="133"/>
      <c r="HCC208" s="133"/>
      <c r="HCD208" s="133"/>
      <c r="HCE208" s="133"/>
      <c r="HCF208" s="133"/>
      <c r="HCG208" s="133"/>
      <c r="HCH208" s="133"/>
      <c r="HCI208" s="133"/>
      <c r="HCJ208" s="133"/>
      <c r="HCK208" s="133"/>
      <c r="HCL208" s="133"/>
      <c r="HCM208" s="133"/>
      <c r="HCN208" s="133"/>
      <c r="HCO208" s="133"/>
      <c r="HCP208" s="133"/>
      <c r="HCQ208" s="133"/>
      <c r="HCR208" s="133"/>
      <c r="HCS208" s="133"/>
      <c r="HCT208" s="133"/>
      <c r="HCU208" s="133"/>
      <c r="HCV208" s="133"/>
      <c r="HCW208" s="133"/>
      <c r="HCX208" s="133"/>
      <c r="HCY208" s="133"/>
      <c r="HCZ208" s="133"/>
      <c r="HDA208" s="133"/>
      <c r="HDB208" s="133"/>
      <c r="HDC208" s="133"/>
      <c r="HDD208" s="133"/>
      <c r="HDE208" s="133"/>
      <c r="HDF208" s="133"/>
      <c r="HDG208" s="133"/>
      <c r="HDH208" s="133"/>
      <c r="HDI208" s="133"/>
      <c r="HDJ208" s="133"/>
      <c r="HDK208" s="133"/>
      <c r="HDL208" s="133"/>
      <c r="HDM208" s="133"/>
      <c r="HDN208" s="133"/>
      <c r="HDO208" s="133"/>
      <c r="HDP208" s="133"/>
      <c r="HDQ208" s="133"/>
      <c r="HDR208" s="133"/>
      <c r="HDS208" s="133"/>
      <c r="HDT208" s="133"/>
      <c r="HDU208" s="133"/>
      <c r="HDV208" s="133"/>
      <c r="HDW208" s="133"/>
      <c r="HDX208" s="133"/>
      <c r="HDY208" s="133"/>
      <c r="HDZ208" s="133"/>
      <c r="HEA208" s="133"/>
      <c r="HEB208" s="133"/>
      <c r="HEC208" s="133"/>
      <c r="HED208" s="133"/>
      <c r="HEE208" s="133"/>
      <c r="HEF208" s="133"/>
      <c r="HEG208" s="133"/>
      <c r="HEH208" s="133"/>
      <c r="HEI208" s="133"/>
      <c r="HEJ208" s="133"/>
      <c r="HEK208" s="133"/>
      <c r="HEL208" s="133"/>
      <c r="HEM208" s="133"/>
      <c r="HEN208" s="133"/>
      <c r="HEO208" s="133"/>
      <c r="HEP208" s="133"/>
      <c r="HEQ208" s="133"/>
      <c r="HER208" s="133"/>
      <c r="HES208" s="133"/>
      <c r="HET208" s="133"/>
      <c r="HEU208" s="133"/>
      <c r="HEV208" s="133"/>
      <c r="HEW208" s="133"/>
      <c r="HEX208" s="133"/>
      <c r="HEY208" s="133"/>
      <c r="HEZ208" s="133"/>
      <c r="HFA208" s="133"/>
      <c r="HFB208" s="133"/>
      <c r="HFC208" s="133"/>
      <c r="HFD208" s="133"/>
      <c r="HFE208" s="133"/>
      <c r="HFF208" s="133"/>
      <c r="HFG208" s="133"/>
      <c r="HFH208" s="133"/>
      <c r="HFI208" s="133"/>
      <c r="HFJ208" s="133"/>
      <c r="HFK208" s="133"/>
      <c r="HFL208" s="133"/>
      <c r="HFM208" s="133"/>
      <c r="HFN208" s="133"/>
      <c r="HFO208" s="133"/>
      <c r="HFP208" s="133"/>
      <c r="HFQ208" s="133"/>
      <c r="HFR208" s="133"/>
      <c r="HFS208" s="133"/>
      <c r="HFT208" s="133"/>
      <c r="HFU208" s="133"/>
      <c r="HFV208" s="133"/>
      <c r="HFW208" s="133"/>
      <c r="HFX208" s="133"/>
      <c r="HFY208" s="133"/>
      <c r="HFZ208" s="133"/>
      <c r="HGA208" s="133"/>
      <c r="HGB208" s="133"/>
      <c r="HGC208" s="133"/>
      <c r="HGD208" s="133"/>
      <c r="HGE208" s="133"/>
      <c r="HGF208" s="133"/>
      <c r="HGG208" s="133"/>
      <c r="HGH208" s="133"/>
      <c r="HGI208" s="133"/>
      <c r="HGJ208" s="133"/>
      <c r="HGK208" s="133"/>
      <c r="HGL208" s="133"/>
      <c r="HGM208" s="133"/>
      <c r="HGN208" s="133"/>
      <c r="HGO208" s="133"/>
      <c r="HGP208" s="133"/>
      <c r="HGQ208" s="133"/>
      <c r="HGR208" s="133"/>
      <c r="HGS208" s="133"/>
      <c r="HGT208" s="133"/>
      <c r="HGU208" s="133"/>
      <c r="HGV208" s="133"/>
      <c r="HGW208" s="133"/>
      <c r="HGX208" s="133"/>
      <c r="HGY208" s="133"/>
      <c r="HGZ208" s="133"/>
      <c r="HHA208" s="133"/>
      <c r="HHB208" s="133"/>
      <c r="HHC208" s="133"/>
      <c r="HHD208" s="133"/>
      <c r="HHE208" s="133"/>
      <c r="HHF208" s="133"/>
      <c r="HHG208" s="133"/>
      <c r="HHH208" s="133"/>
      <c r="HHI208" s="133"/>
      <c r="HHJ208" s="133"/>
      <c r="HHK208" s="133"/>
      <c r="HHL208" s="133"/>
      <c r="HHM208" s="133"/>
      <c r="HHN208" s="133"/>
      <c r="HHO208" s="133"/>
      <c r="HHP208" s="133"/>
      <c r="HHQ208" s="133"/>
      <c r="HHR208" s="133"/>
      <c r="HHS208" s="133"/>
      <c r="HHT208" s="133"/>
      <c r="HHU208" s="133"/>
      <c r="HHV208" s="133"/>
      <c r="HHW208" s="133"/>
      <c r="HHX208" s="133"/>
      <c r="HHY208" s="133"/>
      <c r="HHZ208" s="133"/>
      <c r="HIA208" s="133"/>
      <c r="HIB208" s="133"/>
      <c r="HIC208" s="133"/>
      <c r="HID208" s="133"/>
      <c r="HIE208" s="133"/>
      <c r="HIF208" s="133"/>
      <c r="HIG208" s="133"/>
      <c r="HIH208" s="133"/>
      <c r="HII208" s="133"/>
      <c r="HIJ208" s="133"/>
      <c r="HIK208" s="133"/>
      <c r="HIL208" s="133"/>
      <c r="HIM208" s="133"/>
      <c r="HIN208" s="133"/>
      <c r="HIO208" s="133"/>
      <c r="HIP208" s="133"/>
      <c r="HIQ208" s="133"/>
      <c r="HIR208" s="133"/>
      <c r="HIS208" s="133"/>
      <c r="HIT208" s="133"/>
      <c r="HIU208" s="133"/>
      <c r="HIV208" s="133"/>
      <c r="HIW208" s="133"/>
      <c r="HIX208" s="133"/>
      <c r="HIY208" s="133"/>
      <c r="HIZ208" s="133"/>
      <c r="HJA208" s="133"/>
      <c r="HJB208" s="133"/>
      <c r="HJC208" s="133"/>
      <c r="HJD208" s="133"/>
      <c r="HJE208" s="133"/>
      <c r="HJF208" s="133"/>
      <c r="HJG208" s="133"/>
      <c r="HJH208" s="133"/>
      <c r="HJI208" s="133"/>
      <c r="HJJ208" s="133"/>
      <c r="HJK208" s="133"/>
      <c r="HJL208" s="133"/>
      <c r="HJM208" s="133"/>
      <c r="HJN208" s="133"/>
      <c r="HJO208" s="133"/>
      <c r="HJP208" s="133"/>
      <c r="HJQ208" s="133"/>
      <c r="HJR208" s="133"/>
      <c r="HJS208" s="133"/>
      <c r="HJT208" s="133"/>
      <c r="HJU208" s="133"/>
      <c r="HJV208" s="133"/>
      <c r="HJW208" s="133"/>
      <c r="HJX208" s="133"/>
      <c r="HJY208" s="133"/>
      <c r="HJZ208" s="133"/>
      <c r="HKA208" s="133"/>
      <c r="HKB208" s="133"/>
      <c r="HKC208" s="133"/>
      <c r="HKD208" s="133"/>
      <c r="HKE208" s="133"/>
      <c r="HKF208" s="133"/>
      <c r="HKG208" s="133"/>
      <c r="HKH208" s="133"/>
      <c r="HKI208" s="133"/>
      <c r="HKJ208" s="133"/>
      <c r="HKK208" s="133"/>
      <c r="HKL208" s="133"/>
      <c r="HKM208" s="133"/>
      <c r="HKN208" s="133"/>
      <c r="HKO208" s="133"/>
      <c r="HKP208" s="133"/>
      <c r="HKQ208" s="133"/>
      <c r="HKR208" s="133"/>
      <c r="HKS208" s="133"/>
      <c r="HKT208" s="133"/>
      <c r="HKU208" s="133"/>
      <c r="HKV208" s="133"/>
      <c r="HKW208" s="133"/>
      <c r="HKX208" s="133"/>
      <c r="HKY208" s="133"/>
      <c r="HKZ208" s="133"/>
      <c r="HLA208" s="133"/>
      <c r="HLB208" s="133"/>
      <c r="HLC208" s="133"/>
      <c r="HLD208" s="133"/>
      <c r="HLE208" s="133"/>
      <c r="HLF208" s="133"/>
      <c r="HLG208" s="133"/>
      <c r="HLH208" s="133"/>
      <c r="HLI208" s="133"/>
      <c r="HLJ208" s="133"/>
      <c r="HLK208" s="133"/>
      <c r="HLL208" s="133"/>
      <c r="HLM208" s="133"/>
      <c r="HLN208" s="133"/>
      <c r="HLO208" s="133"/>
      <c r="HLP208" s="133"/>
      <c r="HLQ208" s="133"/>
      <c r="HLR208" s="133"/>
      <c r="HLS208" s="133"/>
      <c r="HLT208" s="133"/>
      <c r="HLU208" s="133"/>
      <c r="HLV208" s="133"/>
      <c r="HLW208" s="133"/>
      <c r="HLX208" s="133"/>
      <c r="HLY208" s="133"/>
      <c r="HLZ208" s="133"/>
      <c r="HMA208" s="133"/>
      <c r="HMB208" s="133"/>
      <c r="HMC208" s="133"/>
      <c r="HMD208" s="133"/>
      <c r="HME208" s="133"/>
      <c r="HMF208" s="133"/>
      <c r="HMG208" s="133"/>
      <c r="HMH208" s="133"/>
      <c r="HMI208" s="133"/>
      <c r="HMJ208" s="133"/>
      <c r="HMK208" s="133"/>
      <c r="HML208" s="133"/>
      <c r="HMM208" s="133"/>
      <c r="HMN208" s="133"/>
      <c r="HMO208" s="133"/>
      <c r="HMP208" s="133"/>
      <c r="HMQ208" s="133"/>
      <c r="HMR208" s="133"/>
      <c r="HMS208" s="133"/>
      <c r="HMT208" s="133"/>
      <c r="HMU208" s="133"/>
      <c r="HMV208" s="133"/>
      <c r="HMW208" s="133"/>
      <c r="HMX208" s="133"/>
      <c r="HMY208" s="133"/>
      <c r="HMZ208" s="133"/>
      <c r="HNA208" s="133"/>
      <c r="HNB208" s="133"/>
      <c r="HNC208" s="133"/>
      <c r="HND208" s="133"/>
      <c r="HNE208" s="133"/>
      <c r="HNF208" s="133"/>
      <c r="HNG208" s="133"/>
      <c r="HNH208" s="133"/>
      <c r="HNI208" s="133"/>
      <c r="HNJ208" s="133"/>
      <c r="HNK208" s="133"/>
      <c r="HNL208" s="133"/>
      <c r="HNM208" s="133"/>
      <c r="HNN208" s="133"/>
      <c r="HNO208" s="133"/>
      <c r="HNP208" s="133"/>
      <c r="HNQ208" s="133"/>
      <c r="HNR208" s="133"/>
      <c r="HNS208" s="133"/>
      <c r="HNT208" s="133"/>
      <c r="HNU208" s="133"/>
      <c r="HNV208" s="133"/>
      <c r="HNW208" s="133"/>
      <c r="HNX208" s="133"/>
      <c r="HNY208" s="133"/>
      <c r="HNZ208" s="133"/>
      <c r="HOA208" s="133"/>
      <c r="HOB208" s="133"/>
      <c r="HOC208" s="133"/>
      <c r="HOD208" s="133"/>
      <c r="HOE208" s="133"/>
      <c r="HOF208" s="133"/>
      <c r="HOG208" s="133"/>
      <c r="HOH208" s="133"/>
      <c r="HOI208" s="133"/>
      <c r="HOJ208" s="133"/>
      <c r="HOK208" s="133"/>
      <c r="HOL208" s="133"/>
      <c r="HOM208" s="133"/>
      <c r="HON208" s="133"/>
      <c r="HOO208" s="133"/>
      <c r="HOP208" s="133"/>
      <c r="HOQ208" s="133"/>
      <c r="HOR208" s="133"/>
      <c r="HOS208" s="133"/>
      <c r="HOT208" s="133"/>
      <c r="HOU208" s="133"/>
      <c r="HOV208" s="133"/>
      <c r="HOW208" s="133"/>
      <c r="HOX208" s="133"/>
      <c r="HOY208" s="133"/>
      <c r="HOZ208" s="133"/>
      <c r="HPA208" s="133"/>
      <c r="HPB208" s="133"/>
      <c r="HPC208" s="133"/>
      <c r="HPD208" s="133"/>
      <c r="HPE208" s="133"/>
      <c r="HPF208" s="133"/>
      <c r="HPG208" s="133"/>
      <c r="HPH208" s="133"/>
      <c r="HPI208" s="133"/>
      <c r="HPJ208" s="133"/>
      <c r="HPK208" s="133"/>
      <c r="HPL208" s="133"/>
      <c r="HPM208" s="133"/>
      <c r="HPN208" s="133"/>
      <c r="HPO208" s="133"/>
      <c r="HPP208" s="133"/>
      <c r="HPQ208" s="133"/>
      <c r="HPR208" s="133"/>
      <c r="HPS208" s="133"/>
      <c r="HPT208" s="133"/>
      <c r="HPU208" s="133"/>
      <c r="HPV208" s="133"/>
      <c r="HPW208" s="133"/>
      <c r="HPX208" s="133"/>
      <c r="HPY208" s="133"/>
      <c r="HPZ208" s="133"/>
      <c r="HQA208" s="133"/>
      <c r="HQB208" s="133"/>
      <c r="HQC208" s="133"/>
      <c r="HQD208" s="133"/>
      <c r="HQE208" s="133"/>
      <c r="HQF208" s="133"/>
      <c r="HQG208" s="133"/>
      <c r="HQH208" s="133"/>
      <c r="HQI208" s="133"/>
      <c r="HQJ208" s="133"/>
      <c r="HQK208" s="133"/>
      <c r="HQL208" s="133"/>
      <c r="HQM208" s="133"/>
      <c r="HQN208" s="133"/>
      <c r="HQO208" s="133"/>
      <c r="HQP208" s="133"/>
      <c r="HQQ208" s="133"/>
      <c r="HQR208" s="133"/>
      <c r="HQS208" s="133"/>
      <c r="HQT208" s="133"/>
      <c r="HQU208" s="133"/>
      <c r="HQV208" s="133"/>
      <c r="HQW208" s="133"/>
      <c r="HQX208" s="133"/>
      <c r="HQY208" s="133"/>
      <c r="HQZ208" s="133"/>
      <c r="HRA208" s="133"/>
      <c r="HRB208" s="133"/>
      <c r="HRC208" s="133"/>
      <c r="HRD208" s="133"/>
      <c r="HRE208" s="133"/>
      <c r="HRF208" s="133"/>
      <c r="HRG208" s="133"/>
      <c r="HRH208" s="133"/>
      <c r="HRI208" s="133"/>
      <c r="HRJ208" s="133"/>
      <c r="HRK208" s="133"/>
      <c r="HRL208" s="133"/>
      <c r="HRM208" s="133"/>
      <c r="HRN208" s="133"/>
      <c r="HRO208" s="133"/>
      <c r="HRP208" s="133"/>
      <c r="HRQ208" s="133"/>
      <c r="HRR208" s="133"/>
      <c r="HRS208" s="133"/>
      <c r="HRT208" s="133"/>
      <c r="HRU208" s="133"/>
      <c r="HRV208" s="133"/>
      <c r="HRW208" s="133"/>
      <c r="HRX208" s="133"/>
      <c r="HRY208" s="133"/>
      <c r="HRZ208" s="133"/>
      <c r="HSA208" s="133"/>
      <c r="HSB208" s="133"/>
      <c r="HSC208" s="133"/>
      <c r="HSD208" s="133"/>
      <c r="HSE208" s="133"/>
      <c r="HSF208" s="133"/>
      <c r="HSG208" s="133"/>
      <c r="HSH208" s="133"/>
      <c r="HSI208" s="133"/>
      <c r="HSJ208" s="133"/>
      <c r="HSK208" s="133"/>
      <c r="HSL208" s="133"/>
      <c r="HSM208" s="133"/>
      <c r="HSN208" s="133"/>
      <c r="HSO208" s="133"/>
      <c r="HSP208" s="133"/>
      <c r="HSQ208" s="133"/>
      <c r="HSR208" s="133"/>
      <c r="HSS208" s="133"/>
      <c r="HST208" s="133"/>
      <c r="HSU208" s="133"/>
      <c r="HSV208" s="133"/>
      <c r="HSW208" s="133"/>
      <c r="HSX208" s="133"/>
      <c r="HSY208" s="133"/>
      <c r="HSZ208" s="133"/>
      <c r="HTA208" s="133"/>
      <c r="HTB208" s="133"/>
      <c r="HTC208" s="133"/>
      <c r="HTD208" s="133"/>
      <c r="HTE208" s="133"/>
      <c r="HTF208" s="133"/>
      <c r="HTG208" s="133"/>
      <c r="HTH208" s="133"/>
      <c r="HTI208" s="133"/>
      <c r="HTJ208" s="133"/>
      <c r="HTK208" s="133"/>
      <c r="HTL208" s="133"/>
      <c r="HTM208" s="133"/>
      <c r="HTN208" s="133"/>
      <c r="HTO208" s="133"/>
      <c r="HTP208" s="133"/>
      <c r="HTQ208" s="133"/>
      <c r="HTR208" s="133"/>
      <c r="HTS208" s="133"/>
      <c r="HTT208" s="133"/>
      <c r="HTU208" s="133"/>
      <c r="HTV208" s="133"/>
      <c r="HTW208" s="133"/>
      <c r="HTX208" s="133"/>
      <c r="HTY208" s="133"/>
      <c r="HTZ208" s="133"/>
      <c r="HUA208" s="133"/>
      <c r="HUB208" s="133"/>
      <c r="HUC208" s="133"/>
      <c r="HUD208" s="133"/>
      <c r="HUE208" s="133"/>
      <c r="HUF208" s="133"/>
      <c r="HUG208" s="133"/>
      <c r="HUH208" s="133"/>
      <c r="HUI208" s="133"/>
      <c r="HUJ208" s="133"/>
      <c r="HUK208" s="133"/>
      <c r="HUL208" s="133"/>
      <c r="HUM208" s="133"/>
      <c r="HUN208" s="133"/>
      <c r="HUO208" s="133"/>
      <c r="HUP208" s="133"/>
      <c r="HUQ208" s="133"/>
      <c r="HUR208" s="133"/>
      <c r="HUS208" s="133"/>
      <c r="HUT208" s="133"/>
      <c r="HUU208" s="133"/>
      <c r="HUV208" s="133"/>
      <c r="HUW208" s="133"/>
      <c r="HUX208" s="133"/>
      <c r="HUY208" s="133"/>
      <c r="HUZ208" s="133"/>
      <c r="HVA208" s="133"/>
      <c r="HVB208" s="133"/>
      <c r="HVC208" s="133"/>
      <c r="HVD208" s="133"/>
      <c r="HVE208" s="133"/>
      <c r="HVF208" s="133"/>
      <c r="HVG208" s="133"/>
      <c r="HVH208" s="133"/>
      <c r="HVI208" s="133"/>
      <c r="HVJ208" s="133"/>
      <c r="HVK208" s="133"/>
      <c r="HVL208" s="133"/>
      <c r="HVM208" s="133"/>
      <c r="HVN208" s="133"/>
      <c r="HVO208" s="133"/>
      <c r="HVP208" s="133"/>
      <c r="HVQ208" s="133"/>
      <c r="HVR208" s="133"/>
      <c r="HVS208" s="133"/>
      <c r="HVT208" s="133"/>
      <c r="HVU208" s="133"/>
      <c r="HVV208" s="133"/>
      <c r="HVW208" s="133"/>
      <c r="HVX208" s="133"/>
      <c r="HVY208" s="133"/>
      <c r="HVZ208" s="133"/>
      <c r="HWA208" s="133"/>
      <c r="HWB208" s="133"/>
      <c r="HWC208" s="133"/>
      <c r="HWD208" s="133"/>
      <c r="HWE208" s="133"/>
      <c r="HWF208" s="133"/>
      <c r="HWG208" s="133"/>
      <c r="HWH208" s="133"/>
      <c r="HWI208" s="133"/>
      <c r="HWJ208" s="133"/>
      <c r="HWK208" s="133"/>
      <c r="HWL208" s="133"/>
      <c r="HWM208" s="133"/>
      <c r="HWN208" s="133"/>
      <c r="HWO208" s="133"/>
      <c r="HWP208" s="133"/>
      <c r="HWQ208" s="133"/>
      <c r="HWR208" s="133"/>
      <c r="HWS208" s="133"/>
      <c r="HWT208" s="133"/>
      <c r="HWU208" s="133"/>
      <c r="HWV208" s="133"/>
      <c r="HWW208" s="133"/>
      <c r="HWX208" s="133"/>
      <c r="HWY208" s="133"/>
      <c r="HWZ208" s="133"/>
      <c r="HXA208" s="133"/>
      <c r="HXB208" s="133"/>
      <c r="HXC208" s="133"/>
      <c r="HXD208" s="133"/>
      <c r="HXE208" s="133"/>
      <c r="HXF208" s="133"/>
      <c r="HXG208" s="133"/>
      <c r="HXH208" s="133"/>
      <c r="HXI208" s="133"/>
      <c r="HXJ208" s="133"/>
      <c r="HXK208" s="133"/>
      <c r="HXL208" s="133"/>
      <c r="HXM208" s="133"/>
      <c r="HXN208" s="133"/>
      <c r="HXO208" s="133"/>
      <c r="HXP208" s="133"/>
      <c r="HXQ208" s="133"/>
      <c r="HXR208" s="133"/>
      <c r="HXS208" s="133"/>
      <c r="HXT208" s="133"/>
      <c r="HXU208" s="133"/>
      <c r="HXV208" s="133"/>
      <c r="HXW208" s="133"/>
      <c r="HXX208" s="133"/>
      <c r="HXY208" s="133"/>
      <c r="HXZ208" s="133"/>
      <c r="HYA208" s="133"/>
      <c r="HYB208" s="133"/>
      <c r="HYC208" s="133"/>
      <c r="HYD208" s="133"/>
      <c r="HYE208" s="133"/>
      <c r="HYF208" s="133"/>
      <c r="HYG208" s="133"/>
      <c r="HYH208" s="133"/>
      <c r="HYI208" s="133"/>
      <c r="HYJ208" s="133"/>
      <c r="HYK208" s="133"/>
      <c r="HYL208" s="133"/>
      <c r="HYM208" s="133"/>
      <c r="HYN208" s="133"/>
      <c r="HYO208" s="133"/>
      <c r="HYP208" s="133"/>
      <c r="HYQ208" s="133"/>
      <c r="HYR208" s="133"/>
      <c r="HYS208" s="133"/>
      <c r="HYT208" s="133"/>
      <c r="HYU208" s="133"/>
      <c r="HYV208" s="133"/>
      <c r="HYW208" s="133"/>
      <c r="HYX208" s="133"/>
      <c r="HYY208" s="133"/>
      <c r="HYZ208" s="133"/>
      <c r="HZA208" s="133"/>
      <c r="HZB208" s="133"/>
      <c r="HZC208" s="133"/>
      <c r="HZD208" s="133"/>
      <c r="HZE208" s="133"/>
      <c r="HZF208" s="133"/>
      <c r="HZG208" s="133"/>
      <c r="HZH208" s="133"/>
      <c r="HZI208" s="133"/>
      <c r="HZJ208" s="133"/>
      <c r="HZK208" s="133"/>
      <c r="HZL208" s="133"/>
      <c r="HZM208" s="133"/>
      <c r="HZN208" s="133"/>
      <c r="HZO208" s="133"/>
      <c r="HZP208" s="133"/>
      <c r="HZQ208" s="133"/>
      <c r="HZR208" s="133"/>
      <c r="HZS208" s="133"/>
      <c r="HZT208" s="133"/>
      <c r="HZU208" s="133"/>
      <c r="HZV208" s="133"/>
      <c r="HZW208" s="133"/>
      <c r="HZX208" s="133"/>
      <c r="HZY208" s="133"/>
      <c r="HZZ208" s="133"/>
      <c r="IAA208" s="133"/>
      <c r="IAB208" s="133"/>
      <c r="IAC208" s="133"/>
      <c r="IAD208" s="133"/>
      <c r="IAE208" s="133"/>
      <c r="IAF208" s="133"/>
      <c r="IAG208" s="133"/>
      <c r="IAH208" s="133"/>
      <c r="IAI208" s="133"/>
      <c r="IAJ208" s="133"/>
      <c r="IAK208" s="133"/>
      <c r="IAL208" s="133"/>
      <c r="IAM208" s="133"/>
      <c r="IAN208" s="133"/>
      <c r="IAO208" s="133"/>
      <c r="IAP208" s="133"/>
      <c r="IAQ208" s="133"/>
      <c r="IAR208" s="133"/>
      <c r="IAS208" s="133"/>
      <c r="IAT208" s="133"/>
      <c r="IAU208" s="133"/>
      <c r="IAV208" s="133"/>
      <c r="IAW208" s="133"/>
      <c r="IAX208" s="133"/>
      <c r="IAY208" s="133"/>
      <c r="IAZ208" s="133"/>
      <c r="IBA208" s="133"/>
      <c r="IBB208" s="133"/>
      <c r="IBC208" s="133"/>
      <c r="IBD208" s="133"/>
      <c r="IBE208" s="133"/>
      <c r="IBF208" s="133"/>
      <c r="IBG208" s="133"/>
      <c r="IBH208" s="133"/>
      <c r="IBI208" s="133"/>
      <c r="IBJ208" s="133"/>
      <c r="IBK208" s="133"/>
      <c r="IBL208" s="133"/>
      <c r="IBM208" s="133"/>
      <c r="IBN208" s="133"/>
      <c r="IBO208" s="133"/>
      <c r="IBP208" s="133"/>
      <c r="IBQ208" s="133"/>
      <c r="IBR208" s="133"/>
      <c r="IBS208" s="133"/>
      <c r="IBT208" s="133"/>
      <c r="IBU208" s="133"/>
      <c r="IBV208" s="133"/>
      <c r="IBW208" s="133"/>
      <c r="IBX208" s="133"/>
      <c r="IBY208" s="133"/>
      <c r="IBZ208" s="133"/>
      <c r="ICA208" s="133"/>
      <c r="ICB208" s="133"/>
      <c r="ICC208" s="133"/>
      <c r="ICD208" s="133"/>
      <c r="ICE208" s="133"/>
      <c r="ICF208" s="133"/>
      <c r="ICG208" s="133"/>
      <c r="ICH208" s="133"/>
      <c r="ICI208" s="133"/>
      <c r="ICJ208" s="133"/>
      <c r="ICK208" s="133"/>
      <c r="ICL208" s="133"/>
      <c r="ICM208" s="133"/>
      <c r="ICN208" s="133"/>
      <c r="ICO208" s="133"/>
      <c r="ICP208" s="133"/>
      <c r="ICQ208" s="133"/>
      <c r="ICR208" s="133"/>
      <c r="ICS208" s="133"/>
      <c r="ICT208" s="133"/>
      <c r="ICU208" s="133"/>
      <c r="ICV208" s="133"/>
      <c r="ICW208" s="133"/>
      <c r="ICX208" s="133"/>
      <c r="ICY208" s="133"/>
      <c r="ICZ208" s="133"/>
      <c r="IDA208" s="133"/>
      <c r="IDB208" s="133"/>
      <c r="IDC208" s="133"/>
      <c r="IDD208" s="133"/>
      <c r="IDE208" s="133"/>
      <c r="IDF208" s="133"/>
      <c r="IDG208" s="133"/>
      <c r="IDH208" s="133"/>
      <c r="IDI208" s="133"/>
      <c r="IDJ208" s="133"/>
      <c r="IDK208" s="133"/>
      <c r="IDL208" s="133"/>
      <c r="IDM208" s="133"/>
      <c r="IDN208" s="133"/>
      <c r="IDO208" s="133"/>
      <c r="IDP208" s="133"/>
      <c r="IDQ208" s="133"/>
      <c r="IDR208" s="133"/>
      <c r="IDS208" s="133"/>
      <c r="IDT208" s="133"/>
      <c r="IDU208" s="133"/>
      <c r="IDV208" s="133"/>
      <c r="IDW208" s="133"/>
      <c r="IDX208" s="133"/>
      <c r="IDY208" s="133"/>
      <c r="IDZ208" s="133"/>
      <c r="IEA208" s="133"/>
      <c r="IEB208" s="133"/>
      <c r="IEC208" s="133"/>
      <c r="IED208" s="133"/>
      <c r="IEE208" s="133"/>
      <c r="IEF208" s="133"/>
      <c r="IEG208" s="133"/>
      <c r="IEH208" s="133"/>
      <c r="IEI208" s="133"/>
      <c r="IEJ208" s="133"/>
      <c r="IEK208" s="133"/>
      <c r="IEL208" s="133"/>
      <c r="IEM208" s="133"/>
      <c r="IEN208" s="133"/>
      <c r="IEO208" s="133"/>
      <c r="IEP208" s="133"/>
      <c r="IEQ208" s="133"/>
      <c r="IER208" s="133"/>
      <c r="IES208" s="133"/>
      <c r="IET208" s="133"/>
      <c r="IEU208" s="133"/>
      <c r="IEV208" s="133"/>
      <c r="IEW208" s="133"/>
      <c r="IEX208" s="133"/>
      <c r="IEY208" s="133"/>
      <c r="IEZ208" s="133"/>
      <c r="IFA208" s="133"/>
      <c r="IFB208" s="133"/>
      <c r="IFC208" s="133"/>
      <c r="IFD208" s="133"/>
      <c r="IFE208" s="133"/>
      <c r="IFF208" s="133"/>
      <c r="IFG208" s="133"/>
      <c r="IFH208" s="133"/>
      <c r="IFI208" s="133"/>
      <c r="IFJ208" s="133"/>
      <c r="IFK208" s="133"/>
      <c r="IFL208" s="133"/>
      <c r="IFM208" s="133"/>
      <c r="IFN208" s="133"/>
      <c r="IFO208" s="133"/>
      <c r="IFP208" s="133"/>
      <c r="IFQ208" s="133"/>
      <c r="IFR208" s="133"/>
      <c r="IFS208" s="133"/>
      <c r="IFT208" s="133"/>
      <c r="IFU208" s="133"/>
      <c r="IFV208" s="133"/>
      <c r="IFW208" s="133"/>
      <c r="IFX208" s="133"/>
      <c r="IFY208" s="133"/>
      <c r="IFZ208" s="133"/>
      <c r="IGA208" s="133"/>
      <c r="IGB208" s="133"/>
      <c r="IGC208" s="133"/>
      <c r="IGD208" s="133"/>
      <c r="IGE208" s="133"/>
      <c r="IGF208" s="133"/>
      <c r="IGG208" s="133"/>
      <c r="IGH208" s="133"/>
      <c r="IGI208" s="133"/>
      <c r="IGJ208" s="133"/>
      <c r="IGK208" s="133"/>
      <c r="IGL208" s="133"/>
      <c r="IGM208" s="133"/>
      <c r="IGN208" s="133"/>
      <c r="IGO208" s="133"/>
      <c r="IGP208" s="133"/>
      <c r="IGQ208" s="133"/>
      <c r="IGR208" s="133"/>
      <c r="IGS208" s="133"/>
      <c r="IGT208" s="133"/>
      <c r="IGU208" s="133"/>
      <c r="IGV208" s="133"/>
      <c r="IGW208" s="133"/>
      <c r="IGX208" s="133"/>
      <c r="IGY208" s="133"/>
      <c r="IGZ208" s="133"/>
      <c r="IHA208" s="133"/>
      <c r="IHB208" s="133"/>
      <c r="IHC208" s="133"/>
      <c r="IHD208" s="133"/>
      <c r="IHE208" s="133"/>
      <c r="IHF208" s="133"/>
      <c r="IHG208" s="133"/>
      <c r="IHH208" s="133"/>
      <c r="IHI208" s="133"/>
      <c r="IHJ208" s="133"/>
      <c r="IHK208" s="133"/>
      <c r="IHL208" s="133"/>
      <c r="IHM208" s="133"/>
      <c r="IHN208" s="133"/>
      <c r="IHO208" s="133"/>
      <c r="IHP208" s="133"/>
      <c r="IHQ208" s="133"/>
      <c r="IHR208" s="133"/>
      <c r="IHS208" s="133"/>
      <c r="IHT208" s="133"/>
      <c r="IHU208" s="133"/>
      <c r="IHV208" s="133"/>
      <c r="IHW208" s="133"/>
      <c r="IHX208" s="133"/>
      <c r="IHY208" s="133"/>
      <c r="IHZ208" s="133"/>
      <c r="IIA208" s="133"/>
      <c r="IIB208" s="133"/>
      <c r="IIC208" s="133"/>
      <c r="IID208" s="133"/>
      <c r="IIE208" s="133"/>
      <c r="IIF208" s="133"/>
      <c r="IIG208" s="133"/>
      <c r="IIH208" s="133"/>
      <c r="III208" s="133"/>
      <c r="IIJ208" s="133"/>
      <c r="IIK208" s="133"/>
      <c r="IIL208" s="133"/>
      <c r="IIM208" s="133"/>
      <c r="IIN208" s="133"/>
      <c r="IIO208" s="133"/>
      <c r="IIP208" s="133"/>
      <c r="IIQ208" s="133"/>
      <c r="IIR208" s="133"/>
      <c r="IIS208" s="133"/>
      <c r="IIT208" s="133"/>
      <c r="IIU208" s="133"/>
      <c r="IIV208" s="133"/>
      <c r="IIW208" s="133"/>
      <c r="IIX208" s="133"/>
      <c r="IIY208" s="133"/>
      <c r="IIZ208" s="133"/>
      <c r="IJA208" s="133"/>
      <c r="IJB208" s="133"/>
      <c r="IJC208" s="133"/>
      <c r="IJD208" s="133"/>
      <c r="IJE208" s="133"/>
      <c r="IJF208" s="133"/>
      <c r="IJG208" s="133"/>
      <c r="IJH208" s="133"/>
      <c r="IJI208" s="133"/>
      <c r="IJJ208" s="133"/>
      <c r="IJK208" s="133"/>
      <c r="IJL208" s="133"/>
      <c r="IJM208" s="133"/>
      <c r="IJN208" s="133"/>
      <c r="IJO208" s="133"/>
      <c r="IJP208" s="133"/>
      <c r="IJQ208" s="133"/>
      <c r="IJR208" s="133"/>
      <c r="IJS208" s="133"/>
      <c r="IJT208" s="133"/>
      <c r="IJU208" s="133"/>
      <c r="IJV208" s="133"/>
      <c r="IJW208" s="133"/>
      <c r="IJX208" s="133"/>
      <c r="IJY208" s="133"/>
      <c r="IJZ208" s="133"/>
      <c r="IKA208" s="133"/>
      <c r="IKB208" s="133"/>
      <c r="IKC208" s="133"/>
      <c r="IKD208" s="133"/>
      <c r="IKE208" s="133"/>
      <c r="IKF208" s="133"/>
      <c r="IKG208" s="133"/>
      <c r="IKH208" s="133"/>
      <c r="IKI208" s="133"/>
      <c r="IKJ208" s="133"/>
      <c r="IKK208" s="133"/>
      <c r="IKL208" s="133"/>
      <c r="IKM208" s="133"/>
      <c r="IKN208" s="133"/>
      <c r="IKO208" s="133"/>
      <c r="IKP208" s="133"/>
      <c r="IKQ208" s="133"/>
      <c r="IKR208" s="133"/>
      <c r="IKS208" s="133"/>
      <c r="IKT208" s="133"/>
      <c r="IKU208" s="133"/>
      <c r="IKV208" s="133"/>
      <c r="IKW208" s="133"/>
      <c r="IKX208" s="133"/>
      <c r="IKY208" s="133"/>
      <c r="IKZ208" s="133"/>
      <c r="ILA208" s="133"/>
      <c r="ILB208" s="133"/>
      <c r="ILC208" s="133"/>
      <c r="ILD208" s="133"/>
      <c r="ILE208" s="133"/>
      <c r="ILF208" s="133"/>
      <c r="ILG208" s="133"/>
      <c r="ILH208" s="133"/>
      <c r="ILI208" s="133"/>
      <c r="ILJ208" s="133"/>
      <c r="ILK208" s="133"/>
      <c r="ILL208" s="133"/>
      <c r="ILM208" s="133"/>
      <c r="ILN208" s="133"/>
      <c r="ILO208" s="133"/>
      <c r="ILP208" s="133"/>
      <c r="ILQ208" s="133"/>
      <c r="ILR208" s="133"/>
      <c r="ILS208" s="133"/>
      <c r="ILT208" s="133"/>
      <c r="ILU208" s="133"/>
      <c r="ILV208" s="133"/>
      <c r="ILW208" s="133"/>
      <c r="ILX208" s="133"/>
      <c r="ILY208" s="133"/>
      <c r="ILZ208" s="133"/>
      <c r="IMA208" s="133"/>
      <c r="IMB208" s="133"/>
      <c r="IMC208" s="133"/>
      <c r="IMD208" s="133"/>
      <c r="IME208" s="133"/>
      <c r="IMF208" s="133"/>
      <c r="IMG208" s="133"/>
      <c r="IMH208" s="133"/>
      <c r="IMI208" s="133"/>
      <c r="IMJ208" s="133"/>
      <c r="IMK208" s="133"/>
      <c r="IML208" s="133"/>
      <c r="IMM208" s="133"/>
      <c r="IMN208" s="133"/>
      <c r="IMO208" s="133"/>
      <c r="IMP208" s="133"/>
      <c r="IMQ208" s="133"/>
      <c r="IMR208" s="133"/>
      <c r="IMS208" s="133"/>
      <c r="IMT208" s="133"/>
      <c r="IMU208" s="133"/>
      <c r="IMV208" s="133"/>
      <c r="IMW208" s="133"/>
      <c r="IMX208" s="133"/>
      <c r="IMY208" s="133"/>
      <c r="IMZ208" s="133"/>
      <c r="INA208" s="133"/>
      <c r="INB208" s="133"/>
      <c r="INC208" s="133"/>
      <c r="IND208" s="133"/>
      <c r="INE208" s="133"/>
      <c r="INF208" s="133"/>
      <c r="ING208" s="133"/>
      <c r="INH208" s="133"/>
      <c r="INI208" s="133"/>
      <c r="INJ208" s="133"/>
      <c r="INK208" s="133"/>
      <c r="INL208" s="133"/>
      <c r="INM208" s="133"/>
      <c r="INN208" s="133"/>
      <c r="INO208" s="133"/>
      <c r="INP208" s="133"/>
      <c r="INQ208" s="133"/>
      <c r="INR208" s="133"/>
      <c r="INS208" s="133"/>
      <c r="INT208" s="133"/>
      <c r="INU208" s="133"/>
      <c r="INV208" s="133"/>
      <c r="INW208" s="133"/>
      <c r="INX208" s="133"/>
      <c r="INY208" s="133"/>
      <c r="INZ208" s="133"/>
      <c r="IOA208" s="133"/>
      <c r="IOB208" s="133"/>
      <c r="IOC208" s="133"/>
      <c r="IOD208" s="133"/>
      <c r="IOE208" s="133"/>
      <c r="IOF208" s="133"/>
      <c r="IOG208" s="133"/>
      <c r="IOH208" s="133"/>
      <c r="IOI208" s="133"/>
      <c r="IOJ208" s="133"/>
      <c r="IOK208" s="133"/>
      <c r="IOL208" s="133"/>
      <c r="IOM208" s="133"/>
      <c r="ION208" s="133"/>
      <c r="IOO208" s="133"/>
      <c r="IOP208" s="133"/>
      <c r="IOQ208" s="133"/>
      <c r="IOR208" s="133"/>
      <c r="IOS208" s="133"/>
      <c r="IOT208" s="133"/>
      <c r="IOU208" s="133"/>
      <c r="IOV208" s="133"/>
      <c r="IOW208" s="133"/>
      <c r="IOX208" s="133"/>
      <c r="IOY208" s="133"/>
      <c r="IOZ208" s="133"/>
      <c r="IPA208" s="133"/>
      <c r="IPB208" s="133"/>
      <c r="IPC208" s="133"/>
      <c r="IPD208" s="133"/>
      <c r="IPE208" s="133"/>
      <c r="IPF208" s="133"/>
      <c r="IPG208" s="133"/>
      <c r="IPH208" s="133"/>
      <c r="IPI208" s="133"/>
      <c r="IPJ208" s="133"/>
      <c r="IPK208" s="133"/>
      <c r="IPL208" s="133"/>
      <c r="IPM208" s="133"/>
      <c r="IPN208" s="133"/>
      <c r="IPO208" s="133"/>
      <c r="IPP208" s="133"/>
      <c r="IPQ208" s="133"/>
      <c r="IPR208" s="133"/>
      <c r="IPS208" s="133"/>
      <c r="IPT208" s="133"/>
      <c r="IPU208" s="133"/>
      <c r="IPV208" s="133"/>
      <c r="IPW208" s="133"/>
      <c r="IPX208" s="133"/>
      <c r="IPY208" s="133"/>
      <c r="IPZ208" s="133"/>
      <c r="IQA208" s="133"/>
      <c r="IQB208" s="133"/>
      <c r="IQC208" s="133"/>
      <c r="IQD208" s="133"/>
      <c r="IQE208" s="133"/>
      <c r="IQF208" s="133"/>
      <c r="IQG208" s="133"/>
      <c r="IQH208" s="133"/>
      <c r="IQI208" s="133"/>
      <c r="IQJ208" s="133"/>
      <c r="IQK208" s="133"/>
      <c r="IQL208" s="133"/>
      <c r="IQM208" s="133"/>
      <c r="IQN208" s="133"/>
      <c r="IQO208" s="133"/>
      <c r="IQP208" s="133"/>
      <c r="IQQ208" s="133"/>
      <c r="IQR208" s="133"/>
      <c r="IQS208" s="133"/>
      <c r="IQT208" s="133"/>
      <c r="IQU208" s="133"/>
      <c r="IQV208" s="133"/>
      <c r="IQW208" s="133"/>
      <c r="IQX208" s="133"/>
      <c r="IQY208" s="133"/>
      <c r="IQZ208" s="133"/>
      <c r="IRA208" s="133"/>
      <c r="IRB208" s="133"/>
      <c r="IRC208" s="133"/>
      <c r="IRD208" s="133"/>
      <c r="IRE208" s="133"/>
      <c r="IRF208" s="133"/>
      <c r="IRG208" s="133"/>
      <c r="IRH208" s="133"/>
      <c r="IRI208" s="133"/>
      <c r="IRJ208" s="133"/>
      <c r="IRK208" s="133"/>
      <c r="IRL208" s="133"/>
      <c r="IRM208" s="133"/>
      <c r="IRN208" s="133"/>
      <c r="IRO208" s="133"/>
      <c r="IRP208" s="133"/>
      <c r="IRQ208" s="133"/>
      <c r="IRR208" s="133"/>
      <c r="IRS208" s="133"/>
      <c r="IRT208" s="133"/>
      <c r="IRU208" s="133"/>
      <c r="IRV208" s="133"/>
      <c r="IRW208" s="133"/>
      <c r="IRX208" s="133"/>
      <c r="IRY208" s="133"/>
      <c r="IRZ208" s="133"/>
      <c r="ISA208" s="133"/>
      <c r="ISB208" s="133"/>
      <c r="ISC208" s="133"/>
      <c r="ISD208" s="133"/>
      <c r="ISE208" s="133"/>
      <c r="ISF208" s="133"/>
      <c r="ISG208" s="133"/>
      <c r="ISH208" s="133"/>
      <c r="ISI208" s="133"/>
      <c r="ISJ208" s="133"/>
      <c r="ISK208" s="133"/>
      <c r="ISL208" s="133"/>
      <c r="ISM208" s="133"/>
      <c r="ISN208" s="133"/>
      <c r="ISO208" s="133"/>
      <c r="ISP208" s="133"/>
      <c r="ISQ208" s="133"/>
      <c r="ISR208" s="133"/>
      <c r="ISS208" s="133"/>
      <c r="IST208" s="133"/>
      <c r="ISU208" s="133"/>
      <c r="ISV208" s="133"/>
      <c r="ISW208" s="133"/>
      <c r="ISX208" s="133"/>
      <c r="ISY208" s="133"/>
      <c r="ISZ208" s="133"/>
      <c r="ITA208" s="133"/>
      <c r="ITB208" s="133"/>
      <c r="ITC208" s="133"/>
      <c r="ITD208" s="133"/>
      <c r="ITE208" s="133"/>
      <c r="ITF208" s="133"/>
      <c r="ITG208" s="133"/>
      <c r="ITH208" s="133"/>
      <c r="ITI208" s="133"/>
      <c r="ITJ208" s="133"/>
      <c r="ITK208" s="133"/>
      <c r="ITL208" s="133"/>
      <c r="ITM208" s="133"/>
      <c r="ITN208" s="133"/>
      <c r="ITO208" s="133"/>
      <c r="ITP208" s="133"/>
      <c r="ITQ208" s="133"/>
      <c r="ITR208" s="133"/>
      <c r="ITS208" s="133"/>
      <c r="ITT208" s="133"/>
      <c r="ITU208" s="133"/>
      <c r="ITV208" s="133"/>
      <c r="ITW208" s="133"/>
      <c r="ITX208" s="133"/>
      <c r="ITY208" s="133"/>
      <c r="ITZ208" s="133"/>
      <c r="IUA208" s="133"/>
      <c r="IUB208" s="133"/>
      <c r="IUC208" s="133"/>
      <c r="IUD208" s="133"/>
      <c r="IUE208" s="133"/>
      <c r="IUF208" s="133"/>
      <c r="IUG208" s="133"/>
      <c r="IUH208" s="133"/>
      <c r="IUI208" s="133"/>
      <c r="IUJ208" s="133"/>
      <c r="IUK208" s="133"/>
      <c r="IUL208" s="133"/>
      <c r="IUM208" s="133"/>
      <c r="IUN208" s="133"/>
      <c r="IUO208" s="133"/>
      <c r="IUP208" s="133"/>
      <c r="IUQ208" s="133"/>
      <c r="IUR208" s="133"/>
      <c r="IUS208" s="133"/>
      <c r="IUT208" s="133"/>
      <c r="IUU208" s="133"/>
      <c r="IUV208" s="133"/>
      <c r="IUW208" s="133"/>
      <c r="IUX208" s="133"/>
      <c r="IUY208" s="133"/>
      <c r="IUZ208" s="133"/>
      <c r="IVA208" s="133"/>
      <c r="IVB208" s="133"/>
      <c r="IVC208" s="133"/>
      <c r="IVD208" s="133"/>
      <c r="IVE208" s="133"/>
      <c r="IVF208" s="133"/>
      <c r="IVG208" s="133"/>
      <c r="IVH208" s="133"/>
      <c r="IVI208" s="133"/>
      <c r="IVJ208" s="133"/>
      <c r="IVK208" s="133"/>
      <c r="IVL208" s="133"/>
      <c r="IVM208" s="133"/>
      <c r="IVN208" s="133"/>
      <c r="IVO208" s="133"/>
      <c r="IVP208" s="133"/>
      <c r="IVQ208" s="133"/>
      <c r="IVR208" s="133"/>
      <c r="IVS208" s="133"/>
      <c r="IVT208" s="133"/>
      <c r="IVU208" s="133"/>
      <c r="IVV208" s="133"/>
      <c r="IVW208" s="133"/>
      <c r="IVX208" s="133"/>
      <c r="IVY208" s="133"/>
      <c r="IVZ208" s="133"/>
      <c r="IWA208" s="133"/>
      <c r="IWB208" s="133"/>
      <c r="IWC208" s="133"/>
      <c r="IWD208" s="133"/>
      <c r="IWE208" s="133"/>
      <c r="IWF208" s="133"/>
      <c r="IWG208" s="133"/>
      <c r="IWH208" s="133"/>
      <c r="IWI208" s="133"/>
      <c r="IWJ208" s="133"/>
      <c r="IWK208" s="133"/>
      <c r="IWL208" s="133"/>
      <c r="IWM208" s="133"/>
      <c r="IWN208" s="133"/>
      <c r="IWO208" s="133"/>
      <c r="IWP208" s="133"/>
      <c r="IWQ208" s="133"/>
      <c r="IWR208" s="133"/>
      <c r="IWS208" s="133"/>
      <c r="IWT208" s="133"/>
      <c r="IWU208" s="133"/>
      <c r="IWV208" s="133"/>
      <c r="IWW208" s="133"/>
      <c r="IWX208" s="133"/>
      <c r="IWY208" s="133"/>
      <c r="IWZ208" s="133"/>
      <c r="IXA208" s="133"/>
      <c r="IXB208" s="133"/>
      <c r="IXC208" s="133"/>
      <c r="IXD208" s="133"/>
      <c r="IXE208" s="133"/>
      <c r="IXF208" s="133"/>
      <c r="IXG208" s="133"/>
      <c r="IXH208" s="133"/>
      <c r="IXI208" s="133"/>
      <c r="IXJ208" s="133"/>
      <c r="IXK208" s="133"/>
      <c r="IXL208" s="133"/>
      <c r="IXM208" s="133"/>
      <c r="IXN208" s="133"/>
      <c r="IXO208" s="133"/>
      <c r="IXP208" s="133"/>
      <c r="IXQ208" s="133"/>
      <c r="IXR208" s="133"/>
      <c r="IXS208" s="133"/>
      <c r="IXT208" s="133"/>
      <c r="IXU208" s="133"/>
      <c r="IXV208" s="133"/>
      <c r="IXW208" s="133"/>
      <c r="IXX208" s="133"/>
      <c r="IXY208" s="133"/>
      <c r="IXZ208" s="133"/>
      <c r="IYA208" s="133"/>
      <c r="IYB208" s="133"/>
      <c r="IYC208" s="133"/>
      <c r="IYD208" s="133"/>
      <c r="IYE208" s="133"/>
      <c r="IYF208" s="133"/>
      <c r="IYG208" s="133"/>
      <c r="IYH208" s="133"/>
      <c r="IYI208" s="133"/>
      <c r="IYJ208" s="133"/>
      <c r="IYK208" s="133"/>
      <c r="IYL208" s="133"/>
      <c r="IYM208" s="133"/>
      <c r="IYN208" s="133"/>
      <c r="IYO208" s="133"/>
      <c r="IYP208" s="133"/>
      <c r="IYQ208" s="133"/>
      <c r="IYR208" s="133"/>
      <c r="IYS208" s="133"/>
      <c r="IYT208" s="133"/>
      <c r="IYU208" s="133"/>
      <c r="IYV208" s="133"/>
      <c r="IYW208" s="133"/>
      <c r="IYX208" s="133"/>
      <c r="IYY208" s="133"/>
      <c r="IYZ208" s="133"/>
      <c r="IZA208" s="133"/>
      <c r="IZB208" s="133"/>
      <c r="IZC208" s="133"/>
      <c r="IZD208" s="133"/>
      <c r="IZE208" s="133"/>
      <c r="IZF208" s="133"/>
      <c r="IZG208" s="133"/>
      <c r="IZH208" s="133"/>
      <c r="IZI208" s="133"/>
      <c r="IZJ208" s="133"/>
      <c r="IZK208" s="133"/>
      <c r="IZL208" s="133"/>
      <c r="IZM208" s="133"/>
      <c r="IZN208" s="133"/>
      <c r="IZO208" s="133"/>
      <c r="IZP208" s="133"/>
      <c r="IZQ208" s="133"/>
      <c r="IZR208" s="133"/>
      <c r="IZS208" s="133"/>
      <c r="IZT208" s="133"/>
      <c r="IZU208" s="133"/>
      <c r="IZV208" s="133"/>
      <c r="IZW208" s="133"/>
      <c r="IZX208" s="133"/>
      <c r="IZY208" s="133"/>
      <c r="IZZ208" s="133"/>
      <c r="JAA208" s="133"/>
      <c r="JAB208" s="133"/>
      <c r="JAC208" s="133"/>
      <c r="JAD208" s="133"/>
      <c r="JAE208" s="133"/>
      <c r="JAF208" s="133"/>
      <c r="JAG208" s="133"/>
      <c r="JAH208" s="133"/>
      <c r="JAI208" s="133"/>
      <c r="JAJ208" s="133"/>
      <c r="JAK208" s="133"/>
      <c r="JAL208" s="133"/>
      <c r="JAM208" s="133"/>
      <c r="JAN208" s="133"/>
      <c r="JAO208" s="133"/>
      <c r="JAP208" s="133"/>
      <c r="JAQ208" s="133"/>
      <c r="JAR208" s="133"/>
      <c r="JAS208" s="133"/>
      <c r="JAT208" s="133"/>
      <c r="JAU208" s="133"/>
      <c r="JAV208" s="133"/>
      <c r="JAW208" s="133"/>
      <c r="JAX208" s="133"/>
      <c r="JAY208" s="133"/>
      <c r="JAZ208" s="133"/>
      <c r="JBA208" s="133"/>
      <c r="JBB208" s="133"/>
      <c r="JBC208" s="133"/>
      <c r="JBD208" s="133"/>
      <c r="JBE208" s="133"/>
      <c r="JBF208" s="133"/>
      <c r="JBG208" s="133"/>
      <c r="JBH208" s="133"/>
      <c r="JBI208" s="133"/>
      <c r="JBJ208" s="133"/>
      <c r="JBK208" s="133"/>
      <c r="JBL208" s="133"/>
      <c r="JBM208" s="133"/>
      <c r="JBN208" s="133"/>
      <c r="JBO208" s="133"/>
      <c r="JBP208" s="133"/>
      <c r="JBQ208" s="133"/>
      <c r="JBR208" s="133"/>
      <c r="JBS208" s="133"/>
      <c r="JBT208" s="133"/>
      <c r="JBU208" s="133"/>
      <c r="JBV208" s="133"/>
      <c r="JBW208" s="133"/>
      <c r="JBX208" s="133"/>
      <c r="JBY208" s="133"/>
      <c r="JBZ208" s="133"/>
      <c r="JCA208" s="133"/>
      <c r="JCB208" s="133"/>
      <c r="JCC208" s="133"/>
      <c r="JCD208" s="133"/>
      <c r="JCE208" s="133"/>
      <c r="JCF208" s="133"/>
      <c r="JCG208" s="133"/>
      <c r="JCH208" s="133"/>
      <c r="JCI208" s="133"/>
      <c r="JCJ208" s="133"/>
      <c r="JCK208" s="133"/>
      <c r="JCL208" s="133"/>
      <c r="JCM208" s="133"/>
      <c r="JCN208" s="133"/>
      <c r="JCO208" s="133"/>
      <c r="JCP208" s="133"/>
      <c r="JCQ208" s="133"/>
      <c r="JCR208" s="133"/>
      <c r="JCS208" s="133"/>
      <c r="JCT208" s="133"/>
      <c r="JCU208" s="133"/>
      <c r="JCV208" s="133"/>
      <c r="JCW208" s="133"/>
      <c r="JCX208" s="133"/>
      <c r="JCY208" s="133"/>
      <c r="JCZ208" s="133"/>
      <c r="JDA208" s="133"/>
      <c r="JDB208" s="133"/>
      <c r="JDC208" s="133"/>
      <c r="JDD208" s="133"/>
      <c r="JDE208" s="133"/>
      <c r="JDF208" s="133"/>
      <c r="JDG208" s="133"/>
      <c r="JDH208" s="133"/>
      <c r="JDI208" s="133"/>
      <c r="JDJ208" s="133"/>
      <c r="JDK208" s="133"/>
      <c r="JDL208" s="133"/>
      <c r="JDM208" s="133"/>
      <c r="JDN208" s="133"/>
      <c r="JDO208" s="133"/>
      <c r="JDP208" s="133"/>
      <c r="JDQ208" s="133"/>
      <c r="JDR208" s="133"/>
      <c r="JDS208" s="133"/>
      <c r="JDT208" s="133"/>
      <c r="JDU208" s="133"/>
      <c r="JDV208" s="133"/>
      <c r="JDW208" s="133"/>
      <c r="JDX208" s="133"/>
      <c r="JDY208" s="133"/>
      <c r="JDZ208" s="133"/>
      <c r="JEA208" s="133"/>
      <c r="JEB208" s="133"/>
      <c r="JEC208" s="133"/>
      <c r="JED208" s="133"/>
      <c r="JEE208" s="133"/>
      <c r="JEF208" s="133"/>
      <c r="JEG208" s="133"/>
      <c r="JEH208" s="133"/>
      <c r="JEI208" s="133"/>
      <c r="JEJ208" s="133"/>
      <c r="JEK208" s="133"/>
      <c r="JEL208" s="133"/>
      <c r="JEM208" s="133"/>
      <c r="JEN208" s="133"/>
      <c r="JEO208" s="133"/>
      <c r="JEP208" s="133"/>
      <c r="JEQ208" s="133"/>
      <c r="JER208" s="133"/>
      <c r="JES208" s="133"/>
      <c r="JET208" s="133"/>
      <c r="JEU208" s="133"/>
      <c r="JEV208" s="133"/>
      <c r="JEW208" s="133"/>
      <c r="JEX208" s="133"/>
      <c r="JEY208" s="133"/>
      <c r="JEZ208" s="133"/>
      <c r="JFA208" s="133"/>
      <c r="JFB208" s="133"/>
      <c r="JFC208" s="133"/>
      <c r="JFD208" s="133"/>
      <c r="JFE208" s="133"/>
      <c r="JFF208" s="133"/>
      <c r="JFG208" s="133"/>
      <c r="JFH208" s="133"/>
      <c r="JFI208" s="133"/>
      <c r="JFJ208" s="133"/>
      <c r="JFK208" s="133"/>
      <c r="JFL208" s="133"/>
      <c r="JFM208" s="133"/>
      <c r="JFN208" s="133"/>
      <c r="JFO208" s="133"/>
      <c r="JFP208" s="133"/>
      <c r="JFQ208" s="133"/>
      <c r="JFR208" s="133"/>
      <c r="JFS208" s="133"/>
      <c r="JFT208" s="133"/>
      <c r="JFU208" s="133"/>
      <c r="JFV208" s="133"/>
      <c r="JFW208" s="133"/>
      <c r="JFX208" s="133"/>
      <c r="JFY208" s="133"/>
      <c r="JFZ208" s="133"/>
      <c r="JGA208" s="133"/>
      <c r="JGB208" s="133"/>
      <c r="JGC208" s="133"/>
      <c r="JGD208" s="133"/>
      <c r="JGE208" s="133"/>
      <c r="JGF208" s="133"/>
      <c r="JGG208" s="133"/>
      <c r="JGH208" s="133"/>
      <c r="JGI208" s="133"/>
      <c r="JGJ208" s="133"/>
      <c r="JGK208" s="133"/>
      <c r="JGL208" s="133"/>
      <c r="JGM208" s="133"/>
      <c r="JGN208" s="133"/>
      <c r="JGO208" s="133"/>
      <c r="JGP208" s="133"/>
      <c r="JGQ208" s="133"/>
      <c r="JGR208" s="133"/>
      <c r="JGS208" s="133"/>
      <c r="JGT208" s="133"/>
      <c r="JGU208" s="133"/>
      <c r="JGV208" s="133"/>
      <c r="JGW208" s="133"/>
      <c r="JGX208" s="133"/>
      <c r="JGY208" s="133"/>
      <c r="JGZ208" s="133"/>
      <c r="JHA208" s="133"/>
      <c r="JHB208" s="133"/>
      <c r="JHC208" s="133"/>
      <c r="JHD208" s="133"/>
      <c r="JHE208" s="133"/>
      <c r="JHF208" s="133"/>
      <c r="JHG208" s="133"/>
      <c r="JHH208" s="133"/>
      <c r="JHI208" s="133"/>
      <c r="JHJ208" s="133"/>
      <c r="JHK208" s="133"/>
      <c r="JHL208" s="133"/>
      <c r="JHM208" s="133"/>
      <c r="JHN208" s="133"/>
      <c r="JHO208" s="133"/>
      <c r="JHP208" s="133"/>
      <c r="JHQ208" s="133"/>
      <c r="JHR208" s="133"/>
      <c r="JHS208" s="133"/>
      <c r="JHT208" s="133"/>
      <c r="JHU208" s="133"/>
      <c r="JHV208" s="133"/>
      <c r="JHW208" s="133"/>
      <c r="JHX208" s="133"/>
      <c r="JHY208" s="133"/>
      <c r="JHZ208" s="133"/>
      <c r="JIA208" s="133"/>
      <c r="JIB208" s="133"/>
      <c r="JIC208" s="133"/>
      <c r="JID208" s="133"/>
      <c r="JIE208" s="133"/>
      <c r="JIF208" s="133"/>
      <c r="JIG208" s="133"/>
      <c r="JIH208" s="133"/>
      <c r="JII208" s="133"/>
      <c r="JIJ208" s="133"/>
      <c r="JIK208" s="133"/>
      <c r="JIL208" s="133"/>
      <c r="JIM208" s="133"/>
      <c r="JIN208" s="133"/>
      <c r="JIO208" s="133"/>
      <c r="JIP208" s="133"/>
      <c r="JIQ208" s="133"/>
      <c r="JIR208" s="133"/>
      <c r="JIS208" s="133"/>
      <c r="JIT208" s="133"/>
      <c r="JIU208" s="133"/>
      <c r="JIV208" s="133"/>
      <c r="JIW208" s="133"/>
      <c r="JIX208" s="133"/>
      <c r="JIY208" s="133"/>
      <c r="JIZ208" s="133"/>
      <c r="JJA208" s="133"/>
      <c r="JJB208" s="133"/>
      <c r="JJC208" s="133"/>
      <c r="JJD208" s="133"/>
      <c r="JJE208" s="133"/>
      <c r="JJF208" s="133"/>
      <c r="JJG208" s="133"/>
      <c r="JJH208" s="133"/>
      <c r="JJI208" s="133"/>
      <c r="JJJ208" s="133"/>
      <c r="JJK208" s="133"/>
      <c r="JJL208" s="133"/>
      <c r="JJM208" s="133"/>
      <c r="JJN208" s="133"/>
      <c r="JJO208" s="133"/>
      <c r="JJP208" s="133"/>
      <c r="JJQ208" s="133"/>
      <c r="JJR208" s="133"/>
      <c r="JJS208" s="133"/>
      <c r="JJT208" s="133"/>
      <c r="JJU208" s="133"/>
      <c r="JJV208" s="133"/>
      <c r="JJW208" s="133"/>
      <c r="JJX208" s="133"/>
      <c r="JJY208" s="133"/>
      <c r="JJZ208" s="133"/>
      <c r="JKA208" s="133"/>
      <c r="JKB208" s="133"/>
      <c r="JKC208" s="133"/>
      <c r="JKD208" s="133"/>
      <c r="JKE208" s="133"/>
      <c r="JKF208" s="133"/>
      <c r="JKG208" s="133"/>
      <c r="JKH208" s="133"/>
      <c r="JKI208" s="133"/>
      <c r="JKJ208" s="133"/>
      <c r="JKK208" s="133"/>
      <c r="JKL208" s="133"/>
      <c r="JKM208" s="133"/>
      <c r="JKN208" s="133"/>
      <c r="JKO208" s="133"/>
      <c r="JKP208" s="133"/>
      <c r="JKQ208" s="133"/>
      <c r="JKR208" s="133"/>
      <c r="JKS208" s="133"/>
      <c r="JKT208" s="133"/>
      <c r="JKU208" s="133"/>
      <c r="JKV208" s="133"/>
      <c r="JKW208" s="133"/>
      <c r="JKX208" s="133"/>
      <c r="JKY208" s="133"/>
      <c r="JKZ208" s="133"/>
      <c r="JLA208" s="133"/>
      <c r="JLB208" s="133"/>
      <c r="JLC208" s="133"/>
      <c r="JLD208" s="133"/>
      <c r="JLE208" s="133"/>
      <c r="JLF208" s="133"/>
      <c r="JLG208" s="133"/>
      <c r="JLH208" s="133"/>
      <c r="JLI208" s="133"/>
      <c r="JLJ208" s="133"/>
      <c r="JLK208" s="133"/>
      <c r="JLL208" s="133"/>
      <c r="JLM208" s="133"/>
      <c r="JLN208" s="133"/>
      <c r="JLO208" s="133"/>
      <c r="JLP208" s="133"/>
      <c r="JLQ208" s="133"/>
      <c r="JLR208" s="133"/>
      <c r="JLS208" s="133"/>
      <c r="JLT208" s="133"/>
      <c r="JLU208" s="133"/>
      <c r="JLV208" s="133"/>
      <c r="JLW208" s="133"/>
      <c r="JLX208" s="133"/>
      <c r="JLY208" s="133"/>
      <c r="JLZ208" s="133"/>
      <c r="JMA208" s="133"/>
      <c r="JMB208" s="133"/>
      <c r="JMC208" s="133"/>
      <c r="JMD208" s="133"/>
      <c r="JME208" s="133"/>
      <c r="JMF208" s="133"/>
      <c r="JMG208" s="133"/>
      <c r="JMH208" s="133"/>
      <c r="JMI208" s="133"/>
      <c r="JMJ208" s="133"/>
      <c r="JMK208" s="133"/>
      <c r="JML208" s="133"/>
      <c r="JMM208" s="133"/>
      <c r="JMN208" s="133"/>
      <c r="JMO208" s="133"/>
      <c r="JMP208" s="133"/>
      <c r="JMQ208" s="133"/>
      <c r="JMR208" s="133"/>
      <c r="JMS208" s="133"/>
      <c r="JMT208" s="133"/>
      <c r="JMU208" s="133"/>
      <c r="JMV208" s="133"/>
      <c r="JMW208" s="133"/>
      <c r="JMX208" s="133"/>
      <c r="JMY208" s="133"/>
      <c r="JMZ208" s="133"/>
      <c r="JNA208" s="133"/>
      <c r="JNB208" s="133"/>
      <c r="JNC208" s="133"/>
      <c r="JND208" s="133"/>
      <c r="JNE208" s="133"/>
      <c r="JNF208" s="133"/>
      <c r="JNG208" s="133"/>
      <c r="JNH208" s="133"/>
      <c r="JNI208" s="133"/>
      <c r="JNJ208" s="133"/>
      <c r="JNK208" s="133"/>
      <c r="JNL208" s="133"/>
      <c r="JNM208" s="133"/>
      <c r="JNN208" s="133"/>
      <c r="JNO208" s="133"/>
      <c r="JNP208" s="133"/>
      <c r="JNQ208" s="133"/>
      <c r="JNR208" s="133"/>
      <c r="JNS208" s="133"/>
      <c r="JNT208" s="133"/>
      <c r="JNU208" s="133"/>
      <c r="JNV208" s="133"/>
      <c r="JNW208" s="133"/>
      <c r="JNX208" s="133"/>
      <c r="JNY208" s="133"/>
      <c r="JNZ208" s="133"/>
      <c r="JOA208" s="133"/>
      <c r="JOB208" s="133"/>
      <c r="JOC208" s="133"/>
      <c r="JOD208" s="133"/>
      <c r="JOE208" s="133"/>
      <c r="JOF208" s="133"/>
      <c r="JOG208" s="133"/>
      <c r="JOH208" s="133"/>
      <c r="JOI208" s="133"/>
      <c r="JOJ208" s="133"/>
      <c r="JOK208" s="133"/>
      <c r="JOL208" s="133"/>
      <c r="JOM208" s="133"/>
      <c r="JON208" s="133"/>
      <c r="JOO208" s="133"/>
      <c r="JOP208" s="133"/>
      <c r="JOQ208" s="133"/>
      <c r="JOR208" s="133"/>
      <c r="JOS208" s="133"/>
      <c r="JOT208" s="133"/>
      <c r="JOU208" s="133"/>
      <c r="JOV208" s="133"/>
      <c r="JOW208" s="133"/>
      <c r="JOX208" s="133"/>
      <c r="JOY208" s="133"/>
      <c r="JOZ208" s="133"/>
      <c r="JPA208" s="133"/>
      <c r="JPB208" s="133"/>
      <c r="JPC208" s="133"/>
      <c r="JPD208" s="133"/>
      <c r="JPE208" s="133"/>
      <c r="JPF208" s="133"/>
      <c r="JPG208" s="133"/>
      <c r="JPH208" s="133"/>
      <c r="JPI208" s="133"/>
      <c r="JPJ208" s="133"/>
      <c r="JPK208" s="133"/>
      <c r="JPL208" s="133"/>
      <c r="JPM208" s="133"/>
      <c r="JPN208" s="133"/>
      <c r="JPO208" s="133"/>
      <c r="JPP208" s="133"/>
      <c r="JPQ208" s="133"/>
      <c r="JPR208" s="133"/>
      <c r="JPS208" s="133"/>
      <c r="JPT208" s="133"/>
      <c r="JPU208" s="133"/>
      <c r="JPV208" s="133"/>
      <c r="JPW208" s="133"/>
      <c r="JPX208" s="133"/>
      <c r="JPY208" s="133"/>
      <c r="JPZ208" s="133"/>
      <c r="JQA208" s="133"/>
      <c r="JQB208" s="133"/>
      <c r="JQC208" s="133"/>
      <c r="JQD208" s="133"/>
      <c r="JQE208" s="133"/>
      <c r="JQF208" s="133"/>
      <c r="JQG208" s="133"/>
      <c r="JQH208" s="133"/>
      <c r="JQI208" s="133"/>
      <c r="JQJ208" s="133"/>
      <c r="JQK208" s="133"/>
      <c r="JQL208" s="133"/>
      <c r="JQM208" s="133"/>
      <c r="JQN208" s="133"/>
      <c r="JQO208" s="133"/>
      <c r="JQP208" s="133"/>
      <c r="JQQ208" s="133"/>
      <c r="JQR208" s="133"/>
      <c r="JQS208" s="133"/>
      <c r="JQT208" s="133"/>
      <c r="JQU208" s="133"/>
      <c r="JQV208" s="133"/>
      <c r="JQW208" s="133"/>
      <c r="JQX208" s="133"/>
      <c r="JQY208" s="133"/>
      <c r="JQZ208" s="133"/>
      <c r="JRA208" s="133"/>
      <c r="JRB208" s="133"/>
      <c r="JRC208" s="133"/>
      <c r="JRD208" s="133"/>
      <c r="JRE208" s="133"/>
      <c r="JRF208" s="133"/>
      <c r="JRG208" s="133"/>
      <c r="JRH208" s="133"/>
      <c r="JRI208" s="133"/>
      <c r="JRJ208" s="133"/>
      <c r="JRK208" s="133"/>
      <c r="JRL208" s="133"/>
      <c r="JRM208" s="133"/>
      <c r="JRN208" s="133"/>
      <c r="JRO208" s="133"/>
      <c r="JRP208" s="133"/>
      <c r="JRQ208" s="133"/>
      <c r="JRR208" s="133"/>
      <c r="JRS208" s="133"/>
      <c r="JRT208" s="133"/>
      <c r="JRU208" s="133"/>
      <c r="JRV208" s="133"/>
      <c r="JRW208" s="133"/>
      <c r="JRX208" s="133"/>
      <c r="JRY208" s="133"/>
      <c r="JRZ208" s="133"/>
      <c r="JSA208" s="133"/>
      <c r="JSB208" s="133"/>
      <c r="JSC208" s="133"/>
      <c r="JSD208" s="133"/>
      <c r="JSE208" s="133"/>
      <c r="JSF208" s="133"/>
      <c r="JSG208" s="133"/>
      <c r="JSH208" s="133"/>
      <c r="JSI208" s="133"/>
      <c r="JSJ208" s="133"/>
      <c r="JSK208" s="133"/>
      <c r="JSL208" s="133"/>
      <c r="JSM208" s="133"/>
      <c r="JSN208" s="133"/>
      <c r="JSO208" s="133"/>
      <c r="JSP208" s="133"/>
      <c r="JSQ208" s="133"/>
      <c r="JSR208" s="133"/>
      <c r="JSS208" s="133"/>
      <c r="JST208" s="133"/>
      <c r="JSU208" s="133"/>
      <c r="JSV208" s="133"/>
      <c r="JSW208" s="133"/>
      <c r="JSX208" s="133"/>
      <c r="JSY208" s="133"/>
      <c r="JSZ208" s="133"/>
      <c r="JTA208" s="133"/>
      <c r="JTB208" s="133"/>
      <c r="JTC208" s="133"/>
      <c r="JTD208" s="133"/>
      <c r="JTE208" s="133"/>
      <c r="JTF208" s="133"/>
      <c r="JTG208" s="133"/>
      <c r="JTH208" s="133"/>
      <c r="JTI208" s="133"/>
      <c r="JTJ208" s="133"/>
      <c r="JTK208" s="133"/>
      <c r="JTL208" s="133"/>
      <c r="JTM208" s="133"/>
      <c r="JTN208" s="133"/>
      <c r="JTO208" s="133"/>
      <c r="JTP208" s="133"/>
      <c r="JTQ208" s="133"/>
      <c r="JTR208" s="133"/>
      <c r="JTS208" s="133"/>
      <c r="JTT208" s="133"/>
      <c r="JTU208" s="133"/>
      <c r="JTV208" s="133"/>
      <c r="JTW208" s="133"/>
      <c r="JTX208" s="133"/>
      <c r="JTY208" s="133"/>
      <c r="JTZ208" s="133"/>
      <c r="JUA208" s="133"/>
      <c r="JUB208" s="133"/>
      <c r="JUC208" s="133"/>
      <c r="JUD208" s="133"/>
      <c r="JUE208" s="133"/>
      <c r="JUF208" s="133"/>
      <c r="JUG208" s="133"/>
      <c r="JUH208" s="133"/>
      <c r="JUI208" s="133"/>
      <c r="JUJ208" s="133"/>
      <c r="JUK208" s="133"/>
      <c r="JUL208" s="133"/>
      <c r="JUM208" s="133"/>
      <c r="JUN208" s="133"/>
      <c r="JUO208" s="133"/>
      <c r="JUP208" s="133"/>
      <c r="JUQ208" s="133"/>
      <c r="JUR208" s="133"/>
      <c r="JUS208" s="133"/>
      <c r="JUT208" s="133"/>
      <c r="JUU208" s="133"/>
      <c r="JUV208" s="133"/>
      <c r="JUW208" s="133"/>
      <c r="JUX208" s="133"/>
      <c r="JUY208" s="133"/>
      <c r="JUZ208" s="133"/>
      <c r="JVA208" s="133"/>
      <c r="JVB208" s="133"/>
      <c r="JVC208" s="133"/>
      <c r="JVD208" s="133"/>
      <c r="JVE208" s="133"/>
      <c r="JVF208" s="133"/>
      <c r="JVG208" s="133"/>
      <c r="JVH208" s="133"/>
      <c r="JVI208" s="133"/>
      <c r="JVJ208" s="133"/>
      <c r="JVK208" s="133"/>
      <c r="JVL208" s="133"/>
      <c r="JVM208" s="133"/>
      <c r="JVN208" s="133"/>
      <c r="JVO208" s="133"/>
      <c r="JVP208" s="133"/>
      <c r="JVQ208" s="133"/>
      <c r="JVR208" s="133"/>
      <c r="JVS208" s="133"/>
      <c r="JVT208" s="133"/>
      <c r="JVU208" s="133"/>
      <c r="JVV208" s="133"/>
      <c r="JVW208" s="133"/>
      <c r="JVX208" s="133"/>
      <c r="JVY208" s="133"/>
      <c r="JVZ208" s="133"/>
      <c r="JWA208" s="133"/>
      <c r="JWB208" s="133"/>
      <c r="JWC208" s="133"/>
      <c r="JWD208" s="133"/>
      <c r="JWE208" s="133"/>
      <c r="JWF208" s="133"/>
      <c r="JWG208" s="133"/>
      <c r="JWH208" s="133"/>
      <c r="JWI208" s="133"/>
      <c r="JWJ208" s="133"/>
      <c r="JWK208" s="133"/>
      <c r="JWL208" s="133"/>
      <c r="JWM208" s="133"/>
      <c r="JWN208" s="133"/>
      <c r="JWO208" s="133"/>
      <c r="JWP208" s="133"/>
      <c r="JWQ208" s="133"/>
      <c r="JWR208" s="133"/>
      <c r="JWS208" s="133"/>
      <c r="JWT208" s="133"/>
      <c r="JWU208" s="133"/>
      <c r="JWV208" s="133"/>
      <c r="JWW208" s="133"/>
      <c r="JWX208" s="133"/>
      <c r="JWY208" s="133"/>
      <c r="JWZ208" s="133"/>
      <c r="JXA208" s="133"/>
      <c r="JXB208" s="133"/>
      <c r="JXC208" s="133"/>
      <c r="JXD208" s="133"/>
      <c r="JXE208" s="133"/>
      <c r="JXF208" s="133"/>
      <c r="JXG208" s="133"/>
      <c r="JXH208" s="133"/>
      <c r="JXI208" s="133"/>
      <c r="JXJ208" s="133"/>
      <c r="JXK208" s="133"/>
      <c r="JXL208" s="133"/>
      <c r="JXM208" s="133"/>
      <c r="JXN208" s="133"/>
      <c r="JXO208" s="133"/>
      <c r="JXP208" s="133"/>
      <c r="JXQ208" s="133"/>
      <c r="JXR208" s="133"/>
      <c r="JXS208" s="133"/>
      <c r="JXT208" s="133"/>
      <c r="JXU208" s="133"/>
      <c r="JXV208" s="133"/>
      <c r="JXW208" s="133"/>
      <c r="JXX208" s="133"/>
      <c r="JXY208" s="133"/>
      <c r="JXZ208" s="133"/>
      <c r="JYA208" s="133"/>
      <c r="JYB208" s="133"/>
      <c r="JYC208" s="133"/>
      <c r="JYD208" s="133"/>
      <c r="JYE208" s="133"/>
      <c r="JYF208" s="133"/>
      <c r="JYG208" s="133"/>
      <c r="JYH208" s="133"/>
      <c r="JYI208" s="133"/>
      <c r="JYJ208" s="133"/>
      <c r="JYK208" s="133"/>
      <c r="JYL208" s="133"/>
      <c r="JYM208" s="133"/>
      <c r="JYN208" s="133"/>
      <c r="JYO208" s="133"/>
      <c r="JYP208" s="133"/>
      <c r="JYQ208" s="133"/>
      <c r="JYR208" s="133"/>
      <c r="JYS208" s="133"/>
      <c r="JYT208" s="133"/>
      <c r="JYU208" s="133"/>
      <c r="JYV208" s="133"/>
      <c r="JYW208" s="133"/>
      <c r="JYX208" s="133"/>
      <c r="JYY208" s="133"/>
      <c r="JYZ208" s="133"/>
      <c r="JZA208" s="133"/>
      <c r="JZB208" s="133"/>
      <c r="JZC208" s="133"/>
      <c r="JZD208" s="133"/>
      <c r="JZE208" s="133"/>
      <c r="JZF208" s="133"/>
      <c r="JZG208" s="133"/>
      <c r="JZH208" s="133"/>
      <c r="JZI208" s="133"/>
      <c r="JZJ208" s="133"/>
      <c r="JZK208" s="133"/>
      <c r="JZL208" s="133"/>
      <c r="JZM208" s="133"/>
      <c r="JZN208" s="133"/>
      <c r="JZO208" s="133"/>
      <c r="JZP208" s="133"/>
      <c r="JZQ208" s="133"/>
      <c r="JZR208" s="133"/>
      <c r="JZS208" s="133"/>
      <c r="JZT208" s="133"/>
      <c r="JZU208" s="133"/>
      <c r="JZV208" s="133"/>
      <c r="JZW208" s="133"/>
      <c r="JZX208" s="133"/>
      <c r="JZY208" s="133"/>
      <c r="JZZ208" s="133"/>
      <c r="KAA208" s="133"/>
      <c r="KAB208" s="133"/>
      <c r="KAC208" s="133"/>
      <c r="KAD208" s="133"/>
      <c r="KAE208" s="133"/>
      <c r="KAF208" s="133"/>
      <c r="KAG208" s="133"/>
      <c r="KAH208" s="133"/>
      <c r="KAI208" s="133"/>
      <c r="KAJ208" s="133"/>
      <c r="KAK208" s="133"/>
      <c r="KAL208" s="133"/>
      <c r="KAM208" s="133"/>
      <c r="KAN208" s="133"/>
      <c r="KAO208" s="133"/>
      <c r="KAP208" s="133"/>
      <c r="KAQ208" s="133"/>
      <c r="KAR208" s="133"/>
      <c r="KAS208" s="133"/>
      <c r="KAT208" s="133"/>
      <c r="KAU208" s="133"/>
      <c r="KAV208" s="133"/>
      <c r="KAW208" s="133"/>
      <c r="KAX208" s="133"/>
      <c r="KAY208" s="133"/>
      <c r="KAZ208" s="133"/>
      <c r="KBA208" s="133"/>
      <c r="KBB208" s="133"/>
      <c r="KBC208" s="133"/>
      <c r="KBD208" s="133"/>
      <c r="KBE208" s="133"/>
      <c r="KBF208" s="133"/>
      <c r="KBG208" s="133"/>
      <c r="KBH208" s="133"/>
      <c r="KBI208" s="133"/>
      <c r="KBJ208" s="133"/>
      <c r="KBK208" s="133"/>
      <c r="KBL208" s="133"/>
      <c r="KBM208" s="133"/>
      <c r="KBN208" s="133"/>
      <c r="KBO208" s="133"/>
      <c r="KBP208" s="133"/>
      <c r="KBQ208" s="133"/>
      <c r="KBR208" s="133"/>
      <c r="KBS208" s="133"/>
      <c r="KBT208" s="133"/>
      <c r="KBU208" s="133"/>
      <c r="KBV208" s="133"/>
      <c r="KBW208" s="133"/>
      <c r="KBX208" s="133"/>
      <c r="KBY208" s="133"/>
      <c r="KBZ208" s="133"/>
      <c r="KCA208" s="133"/>
      <c r="KCB208" s="133"/>
      <c r="KCC208" s="133"/>
      <c r="KCD208" s="133"/>
      <c r="KCE208" s="133"/>
      <c r="KCF208" s="133"/>
      <c r="KCG208" s="133"/>
      <c r="KCH208" s="133"/>
      <c r="KCI208" s="133"/>
      <c r="KCJ208" s="133"/>
      <c r="KCK208" s="133"/>
      <c r="KCL208" s="133"/>
      <c r="KCM208" s="133"/>
      <c r="KCN208" s="133"/>
      <c r="KCO208" s="133"/>
      <c r="KCP208" s="133"/>
      <c r="KCQ208" s="133"/>
      <c r="KCR208" s="133"/>
      <c r="KCS208" s="133"/>
      <c r="KCT208" s="133"/>
      <c r="KCU208" s="133"/>
      <c r="KCV208" s="133"/>
      <c r="KCW208" s="133"/>
      <c r="KCX208" s="133"/>
      <c r="KCY208" s="133"/>
      <c r="KCZ208" s="133"/>
      <c r="KDA208" s="133"/>
      <c r="KDB208" s="133"/>
      <c r="KDC208" s="133"/>
      <c r="KDD208" s="133"/>
      <c r="KDE208" s="133"/>
      <c r="KDF208" s="133"/>
      <c r="KDG208" s="133"/>
      <c r="KDH208" s="133"/>
      <c r="KDI208" s="133"/>
      <c r="KDJ208" s="133"/>
      <c r="KDK208" s="133"/>
      <c r="KDL208" s="133"/>
      <c r="KDM208" s="133"/>
      <c r="KDN208" s="133"/>
      <c r="KDO208" s="133"/>
      <c r="KDP208" s="133"/>
      <c r="KDQ208" s="133"/>
      <c r="KDR208" s="133"/>
      <c r="KDS208" s="133"/>
      <c r="KDT208" s="133"/>
      <c r="KDU208" s="133"/>
      <c r="KDV208" s="133"/>
      <c r="KDW208" s="133"/>
      <c r="KDX208" s="133"/>
      <c r="KDY208" s="133"/>
      <c r="KDZ208" s="133"/>
      <c r="KEA208" s="133"/>
      <c r="KEB208" s="133"/>
      <c r="KEC208" s="133"/>
      <c r="KED208" s="133"/>
      <c r="KEE208" s="133"/>
      <c r="KEF208" s="133"/>
      <c r="KEG208" s="133"/>
      <c r="KEH208" s="133"/>
      <c r="KEI208" s="133"/>
      <c r="KEJ208" s="133"/>
      <c r="KEK208" s="133"/>
      <c r="KEL208" s="133"/>
      <c r="KEM208" s="133"/>
      <c r="KEN208" s="133"/>
      <c r="KEO208" s="133"/>
      <c r="KEP208" s="133"/>
      <c r="KEQ208" s="133"/>
      <c r="KER208" s="133"/>
      <c r="KES208" s="133"/>
      <c r="KET208" s="133"/>
      <c r="KEU208" s="133"/>
      <c r="KEV208" s="133"/>
      <c r="KEW208" s="133"/>
      <c r="KEX208" s="133"/>
      <c r="KEY208" s="133"/>
      <c r="KEZ208" s="133"/>
      <c r="KFA208" s="133"/>
      <c r="KFB208" s="133"/>
      <c r="KFC208" s="133"/>
      <c r="KFD208" s="133"/>
      <c r="KFE208" s="133"/>
      <c r="KFF208" s="133"/>
      <c r="KFG208" s="133"/>
      <c r="KFH208" s="133"/>
      <c r="KFI208" s="133"/>
      <c r="KFJ208" s="133"/>
      <c r="KFK208" s="133"/>
      <c r="KFL208" s="133"/>
      <c r="KFM208" s="133"/>
      <c r="KFN208" s="133"/>
      <c r="KFO208" s="133"/>
      <c r="KFP208" s="133"/>
      <c r="KFQ208" s="133"/>
      <c r="KFR208" s="133"/>
      <c r="KFS208" s="133"/>
      <c r="KFT208" s="133"/>
      <c r="KFU208" s="133"/>
      <c r="KFV208" s="133"/>
      <c r="KFW208" s="133"/>
      <c r="KFX208" s="133"/>
      <c r="KFY208" s="133"/>
      <c r="KFZ208" s="133"/>
      <c r="KGA208" s="133"/>
      <c r="KGB208" s="133"/>
      <c r="KGC208" s="133"/>
      <c r="KGD208" s="133"/>
      <c r="KGE208" s="133"/>
      <c r="KGF208" s="133"/>
      <c r="KGG208" s="133"/>
      <c r="KGH208" s="133"/>
      <c r="KGI208" s="133"/>
      <c r="KGJ208" s="133"/>
      <c r="KGK208" s="133"/>
      <c r="KGL208" s="133"/>
      <c r="KGM208" s="133"/>
      <c r="KGN208" s="133"/>
      <c r="KGO208" s="133"/>
      <c r="KGP208" s="133"/>
      <c r="KGQ208" s="133"/>
      <c r="KGR208" s="133"/>
      <c r="KGS208" s="133"/>
      <c r="KGT208" s="133"/>
      <c r="KGU208" s="133"/>
      <c r="KGV208" s="133"/>
      <c r="KGW208" s="133"/>
      <c r="KGX208" s="133"/>
      <c r="KGY208" s="133"/>
      <c r="KGZ208" s="133"/>
      <c r="KHA208" s="133"/>
      <c r="KHB208" s="133"/>
      <c r="KHC208" s="133"/>
      <c r="KHD208" s="133"/>
      <c r="KHE208" s="133"/>
      <c r="KHF208" s="133"/>
      <c r="KHG208" s="133"/>
      <c r="KHH208" s="133"/>
      <c r="KHI208" s="133"/>
      <c r="KHJ208" s="133"/>
      <c r="KHK208" s="133"/>
      <c r="KHL208" s="133"/>
      <c r="KHM208" s="133"/>
      <c r="KHN208" s="133"/>
      <c r="KHO208" s="133"/>
      <c r="KHP208" s="133"/>
      <c r="KHQ208" s="133"/>
      <c r="KHR208" s="133"/>
      <c r="KHS208" s="133"/>
      <c r="KHT208" s="133"/>
      <c r="KHU208" s="133"/>
      <c r="KHV208" s="133"/>
      <c r="KHW208" s="133"/>
      <c r="KHX208" s="133"/>
      <c r="KHY208" s="133"/>
      <c r="KHZ208" s="133"/>
      <c r="KIA208" s="133"/>
      <c r="KIB208" s="133"/>
      <c r="KIC208" s="133"/>
      <c r="KID208" s="133"/>
      <c r="KIE208" s="133"/>
      <c r="KIF208" s="133"/>
      <c r="KIG208" s="133"/>
      <c r="KIH208" s="133"/>
      <c r="KII208" s="133"/>
      <c r="KIJ208" s="133"/>
      <c r="KIK208" s="133"/>
      <c r="KIL208" s="133"/>
      <c r="KIM208" s="133"/>
      <c r="KIN208" s="133"/>
      <c r="KIO208" s="133"/>
      <c r="KIP208" s="133"/>
      <c r="KIQ208" s="133"/>
      <c r="KIR208" s="133"/>
      <c r="KIS208" s="133"/>
      <c r="KIT208" s="133"/>
      <c r="KIU208" s="133"/>
      <c r="KIV208" s="133"/>
      <c r="KIW208" s="133"/>
      <c r="KIX208" s="133"/>
      <c r="KIY208" s="133"/>
      <c r="KIZ208" s="133"/>
      <c r="KJA208" s="133"/>
      <c r="KJB208" s="133"/>
      <c r="KJC208" s="133"/>
      <c r="KJD208" s="133"/>
      <c r="KJE208" s="133"/>
      <c r="KJF208" s="133"/>
      <c r="KJG208" s="133"/>
      <c r="KJH208" s="133"/>
      <c r="KJI208" s="133"/>
      <c r="KJJ208" s="133"/>
      <c r="KJK208" s="133"/>
      <c r="KJL208" s="133"/>
      <c r="KJM208" s="133"/>
      <c r="KJN208" s="133"/>
      <c r="KJO208" s="133"/>
      <c r="KJP208" s="133"/>
      <c r="KJQ208" s="133"/>
      <c r="KJR208" s="133"/>
      <c r="KJS208" s="133"/>
      <c r="KJT208" s="133"/>
      <c r="KJU208" s="133"/>
      <c r="KJV208" s="133"/>
      <c r="KJW208" s="133"/>
      <c r="KJX208" s="133"/>
      <c r="KJY208" s="133"/>
      <c r="KJZ208" s="133"/>
      <c r="KKA208" s="133"/>
      <c r="KKB208" s="133"/>
      <c r="KKC208" s="133"/>
      <c r="KKD208" s="133"/>
      <c r="KKE208" s="133"/>
      <c r="KKF208" s="133"/>
      <c r="KKG208" s="133"/>
      <c r="KKH208" s="133"/>
      <c r="KKI208" s="133"/>
      <c r="KKJ208" s="133"/>
      <c r="KKK208" s="133"/>
      <c r="KKL208" s="133"/>
      <c r="KKM208" s="133"/>
      <c r="KKN208" s="133"/>
      <c r="KKO208" s="133"/>
      <c r="KKP208" s="133"/>
      <c r="KKQ208" s="133"/>
      <c r="KKR208" s="133"/>
      <c r="KKS208" s="133"/>
      <c r="KKT208" s="133"/>
      <c r="KKU208" s="133"/>
      <c r="KKV208" s="133"/>
      <c r="KKW208" s="133"/>
      <c r="KKX208" s="133"/>
      <c r="KKY208" s="133"/>
      <c r="KKZ208" s="133"/>
      <c r="KLA208" s="133"/>
      <c r="KLB208" s="133"/>
      <c r="KLC208" s="133"/>
      <c r="KLD208" s="133"/>
      <c r="KLE208" s="133"/>
      <c r="KLF208" s="133"/>
      <c r="KLG208" s="133"/>
      <c r="KLH208" s="133"/>
      <c r="KLI208" s="133"/>
      <c r="KLJ208" s="133"/>
      <c r="KLK208" s="133"/>
      <c r="KLL208" s="133"/>
      <c r="KLM208" s="133"/>
      <c r="KLN208" s="133"/>
      <c r="KLO208" s="133"/>
      <c r="KLP208" s="133"/>
      <c r="KLQ208" s="133"/>
      <c r="KLR208" s="133"/>
      <c r="KLS208" s="133"/>
      <c r="KLT208" s="133"/>
      <c r="KLU208" s="133"/>
      <c r="KLV208" s="133"/>
      <c r="KLW208" s="133"/>
      <c r="KLX208" s="133"/>
      <c r="KLY208" s="133"/>
      <c r="KLZ208" s="133"/>
      <c r="KMA208" s="133"/>
      <c r="KMB208" s="133"/>
      <c r="KMC208" s="133"/>
      <c r="KMD208" s="133"/>
      <c r="KME208" s="133"/>
      <c r="KMF208" s="133"/>
      <c r="KMG208" s="133"/>
      <c r="KMH208" s="133"/>
      <c r="KMI208" s="133"/>
      <c r="KMJ208" s="133"/>
      <c r="KMK208" s="133"/>
      <c r="KML208" s="133"/>
      <c r="KMM208" s="133"/>
      <c r="KMN208" s="133"/>
      <c r="KMO208" s="133"/>
      <c r="KMP208" s="133"/>
      <c r="KMQ208" s="133"/>
      <c r="KMR208" s="133"/>
      <c r="KMS208" s="133"/>
      <c r="KMT208" s="133"/>
      <c r="KMU208" s="133"/>
      <c r="KMV208" s="133"/>
      <c r="KMW208" s="133"/>
      <c r="KMX208" s="133"/>
      <c r="KMY208" s="133"/>
      <c r="KMZ208" s="133"/>
      <c r="KNA208" s="133"/>
      <c r="KNB208" s="133"/>
      <c r="KNC208" s="133"/>
      <c r="KND208" s="133"/>
      <c r="KNE208" s="133"/>
      <c r="KNF208" s="133"/>
      <c r="KNG208" s="133"/>
      <c r="KNH208" s="133"/>
      <c r="KNI208" s="133"/>
      <c r="KNJ208" s="133"/>
      <c r="KNK208" s="133"/>
      <c r="KNL208" s="133"/>
      <c r="KNM208" s="133"/>
      <c r="KNN208" s="133"/>
      <c r="KNO208" s="133"/>
      <c r="KNP208" s="133"/>
      <c r="KNQ208" s="133"/>
      <c r="KNR208" s="133"/>
      <c r="KNS208" s="133"/>
      <c r="KNT208" s="133"/>
      <c r="KNU208" s="133"/>
      <c r="KNV208" s="133"/>
      <c r="KNW208" s="133"/>
      <c r="KNX208" s="133"/>
      <c r="KNY208" s="133"/>
      <c r="KNZ208" s="133"/>
      <c r="KOA208" s="133"/>
      <c r="KOB208" s="133"/>
      <c r="KOC208" s="133"/>
      <c r="KOD208" s="133"/>
      <c r="KOE208" s="133"/>
      <c r="KOF208" s="133"/>
      <c r="KOG208" s="133"/>
      <c r="KOH208" s="133"/>
      <c r="KOI208" s="133"/>
      <c r="KOJ208" s="133"/>
      <c r="KOK208" s="133"/>
      <c r="KOL208" s="133"/>
      <c r="KOM208" s="133"/>
      <c r="KON208" s="133"/>
      <c r="KOO208" s="133"/>
      <c r="KOP208" s="133"/>
      <c r="KOQ208" s="133"/>
      <c r="KOR208" s="133"/>
      <c r="KOS208" s="133"/>
      <c r="KOT208" s="133"/>
      <c r="KOU208" s="133"/>
      <c r="KOV208" s="133"/>
      <c r="KOW208" s="133"/>
      <c r="KOX208" s="133"/>
      <c r="KOY208" s="133"/>
      <c r="KOZ208" s="133"/>
      <c r="KPA208" s="133"/>
      <c r="KPB208" s="133"/>
      <c r="KPC208" s="133"/>
      <c r="KPD208" s="133"/>
      <c r="KPE208" s="133"/>
      <c r="KPF208" s="133"/>
      <c r="KPG208" s="133"/>
      <c r="KPH208" s="133"/>
      <c r="KPI208" s="133"/>
      <c r="KPJ208" s="133"/>
      <c r="KPK208" s="133"/>
      <c r="KPL208" s="133"/>
      <c r="KPM208" s="133"/>
      <c r="KPN208" s="133"/>
      <c r="KPO208" s="133"/>
      <c r="KPP208" s="133"/>
      <c r="KPQ208" s="133"/>
      <c r="KPR208" s="133"/>
      <c r="KPS208" s="133"/>
      <c r="KPT208" s="133"/>
      <c r="KPU208" s="133"/>
      <c r="KPV208" s="133"/>
      <c r="KPW208" s="133"/>
      <c r="KPX208" s="133"/>
      <c r="KPY208" s="133"/>
      <c r="KPZ208" s="133"/>
      <c r="KQA208" s="133"/>
      <c r="KQB208" s="133"/>
      <c r="KQC208" s="133"/>
      <c r="KQD208" s="133"/>
      <c r="KQE208" s="133"/>
      <c r="KQF208" s="133"/>
      <c r="KQG208" s="133"/>
      <c r="KQH208" s="133"/>
      <c r="KQI208" s="133"/>
      <c r="KQJ208" s="133"/>
      <c r="KQK208" s="133"/>
      <c r="KQL208" s="133"/>
      <c r="KQM208" s="133"/>
      <c r="KQN208" s="133"/>
      <c r="KQO208" s="133"/>
      <c r="KQP208" s="133"/>
      <c r="KQQ208" s="133"/>
      <c r="KQR208" s="133"/>
      <c r="KQS208" s="133"/>
      <c r="KQT208" s="133"/>
      <c r="KQU208" s="133"/>
      <c r="KQV208" s="133"/>
      <c r="KQW208" s="133"/>
      <c r="KQX208" s="133"/>
      <c r="KQY208" s="133"/>
      <c r="KQZ208" s="133"/>
      <c r="KRA208" s="133"/>
      <c r="KRB208" s="133"/>
      <c r="KRC208" s="133"/>
      <c r="KRD208" s="133"/>
      <c r="KRE208" s="133"/>
      <c r="KRF208" s="133"/>
      <c r="KRG208" s="133"/>
      <c r="KRH208" s="133"/>
      <c r="KRI208" s="133"/>
      <c r="KRJ208" s="133"/>
      <c r="KRK208" s="133"/>
      <c r="KRL208" s="133"/>
      <c r="KRM208" s="133"/>
      <c r="KRN208" s="133"/>
      <c r="KRO208" s="133"/>
      <c r="KRP208" s="133"/>
      <c r="KRQ208" s="133"/>
      <c r="KRR208" s="133"/>
      <c r="KRS208" s="133"/>
      <c r="KRT208" s="133"/>
      <c r="KRU208" s="133"/>
      <c r="KRV208" s="133"/>
      <c r="KRW208" s="133"/>
      <c r="KRX208" s="133"/>
      <c r="KRY208" s="133"/>
      <c r="KRZ208" s="133"/>
      <c r="KSA208" s="133"/>
      <c r="KSB208" s="133"/>
      <c r="KSC208" s="133"/>
      <c r="KSD208" s="133"/>
      <c r="KSE208" s="133"/>
      <c r="KSF208" s="133"/>
      <c r="KSG208" s="133"/>
      <c r="KSH208" s="133"/>
      <c r="KSI208" s="133"/>
      <c r="KSJ208" s="133"/>
      <c r="KSK208" s="133"/>
      <c r="KSL208" s="133"/>
      <c r="KSM208" s="133"/>
      <c r="KSN208" s="133"/>
      <c r="KSO208" s="133"/>
      <c r="KSP208" s="133"/>
      <c r="KSQ208" s="133"/>
      <c r="KSR208" s="133"/>
      <c r="KSS208" s="133"/>
      <c r="KST208" s="133"/>
      <c r="KSU208" s="133"/>
      <c r="KSV208" s="133"/>
      <c r="KSW208" s="133"/>
      <c r="KSX208" s="133"/>
      <c r="KSY208" s="133"/>
      <c r="KSZ208" s="133"/>
      <c r="KTA208" s="133"/>
      <c r="KTB208" s="133"/>
      <c r="KTC208" s="133"/>
      <c r="KTD208" s="133"/>
      <c r="KTE208" s="133"/>
      <c r="KTF208" s="133"/>
      <c r="KTG208" s="133"/>
      <c r="KTH208" s="133"/>
      <c r="KTI208" s="133"/>
      <c r="KTJ208" s="133"/>
      <c r="KTK208" s="133"/>
      <c r="KTL208" s="133"/>
      <c r="KTM208" s="133"/>
      <c r="KTN208" s="133"/>
      <c r="KTO208" s="133"/>
      <c r="KTP208" s="133"/>
      <c r="KTQ208" s="133"/>
      <c r="KTR208" s="133"/>
      <c r="KTS208" s="133"/>
      <c r="KTT208" s="133"/>
      <c r="KTU208" s="133"/>
      <c r="KTV208" s="133"/>
      <c r="KTW208" s="133"/>
      <c r="KTX208" s="133"/>
      <c r="KTY208" s="133"/>
      <c r="KTZ208" s="133"/>
      <c r="KUA208" s="133"/>
      <c r="KUB208" s="133"/>
      <c r="KUC208" s="133"/>
      <c r="KUD208" s="133"/>
      <c r="KUE208" s="133"/>
      <c r="KUF208" s="133"/>
      <c r="KUG208" s="133"/>
      <c r="KUH208" s="133"/>
      <c r="KUI208" s="133"/>
      <c r="KUJ208" s="133"/>
      <c r="KUK208" s="133"/>
      <c r="KUL208" s="133"/>
      <c r="KUM208" s="133"/>
      <c r="KUN208" s="133"/>
      <c r="KUO208" s="133"/>
      <c r="KUP208" s="133"/>
      <c r="KUQ208" s="133"/>
      <c r="KUR208" s="133"/>
      <c r="KUS208" s="133"/>
      <c r="KUT208" s="133"/>
      <c r="KUU208" s="133"/>
      <c r="KUV208" s="133"/>
      <c r="KUW208" s="133"/>
      <c r="KUX208" s="133"/>
      <c r="KUY208" s="133"/>
      <c r="KUZ208" s="133"/>
      <c r="KVA208" s="133"/>
      <c r="KVB208" s="133"/>
      <c r="KVC208" s="133"/>
      <c r="KVD208" s="133"/>
      <c r="KVE208" s="133"/>
      <c r="KVF208" s="133"/>
      <c r="KVG208" s="133"/>
      <c r="KVH208" s="133"/>
      <c r="KVI208" s="133"/>
      <c r="KVJ208" s="133"/>
      <c r="KVK208" s="133"/>
      <c r="KVL208" s="133"/>
      <c r="KVM208" s="133"/>
      <c r="KVN208" s="133"/>
      <c r="KVO208" s="133"/>
      <c r="KVP208" s="133"/>
      <c r="KVQ208" s="133"/>
      <c r="KVR208" s="133"/>
      <c r="KVS208" s="133"/>
      <c r="KVT208" s="133"/>
      <c r="KVU208" s="133"/>
      <c r="KVV208" s="133"/>
      <c r="KVW208" s="133"/>
      <c r="KVX208" s="133"/>
      <c r="KVY208" s="133"/>
      <c r="KVZ208" s="133"/>
      <c r="KWA208" s="133"/>
      <c r="KWB208" s="133"/>
      <c r="KWC208" s="133"/>
      <c r="KWD208" s="133"/>
      <c r="KWE208" s="133"/>
      <c r="KWF208" s="133"/>
      <c r="KWG208" s="133"/>
      <c r="KWH208" s="133"/>
      <c r="KWI208" s="133"/>
      <c r="KWJ208" s="133"/>
      <c r="KWK208" s="133"/>
      <c r="KWL208" s="133"/>
      <c r="KWM208" s="133"/>
      <c r="KWN208" s="133"/>
      <c r="KWO208" s="133"/>
      <c r="KWP208" s="133"/>
      <c r="KWQ208" s="133"/>
      <c r="KWR208" s="133"/>
      <c r="KWS208" s="133"/>
      <c r="KWT208" s="133"/>
      <c r="KWU208" s="133"/>
      <c r="KWV208" s="133"/>
      <c r="KWW208" s="133"/>
      <c r="KWX208" s="133"/>
      <c r="KWY208" s="133"/>
      <c r="KWZ208" s="133"/>
      <c r="KXA208" s="133"/>
      <c r="KXB208" s="133"/>
      <c r="KXC208" s="133"/>
      <c r="KXD208" s="133"/>
      <c r="KXE208" s="133"/>
      <c r="KXF208" s="133"/>
      <c r="KXG208" s="133"/>
      <c r="KXH208" s="133"/>
      <c r="KXI208" s="133"/>
      <c r="KXJ208" s="133"/>
      <c r="KXK208" s="133"/>
      <c r="KXL208" s="133"/>
      <c r="KXM208" s="133"/>
      <c r="KXN208" s="133"/>
      <c r="KXO208" s="133"/>
      <c r="KXP208" s="133"/>
      <c r="KXQ208" s="133"/>
      <c r="KXR208" s="133"/>
      <c r="KXS208" s="133"/>
      <c r="KXT208" s="133"/>
      <c r="KXU208" s="133"/>
      <c r="KXV208" s="133"/>
      <c r="KXW208" s="133"/>
      <c r="KXX208" s="133"/>
      <c r="KXY208" s="133"/>
      <c r="KXZ208" s="133"/>
      <c r="KYA208" s="133"/>
      <c r="KYB208" s="133"/>
      <c r="KYC208" s="133"/>
      <c r="KYD208" s="133"/>
      <c r="KYE208" s="133"/>
      <c r="KYF208" s="133"/>
      <c r="KYG208" s="133"/>
      <c r="KYH208" s="133"/>
      <c r="KYI208" s="133"/>
      <c r="KYJ208" s="133"/>
      <c r="KYK208" s="133"/>
      <c r="KYL208" s="133"/>
      <c r="KYM208" s="133"/>
      <c r="KYN208" s="133"/>
      <c r="KYO208" s="133"/>
      <c r="KYP208" s="133"/>
      <c r="KYQ208" s="133"/>
      <c r="KYR208" s="133"/>
      <c r="KYS208" s="133"/>
      <c r="KYT208" s="133"/>
      <c r="KYU208" s="133"/>
      <c r="KYV208" s="133"/>
      <c r="KYW208" s="133"/>
      <c r="KYX208" s="133"/>
      <c r="KYY208" s="133"/>
      <c r="KYZ208" s="133"/>
      <c r="KZA208" s="133"/>
      <c r="KZB208" s="133"/>
      <c r="KZC208" s="133"/>
      <c r="KZD208" s="133"/>
      <c r="KZE208" s="133"/>
      <c r="KZF208" s="133"/>
      <c r="KZG208" s="133"/>
      <c r="KZH208" s="133"/>
      <c r="KZI208" s="133"/>
      <c r="KZJ208" s="133"/>
      <c r="KZK208" s="133"/>
      <c r="KZL208" s="133"/>
      <c r="KZM208" s="133"/>
      <c r="KZN208" s="133"/>
      <c r="KZO208" s="133"/>
      <c r="KZP208" s="133"/>
      <c r="KZQ208" s="133"/>
      <c r="KZR208" s="133"/>
      <c r="KZS208" s="133"/>
      <c r="KZT208" s="133"/>
      <c r="KZU208" s="133"/>
      <c r="KZV208" s="133"/>
      <c r="KZW208" s="133"/>
      <c r="KZX208" s="133"/>
      <c r="KZY208" s="133"/>
      <c r="KZZ208" s="133"/>
      <c r="LAA208" s="133"/>
      <c r="LAB208" s="133"/>
      <c r="LAC208" s="133"/>
      <c r="LAD208" s="133"/>
      <c r="LAE208" s="133"/>
      <c r="LAF208" s="133"/>
      <c r="LAG208" s="133"/>
      <c r="LAH208" s="133"/>
      <c r="LAI208" s="133"/>
      <c r="LAJ208" s="133"/>
      <c r="LAK208" s="133"/>
      <c r="LAL208" s="133"/>
      <c r="LAM208" s="133"/>
      <c r="LAN208" s="133"/>
      <c r="LAO208" s="133"/>
      <c r="LAP208" s="133"/>
      <c r="LAQ208" s="133"/>
      <c r="LAR208" s="133"/>
      <c r="LAS208" s="133"/>
      <c r="LAT208" s="133"/>
      <c r="LAU208" s="133"/>
      <c r="LAV208" s="133"/>
      <c r="LAW208" s="133"/>
      <c r="LAX208" s="133"/>
      <c r="LAY208" s="133"/>
      <c r="LAZ208" s="133"/>
      <c r="LBA208" s="133"/>
      <c r="LBB208" s="133"/>
      <c r="LBC208" s="133"/>
      <c r="LBD208" s="133"/>
      <c r="LBE208" s="133"/>
      <c r="LBF208" s="133"/>
      <c r="LBG208" s="133"/>
      <c r="LBH208" s="133"/>
      <c r="LBI208" s="133"/>
      <c r="LBJ208" s="133"/>
      <c r="LBK208" s="133"/>
      <c r="LBL208" s="133"/>
      <c r="LBM208" s="133"/>
      <c r="LBN208" s="133"/>
      <c r="LBO208" s="133"/>
      <c r="LBP208" s="133"/>
      <c r="LBQ208" s="133"/>
      <c r="LBR208" s="133"/>
      <c r="LBS208" s="133"/>
      <c r="LBT208" s="133"/>
      <c r="LBU208" s="133"/>
      <c r="LBV208" s="133"/>
      <c r="LBW208" s="133"/>
      <c r="LBX208" s="133"/>
      <c r="LBY208" s="133"/>
      <c r="LBZ208" s="133"/>
      <c r="LCA208" s="133"/>
      <c r="LCB208" s="133"/>
      <c r="LCC208" s="133"/>
      <c r="LCD208" s="133"/>
      <c r="LCE208" s="133"/>
      <c r="LCF208" s="133"/>
      <c r="LCG208" s="133"/>
      <c r="LCH208" s="133"/>
      <c r="LCI208" s="133"/>
      <c r="LCJ208" s="133"/>
      <c r="LCK208" s="133"/>
      <c r="LCL208" s="133"/>
      <c r="LCM208" s="133"/>
      <c r="LCN208" s="133"/>
      <c r="LCO208" s="133"/>
      <c r="LCP208" s="133"/>
      <c r="LCQ208" s="133"/>
      <c r="LCR208" s="133"/>
      <c r="LCS208" s="133"/>
      <c r="LCT208" s="133"/>
      <c r="LCU208" s="133"/>
      <c r="LCV208" s="133"/>
      <c r="LCW208" s="133"/>
      <c r="LCX208" s="133"/>
      <c r="LCY208" s="133"/>
      <c r="LCZ208" s="133"/>
      <c r="LDA208" s="133"/>
      <c r="LDB208" s="133"/>
      <c r="LDC208" s="133"/>
      <c r="LDD208" s="133"/>
      <c r="LDE208" s="133"/>
      <c r="LDF208" s="133"/>
      <c r="LDG208" s="133"/>
      <c r="LDH208" s="133"/>
      <c r="LDI208" s="133"/>
      <c r="LDJ208" s="133"/>
      <c r="LDK208" s="133"/>
      <c r="LDL208" s="133"/>
      <c r="LDM208" s="133"/>
      <c r="LDN208" s="133"/>
      <c r="LDO208" s="133"/>
      <c r="LDP208" s="133"/>
      <c r="LDQ208" s="133"/>
      <c r="LDR208" s="133"/>
      <c r="LDS208" s="133"/>
      <c r="LDT208" s="133"/>
      <c r="LDU208" s="133"/>
      <c r="LDV208" s="133"/>
      <c r="LDW208" s="133"/>
      <c r="LDX208" s="133"/>
      <c r="LDY208" s="133"/>
      <c r="LDZ208" s="133"/>
      <c r="LEA208" s="133"/>
      <c r="LEB208" s="133"/>
      <c r="LEC208" s="133"/>
      <c r="LED208" s="133"/>
      <c r="LEE208" s="133"/>
      <c r="LEF208" s="133"/>
      <c r="LEG208" s="133"/>
      <c r="LEH208" s="133"/>
      <c r="LEI208" s="133"/>
      <c r="LEJ208" s="133"/>
      <c r="LEK208" s="133"/>
      <c r="LEL208" s="133"/>
      <c r="LEM208" s="133"/>
      <c r="LEN208" s="133"/>
      <c r="LEO208" s="133"/>
      <c r="LEP208" s="133"/>
      <c r="LEQ208" s="133"/>
      <c r="LER208" s="133"/>
      <c r="LES208" s="133"/>
      <c r="LET208" s="133"/>
      <c r="LEU208" s="133"/>
      <c r="LEV208" s="133"/>
      <c r="LEW208" s="133"/>
      <c r="LEX208" s="133"/>
      <c r="LEY208" s="133"/>
      <c r="LEZ208" s="133"/>
      <c r="LFA208" s="133"/>
      <c r="LFB208" s="133"/>
      <c r="LFC208" s="133"/>
      <c r="LFD208" s="133"/>
      <c r="LFE208" s="133"/>
      <c r="LFF208" s="133"/>
      <c r="LFG208" s="133"/>
      <c r="LFH208" s="133"/>
      <c r="LFI208" s="133"/>
      <c r="LFJ208" s="133"/>
      <c r="LFK208" s="133"/>
      <c r="LFL208" s="133"/>
      <c r="LFM208" s="133"/>
      <c r="LFN208" s="133"/>
      <c r="LFO208" s="133"/>
      <c r="LFP208" s="133"/>
      <c r="LFQ208" s="133"/>
      <c r="LFR208" s="133"/>
      <c r="LFS208" s="133"/>
      <c r="LFT208" s="133"/>
      <c r="LFU208" s="133"/>
      <c r="LFV208" s="133"/>
      <c r="LFW208" s="133"/>
      <c r="LFX208" s="133"/>
      <c r="LFY208" s="133"/>
      <c r="LFZ208" s="133"/>
      <c r="LGA208" s="133"/>
      <c r="LGB208" s="133"/>
      <c r="LGC208" s="133"/>
      <c r="LGD208" s="133"/>
      <c r="LGE208" s="133"/>
      <c r="LGF208" s="133"/>
      <c r="LGG208" s="133"/>
      <c r="LGH208" s="133"/>
      <c r="LGI208" s="133"/>
      <c r="LGJ208" s="133"/>
      <c r="LGK208" s="133"/>
      <c r="LGL208" s="133"/>
      <c r="LGM208" s="133"/>
      <c r="LGN208" s="133"/>
      <c r="LGO208" s="133"/>
      <c r="LGP208" s="133"/>
      <c r="LGQ208" s="133"/>
      <c r="LGR208" s="133"/>
      <c r="LGS208" s="133"/>
      <c r="LGT208" s="133"/>
      <c r="LGU208" s="133"/>
      <c r="LGV208" s="133"/>
      <c r="LGW208" s="133"/>
      <c r="LGX208" s="133"/>
      <c r="LGY208" s="133"/>
      <c r="LGZ208" s="133"/>
      <c r="LHA208" s="133"/>
      <c r="LHB208" s="133"/>
      <c r="LHC208" s="133"/>
      <c r="LHD208" s="133"/>
      <c r="LHE208" s="133"/>
      <c r="LHF208" s="133"/>
      <c r="LHG208" s="133"/>
      <c r="LHH208" s="133"/>
      <c r="LHI208" s="133"/>
      <c r="LHJ208" s="133"/>
      <c r="LHK208" s="133"/>
      <c r="LHL208" s="133"/>
      <c r="LHM208" s="133"/>
      <c r="LHN208" s="133"/>
      <c r="LHO208" s="133"/>
      <c r="LHP208" s="133"/>
      <c r="LHQ208" s="133"/>
      <c r="LHR208" s="133"/>
      <c r="LHS208" s="133"/>
      <c r="LHT208" s="133"/>
      <c r="LHU208" s="133"/>
      <c r="LHV208" s="133"/>
      <c r="LHW208" s="133"/>
      <c r="LHX208" s="133"/>
      <c r="LHY208" s="133"/>
      <c r="LHZ208" s="133"/>
      <c r="LIA208" s="133"/>
      <c r="LIB208" s="133"/>
      <c r="LIC208" s="133"/>
      <c r="LID208" s="133"/>
      <c r="LIE208" s="133"/>
      <c r="LIF208" s="133"/>
      <c r="LIG208" s="133"/>
      <c r="LIH208" s="133"/>
      <c r="LII208" s="133"/>
      <c r="LIJ208" s="133"/>
      <c r="LIK208" s="133"/>
      <c r="LIL208" s="133"/>
      <c r="LIM208" s="133"/>
      <c r="LIN208" s="133"/>
      <c r="LIO208" s="133"/>
      <c r="LIP208" s="133"/>
      <c r="LIQ208" s="133"/>
      <c r="LIR208" s="133"/>
      <c r="LIS208" s="133"/>
      <c r="LIT208" s="133"/>
      <c r="LIU208" s="133"/>
      <c r="LIV208" s="133"/>
      <c r="LIW208" s="133"/>
      <c r="LIX208" s="133"/>
      <c r="LIY208" s="133"/>
      <c r="LIZ208" s="133"/>
      <c r="LJA208" s="133"/>
      <c r="LJB208" s="133"/>
      <c r="LJC208" s="133"/>
      <c r="LJD208" s="133"/>
      <c r="LJE208" s="133"/>
      <c r="LJF208" s="133"/>
      <c r="LJG208" s="133"/>
      <c r="LJH208" s="133"/>
      <c r="LJI208" s="133"/>
      <c r="LJJ208" s="133"/>
      <c r="LJK208" s="133"/>
      <c r="LJL208" s="133"/>
      <c r="LJM208" s="133"/>
      <c r="LJN208" s="133"/>
      <c r="LJO208" s="133"/>
      <c r="LJP208" s="133"/>
      <c r="LJQ208" s="133"/>
      <c r="LJR208" s="133"/>
      <c r="LJS208" s="133"/>
      <c r="LJT208" s="133"/>
      <c r="LJU208" s="133"/>
      <c r="LJV208" s="133"/>
      <c r="LJW208" s="133"/>
      <c r="LJX208" s="133"/>
      <c r="LJY208" s="133"/>
      <c r="LJZ208" s="133"/>
      <c r="LKA208" s="133"/>
      <c r="LKB208" s="133"/>
      <c r="LKC208" s="133"/>
      <c r="LKD208" s="133"/>
      <c r="LKE208" s="133"/>
      <c r="LKF208" s="133"/>
      <c r="LKG208" s="133"/>
      <c r="LKH208" s="133"/>
      <c r="LKI208" s="133"/>
      <c r="LKJ208" s="133"/>
      <c r="LKK208" s="133"/>
      <c r="LKL208" s="133"/>
      <c r="LKM208" s="133"/>
      <c r="LKN208" s="133"/>
      <c r="LKO208" s="133"/>
      <c r="LKP208" s="133"/>
      <c r="LKQ208" s="133"/>
      <c r="LKR208" s="133"/>
      <c r="LKS208" s="133"/>
      <c r="LKT208" s="133"/>
      <c r="LKU208" s="133"/>
      <c r="LKV208" s="133"/>
      <c r="LKW208" s="133"/>
      <c r="LKX208" s="133"/>
      <c r="LKY208" s="133"/>
      <c r="LKZ208" s="133"/>
      <c r="LLA208" s="133"/>
      <c r="LLB208" s="133"/>
      <c r="LLC208" s="133"/>
      <c r="LLD208" s="133"/>
      <c r="LLE208" s="133"/>
      <c r="LLF208" s="133"/>
      <c r="LLG208" s="133"/>
      <c r="LLH208" s="133"/>
      <c r="LLI208" s="133"/>
      <c r="LLJ208" s="133"/>
      <c r="LLK208" s="133"/>
      <c r="LLL208" s="133"/>
      <c r="LLM208" s="133"/>
      <c r="LLN208" s="133"/>
      <c r="LLO208" s="133"/>
      <c r="LLP208" s="133"/>
      <c r="LLQ208" s="133"/>
      <c r="LLR208" s="133"/>
      <c r="LLS208" s="133"/>
      <c r="LLT208" s="133"/>
      <c r="LLU208" s="133"/>
      <c r="LLV208" s="133"/>
      <c r="LLW208" s="133"/>
      <c r="LLX208" s="133"/>
      <c r="LLY208" s="133"/>
      <c r="LLZ208" s="133"/>
      <c r="LMA208" s="133"/>
      <c r="LMB208" s="133"/>
      <c r="LMC208" s="133"/>
      <c r="LMD208" s="133"/>
      <c r="LME208" s="133"/>
      <c r="LMF208" s="133"/>
      <c r="LMG208" s="133"/>
      <c r="LMH208" s="133"/>
      <c r="LMI208" s="133"/>
      <c r="LMJ208" s="133"/>
      <c r="LMK208" s="133"/>
      <c r="LML208" s="133"/>
      <c r="LMM208" s="133"/>
      <c r="LMN208" s="133"/>
      <c r="LMO208" s="133"/>
      <c r="LMP208" s="133"/>
      <c r="LMQ208" s="133"/>
      <c r="LMR208" s="133"/>
      <c r="LMS208" s="133"/>
      <c r="LMT208" s="133"/>
      <c r="LMU208" s="133"/>
      <c r="LMV208" s="133"/>
      <c r="LMW208" s="133"/>
      <c r="LMX208" s="133"/>
      <c r="LMY208" s="133"/>
      <c r="LMZ208" s="133"/>
      <c r="LNA208" s="133"/>
      <c r="LNB208" s="133"/>
      <c r="LNC208" s="133"/>
      <c r="LND208" s="133"/>
      <c r="LNE208" s="133"/>
      <c r="LNF208" s="133"/>
      <c r="LNG208" s="133"/>
      <c r="LNH208" s="133"/>
      <c r="LNI208" s="133"/>
      <c r="LNJ208" s="133"/>
      <c r="LNK208" s="133"/>
      <c r="LNL208" s="133"/>
      <c r="LNM208" s="133"/>
      <c r="LNN208" s="133"/>
      <c r="LNO208" s="133"/>
      <c r="LNP208" s="133"/>
      <c r="LNQ208" s="133"/>
      <c r="LNR208" s="133"/>
      <c r="LNS208" s="133"/>
      <c r="LNT208" s="133"/>
      <c r="LNU208" s="133"/>
      <c r="LNV208" s="133"/>
      <c r="LNW208" s="133"/>
      <c r="LNX208" s="133"/>
      <c r="LNY208" s="133"/>
      <c r="LNZ208" s="133"/>
      <c r="LOA208" s="133"/>
      <c r="LOB208" s="133"/>
      <c r="LOC208" s="133"/>
      <c r="LOD208" s="133"/>
      <c r="LOE208" s="133"/>
      <c r="LOF208" s="133"/>
      <c r="LOG208" s="133"/>
      <c r="LOH208" s="133"/>
      <c r="LOI208" s="133"/>
      <c r="LOJ208" s="133"/>
      <c r="LOK208" s="133"/>
      <c r="LOL208" s="133"/>
      <c r="LOM208" s="133"/>
      <c r="LON208" s="133"/>
      <c r="LOO208" s="133"/>
      <c r="LOP208" s="133"/>
      <c r="LOQ208" s="133"/>
      <c r="LOR208" s="133"/>
      <c r="LOS208" s="133"/>
      <c r="LOT208" s="133"/>
      <c r="LOU208" s="133"/>
      <c r="LOV208" s="133"/>
      <c r="LOW208" s="133"/>
      <c r="LOX208" s="133"/>
      <c r="LOY208" s="133"/>
      <c r="LOZ208" s="133"/>
      <c r="LPA208" s="133"/>
      <c r="LPB208" s="133"/>
      <c r="LPC208" s="133"/>
      <c r="LPD208" s="133"/>
      <c r="LPE208" s="133"/>
      <c r="LPF208" s="133"/>
      <c r="LPG208" s="133"/>
      <c r="LPH208" s="133"/>
      <c r="LPI208" s="133"/>
      <c r="LPJ208" s="133"/>
      <c r="LPK208" s="133"/>
      <c r="LPL208" s="133"/>
      <c r="LPM208" s="133"/>
      <c r="LPN208" s="133"/>
      <c r="LPO208" s="133"/>
      <c r="LPP208" s="133"/>
      <c r="LPQ208" s="133"/>
      <c r="LPR208" s="133"/>
      <c r="LPS208" s="133"/>
      <c r="LPT208" s="133"/>
      <c r="LPU208" s="133"/>
      <c r="LPV208" s="133"/>
      <c r="LPW208" s="133"/>
      <c r="LPX208" s="133"/>
      <c r="LPY208" s="133"/>
      <c r="LPZ208" s="133"/>
      <c r="LQA208" s="133"/>
      <c r="LQB208" s="133"/>
      <c r="LQC208" s="133"/>
      <c r="LQD208" s="133"/>
      <c r="LQE208" s="133"/>
      <c r="LQF208" s="133"/>
      <c r="LQG208" s="133"/>
      <c r="LQH208" s="133"/>
      <c r="LQI208" s="133"/>
      <c r="LQJ208" s="133"/>
      <c r="LQK208" s="133"/>
      <c r="LQL208" s="133"/>
      <c r="LQM208" s="133"/>
      <c r="LQN208" s="133"/>
      <c r="LQO208" s="133"/>
      <c r="LQP208" s="133"/>
      <c r="LQQ208" s="133"/>
      <c r="LQR208" s="133"/>
      <c r="LQS208" s="133"/>
      <c r="LQT208" s="133"/>
      <c r="LQU208" s="133"/>
      <c r="LQV208" s="133"/>
      <c r="LQW208" s="133"/>
      <c r="LQX208" s="133"/>
      <c r="LQY208" s="133"/>
      <c r="LQZ208" s="133"/>
      <c r="LRA208" s="133"/>
      <c r="LRB208" s="133"/>
      <c r="LRC208" s="133"/>
      <c r="LRD208" s="133"/>
      <c r="LRE208" s="133"/>
      <c r="LRF208" s="133"/>
      <c r="LRG208" s="133"/>
      <c r="LRH208" s="133"/>
      <c r="LRI208" s="133"/>
      <c r="LRJ208" s="133"/>
      <c r="LRK208" s="133"/>
      <c r="LRL208" s="133"/>
      <c r="LRM208" s="133"/>
      <c r="LRN208" s="133"/>
      <c r="LRO208" s="133"/>
      <c r="LRP208" s="133"/>
      <c r="LRQ208" s="133"/>
      <c r="LRR208" s="133"/>
      <c r="LRS208" s="133"/>
      <c r="LRT208" s="133"/>
      <c r="LRU208" s="133"/>
      <c r="LRV208" s="133"/>
      <c r="LRW208" s="133"/>
      <c r="LRX208" s="133"/>
      <c r="LRY208" s="133"/>
      <c r="LRZ208" s="133"/>
      <c r="LSA208" s="133"/>
      <c r="LSB208" s="133"/>
      <c r="LSC208" s="133"/>
      <c r="LSD208" s="133"/>
      <c r="LSE208" s="133"/>
      <c r="LSF208" s="133"/>
      <c r="LSG208" s="133"/>
      <c r="LSH208" s="133"/>
      <c r="LSI208" s="133"/>
      <c r="LSJ208" s="133"/>
      <c r="LSK208" s="133"/>
      <c r="LSL208" s="133"/>
      <c r="LSM208" s="133"/>
      <c r="LSN208" s="133"/>
      <c r="LSO208" s="133"/>
      <c r="LSP208" s="133"/>
      <c r="LSQ208" s="133"/>
      <c r="LSR208" s="133"/>
      <c r="LSS208" s="133"/>
      <c r="LST208" s="133"/>
      <c r="LSU208" s="133"/>
      <c r="LSV208" s="133"/>
      <c r="LSW208" s="133"/>
      <c r="LSX208" s="133"/>
      <c r="LSY208" s="133"/>
      <c r="LSZ208" s="133"/>
      <c r="LTA208" s="133"/>
      <c r="LTB208" s="133"/>
      <c r="LTC208" s="133"/>
      <c r="LTD208" s="133"/>
      <c r="LTE208" s="133"/>
      <c r="LTF208" s="133"/>
      <c r="LTG208" s="133"/>
      <c r="LTH208" s="133"/>
      <c r="LTI208" s="133"/>
      <c r="LTJ208" s="133"/>
      <c r="LTK208" s="133"/>
      <c r="LTL208" s="133"/>
      <c r="LTM208" s="133"/>
      <c r="LTN208" s="133"/>
      <c r="LTO208" s="133"/>
      <c r="LTP208" s="133"/>
      <c r="LTQ208" s="133"/>
      <c r="LTR208" s="133"/>
      <c r="LTS208" s="133"/>
      <c r="LTT208" s="133"/>
      <c r="LTU208" s="133"/>
      <c r="LTV208" s="133"/>
      <c r="LTW208" s="133"/>
      <c r="LTX208" s="133"/>
      <c r="LTY208" s="133"/>
      <c r="LTZ208" s="133"/>
      <c r="LUA208" s="133"/>
      <c r="LUB208" s="133"/>
      <c r="LUC208" s="133"/>
      <c r="LUD208" s="133"/>
      <c r="LUE208" s="133"/>
      <c r="LUF208" s="133"/>
      <c r="LUG208" s="133"/>
      <c r="LUH208" s="133"/>
      <c r="LUI208" s="133"/>
      <c r="LUJ208" s="133"/>
      <c r="LUK208" s="133"/>
      <c r="LUL208" s="133"/>
      <c r="LUM208" s="133"/>
      <c r="LUN208" s="133"/>
      <c r="LUO208" s="133"/>
      <c r="LUP208" s="133"/>
      <c r="LUQ208" s="133"/>
      <c r="LUR208" s="133"/>
      <c r="LUS208" s="133"/>
      <c r="LUT208" s="133"/>
      <c r="LUU208" s="133"/>
      <c r="LUV208" s="133"/>
      <c r="LUW208" s="133"/>
      <c r="LUX208" s="133"/>
      <c r="LUY208" s="133"/>
      <c r="LUZ208" s="133"/>
      <c r="LVA208" s="133"/>
      <c r="LVB208" s="133"/>
      <c r="LVC208" s="133"/>
      <c r="LVD208" s="133"/>
      <c r="LVE208" s="133"/>
      <c r="LVF208" s="133"/>
      <c r="LVG208" s="133"/>
      <c r="LVH208" s="133"/>
      <c r="LVI208" s="133"/>
      <c r="LVJ208" s="133"/>
      <c r="LVK208" s="133"/>
      <c r="LVL208" s="133"/>
      <c r="LVM208" s="133"/>
      <c r="LVN208" s="133"/>
      <c r="LVO208" s="133"/>
      <c r="LVP208" s="133"/>
      <c r="LVQ208" s="133"/>
      <c r="LVR208" s="133"/>
      <c r="LVS208" s="133"/>
      <c r="LVT208" s="133"/>
      <c r="LVU208" s="133"/>
      <c r="LVV208" s="133"/>
      <c r="LVW208" s="133"/>
      <c r="LVX208" s="133"/>
      <c r="LVY208" s="133"/>
      <c r="LVZ208" s="133"/>
      <c r="LWA208" s="133"/>
      <c r="LWB208" s="133"/>
      <c r="LWC208" s="133"/>
      <c r="LWD208" s="133"/>
      <c r="LWE208" s="133"/>
      <c r="LWF208" s="133"/>
      <c r="LWG208" s="133"/>
      <c r="LWH208" s="133"/>
      <c r="LWI208" s="133"/>
      <c r="LWJ208" s="133"/>
      <c r="LWK208" s="133"/>
      <c r="LWL208" s="133"/>
      <c r="LWM208" s="133"/>
      <c r="LWN208" s="133"/>
      <c r="LWO208" s="133"/>
      <c r="LWP208" s="133"/>
      <c r="LWQ208" s="133"/>
      <c r="LWR208" s="133"/>
      <c r="LWS208" s="133"/>
      <c r="LWT208" s="133"/>
      <c r="LWU208" s="133"/>
      <c r="LWV208" s="133"/>
      <c r="LWW208" s="133"/>
      <c r="LWX208" s="133"/>
      <c r="LWY208" s="133"/>
      <c r="LWZ208" s="133"/>
      <c r="LXA208" s="133"/>
      <c r="LXB208" s="133"/>
      <c r="LXC208" s="133"/>
      <c r="LXD208" s="133"/>
      <c r="LXE208" s="133"/>
      <c r="LXF208" s="133"/>
      <c r="LXG208" s="133"/>
      <c r="LXH208" s="133"/>
      <c r="LXI208" s="133"/>
      <c r="LXJ208" s="133"/>
      <c r="LXK208" s="133"/>
      <c r="LXL208" s="133"/>
      <c r="LXM208" s="133"/>
      <c r="LXN208" s="133"/>
      <c r="LXO208" s="133"/>
      <c r="LXP208" s="133"/>
      <c r="LXQ208" s="133"/>
      <c r="LXR208" s="133"/>
      <c r="LXS208" s="133"/>
      <c r="LXT208" s="133"/>
      <c r="LXU208" s="133"/>
      <c r="LXV208" s="133"/>
      <c r="LXW208" s="133"/>
      <c r="LXX208" s="133"/>
      <c r="LXY208" s="133"/>
      <c r="LXZ208" s="133"/>
      <c r="LYA208" s="133"/>
      <c r="LYB208" s="133"/>
      <c r="LYC208" s="133"/>
      <c r="LYD208" s="133"/>
      <c r="LYE208" s="133"/>
      <c r="LYF208" s="133"/>
      <c r="LYG208" s="133"/>
      <c r="LYH208" s="133"/>
      <c r="LYI208" s="133"/>
      <c r="LYJ208" s="133"/>
      <c r="LYK208" s="133"/>
      <c r="LYL208" s="133"/>
      <c r="LYM208" s="133"/>
      <c r="LYN208" s="133"/>
      <c r="LYO208" s="133"/>
      <c r="LYP208" s="133"/>
      <c r="LYQ208" s="133"/>
      <c r="LYR208" s="133"/>
      <c r="LYS208" s="133"/>
      <c r="LYT208" s="133"/>
      <c r="LYU208" s="133"/>
      <c r="LYV208" s="133"/>
      <c r="LYW208" s="133"/>
      <c r="LYX208" s="133"/>
      <c r="LYY208" s="133"/>
      <c r="LYZ208" s="133"/>
      <c r="LZA208" s="133"/>
      <c r="LZB208" s="133"/>
      <c r="LZC208" s="133"/>
      <c r="LZD208" s="133"/>
      <c r="LZE208" s="133"/>
      <c r="LZF208" s="133"/>
      <c r="LZG208" s="133"/>
      <c r="LZH208" s="133"/>
      <c r="LZI208" s="133"/>
      <c r="LZJ208" s="133"/>
      <c r="LZK208" s="133"/>
      <c r="LZL208" s="133"/>
      <c r="LZM208" s="133"/>
      <c r="LZN208" s="133"/>
      <c r="LZO208" s="133"/>
      <c r="LZP208" s="133"/>
      <c r="LZQ208" s="133"/>
      <c r="LZR208" s="133"/>
      <c r="LZS208" s="133"/>
      <c r="LZT208" s="133"/>
      <c r="LZU208" s="133"/>
      <c r="LZV208" s="133"/>
      <c r="LZW208" s="133"/>
      <c r="LZX208" s="133"/>
      <c r="LZY208" s="133"/>
      <c r="LZZ208" s="133"/>
      <c r="MAA208" s="133"/>
      <c r="MAB208" s="133"/>
      <c r="MAC208" s="133"/>
      <c r="MAD208" s="133"/>
      <c r="MAE208" s="133"/>
      <c r="MAF208" s="133"/>
      <c r="MAG208" s="133"/>
      <c r="MAH208" s="133"/>
      <c r="MAI208" s="133"/>
      <c r="MAJ208" s="133"/>
      <c r="MAK208" s="133"/>
      <c r="MAL208" s="133"/>
      <c r="MAM208" s="133"/>
      <c r="MAN208" s="133"/>
      <c r="MAO208" s="133"/>
      <c r="MAP208" s="133"/>
      <c r="MAQ208" s="133"/>
      <c r="MAR208" s="133"/>
      <c r="MAS208" s="133"/>
      <c r="MAT208" s="133"/>
      <c r="MAU208" s="133"/>
      <c r="MAV208" s="133"/>
      <c r="MAW208" s="133"/>
      <c r="MAX208" s="133"/>
      <c r="MAY208" s="133"/>
      <c r="MAZ208" s="133"/>
      <c r="MBA208" s="133"/>
      <c r="MBB208" s="133"/>
      <c r="MBC208" s="133"/>
      <c r="MBD208" s="133"/>
      <c r="MBE208" s="133"/>
      <c r="MBF208" s="133"/>
      <c r="MBG208" s="133"/>
      <c r="MBH208" s="133"/>
      <c r="MBI208" s="133"/>
      <c r="MBJ208" s="133"/>
      <c r="MBK208" s="133"/>
      <c r="MBL208" s="133"/>
      <c r="MBM208" s="133"/>
      <c r="MBN208" s="133"/>
      <c r="MBO208" s="133"/>
      <c r="MBP208" s="133"/>
      <c r="MBQ208" s="133"/>
      <c r="MBR208" s="133"/>
      <c r="MBS208" s="133"/>
      <c r="MBT208" s="133"/>
      <c r="MBU208" s="133"/>
      <c r="MBV208" s="133"/>
      <c r="MBW208" s="133"/>
      <c r="MBX208" s="133"/>
      <c r="MBY208" s="133"/>
      <c r="MBZ208" s="133"/>
      <c r="MCA208" s="133"/>
      <c r="MCB208" s="133"/>
      <c r="MCC208" s="133"/>
      <c r="MCD208" s="133"/>
      <c r="MCE208" s="133"/>
      <c r="MCF208" s="133"/>
      <c r="MCG208" s="133"/>
      <c r="MCH208" s="133"/>
      <c r="MCI208" s="133"/>
      <c r="MCJ208" s="133"/>
      <c r="MCK208" s="133"/>
      <c r="MCL208" s="133"/>
      <c r="MCM208" s="133"/>
      <c r="MCN208" s="133"/>
      <c r="MCO208" s="133"/>
      <c r="MCP208" s="133"/>
      <c r="MCQ208" s="133"/>
      <c r="MCR208" s="133"/>
      <c r="MCS208" s="133"/>
      <c r="MCT208" s="133"/>
      <c r="MCU208" s="133"/>
      <c r="MCV208" s="133"/>
      <c r="MCW208" s="133"/>
      <c r="MCX208" s="133"/>
      <c r="MCY208" s="133"/>
      <c r="MCZ208" s="133"/>
      <c r="MDA208" s="133"/>
      <c r="MDB208" s="133"/>
      <c r="MDC208" s="133"/>
      <c r="MDD208" s="133"/>
      <c r="MDE208" s="133"/>
      <c r="MDF208" s="133"/>
      <c r="MDG208" s="133"/>
      <c r="MDH208" s="133"/>
      <c r="MDI208" s="133"/>
      <c r="MDJ208" s="133"/>
      <c r="MDK208" s="133"/>
      <c r="MDL208" s="133"/>
      <c r="MDM208" s="133"/>
      <c r="MDN208" s="133"/>
      <c r="MDO208" s="133"/>
      <c r="MDP208" s="133"/>
      <c r="MDQ208" s="133"/>
      <c r="MDR208" s="133"/>
      <c r="MDS208" s="133"/>
      <c r="MDT208" s="133"/>
      <c r="MDU208" s="133"/>
      <c r="MDV208" s="133"/>
      <c r="MDW208" s="133"/>
      <c r="MDX208" s="133"/>
      <c r="MDY208" s="133"/>
      <c r="MDZ208" s="133"/>
      <c r="MEA208" s="133"/>
      <c r="MEB208" s="133"/>
      <c r="MEC208" s="133"/>
      <c r="MED208" s="133"/>
      <c r="MEE208" s="133"/>
      <c r="MEF208" s="133"/>
      <c r="MEG208" s="133"/>
      <c r="MEH208" s="133"/>
      <c r="MEI208" s="133"/>
      <c r="MEJ208" s="133"/>
      <c r="MEK208" s="133"/>
      <c r="MEL208" s="133"/>
      <c r="MEM208" s="133"/>
      <c r="MEN208" s="133"/>
      <c r="MEO208" s="133"/>
      <c r="MEP208" s="133"/>
      <c r="MEQ208" s="133"/>
      <c r="MER208" s="133"/>
      <c r="MES208" s="133"/>
      <c r="MET208" s="133"/>
      <c r="MEU208" s="133"/>
      <c r="MEV208" s="133"/>
      <c r="MEW208" s="133"/>
      <c r="MEX208" s="133"/>
      <c r="MEY208" s="133"/>
      <c r="MEZ208" s="133"/>
      <c r="MFA208" s="133"/>
      <c r="MFB208" s="133"/>
      <c r="MFC208" s="133"/>
      <c r="MFD208" s="133"/>
      <c r="MFE208" s="133"/>
      <c r="MFF208" s="133"/>
      <c r="MFG208" s="133"/>
      <c r="MFH208" s="133"/>
      <c r="MFI208" s="133"/>
      <c r="MFJ208" s="133"/>
      <c r="MFK208" s="133"/>
      <c r="MFL208" s="133"/>
      <c r="MFM208" s="133"/>
      <c r="MFN208" s="133"/>
      <c r="MFO208" s="133"/>
      <c r="MFP208" s="133"/>
      <c r="MFQ208" s="133"/>
      <c r="MFR208" s="133"/>
      <c r="MFS208" s="133"/>
      <c r="MFT208" s="133"/>
      <c r="MFU208" s="133"/>
      <c r="MFV208" s="133"/>
      <c r="MFW208" s="133"/>
      <c r="MFX208" s="133"/>
      <c r="MFY208" s="133"/>
      <c r="MFZ208" s="133"/>
      <c r="MGA208" s="133"/>
      <c r="MGB208" s="133"/>
      <c r="MGC208" s="133"/>
      <c r="MGD208" s="133"/>
      <c r="MGE208" s="133"/>
      <c r="MGF208" s="133"/>
      <c r="MGG208" s="133"/>
      <c r="MGH208" s="133"/>
      <c r="MGI208" s="133"/>
      <c r="MGJ208" s="133"/>
      <c r="MGK208" s="133"/>
      <c r="MGL208" s="133"/>
      <c r="MGM208" s="133"/>
      <c r="MGN208" s="133"/>
      <c r="MGO208" s="133"/>
      <c r="MGP208" s="133"/>
      <c r="MGQ208" s="133"/>
      <c r="MGR208" s="133"/>
      <c r="MGS208" s="133"/>
      <c r="MGT208" s="133"/>
      <c r="MGU208" s="133"/>
      <c r="MGV208" s="133"/>
      <c r="MGW208" s="133"/>
      <c r="MGX208" s="133"/>
      <c r="MGY208" s="133"/>
      <c r="MGZ208" s="133"/>
      <c r="MHA208" s="133"/>
      <c r="MHB208" s="133"/>
      <c r="MHC208" s="133"/>
      <c r="MHD208" s="133"/>
      <c r="MHE208" s="133"/>
      <c r="MHF208" s="133"/>
      <c r="MHG208" s="133"/>
      <c r="MHH208" s="133"/>
      <c r="MHI208" s="133"/>
      <c r="MHJ208" s="133"/>
      <c r="MHK208" s="133"/>
      <c r="MHL208" s="133"/>
      <c r="MHM208" s="133"/>
      <c r="MHN208" s="133"/>
      <c r="MHO208" s="133"/>
      <c r="MHP208" s="133"/>
      <c r="MHQ208" s="133"/>
      <c r="MHR208" s="133"/>
      <c r="MHS208" s="133"/>
      <c r="MHT208" s="133"/>
      <c r="MHU208" s="133"/>
      <c r="MHV208" s="133"/>
      <c r="MHW208" s="133"/>
      <c r="MHX208" s="133"/>
      <c r="MHY208" s="133"/>
      <c r="MHZ208" s="133"/>
      <c r="MIA208" s="133"/>
      <c r="MIB208" s="133"/>
      <c r="MIC208" s="133"/>
      <c r="MID208" s="133"/>
      <c r="MIE208" s="133"/>
      <c r="MIF208" s="133"/>
      <c r="MIG208" s="133"/>
      <c r="MIH208" s="133"/>
      <c r="MII208" s="133"/>
      <c r="MIJ208" s="133"/>
      <c r="MIK208" s="133"/>
      <c r="MIL208" s="133"/>
      <c r="MIM208" s="133"/>
      <c r="MIN208" s="133"/>
      <c r="MIO208" s="133"/>
      <c r="MIP208" s="133"/>
      <c r="MIQ208" s="133"/>
      <c r="MIR208" s="133"/>
      <c r="MIS208" s="133"/>
      <c r="MIT208" s="133"/>
      <c r="MIU208" s="133"/>
      <c r="MIV208" s="133"/>
      <c r="MIW208" s="133"/>
      <c r="MIX208" s="133"/>
      <c r="MIY208" s="133"/>
      <c r="MIZ208" s="133"/>
      <c r="MJA208" s="133"/>
      <c r="MJB208" s="133"/>
      <c r="MJC208" s="133"/>
      <c r="MJD208" s="133"/>
      <c r="MJE208" s="133"/>
      <c r="MJF208" s="133"/>
      <c r="MJG208" s="133"/>
      <c r="MJH208" s="133"/>
      <c r="MJI208" s="133"/>
      <c r="MJJ208" s="133"/>
      <c r="MJK208" s="133"/>
      <c r="MJL208" s="133"/>
      <c r="MJM208" s="133"/>
      <c r="MJN208" s="133"/>
      <c r="MJO208" s="133"/>
      <c r="MJP208" s="133"/>
      <c r="MJQ208" s="133"/>
      <c r="MJR208" s="133"/>
      <c r="MJS208" s="133"/>
      <c r="MJT208" s="133"/>
      <c r="MJU208" s="133"/>
      <c r="MJV208" s="133"/>
      <c r="MJW208" s="133"/>
      <c r="MJX208" s="133"/>
      <c r="MJY208" s="133"/>
      <c r="MJZ208" s="133"/>
      <c r="MKA208" s="133"/>
      <c r="MKB208" s="133"/>
      <c r="MKC208" s="133"/>
      <c r="MKD208" s="133"/>
      <c r="MKE208" s="133"/>
      <c r="MKF208" s="133"/>
      <c r="MKG208" s="133"/>
      <c r="MKH208" s="133"/>
      <c r="MKI208" s="133"/>
      <c r="MKJ208" s="133"/>
      <c r="MKK208" s="133"/>
      <c r="MKL208" s="133"/>
      <c r="MKM208" s="133"/>
      <c r="MKN208" s="133"/>
      <c r="MKO208" s="133"/>
      <c r="MKP208" s="133"/>
      <c r="MKQ208" s="133"/>
      <c r="MKR208" s="133"/>
      <c r="MKS208" s="133"/>
      <c r="MKT208" s="133"/>
      <c r="MKU208" s="133"/>
      <c r="MKV208" s="133"/>
      <c r="MKW208" s="133"/>
      <c r="MKX208" s="133"/>
      <c r="MKY208" s="133"/>
      <c r="MKZ208" s="133"/>
      <c r="MLA208" s="133"/>
      <c r="MLB208" s="133"/>
      <c r="MLC208" s="133"/>
      <c r="MLD208" s="133"/>
      <c r="MLE208" s="133"/>
      <c r="MLF208" s="133"/>
      <c r="MLG208" s="133"/>
      <c r="MLH208" s="133"/>
      <c r="MLI208" s="133"/>
      <c r="MLJ208" s="133"/>
      <c r="MLK208" s="133"/>
      <c r="MLL208" s="133"/>
      <c r="MLM208" s="133"/>
      <c r="MLN208" s="133"/>
      <c r="MLO208" s="133"/>
      <c r="MLP208" s="133"/>
      <c r="MLQ208" s="133"/>
      <c r="MLR208" s="133"/>
      <c r="MLS208" s="133"/>
      <c r="MLT208" s="133"/>
      <c r="MLU208" s="133"/>
      <c r="MLV208" s="133"/>
      <c r="MLW208" s="133"/>
      <c r="MLX208" s="133"/>
      <c r="MLY208" s="133"/>
      <c r="MLZ208" s="133"/>
      <c r="MMA208" s="133"/>
      <c r="MMB208" s="133"/>
      <c r="MMC208" s="133"/>
      <c r="MMD208" s="133"/>
      <c r="MME208" s="133"/>
      <c r="MMF208" s="133"/>
      <c r="MMG208" s="133"/>
      <c r="MMH208" s="133"/>
      <c r="MMI208" s="133"/>
      <c r="MMJ208" s="133"/>
      <c r="MMK208" s="133"/>
      <c r="MML208" s="133"/>
      <c r="MMM208" s="133"/>
      <c r="MMN208" s="133"/>
      <c r="MMO208" s="133"/>
      <c r="MMP208" s="133"/>
      <c r="MMQ208" s="133"/>
      <c r="MMR208" s="133"/>
      <c r="MMS208" s="133"/>
      <c r="MMT208" s="133"/>
      <c r="MMU208" s="133"/>
      <c r="MMV208" s="133"/>
      <c r="MMW208" s="133"/>
      <c r="MMX208" s="133"/>
      <c r="MMY208" s="133"/>
      <c r="MMZ208" s="133"/>
      <c r="MNA208" s="133"/>
      <c r="MNB208" s="133"/>
      <c r="MNC208" s="133"/>
      <c r="MND208" s="133"/>
      <c r="MNE208" s="133"/>
      <c r="MNF208" s="133"/>
      <c r="MNG208" s="133"/>
      <c r="MNH208" s="133"/>
      <c r="MNI208" s="133"/>
      <c r="MNJ208" s="133"/>
      <c r="MNK208" s="133"/>
      <c r="MNL208" s="133"/>
      <c r="MNM208" s="133"/>
      <c r="MNN208" s="133"/>
      <c r="MNO208" s="133"/>
      <c r="MNP208" s="133"/>
      <c r="MNQ208" s="133"/>
      <c r="MNR208" s="133"/>
      <c r="MNS208" s="133"/>
      <c r="MNT208" s="133"/>
      <c r="MNU208" s="133"/>
      <c r="MNV208" s="133"/>
      <c r="MNW208" s="133"/>
      <c r="MNX208" s="133"/>
      <c r="MNY208" s="133"/>
      <c r="MNZ208" s="133"/>
      <c r="MOA208" s="133"/>
      <c r="MOB208" s="133"/>
      <c r="MOC208" s="133"/>
      <c r="MOD208" s="133"/>
      <c r="MOE208" s="133"/>
      <c r="MOF208" s="133"/>
      <c r="MOG208" s="133"/>
      <c r="MOH208" s="133"/>
      <c r="MOI208" s="133"/>
      <c r="MOJ208" s="133"/>
      <c r="MOK208" s="133"/>
      <c r="MOL208" s="133"/>
      <c r="MOM208" s="133"/>
      <c r="MON208" s="133"/>
      <c r="MOO208" s="133"/>
      <c r="MOP208" s="133"/>
      <c r="MOQ208" s="133"/>
      <c r="MOR208" s="133"/>
      <c r="MOS208" s="133"/>
      <c r="MOT208" s="133"/>
      <c r="MOU208" s="133"/>
      <c r="MOV208" s="133"/>
      <c r="MOW208" s="133"/>
      <c r="MOX208" s="133"/>
      <c r="MOY208" s="133"/>
      <c r="MOZ208" s="133"/>
      <c r="MPA208" s="133"/>
      <c r="MPB208" s="133"/>
      <c r="MPC208" s="133"/>
      <c r="MPD208" s="133"/>
      <c r="MPE208" s="133"/>
      <c r="MPF208" s="133"/>
      <c r="MPG208" s="133"/>
      <c r="MPH208" s="133"/>
      <c r="MPI208" s="133"/>
      <c r="MPJ208" s="133"/>
      <c r="MPK208" s="133"/>
      <c r="MPL208" s="133"/>
      <c r="MPM208" s="133"/>
      <c r="MPN208" s="133"/>
      <c r="MPO208" s="133"/>
      <c r="MPP208" s="133"/>
      <c r="MPQ208" s="133"/>
      <c r="MPR208" s="133"/>
      <c r="MPS208" s="133"/>
      <c r="MPT208" s="133"/>
      <c r="MPU208" s="133"/>
      <c r="MPV208" s="133"/>
      <c r="MPW208" s="133"/>
      <c r="MPX208" s="133"/>
      <c r="MPY208" s="133"/>
      <c r="MPZ208" s="133"/>
      <c r="MQA208" s="133"/>
      <c r="MQB208" s="133"/>
      <c r="MQC208" s="133"/>
      <c r="MQD208" s="133"/>
      <c r="MQE208" s="133"/>
      <c r="MQF208" s="133"/>
      <c r="MQG208" s="133"/>
      <c r="MQH208" s="133"/>
      <c r="MQI208" s="133"/>
      <c r="MQJ208" s="133"/>
      <c r="MQK208" s="133"/>
      <c r="MQL208" s="133"/>
      <c r="MQM208" s="133"/>
      <c r="MQN208" s="133"/>
      <c r="MQO208" s="133"/>
      <c r="MQP208" s="133"/>
      <c r="MQQ208" s="133"/>
      <c r="MQR208" s="133"/>
      <c r="MQS208" s="133"/>
      <c r="MQT208" s="133"/>
      <c r="MQU208" s="133"/>
      <c r="MQV208" s="133"/>
      <c r="MQW208" s="133"/>
      <c r="MQX208" s="133"/>
      <c r="MQY208" s="133"/>
      <c r="MQZ208" s="133"/>
      <c r="MRA208" s="133"/>
      <c r="MRB208" s="133"/>
      <c r="MRC208" s="133"/>
      <c r="MRD208" s="133"/>
      <c r="MRE208" s="133"/>
      <c r="MRF208" s="133"/>
      <c r="MRG208" s="133"/>
      <c r="MRH208" s="133"/>
      <c r="MRI208" s="133"/>
      <c r="MRJ208" s="133"/>
      <c r="MRK208" s="133"/>
      <c r="MRL208" s="133"/>
      <c r="MRM208" s="133"/>
      <c r="MRN208" s="133"/>
      <c r="MRO208" s="133"/>
      <c r="MRP208" s="133"/>
      <c r="MRQ208" s="133"/>
      <c r="MRR208" s="133"/>
      <c r="MRS208" s="133"/>
      <c r="MRT208" s="133"/>
      <c r="MRU208" s="133"/>
      <c r="MRV208" s="133"/>
      <c r="MRW208" s="133"/>
      <c r="MRX208" s="133"/>
      <c r="MRY208" s="133"/>
      <c r="MRZ208" s="133"/>
      <c r="MSA208" s="133"/>
      <c r="MSB208" s="133"/>
      <c r="MSC208" s="133"/>
      <c r="MSD208" s="133"/>
      <c r="MSE208" s="133"/>
      <c r="MSF208" s="133"/>
      <c r="MSG208" s="133"/>
      <c r="MSH208" s="133"/>
      <c r="MSI208" s="133"/>
      <c r="MSJ208" s="133"/>
      <c r="MSK208" s="133"/>
      <c r="MSL208" s="133"/>
      <c r="MSM208" s="133"/>
      <c r="MSN208" s="133"/>
      <c r="MSO208" s="133"/>
      <c r="MSP208" s="133"/>
      <c r="MSQ208" s="133"/>
      <c r="MSR208" s="133"/>
      <c r="MSS208" s="133"/>
      <c r="MST208" s="133"/>
      <c r="MSU208" s="133"/>
      <c r="MSV208" s="133"/>
      <c r="MSW208" s="133"/>
      <c r="MSX208" s="133"/>
      <c r="MSY208" s="133"/>
      <c r="MSZ208" s="133"/>
      <c r="MTA208" s="133"/>
      <c r="MTB208" s="133"/>
      <c r="MTC208" s="133"/>
      <c r="MTD208" s="133"/>
      <c r="MTE208" s="133"/>
      <c r="MTF208" s="133"/>
      <c r="MTG208" s="133"/>
      <c r="MTH208" s="133"/>
      <c r="MTI208" s="133"/>
      <c r="MTJ208" s="133"/>
      <c r="MTK208" s="133"/>
      <c r="MTL208" s="133"/>
      <c r="MTM208" s="133"/>
      <c r="MTN208" s="133"/>
      <c r="MTO208" s="133"/>
      <c r="MTP208" s="133"/>
      <c r="MTQ208" s="133"/>
      <c r="MTR208" s="133"/>
      <c r="MTS208" s="133"/>
      <c r="MTT208" s="133"/>
      <c r="MTU208" s="133"/>
      <c r="MTV208" s="133"/>
      <c r="MTW208" s="133"/>
      <c r="MTX208" s="133"/>
      <c r="MTY208" s="133"/>
      <c r="MTZ208" s="133"/>
      <c r="MUA208" s="133"/>
      <c r="MUB208" s="133"/>
      <c r="MUC208" s="133"/>
      <c r="MUD208" s="133"/>
      <c r="MUE208" s="133"/>
      <c r="MUF208" s="133"/>
      <c r="MUG208" s="133"/>
      <c r="MUH208" s="133"/>
      <c r="MUI208" s="133"/>
      <c r="MUJ208" s="133"/>
      <c r="MUK208" s="133"/>
      <c r="MUL208" s="133"/>
      <c r="MUM208" s="133"/>
      <c r="MUN208" s="133"/>
      <c r="MUO208" s="133"/>
      <c r="MUP208" s="133"/>
      <c r="MUQ208" s="133"/>
      <c r="MUR208" s="133"/>
      <c r="MUS208" s="133"/>
      <c r="MUT208" s="133"/>
      <c r="MUU208" s="133"/>
      <c r="MUV208" s="133"/>
      <c r="MUW208" s="133"/>
      <c r="MUX208" s="133"/>
      <c r="MUY208" s="133"/>
      <c r="MUZ208" s="133"/>
      <c r="MVA208" s="133"/>
      <c r="MVB208" s="133"/>
      <c r="MVC208" s="133"/>
      <c r="MVD208" s="133"/>
      <c r="MVE208" s="133"/>
      <c r="MVF208" s="133"/>
      <c r="MVG208" s="133"/>
      <c r="MVH208" s="133"/>
      <c r="MVI208" s="133"/>
      <c r="MVJ208" s="133"/>
      <c r="MVK208" s="133"/>
      <c r="MVL208" s="133"/>
      <c r="MVM208" s="133"/>
      <c r="MVN208" s="133"/>
      <c r="MVO208" s="133"/>
      <c r="MVP208" s="133"/>
      <c r="MVQ208" s="133"/>
      <c r="MVR208" s="133"/>
      <c r="MVS208" s="133"/>
      <c r="MVT208" s="133"/>
      <c r="MVU208" s="133"/>
      <c r="MVV208" s="133"/>
      <c r="MVW208" s="133"/>
      <c r="MVX208" s="133"/>
      <c r="MVY208" s="133"/>
      <c r="MVZ208" s="133"/>
      <c r="MWA208" s="133"/>
      <c r="MWB208" s="133"/>
      <c r="MWC208" s="133"/>
      <c r="MWD208" s="133"/>
      <c r="MWE208" s="133"/>
      <c r="MWF208" s="133"/>
      <c r="MWG208" s="133"/>
      <c r="MWH208" s="133"/>
      <c r="MWI208" s="133"/>
      <c r="MWJ208" s="133"/>
      <c r="MWK208" s="133"/>
      <c r="MWL208" s="133"/>
      <c r="MWM208" s="133"/>
      <c r="MWN208" s="133"/>
      <c r="MWO208" s="133"/>
      <c r="MWP208" s="133"/>
      <c r="MWQ208" s="133"/>
      <c r="MWR208" s="133"/>
      <c r="MWS208" s="133"/>
      <c r="MWT208" s="133"/>
      <c r="MWU208" s="133"/>
      <c r="MWV208" s="133"/>
      <c r="MWW208" s="133"/>
      <c r="MWX208" s="133"/>
      <c r="MWY208" s="133"/>
      <c r="MWZ208" s="133"/>
      <c r="MXA208" s="133"/>
      <c r="MXB208" s="133"/>
      <c r="MXC208" s="133"/>
      <c r="MXD208" s="133"/>
      <c r="MXE208" s="133"/>
      <c r="MXF208" s="133"/>
      <c r="MXG208" s="133"/>
      <c r="MXH208" s="133"/>
      <c r="MXI208" s="133"/>
      <c r="MXJ208" s="133"/>
      <c r="MXK208" s="133"/>
      <c r="MXL208" s="133"/>
      <c r="MXM208" s="133"/>
      <c r="MXN208" s="133"/>
      <c r="MXO208" s="133"/>
      <c r="MXP208" s="133"/>
      <c r="MXQ208" s="133"/>
      <c r="MXR208" s="133"/>
      <c r="MXS208" s="133"/>
      <c r="MXT208" s="133"/>
      <c r="MXU208" s="133"/>
      <c r="MXV208" s="133"/>
      <c r="MXW208" s="133"/>
      <c r="MXX208" s="133"/>
      <c r="MXY208" s="133"/>
      <c r="MXZ208" s="133"/>
      <c r="MYA208" s="133"/>
      <c r="MYB208" s="133"/>
      <c r="MYC208" s="133"/>
      <c r="MYD208" s="133"/>
      <c r="MYE208" s="133"/>
      <c r="MYF208" s="133"/>
      <c r="MYG208" s="133"/>
      <c r="MYH208" s="133"/>
      <c r="MYI208" s="133"/>
      <c r="MYJ208" s="133"/>
      <c r="MYK208" s="133"/>
      <c r="MYL208" s="133"/>
      <c r="MYM208" s="133"/>
      <c r="MYN208" s="133"/>
      <c r="MYO208" s="133"/>
      <c r="MYP208" s="133"/>
      <c r="MYQ208" s="133"/>
      <c r="MYR208" s="133"/>
      <c r="MYS208" s="133"/>
      <c r="MYT208" s="133"/>
      <c r="MYU208" s="133"/>
      <c r="MYV208" s="133"/>
      <c r="MYW208" s="133"/>
      <c r="MYX208" s="133"/>
      <c r="MYY208" s="133"/>
      <c r="MYZ208" s="133"/>
      <c r="MZA208" s="133"/>
      <c r="MZB208" s="133"/>
      <c r="MZC208" s="133"/>
      <c r="MZD208" s="133"/>
      <c r="MZE208" s="133"/>
      <c r="MZF208" s="133"/>
      <c r="MZG208" s="133"/>
      <c r="MZH208" s="133"/>
      <c r="MZI208" s="133"/>
      <c r="MZJ208" s="133"/>
      <c r="MZK208" s="133"/>
      <c r="MZL208" s="133"/>
      <c r="MZM208" s="133"/>
      <c r="MZN208" s="133"/>
      <c r="MZO208" s="133"/>
      <c r="MZP208" s="133"/>
      <c r="MZQ208" s="133"/>
      <c r="MZR208" s="133"/>
      <c r="MZS208" s="133"/>
      <c r="MZT208" s="133"/>
      <c r="MZU208" s="133"/>
      <c r="MZV208" s="133"/>
      <c r="MZW208" s="133"/>
      <c r="MZX208" s="133"/>
      <c r="MZY208" s="133"/>
      <c r="MZZ208" s="133"/>
      <c r="NAA208" s="133"/>
      <c r="NAB208" s="133"/>
      <c r="NAC208" s="133"/>
      <c r="NAD208" s="133"/>
      <c r="NAE208" s="133"/>
      <c r="NAF208" s="133"/>
      <c r="NAG208" s="133"/>
      <c r="NAH208" s="133"/>
      <c r="NAI208" s="133"/>
      <c r="NAJ208" s="133"/>
      <c r="NAK208" s="133"/>
      <c r="NAL208" s="133"/>
      <c r="NAM208" s="133"/>
      <c r="NAN208" s="133"/>
      <c r="NAO208" s="133"/>
      <c r="NAP208" s="133"/>
      <c r="NAQ208" s="133"/>
      <c r="NAR208" s="133"/>
      <c r="NAS208" s="133"/>
      <c r="NAT208" s="133"/>
      <c r="NAU208" s="133"/>
      <c r="NAV208" s="133"/>
      <c r="NAW208" s="133"/>
      <c r="NAX208" s="133"/>
      <c r="NAY208" s="133"/>
      <c r="NAZ208" s="133"/>
      <c r="NBA208" s="133"/>
      <c r="NBB208" s="133"/>
      <c r="NBC208" s="133"/>
      <c r="NBD208" s="133"/>
      <c r="NBE208" s="133"/>
      <c r="NBF208" s="133"/>
      <c r="NBG208" s="133"/>
      <c r="NBH208" s="133"/>
      <c r="NBI208" s="133"/>
      <c r="NBJ208" s="133"/>
      <c r="NBK208" s="133"/>
      <c r="NBL208" s="133"/>
      <c r="NBM208" s="133"/>
      <c r="NBN208" s="133"/>
      <c r="NBO208" s="133"/>
      <c r="NBP208" s="133"/>
      <c r="NBQ208" s="133"/>
      <c r="NBR208" s="133"/>
      <c r="NBS208" s="133"/>
      <c r="NBT208" s="133"/>
      <c r="NBU208" s="133"/>
      <c r="NBV208" s="133"/>
      <c r="NBW208" s="133"/>
      <c r="NBX208" s="133"/>
      <c r="NBY208" s="133"/>
      <c r="NBZ208" s="133"/>
      <c r="NCA208" s="133"/>
      <c r="NCB208" s="133"/>
      <c r="NCC208" s="133"/>
      <c r="NCD208" s="133"/>
      <c r="NCE208" s="133"/>
      <c r="NCF208" s="133"/>
      <c r="NCG208" s="133"/>
      <c r="NCH208" s="133"/>
      <c r="NCI208" s="133"/>
      <c r="NCJ208" s="133"/>
      <c r="NCK208" s="133"/>
      <c r="NCL208" s="133"/>
      <c r="NCM208" s="133"/>
      <c r="NCN208" s="133"/>
      <c r="NCO208" s="133"/>
      <c r="NCP208" s="133"/>
      <c r="NCQ208" s="133"/>
      <c r="NCR208" s="133"/>
      <c r="NCS208" s="133"/>
      <c r="NCT208" s="133"/>
      <c r="NCU208" s="133"/>
      <c r="NCV208" s="133"/>
      <c r="NCW208" s="133"/>
      <c r="NCX208" s="133"/>
      <c r="NCY208" s="133"/>
      <c r="NCZ208" s="133"/>
      <c r="NDA208" s="133"/>
      <c r="NDB208" s="133"/>
      <c r="NDC208" s="133"/>
      <c r="NDD208" s="133"/>
      <c r="NDE208" s="133"/>
      <c r="NDF208" s="133"/>
      <c r="NDG208" s="133"/>
      <c r="NDH208" s="133"/>
      <c r="NDI208" s="133"/>
      <c r="NDJ208" s="133"/>
      <c r="NDK208" s="133"/>
      <c r="NDL208" s="133"/>
      <c r="NDM208" s="133"/>
      <c r="NDN208" s="133"/>
      <c r="NDO208" s="133"/>
      <c r="NDP208" s="133"/>
      <c r="NDQ208" s="133"/>
      <c r="NDR208" s="133"/>
      <c r="NDS208" s="133"/>
      <c r="NDT208" s="133"/>
      <c r="NDU208" s="133"/>
      <c r="NDV208" s="133"/>
      <c r="NDW208" s="133"/>
      <c r="NDX208" s="133"/>
      <c r="NDY208" s="133"/>
      <c r="NDZ208" s="133"/>
      <c r="NEA208" s="133"/>
      <c r="NEB208" s="133"/>
      <c r="NEC208" s="133"/>
      <c r="NED208" s="133"/>
      <c r="NEE208" s="133"/>
      <c r="NEF208" s="133"/>
      <c r="NEG208" s="133"/>
      <c r="NEH208" s="133"/>
      <c r="NEI208" s="133"/>
      <c r="NEJ208" s="133"/>
      <c r="NEK208" s="133"/>
      <c r="NEL208" s="133"/>
      <c r="NEM208" s="133"/>
      <c r="NEN208" s="133"/>
      <c r="NEO208" s="133"/>
      <c r="NEP208" s="133"/>
      <c r="NEQ208" s="133"/>
      <c r="NER208" s="133"/>
      <c r="NES208" s="133"/>
      <c r="NET208" s="133"/>
      <c r="NEU208" s="133"/>
      <c r="NEV208" s="133"/>
      <c r="NEW208" s="133"/>
      <c r="NEX208" s="133"/>
      <c r="NEY208" s="133"/>
      <c r="NEZ208" s="133"/>
      <c r="NFA208" s="133"/>
      <c r="NFB208" s="133"/>
      <c r="NFC208" s="133"/>
      <c r="NFD208" s="133"/>
      <c r="NFE208" s="133"/>
      <c r="NFF208" s="133"/>
      <c r="NFG208" s="133"/>
      <c r="NFH208" s="133"/>
      <c r="NFI208" s="133"/>
      <c r="NFJ208" s="133"/>
      <c r="NFK208" s="133"/>
      <c r="NFL208" s="133"/>
      <c r="NFM208" s="133"/>
      <c r="NFN208" s="133"/>
      <c r="NFO208" s="133"/>
      <c r="NFP208" s="133"/>
      <c r="NFQ208" s="133"/>
      <c r="NFR208" s="133"/>
      <c r="NFS208" s="133"/>
      <c r="NFT208" s="133"/>
      <c r="NFU208" s="133"/>
      <c r="NFV208" s="133"/>
      <c r="NFW208" s="133"/>
      <c r="NFX208" s="133"/>
      <c r="NFY208" s="133"/>
      <c r="NFZ208" s="133"/>
      <c r="NGA208" s="133"/>
      <c r="NGB208" s="133"/>
      <c r="NGC208" s="133"/>
      <c r="NGD208" s="133"/>
      <c r="NGE208" s="133"/>
      <c r="NGF208" s="133"/>
      <c r="NGG208" s="133"/>
      <c r="NGH208" s="133"/>
      <c r="NGI208" s="133"/>
      <c r="NGJ208" s="133"/>
      <c r="NGK208" s="133"/>
      <c r="NGL208" s="133"/>
      <c r="NGM208" s="133"/>
      <c r="NGN208" s="133"/>
      <c r="NGO208" s="133"/>
      <c r="NGP208" s="133"/>
      <c r="NGQ208" s="133"/>
      <c r="NGR208" s="133"/>
      <c r="NGS208" s="133"/>
      <c r="NGT208" s="133"/>
      <c r="NGU208" s="133"/>
      <c r="NGV208" s="133"/>
      <c r="NGW208" s="133"/>
      <c r="NGX208" s="133"/>
      <c r="NGY208" s="133"/>
      <c r="NGZ208" s="133"/>
      <c r="NHA208" s="133"/>
      <c r="NHB208" s="133"/>
      <c r="NHC208" s="133"/>
      <c r="NHD208" s="133"/>
      <c r="NHE208" s="133"/>
      <c r="NHF208" s="133"/>
      <c r="NHG208" s="133"/>
      <c r="NHH208" s="133"/>
      <c r="NHI208" s="133"/>
      <c r="NHJ208" s="133"/>
      <c r="NHK208" s="133"/>
      <c r="NHL208" s="133"/>
      <c r="NHM208" s="133"/>
      <c r="NHN208" s="133"/>
      <c r="NHO208" s="133"/>
      <c r="NHP208" s="133"/>
      <c r="NHQ208" s="133"/>
      <c r="NHR208" s="133"/>
      <c r="NHS208" s="133"/>
      <c r="NHT208" s="133"/>
      <c r="NHU208" s="133"/>
      <c r="NHV208" s="133"/>
      <c r="NHW208" s="133"/>
      <c r="NHX208" s="133"/>
      <c r="NHY208" s="133"/>
      <c r="NHZ208" s="133"/>
      <c r="NIA208" s="133"/>
      <c r="NIB208" s="133"/>
      <c r="NIC208" s="133"/>
      <c r="NID208" s="133"/>
      <c r="NIE208" s="133"/>
      <c r="NIF208" s="133"/>
      <c r="NIG208" s="133"/>
      <c r="NIH208" s="133"/>
      <c r="NII208" s="133"/>
      <c r="NIJ208" s="133"/>
      <c r="NIK208" s="133"/>
      <c r="NIL208" s="133"/>
      <c r="NIM208" s="133"/>
      <c r="NIN208" s="133"/>
      <c r="NIO208" s="133"/>
      <c r="NIP208" s="133"/>
      <c r="NIQ208" s="133"/>
      <c r="NIR208" s="133"/>
      <c r="NIS208" s="133"/>
      <c r="NIT208" s="133"/>
      <c r="NIU208" s="133"/>
      <c r="NIV208" s="133"/>
      <c r="NIW208" s="133"/>
      <c r="NIX208" s="133"/>
      <c r="NIY208" s="133"/>
      <c r="NIZ208" s="133"/>
      <c r="NJA208" s="133"/>
      <c r="NJB208" s="133"/>
      <c r="NJC208" s="133"/>
      <c r="NJD208" s="133"/>
      <c r="NJE208" s="133"/>
      <c r="NJF208" s="133"/>
      <c r="NJG208" s="133"/>
      <c r="NJH208" s="133"/>
      <c r="NJI208" s="133"/>
      <c r="NJJ208" s="133"/>
      <c r="NJK208" s="133"/>
      <c r="NJL208" s="133"/>
      <c r="NJM208" s="133"/>
      <c r="NJN208" s="133"/>
      <c r="NJO208" s="133"/>
      <c r="NJP208" s="133"/>
      <c r="NJQ208" s="133"/>
      <c r="NJR208" s="133"/>
      <c r="NJS208" s="133"/>
      <c r="NJT208" s="133"/>
      <c r="NJU208" s="133"/>
      <c r="NJV208" s="133"/>
      <c r="NJW208" s="133"/>
      <c r="NJX208" s="133"/>
      <c r="NJY208" s="133"/>
      <c r="NJZ208" s="133"/>
      <c r="NKA208" s="133"/>
      <c r="NKB208" s="133"/>
      <c r="NKC208" s="133"/>
      <c r="NKD208" s="133"/>
      <c r="NKE208" s="133"/>
      <c r="NKF208" s="133"/>
      <c r="NKG208" s="133"/>
      <c r="NKH208" s="133"/>
      <c r="NKI208" s="133"/>
      <c r="NKJ208" s="133"/>
      <c r="NKK208" s="133"/>
      <c r="NKL208" s="133"/>
      <c r="NKM208" s="133"/>
      <c r="NKN208" s="133"/>
      <c r="NKO208" s="133"/>
      <c r="NKP208" s="133"/>
      <c r="NKQ208" s="133"/>
      <c r="NKR208" s="133"/>
      <c r="NKS208" s="133"/>
      <c r="NKT208" s="133"/>
      <c r="NKU208" s="133"/>
      <c r="NKV208" s="133"/>
      <c r="NKW208" s="133"/>
      <c r="NKX208" s="133"/>
      <c r="NKY208" s="133"/>
      <c r="NKZ208" s="133"/>
      <c r="NLA208" s="133"/>
      <c r="NLB208" s="133"/>
      <c r="NLC208" s="133"/>
      <c r="NLD208" s="133"/>
      <c r="NLE208" s="133"/>
      <c r="NLF208" s="133"/>
      <c r="NLG208" s="133"/>
      <c r="NLH208" s="133"/>
      <c r="NLI208" s="133"/>
      <c r="NLJ208" s="133"/>
      <c r="NLK208" s="133"/>
      <c r="NLL208" s="133"/>
      <c r="NLM208" s="133"/>
      <c r="NLN208" s="133"/>
      <c r="NLO208" s="133"/>
      <c r="NLP208" s="133"/>
      <c r="NLQ208" s="133"/>
      <c r="NLR208" s="133"/>
      <c r="NLS208" s="133"/>
      <c r="NLT208" s="133"/>
      <c r="NLU208" s="133"/>
      <c r="NLV208" s="133"/>
      <c r="NLW208" s="133"/>
      <c r="NLX208" s="133"/>
      <c r="NLY208" s="133"/>
      <c r="NLZ208" s="133"/>
      <c r="NMA208" s="133"/>
      <c r="NMB208" s="133"/>
      <c r="NMC208" s="133"/>
      <c r="NMD208" s="133"/>
      <c r="NME208" s="133"/>
      <c r="NMF208" s="133"/>
      <c r="NMG208" s="133"/>
      <c r="NMH208" s="133"/>
      <c r="NMI208" s="133"/>
      <c r="NMJ208" s="133"/>
      <c r="NMK208" s="133"/>
      <c r="NML208" s="133"/>
      <c r="NMM208" s="133"/>
      <c r="NMN208" s="133"/>
      <c r="NMO208" s="133"/>
      <c r="NMP208" s="133"/>
      <c r="NMQ208" s="133"/>
      <c r="NMR208" s="133"/>
      <c r="NMS208" s="133"/>
      <c r="NMT208" s="133"/>
      <c r="NMU208" s="133"/>
      <c r="NMV208" s="133"/>
      <c r="NMW208" s="133"/>
      <c r="NMX208" s="133"/>
      <c r="NMY208" s="133"/>
      <c r="NMZ208" s="133"/>
      <c r="NNA208" s="133"/>
      <c r="NNB208" s="133"/>
      <c r="NNC208" s="133"/>
      <c r="NND208" s="133"/>
      <c r="NNE208" s="133"/>
      <c r="NNF208" s="133"/>
      <c r="NNG208" s="133"/>
      <c r="NNH208" s="133"/>
      <c r="NNI208" s="133"/>
      <c r="NNJ208" s="133"/>
      <c r="NNK208" s="133"/>
      <c r="NNL208" s="133"/>
      <c r="NNM208" s="133"/>
      <c r="NNN208" s="133"/>
      <c r="NNO208" s="133"/>
      <c r="NNP208" s="133"/>
      <c r="NNQ208" s="133"/>
      <c r="NNR208" s="133"/>
      <c r="NNS208" s="133"/>
      <c r="NNT208" s="133"/>
      <c r="NNU208" s="133"/>
      <c r="NNV208" s="133"/>
      <c r="NNW208" s="133"/>
      <c r="NNX208" s="133"/>
      <c r="NNY208" s="133"/>
      <c r="NNZ208" s="133"/>
      <c r="NOA208" s="133"/>
      <c r="NOB208" s="133"/>
      <c r="NOC208" s="133"/>
      <c r="NOD208" s="133"/>
      <c r="NOE208" s="133"/>
      <c r="NOF208" s="133"/>
      <c r="NOG208" s="133"/>
      <c r="NOH208" s="133"/>
      <c r="NOI208" s="133"/>
      <c r="NOJ208" s="133"/>
      <c r="NOK208" s="133"/>
      <c r="NOL208" s="133"/>
      <c r="NOM208" s="133"/>
      <c r="NON208" s="133"/>
      <c r="NOO208" s="133"/>
      <c r="NOP208" s="133"/>
      <c r="NOQ208" s="133"/>
      <c r="NOR208" s="133"/>
      <c r="NOS208" s="133"/>
      <c r="NOT208" s="133"/>
      <c r="NOU208" s="133"/>
      <c r="NOV208" s="133"/>
      <c r="NOW208" s="133"/>
      <c r="NOX208" s="133"/>
      <c r="NOY208" s="133"/>
      <c r="NOZ208" s="133"/>
      <c r="NPA208" s="133"/>
      <c r="NPB208" s="133"/>
      <c r="NPC208" s="133"/>
      <c r="NPD208" s="133"/>
      <c r="NPE208" s="133"/>
      <c r="NPF208" s="133"/>
      <c r="NPG208" s="133"/>
      <c r="NPH208" s="133"/>
      <c r="NPI208" s="133"/>
      <c r="NPJ208" s="133"/>
      <c r="NPK208" s="133"/>
      <c r="NPL208" s="133"/>
      <c r="NPM208" s="133"/>
      <c r="NPN208" s="133"/>
      <c r="NPO208" s="133"/>
      <c r="NPP208" s="133"/>
      <c r="NPQ208" s="133"/>
      <c r="NPR208" s="133"/>
      <c r="NPS208" s="133"/>
      <c r="NPT208" s="133"/>
      <c r="NPU208" s="133"/>
      <c r="NPV208" s="133"/>
      <c r="NPW208" s="133"/>
      <c r="NPX208" s="133"/>
      <c r="NPY208" s="133"/>
      <c r="NPZ208" s="133"/>
      <c r="NQA208" s="133"/>
      <c r="NQB208" s="133"/>
      <c r="NQC208" s="133"/>
      <c r="NQD208" s="133"/>
      <c r="NQE208" s="133"/>
      <c r="NQF208" s="133"/>
      <c r="NQG208" s="133"/>
      <c r="NQH208" s="133"/>
      <c r="NQI208" s="133"/>
      <c r="NQJ208" s="133"/>
      <c r="NQK208" s="133"/>
      <c r="NQL208" s="133"/>
      <c r="NQM208" s="133"/>
      <c r="NQN208" s="133"/>
      <c r="NQO208" s="133"/>
      <c r="NQP208" s="133"/>
      <c r="NQQ208" s="133"/>
      <c r="NQR208" s="133"/>
      <c r="NQS208" s="133"/>
      <c r="NQT208" s="133"/>
      <c r="NQU208" s="133"/>
      <c r="NQV208" s="133"/>
      <c r="NQW208" s="133"/>
      <c r="NQX208" s="133"/>
      <c r="NQY208" s="133"/>
      <c r="NQZ208" s="133"/>
      <c r="NRA208" s="133"/>
      <c r="NRB208" s="133"/>
      <c r="NRC208" s="133"/>
      <c r="NRD208" s="133"/>
      <c r="NRE208" s="133"/>
      <c r="NRF208" s="133"/>
      <c r="NRG208" s="133"/>
      <c r="NRH208" s="133"/>
      <c r="NRI208" s="133"/>
      <c r="NRJ208" s="133"/>
      <c r="NRK208" s="133"/>
      <c r="NRL208" s="133"/>
      <c r="NRM208" s="133"/>
      <c r="NRN208" s="133"/>
      <c r="NRO208" s="133"/>
      <c r="NRP208" s="133"/>
      <c r="NRQ208" s="133"/>
      <c r="NRR208" s="133"/>
      <c r="NRS208" s="133"/>
      <c r="NRT208" s="133"/>
      <c r="NRU208" s="133"/>
      <c r="NRV208" s="133"/>
      <c r="NRW208" s="133"/>
      <c r="NRX208" s="133"/>
      <c r="NRY208" s="133"/>
      <c r="NRZ208" s="133"/>
      <c r="NSA208" s="133"/>
      <c r="NSB208" s="133"/>
      <c r="NSC208" s="133"/>
      <c r="NSD208" s="133"/>
      <c r="NSE208" s="133"/>
      <c r="NSF208" s="133"/>
      <c r="NSG208" s="133"/>
      <c r="NSH208" s="133"/>
      <c r="NSI208" s="133"/>
      <c r="NSJ208" s="133"/>
      <c r="NSK208" s="133"/>
      <c r="NSL208" s="133"/>
      <c r="NSM208" s="133"/>
      <c r="NSN208" s="133"/>
      <c r="NSO208" s="133"/>
      <c r="NSP208" s="133"/>
      <c r="NSQ208" s="133"/>
      <c r="NSR208" s="133"/>
      <c r="NSS208" s="133"/>
      <c r="NST208" s="133"/>
      <c r="NSU208" s="133"/>
      <c r="NSV208" s="133"/>
      <c r="NSW208" s="133"/>
      <c r="NSX208" s="133"/>
      <c r="NSY208" s="133"/>
      <c r="NSZ208" s="133"/>
      <c r="NTA208" s="133"/>
      <c r="NTB208" s="133"/>
      <c r="NTC208" s="133"/>
      <c r="NTD208" s="133"/>
      <c r="NTE208" s="133"/>
      <c r="NTF208" s="133"/>
      <c r="NTG208" s="133"/>
      <c r="NTH208" s="133"/>
      <c r="NTI208" s="133"/>
      <c r="NTJ208" s="133"/>
      <c r="NTK208" s="133"/>
      <c r="NTL208" s="133"/>
      <c r="NTM208" s="133"/>
      <c r="NTN208" s="133"/>
      <c r="NTO208" s="133"/>
      <c r="NTP208" s="133"/>
      <c r="NTQ208" s="133"/>
      <c r="NTR208" s="133"/>
      <c r="NTS208" s="133"/>
      <c r="NTT208" s="133"/>
      <c r="NTU208" s="133"/>
      <c r="NTV208" s="133"/>
      <c r="NTW208" s="133"/>
      <c r="NTX208" s="133"/>
      <c r="NTY208" s="133"/>
      <c r="NTZ208" s="133"/>
      <c r="NUA208" s="133"/>
      <c r="NUB208" s="133"/>
      <c r="NUC208" s="133"/>
      <c r="NUD208" s="133"/>
      <c r="NUE208" s="133"/>
      <c r="NUF208" s="133"/>
      <c r="NUG208" s="133"/>
      <c r="NUH208" s="133"/>
      <c r="NUI208" s="133"/>
      <c r="NUJ208" s="133"/>
      <c r="NUK208" s="133"/>
      <c r="NUL208" s="133"/>
      <c r="NUM208" s="133"/>
      <c r="NUN208" s="133"/>
      <c r="NUO208" s="133"/>
      <c r="NUP208" s="133"/>
      <c r="NUQ208" s="133"/>
      <c r="NUR208" s="133"/>
      <c r="NUS208" s="133"/>
      <c r="NUT208" s="133"/>
      <c r="NUU208" s="133"/>
      <c r="NUV208" s="133"/>
      <c r="NUW208" s="133"/>
      <c r="NUX208" s="133"/>
      <c r="NUY208" s="133"/>
      <c r="NUZ208" s="133"/>
      <c r="NVA208" s="133"/>
      <c r="NVB208" s="133"/>
      <c r="NVC208" s="133"/>
      <c r="NVD208" s="133"/>
      <c r="NVE208" s="133"/>
      <c r="NVF208" s="133"/>
      <c r="NVG208" s="133"/>
      <c r="NVH208" s="133"/>
      <c r="NVI208" s="133"/>
      <c r="NVJ208" s="133"/>
      <c r="NVK208" s="133"/>
      <c r="NVL208" s="133"/>
      <c r="NVM208" s="133"/>
      <c r="NVN208" s="133"/>
      <c r="NVO208" s="133"/>
      <c r="NVP208" s="133"/>
      <c r="NVQ208" s="133"/>
      <c r="NVR208" s="133"/>
      <c r="NVS208" s="133"/>
      <c r="NVT208" s="133"/>
      <c r="NVU208" s="133"/>
      <c r="NVV208" s="133"/>
      <c r="NVW208" s="133"/>
      <c r="NVX208" s="133"/>
      <c r="NVY208" s="133"/>
      <c r="NVZ208" s="133"/>
      <c r="NWA208" s="133"/>
      <c r="NWB208" s="133"/>
      <c r="NWC208" s="133"/>
      <c r="NWD208" s="133"/>
      <c r="NWE208" s="133"/>
      <c r="NWF208" s="133"/>
      <c r="NWG208" s="133"/>
      <c r="NWH208" s="133"/>
      <c r="NWI208" s="133"/>
      <c r="NWJ208" s="133"/>
      <c r="NWK208" s="133"/>
      <c r="NWL208" s="133"/>
      <c r="NWM208" s="133"/>
      <c r="NWN208" s="133"/>
      <c r="NWO208" s="133"/>
      <c r="NWP208" s="133"/>
      <c r="NWQ208" s="133"/>
      <c r="NWR208" s="133"/>
      <c r="NWS208" s="133"/>
      <c r="NWT208" s="133"/>
      <c r="NWU208" s="133"/>
      <c r="NWV208" s="133"/>
      <c r="NWW208" s="133"/>
      <c r="NWX208" s="133"/>
      <c r="NWY208" s="133"/>
      <c r="NWZ208" s="133"/>
      <c r="NXA208" s="133"/>
      <c r="NXB208" s="133"/>
      <c r="NXC208" s="133"/>
      <c r="NXD208" s="133"/>
      <c r="NXE208" s="133"/>
      <c r="NXF208" s="133"/>
      <c r="NXG208" s="133"/>
      <c r="NXH208" s="133"/>
      <c r="NXI208" s="133"/>
      <c r="NXJ208" s="133"/>
      <c r="NXK208" s="133"/>
      <c r="NXL208" s="133"/>
      <c r="NXM208" s="133"/>
      <c r="NXN208" s="133"/>
      <c r="NXO208" s="133"/>
      <c r="NXP208" s="133"/>
      <c r="NXQ208" s="133"/>
      <c r="NXR208" s="133"/>
      <c r="NXS208" s="133"/>
      <c r="NXT208" s="133"/>
      <c r="NXU208" s="133"/>
      <c r="NXV208" s="133"/>
      <c r="NXW208" s="133"/>
      <c r="NXX208" s="133"/>
      <c r="NXY208" s="133"/>
      <c r="NXZ208" s="133"/>
      <c r="NYA208" s="133"/>
      <c r="NYB208" s="133"/>
      <c r="NYC208" s="133"/>
      <c r="NYD208" s="133"/>
      <c r="NYE208" s="133"/>
      <c r="NYF208" s="133"/>
      <c r="NYG208" s="133"/>
      <c r="NYH208" s="133"/>
      <c r="NYI208" s="133"/>
      <c r="NYJ208" s="133"/>
      <c r="NYK208" s="133"/>
      <c r="NYL208" s="133"/>
      <c r="NYM208" s="133"/>
      <c r="NYN208" s="133"/>
      <c r="NYO208" s="133"/>
      <c r="NYP208" s="133"/>
      <c r="NYQ208" s="133"/>
      <c r="NYR208" s="133"/>
      <c r="NYS208" s="133"/>
      <c r="NYT208" s="133"/>
      <c r="NYU208" s="133"/>
      <c r="NYV208" s="133"/>
      <c r="NYW208" s="133"/>
      <c r="NYX208" s="133"/>
      <c r="NYY208" s="133"/>
      <c r="NYZ208" s="133"/>
      <c r="NZA208" s="133"/>
      <c r="NZB208" s="133"/>
      <c r="NZC208" s="133"/>
      <c r="NZD208" s="133"/>
      <c r="NZE208" s="133"/>
      <c r="NZF208" s="133"/>
      <c r="NZG208" s="133"/>
      <c r="NZH208" s="133"/>
      <c r="NZI208" s="133"/>
      <c r="NZJ208" s="133"/>
      <c r="NZK208" s="133"/>
      <c r="NZL208" s="133"/>
      <c r="NZM208" s="133"/>
      <c r="NZN208" s="133"/>
      <c r="NZO208" s="133"/>
      <c r="NZP208" s="133"/>
      <c r="NZQ208" s="133"/>
      <c r="NZR208" s="133"/>
      <c r="NZS208" s="133"/>
      <c r="NZT208" s="133"/>
      <c r="NZU208" s="133"/>
      <c r="NZV208" s="133"/>
      <c r="NZW208" s="133"/>
      <c r="NZX208" s="133"/>
      <c r="NZY208" s="133"/>
      <c r="NZZ208" s="133"/>
      <c r="OAA208" s="133"/>
      <c r="OAB208" s="133"/>
      <c r="OAC208" s="133"/>
      <c r="OAD208" s="133"/>
      <c r="OAE208" s="133"/>
      <c r="OAF208" s="133"/>
      <c r="OAG208" s="133"/>
      <c r="OAH208" s="133"/>
      <c r="OAI208" s="133"/>
      <c r="OAJ208" s="133"/>
      <c r="OAK208" s="133"/>
      <c r="OAL208" s="133"/>
      <c r="OAM208" s="133"/>
      <c r="OAN208" s="133"/>
      <c r="OAO208" s="133"/>
      <c r="OAP208" s="133"/>
      <c r="OAQ208" s="133"/>
      <c r="OAR208" s="133"/>
      <c r="OAS208" s="133"/>
      <c r="OAT208" s="133"/>
      <c r="OAU208" s="133"/>
      <c r="OAV208" s="133"/>
      <c r="OAW208" s="133"/>
      <c r="OAX208" s="133"/>
      <c r="OAY208" s="133"/>
      <c r="OAZ208" s="133"/>
      <c r="OBA208" s="133"/>
      <c r="OBB208" s="133"/>
      <c r="OBC208" s="133"/>
      <c r="OBD208" s="133"/>
      <c r="OBE208" s="133"/>
      <c r="OBF208" s="133"/>
      <c r="OBG208" s="133"/>
      <c r="OBH208" s="133"/>
      <c r="OBI208" s="133"/>
      <c r="OBJ208" s="133"/>
      <c r="OBK208" s="133"/>
      <c r="OBL208" s="133"/>
      <c r="OBM208" s="133"/>
      <c r="OBN208" s="133"/>
      <c r="OBO208" s="133"/>
      <c r="OBP208" s="133"/>
      <c r="OBQ208" s="133"/>
      <c r="OBR208" s="133"/>
      <c r="OBS208" s="133"/>
      <c r="OBT208" s="133"/>
      <c r="OBU208" s="133"/>
      <c r="OBV208" s="133"/>
      <c r="OBW208" s="133"/>
      <c r="OBX208" s="133"/>
      <c r="OBY208" s="133"/>
      <c r="OBZ208" s="133"/>
      <c r="OCA208" s="133"/>
      <c r="OCB208" s="133"/>
      <c r="OCC208" s="133"/>
      <c r="OCD208" s="133"/>
      <c r="OCE208" s="133"/>
      <c r="OCF208" s="133"/>
      <c r="OCG208" s="133"/>
      <c r="OCH208" s="133"/>
      <c r="OCI208" s="133"/>
      <c r="OCJ208" s="133"/>
      <c r="OCK208" s="133"/>
      <c r="OCL208" s="133"/>
      <c r="OCM208" s="133"/>
      <c r="OCN208" s="133"/>
      <c r="OCO208" s="133"/>
      <c r="OCP208" s="133"/>
      <c r="OCQ208" s="133"/>
      <c r="OCR208" s="133"/>
      <c r="OCS208" s="133"/>
      <c r="OCT208" s="133"/>
      <c r="OCU208" s="133"/>
      <c r="OCV208" s="133"/>
      <c r="OCW208" s="133"/>
      <c r="OCX208" s="133"/>
      <c r="OCY208" s="133"/>
      <c r="OCZ208" s="133"/>
      <c r="ODA208" s="133"/>
      <c r="ODB208" s="133"/>
      <c r="ODC208" s="133"/>
      <c r="ODD208" s="133"/>
      <c r="ODE208" s="133"/>
      <c r="ODF208" s="133"/>
      <c r="ODG208" s="133"/>
      <c r="ODH208" s="133"/>
      <c r="ODI208" s="133"/>
      <c r="ODJ208" s="133"/>
      <c r="ODK208" s="133"/>
      <c r="ODL208" s="133"/>
      <c r="ODM208" s="133"/>
      <c r="ODN208" s="133"/>
      <c r="ODO208" s="133"/>
      <c r="ODP208" s="133"/>
      <c r="ODQ208" s="133"/>
      <c r="ODR208" s="133"/>
      <c r="ODS208" s="133"/>
      <c r="ODT208" s="133"/>
      <c r="ODU208" s="133"/>
      <c r="ODV208" s="133"/>
      <c r="ODW208" s="133"/>
      <c r="ODX208" s="133"/>
      <c r="ODY208" s="133"/>
      <c r="ODZ208" s="133"/>
      <c r="OEA208" s="133"/>
      <c r="OEB208" s="133"/>
      <c r="OEC208" s="133"/>
      <c r="OED208" s="133"/>
      <c r="OEE208" s="133"/>
      <c r="OEF208" s="133"/>
      <c r="OEG208" s="133"/>
      <c r="OEH208" s="133"/>
      <c r="OEI208" s="133"/>
      <c r="OEJ208" s="133"/>
      <c r="OEK208" s="133"/>
      <c r="OEL208" s="133"/>
      <c r="OEM208" s="133"/>
      <c r="OEN208" s="133"/>
      <c r="OEO208" s="133"/>
      <c r="OEP208" s="133"/>
      <c r="OEQ208" s="133"/>
      <c r="OER208" s="133"/>
      <c r="OES208" s="133"/>
      <c r="OET208" s="133"/>
      <c r="OEU208" s="133"/>
      <c r="OEV208" s="133"/>
      <c r="OEW208" s="133"/>
      <c r="OEX208" s="133"/>
      <c r="OEY208" s="133"/>
      <c r="OEZ208" s="133"/>
      <c r="OFA208" s="133"/>
      <c r="OFB208" s="133"/>
      <c r="OFC208" s="133"/>
      <c r="OFD208" s="133"/>
      <c r="OFE208" s="133"/>
      <c r="OFF208" s="133"/>
      <c r="OFG208" s="133"/>
      <c r="OFH208" s="133"/>
      <c r="OFI208" s="133"/>
      <c r="OFJ208" s="133"/>
      <c r="OFK208" s="133"/>
      <c r="OFL208" s="133"/>
      <c r="OFM208" s="133"/>
      <c r="OFN208" s="133"/>
      <c r="OFO208" s="133"/>
      <c r="OFP208" s="133"/>
      <c r="OFQ208" s="133"/>
      <c r="OFR208" s="133"/>
      <c r="OFS208" s="133"/>
      <c r="OFT208" s="133"/>
      <c r="OFU208" s="133"/>
      <c r="OFV208" s="133"/>
      <c r="OFW208" s="133"/>
      <c r="OFX208" s="133"/>
      <c r="OFY208" s="133"/>
      <c r="OFZ208" s="133"/>
      <c r="OGA208" s="133"/>
      <c r="OGB208" s="133"/>
      <c r="OGC208" s="133"/>
      <c r="OGD208" s="133"/>
      <c r="OGE208" s="133"/>
      <c r="OGF208" s="133"/>
      <c r="OGG208" s="133"/>
      <c r="OGH208" s="133"/>
      <c r="OGI208" s="133"/>
      <c r="OGJ208" s="133"/>
      <c r="OGK208" s="133"/>
      <c r="OGL208" s="133"/>
      <c r="OGM208" s="133"/>
      <c r="OGN208" s="133"/>
      <c r="OGO208" s="133"/>
      <c r="OGP208" s="133"/>
      <c r="OGQ208" s="133"/>
      <c r="OGR208" s="133"/>
      <c r="OGS208" s="133"/>
      <c r="OGT208" s="133"/>
      <c r="OGU208" s="133"/>
      <c r="OGV208" s="133"/>
      <c r="OGW208" s="133"/>
      <c r="OGX208" s="133"/>
      <c r="OGY208" s="133"/>
      <c r="OGZ208" s="133"/>
      <c r="OHA208" s="133"/>
      <c r="OHB208" s="133"/>
      <c r="OHC208" s="133"/>
      <c r="OHD208" s="133"/>
      <c r="OHE208" s="133"/>
      <c r="OHF208" s="133"/>
      <c r="OHG208" s="133"/>
      <c r="OHH208" s="133"/>
      <c r="OHI208" s="133"/>
      <c r="OHJ208" s="133"/>
      <c r="OHK208" s="133"/>
      <c r="OHL208" s="133"/>
      <c r="OHM208" s="133"/>
      <c r="OHN208" s="133"/>
      <c r="OHO208" s="133"/>
      <c r="OHP208" s="133"/>
      <c r="OHQ208" s="133"/>
      <c r="OHR208" s="133"/>
      <c r="OHS208" s="133"/>
      <c r="OHT208" s="133"/>
      <c r="OHU208" s="133"/>
      <c r="OHV208" s="133"/>
      <c r="OHW208" s="133"/>
      <c r="OHX208" s="133"/>
      <c r="OHY208" s="133"/>
      <c r="OHZ208" s="133"/>
      <c r="OIA208" s="133"/>
      <c r="OIB208" s="133"/>
      <c r="OIC208" s="133"/>
      <c r="OID208" s="133"/>
      <c r="OIE208" s="133"/>
      <c r="OIF208" s="133"/>
      <c r="OIG208" s="133"/>
      <c r="OIH208" s="133"/>
      <c r="OII208" s="133"/>
      <c r="OIJ208" s="133"/>
      <c r="OIK208" s="133"/>
      <c r="OIL208" s="133"/>
      <c r="OIM208" s="133"/>
      <c r="OIN208" s="133"/>
      <c r="OIO208" s="133"/>
      <c r="OIP208" s="133"/>
      <c r="OIQ208" s="133"/>
      <c r="OIR208" s="133"/>
      <c r="OIS208" s="133"/>
      <c r="OIT208" s="133"/>
      <c r="OIU208" s="133"/>
      <c r="OIV208" s="133"/>
      <c r="OIW208" s="133"/>
      <c r="OIX208" s="133"/>
      <c r="OIY208" s="133"/>
      <c r="OIZ208" s="133"/>
      <c r="OJA208" s="133"/>
      <c r="OJB208" s="133"/>
      <c r="OJC208" s="133"/>
      <c r="OJD208" s="133"/>
      <c r="OJE208" s="133"/>
      <c r="OJF208" s="133"/>
      <c r="OJG208" s="133"/>
      <c r="OJH208" s="133"/>
      <c r="OJI208" s="133"/>
      <c r="OJJ208" s="133"/>
      <c r="OJK208" s="133"/>
      <c r="OJL208" s="133"/>
      <c r="OJM208" s="133"/>
      <c r="OJN208" s="133"/>
      <c r="OJO208" s="133"/>
      <c r="OJP208" s="133"/>
      <c r="OJQ208" s="133"/>
      <c r="OJR208" s="133"/>
      <c r="OJS208" s="133"/>
      <c r="OJT208" s="133"/>
      <c r="OJU208" s="133"/>
      <c r="OJV208" s="133"/>
      <c r="OJW208" s="133"/>
      <c r="OJX208" s="133"/>
      <c r="OJY208" s="133"/>
      <c r="OJZ208" s="133"/>
      <c r="OKA208" s="133"/>
      <c r="OKB208" s="133"/>
      <c r="OKC208" s="133"/>
      <c r="OKD208" s="133"/>
      <c r="OKE208" s="133"/>
      <c r="OKF208" s="133"/>
      <c r="OKG208" s="133"/>
      <c r="OKH208" s="133"/>
      <c r="OKI208" s="133"/>
      <c r="OKJ208" s="133"/>
      <c r="OKK208" s="133"/>
      <c r="OKL208" s="133"/>
      <c r="OKM208" s="133"/>
      <c r="OKN208" s="133"/>
      <c r="OKO208" s="133"/>
      <c r="OKP208" s="133"/>
      <c r="OKQ208" s="133"/>
      <c r="OKR208" s="133"/>
      <c r="OKS208" s="133"/>
      <c r="OKT208" s="133"/>
      <c r="OKU208" s="133"/>
      <c r="OKV208" s="133"/>
      <c r="OKW208" s="133"/>
      <c r="OKX208" s="133"/>
      <c r="OKY208" s="133"/>
      <c r="OKZ208" s="133"/>
      <c r="OLA208" s="133"/>
      <c r="OLB208" s="133"/>
      <c r="OLC208" s="133"/>
      <c r="OLD208" s="133"/>
      <c r="OLE208" s="133"/>
      <c r="OLF208" s="133"/>
      <c r="OLG208" s="133"/>
      <c r="OLH208" s="133"/>
      <c r="OLI208" s="133"/>
      <c r="OLJ208" s="133"/>
      <c r="OLK208" s="133"/>
      <c r="OLL208" s="133"/>
      <c r="OLM208" s="133"/>
      <c r="OLN208" s="133"/>
      <c r="OLO208" s="133"/>
      <c r="OLP208" s="133"/>
      <c r="OLQ208" s="133"/>
      <c r="OLR208" s="133"/>
      <c r="OLS208" s="133"/>
      <c r="OLT208" s="133"/>
      <c r="OLU208" s="133"/>
      <c r="OLV208" s="133"/>
      <c r="OLW208" s="133"/>
      <c r="OLX208" s="133"/>
      <c r="OLY208" s="133"/>
      <c r="OLZ208" s="133"/>
      <c r="OMA208" s="133"/>
      <c r="OMB208" s="133"/>
      <c r="OMC208" s="133"/>
      <c r="OMD208" s="133"/>
      <c r="OME208" s="133"/>
      <c r="OMF208" s="133"/>
      <c r="OMG208" s="133"/>
      <c r="OMH208" s="133"/>
      <c r="OMI208" s="133"/>
      <c r="OMJ208" s="133"/>
      <c r="OMK208" s="133"/>
      <c r="OML208" s="133"/>
      <c r="OMM208" s="133"/>
      <c r="OMN208" s="133"/>
      <c r="OMO208" s="133"/>
      <c r="OMP208" s="133"/>
      <c r="OMQ208" s="133"/>
      <c r="OMR208" s="133"/>
      <c r="OMS208" s="133"/>
      <c r="OMT208" s="133"/>
      <c r="OMU208" s="133"/>
      <c r="OMV208" s="133"/>
      <c r="OMW208" s="133"/>
      <c r="OMX208" s="133"/>
      <c r="OMY208" s="133"/>
      <c r="OMZ208" s="133"/>
      <c r="ONA208" s="133"/>
      <c r="ONB208" s="133"/>
      <c r="ONC208" s="133"/>
      <c r="OND208" s="133"/>
      <c r="ONE208" s="133"/>
      <c r="ONF208" s="133"/>
      <c r="ONG208" s="133"/>
      <c r="ONH208" s="133"/>
      <c r="ONI208" s="133"/>
      <c r="ONJ208" s="133"/>
      <c r="ONK208" s="133"/>
      <c r="ONL208" s="133"/>
      <c r="ONM208" s="133"/>
      <c r="ONN208" s="133"/>
      <c r="ONO208" s="133"/>
      <c r="ONP208" s="133"/>
      <c r="ONQ208" s="133"/>
      <c r="ONR208" s="133"/>
      <c r="ONS208" s="133"/>
      <c r="ONT208" s="133"/>
      <c r="ONU208" s="133"/>
      <c r="ONV208" s="133"/>
      <c r="ONW208" s="133"/>
      <c r="ONX208" s="133"/>
      <c r="ONY208" s="133"/>
      <c r="ONZ208" s="133"/>
      <c r="OOA208" s="133"/>
      <c r="OOB208" s="133"/>
      <c r="OOC208" s="133"/>
      <c r="OOD208" s="133"/>
      <c r="OOE208" s="133"/>
      <c r="OOF208" s="133"/>
      <c r="OOG208" s="133"/>
      <c r="OOH208" s="133"/>
      <c r="OOI208" s="133"/>
      <c r="OOJ208" s="133"/>
      <c r="OOK208" s="133"/>
      <c r="OOL208" s="133"/>
      <c r="OOM208" s="133"/>
      <c r="OON208" s="133"/>
      <c r="OOO208" s="133"/>
      <c r="OOP208" s="133"/>
      <c r="OOQ208" s="133"/>
      <c r="OOR208" s="133"/>
      <c r="OOS208" s="133"/>
      <c r="OOT208" s="133"/>
      <c r="OOU208" s="133"/>
      <c r="OOV208" s="133"/>
      <c r="OOW208" s="133"/>
      <c r="OOX208" s="133"/>
      <c r="OOY208" s="133"/>
      <c r="OOZ208" s="133"/>
      <c r="OPA208" s="133"/>
      <c r="OPB208" s="133"/>
      <c r="OPC208" s="133"/>
      <c r="OPD208" s="133"/>
      <c r="OPE208" s="133"/>
      <c r="OPF208" s="133"/>
      <c r="OPG208" s="133"/>
      <c r="OPH208" s="133"/>
      <c r="OPI208" s="133"/>
      <c r="OPJ208" s="133"/>
      <c r="OPK208" s="133"/>
      <c r="OPL208" s="133"/>
      <c r="OPM208" s="133"/>
      <c r="OPN208" s="133"/>
      <c r="OPO208" s="133"/>
      <c r="OPP208" s="133"/>
      <c r="OPQ208" s="133"/>
      <c r="OPR208" s="133"/>
      <c r="OPS208" s="133"/>
      <c r="OPT208" s="133"/>
      <c r="OPU208" s="133"/>
      <c r="OPV208" s="133"/>
      <c r="OPW208" s="133"/>
      <c r="OPX208" s="133"/>
      <c r="OPY208" s="133"/>
      <c r="OPZ208" s="133"/>
      <c r="OQA208" s="133"/>
      <c r="OQB208" s="133"/>
      <c r="OQC208" s="133"/>
      <c r="OQD208" s="133"/>
      <c r="OQE208" s="133"/>
      <c r="OQF208" s="133"/>
      <c r="OQG208" s="133"/>
      <c r="OQH208" s="133"/>
      <c r="OQI208" s="133"/>
      <c r="OQJ208" s="133"/>
      <c r="OQK208" s="133"/>
      <c r="OQL208" s="133"/>
      <c r="OQM208" s="133"/>
      <c r="OQN208" s="133"/>
      <c r="OQO208" s="133"/>
      <c r="OQP208" s="133"/>
      <c r="OQQ208" s="133"/>
      <c r="OQR208" s="133"/>
      <c r="OQS208" s="133"/>
      <c r="OQT208" s="133"/>
      <c r="OQU208" s="133"/>
      <c r="OQV208" s="133"/>
      <c r="OQW208" s="133"/>
      <c r="OQX208" s="133"/>
      <c r="OQY208" s="133"/>
      <c r="OQZ208" s="133"/>
      <c r="ORA208" s="133"/>
      <c r="ORB208" s="133"/>
      <c r="ORC208" s="133"/>
      <c r="ORD208" s="133"/>
      <c r="ORE208" s="133"/>
      <c r="ORF208" s="133"/>
      <c r="ORG208" s="133"/>
      <c r="ORH208" s="133"/>
      <c r="ORI208" s="133"/>
      <c r="ORJ208" s="133"/>
      <c r="ORK208" s="133"/>
      <c r="ORL208" s="133"/>
      <c r="ORM208" s="133"/>
      <c r="ORN208" s="133"/>
      <c r="ORO208" s="133"/>
      <c r="ORP208" s="133"/>
      <c r="ORQ208" s="133"/>
      <c r="ORR208" s="133"/>
      <c r="ORS208" s="133"/>
      <c r="ORT208" s="133"/>
      <c r="ORU208" s="133"/>
      <c r="ORV208" s="133"/>
      <c r="ORW208" s="133"/>
      <c r="ORX208" s="133"/>
      <c r="ORY208" s="133"/>
      <c r="ORZ208" s="133"/>
      <c r="OSA208" s="133"/>
      <c r="OSB208" s="133"/>
      <c r="OSC208" s="133"/>
      <c r="OSD208" s="133"/>
      <c r="OSE208" s="133"/>
      <c r="OSF208" s="133"/>
      <c r="OSG208" s="133"/>
      <c r="OSH208" s="133"/>
      <c r="OSI208" s="133"/>
      <c r="OSJ208" s="133"/>
      <c r="OSK208" s="133"/>
      <c r="OSL208" s="133"/>
      <c r="OSM208" s="133"/>
      <c r="OSN208" s="133"/>
      <c r="OSO208" s="133"/>
      <c r="OSP208" s="133"/>
      <c r="OSQ208" s="133"/>
      <c r="OSR208" s="133"/>
      <c r="OSS208" s="133"/>
      <c r="OST208" s="133"/>
      <c r="OSU208" s="133"/>
      <c r="OSV208" s="133"/>
      <c r="OSW208" s="133"/>
      <c r="OSX208" s="133"/>
      <c r="OSY208" s="133"/>
      <c r="OSZ208" s="133"/>
      <c r="OTA208" s="133"/>
      <c r="OTB208" s="133"/>
      <c r="OTC208" s="133"/>
      <c r="OTD208" s="133"/>
      <c r="OTE208" s="133"/>
      <c r="OTF208" s="133"/>
      <c r="OTG208" s="133"/>
      <c r="OTH208" s="133"/>
      <c r="OTI208" s="133"/>
      <c r="OTJ208" s="133"/>
      <c r="OTK208" s="133"/>
      <c r="OTL208" s="133"/>
      <c r="OTM208" s="133"/>
      <c r="OTN208" s="133"/>
      <c r="OTO208" s="133"/>
      <c r="OTP208" s="133"/>
      <c r="OTQ208" s="133"/>
      <c r="OTR208" s="133"/>
      <c r="OTS208" s="133"/>
      <c r="OTT208" s="133"/>
      <c r="OTU208" s="133"/>
      <c r="OTV208" s="133"/>
      <c r="OTW208" s="133"/>
      <c r="OTX208" s="133"/>
      <c r="OTY208" s="133"/>
      <c r="OTZ208" s="133"/>
      <c r="OUA208" s="133"/>
      <c r="OUB208" s="133"/>
      <c r="OUC208" s="133"/>
      <c r="OUD208" s="133"/>
      <c r="OUE208" s="133"/>
      <c r="OUF208" s="133"/>
      <c r="OUG208" s="133"/>
      <c r="OUH208" s="133"/>
      <c r="OUI208" s="133"/>
      <c r="OUJ208" s="133"/>
      <c r="OUK208" s="133"/>
      <c r="OUL208" s="133"/>
      <c r="OUM208" s="133"/>
      <c r="OUN208" s="133"/>
      <c r="OUO208" s="133"/>
      <c r="OUP208" s="133"/>
      <c r="OUQ208" s="133"/>
      <c r="OUR208" s="133"/>
      <c r="OUS208" s="133"/>
      <c r="OUT208" s="133"/>
      <c r="OUU208" s="133"/>
      <c r="OUV208" s="133"/>
      <c r="OUW208" s="133"/>
      <c r="OUX208" s="133"/>
      <c r="OUY208" s="133"/>
      <c r="OUZ208" s="133"/>
      <c r="OVA208" s="133"/>
      <c r="OVB208" s="133"/>
      <c r="OVC208" s="133"/>
      <c r="OVD208" s="133"/>
      <c r="OVE208" s="133"/>
      <c r="OVF208" s="133"/>
      <c r="OVG208" s="133"/>
      <c r="OVH208" s="133"/>
      <c r="OVI208" s="133"/>
      <c r="OVJ208" s="133"/>
      <c r="OVK208" s="133"/>
      <c r="OVL208" s="133"/>
      <c r="OVM208" s="133"/>
      <c r="OVN208" s="133"/>
      <c r="OVO208" s="133"/>
      <c r="OVP208" s="133"/>
      <c r="OVQ208" s="133"/>
      <c r="OVR208" s="133"/>
      <c r="OVS208" s="133"/>
      <c r="OVT208" s="133"/>
      <c r="OVU208" s="133"/>
      <c r="OVV208" s="133"/>
      <c r="OVW208" s="133"/>
      <c r="OVX208" s="133"/>
      <c r="OVY208" s="133"/>
      <c r="OVZ208" s="133"/>
      <c r="OWA208" s="133"/>
      <c r="OWB208" s="133"/>
      <c r="OWC208" s="133"/>
      <c r="OWD208" s="133"/>
      <c r="OWE208" s="133"/>
      <c r="OWF208" s="133"/>
      <c r="OWG208" s="133"/>
      <c r="OWH208" s="133"/>
      <c r="OWI208" s="133"/>
      <c r="OWJ208" s="133"/>
      <c r="OWK208" s="133"/>
      <c r="OWL208" s="133"/>
      <c r="OWM208" s="133"/>
      <c r="OWN208" s="133"/>
      <c r="OWO208" s="133"/>
      <c r="OWP208" s="133"/>
      <c r="OWQ208" s="133"/>
      <c r="OWR208" s="133"/>
      <c r="OWS208" s="133"/>
      <c r="OWT208" s="133"/>
      <c r="OWU208" s="133"/>
      <c r="OWV208" s="133"/>
      <c r="OWW208" s="133"/>
      <c r="OWX208" s="133"/>
      <c r="OWY208" s="133"/>
      <c r="OWZ208" s="133"/>
      <c r="OXA208" s="133"/>
      <c r="OXB208" s="133"/>
      <c r="OXC208" s="133"/>
      <c r="OXD208" s="133"/>
      <c r="OXE208" s="133"/>
      <c r="OXF208" s="133"/>
      <c r="OXG208" s="133"/>
      <c r="OXH208" s="133"/>
      <c r="OXI208" s="133"/>
      <c r="OXJ208" s="133"/>
      <c r="OXK208" s="133"/>
      <c r="OXL208" s="133"/>
      <c r="OXM208" s="133"/>
      <c r="OXN208" s="133"/>
      <c r="OXO208" s="133"/>
      <c r="OXP208" s="133"/>
      <c r="OXQ208" s="133"/>
      <c r="OXR208" s="133"/>
      <c r="OXS208" s="133"/>
      <c r="OXT208" s="133"/>
      <c r="OXU208" s="133"/>
      <c r="OXV208" s="133"/>
      <c r="OXW208" s="133"/>
      <c r="OXX208" s="133"/>
      <c r="OXY208" s="133"/>
      <c r="OXZ208" s="133"/>
      <c r="OYA208" s="133"/>
      <c r="OYB208" s="133"/>
      <c r="OYC208" s="133"/>
      <c r="OYD208" s="133"/>
      <c r="OYE208" s="133"/>
      <c r="OYF208" s="133"/>
      <c r="OYG208" s="133"/>
      <c r="OYH208" s="133"/>
      <c r="OYI208" s="133"/>
      <c r="OYJ208" s="133"/>
      <c r="OYK208" s="133"/>
      <c r="OYL208" s="133"/>
      <c r="OYM208" s="133"/>
      <c r="OYN208" s="133"/>
      <c r="OYO208" s="133"/>
      <c r="OYP208" s="133"/>
      <c r="OYQ208" s="133"/>
      <c r="OYR208" s="133"/>
      <c r="OYS208" s="133"/>
      <c r="OYT208" s="133"/>
      <c r="OYU208" s="133"/>
      <c r="OYV208" s="133"/>
      <c r="OYW208" s="133"/>
      <c r="OYX208" s="133"/>
      <c r="OYY208" s="133"/>
      <c r="OYZ208" s="133"/>
      <c r="OZA208" s="133"/>
      <c r="OZB208" s="133"/>
      <c r="OZC208" s="133"/>
      <c r="OZD208" s="133"/>
      <c r="OZE208" s="133"/>
      <c r="OZF208" s="133"/>
      <c r="OZG208" s="133"/>
      <c r="OZH208" s="133"/>
      <c r="OZI208" s="133"/>
      <c r="OZJ208" s="133"/>
      <c r="OZK208" s="133"/>
      <c r="OZL208" s="133"/>
      <c r="OZM208" s="133"/>
      <c r="OZN208" s="133"/>
      <c r="OZO208" s="133"/>
      <c r="OZP208" s="133"/>
      <c r="OZQ208" s="133"/>
      <c r="OZR208" s="133"/>
      <c r="OZS208" s="133"/>
      <c r="OZT208" s="133"/>
      <c r="OZU208" s="133"/>
      <c r="OZV208" s="133"/>
      <c r="OZW208" s="133"/>
      <c r="OZX208" s="133"/>
      <c r="OZY208" s="133"/>
      <c r="OZZ208" s="133"/>
      <c r="PAA208" s="133"/>
      <c r="PAB208" s="133"/>
      <c r="PAC208" s="133"/>
      <c r="PAD208" s="133"/>
      <c r="PAE208" s="133"/>
      <c r="PAF208" s="133"/>
      <c r="PAG208" s="133"/>
      <c r="PAH208" s="133"/>
      <c r="PAI208" s="133"/>
      <c r="PAJ208" s="133"/>
      <c r="PAK208" s="133"/>
      <c r="PAL208" s="133"/>
      <c r="PAM208" s="133"/>
      <c r="PAN208" s="133"/>
      <c r="PAO208" s="133"/>
      <c r="PAP208" s="133"/>
      <c r="PAQ208" s="133"/>
      <c r="PAR208" s="133"/>
      <c r="PAS208" s="133"/>
      <c r="PAT208" s="133"/>
      <c r="PAU208" s="133"/>
      <c r="PAV208" s="133"/>
      <c r="PAW208" s="133"/>
      <c r="PAX208" s="133"/>
      <c r="PAY208" s="133"/>
      <c r="PAZ208" s="133"/>
      <c r="PBA208" s="133"/>
      <c r="PBB208" s="133"/>
      <c r="PBC208" s="133"/>
      <c r="PBD208" s="133"/>
      <c r="PBE208" s="133"/>
      <c r="PBF208" s="133"/>
      <c r="PBG208" s="133"/>
      <c r="PBH208" s="133"/>
      <c r="PBI208" s="133"/>
      <c r="PBJ208" s="133"/>
      <c r="PBK208" s="133"/>
      <c r="PBL208" s="133"/>
      <c r="PBM208" s="133"/>
      <c r="PBN208" s="133"/>
      <c r="PBO208" s="133"/>
      <c r="PBP208" s="133"/>
      <c r="PBQ208" s="133"/>
      <c r="PBR208" s="133"/>
      <c r="PBS208" s="133"/>
      <c r="PBT208" s="133"/>
      <c r="PBU208" s="133"/>
      <c r="PBV208" s="133"/>
      <c r="PBW208" s="133"/>
      <c r="PBX208" s="133"/>
      <c r="PBY208" s="133"/>
      <c r="PBZ208" s="133"/>
      <c r="PCA208" s="133"/>
      <c r="PCB208" s="133"/>
      <c r="PCC208" s="133"/>
      <c r="PCD208" s="133"/>
      <c r="PCE208" s="133"/>
      <c r="PCF208" s="133"/>
      <c r="PCG208" s="133"/>
      <c r="PCH208" s="133"/>
      <c r="PCI208" s="133"/>
      <c r="PCJ208" s="133"/>
      <c r="PCK208" s="133"/>
      <c r="PCL208" s="133"/>
      <c r="PCM208" s="133"/>
      <c r="PCN208" s="133"/>
      <c r="PCO208" s="133"/>
      <c r="PCP208" s="133"/>
      <c r="PCQ208" s="133"/>
      <c r="PCR208" s="133"/>
      <c r="PCS208" s="133"/>
      <c r="PCT208" s="133"/>
      <c r="PCU208" s="133"/>
      <c r="PCV208" s="133"/>
      <c r="PCW208" s="133"/>
      <c r="PCX208" s="133"/>
      <c r="PCY208" s="133"/>
      <c r="PCZ208" s="133"/>
      <c r="PDA208" s="133"/>
      <c r="PDB208" s="133"/>
      <c r="PDC208" s="133"/>
      <c r="PDD208" s="133"/>
      <c r="PDE208" s="133"/>
      <c r="PDF208" s="133"/>
      <c r="PDG208" s="133"/>
      <c r="PDH208" s="133"/>
      <c r="PDI208" s="133"/>
      <c r="PDJ208" s="133"/>
      <c r="PDK208" s="133"/>
      <c r="PDL208" s="133"/>
      <c r="PDM208" s="133"/>
      <c r="PDN208" s="133"/>
      <c r="PDO208" s="133"/>
      <c r="PDP208" s="133"/>
      <c r="PDQ208" s="133"/>
      <c r="PDR208" s="133"/>
      <c r="PDS208" s="133"/>
      <c r="PDT208" s="133"/>
      <c r="PDU208" s="133"/>
      <c r="PDV208" s="133"/>
      <c r="PDW208" s="133"/>
      <c r="PDX208" s="133"/>
      <c r="PDY208" s="133"/>
      <c r="PDZ208" s="133"/>
      <c r="PEA208" s="133"/>
      <c r="PEB208" s="133"/>
      <c r="PEC208" s="133"/>
      <c r="PED208" s="133"/>
      <c r="PEE208" s="133"/>
      <c r="PEF208" s="133"/>
      <c r="PEG208" s="133"/>
      <c r="PEH208" s="133"/>
      <c r="PEI208" s="133"/>
      <c r="PEJ208" s="133"/>
      <c r="PEK208" s="133"/>
      <c r="PEL208" s="133"/>
      <c r="PEM208" s="133"/>
      <c r="PEN208" s="133"/>
      <c r="PEO208" s="133"/>
      <c r="PEP208" s="133"/>
      <c r="PEQ208" s="133"/>
      <c r="PER208" s="133"/>
      <c r="PES208" s="133"/>
      <c r="PET208" s="133"/>
      <c r="PEU208" s="133"/>
      <c r="PEV208" s="133"/>
      <c r="PEW208" s="133"/>
      <c r="PEX208" s="133"/>
      <c r="PEY208" s="133"/>
      <c r="PEZ208" s="133"/>
      <c r="PFA208" s="133"/>
      <c r="PFB208" s="133"/>
      <c r="PFC208" s="133"/>
      <c r="PFD208" s="133"/>
      <c r="PFE208" s="133"/>
      <c r="PFF208" s="133"/>
      <c r="PFG208" s="133"/>
      <c r="PFH208" s="133"/>
      <c r="PFI208" s="133"/>
      <c r="PFJ208" s="133"/>
      <c r="PFK208" s="133"/>
      <c r="PFL208" s="133"/>
      <c r="PFM208" s="133"/>
      <c r="PFN208" s="133"/>
      <c r="PFO208" s="133"/>
      <c r="PFP208" s="133"/>
      <c r="PFQ208" s="133"/>
      <c r="PFR208" s="133"/>
      <c r="PFS208" s="133"/>
      <c r="PFT208" s="133"/>
      <c r="PFU208" s="133"/>
      <c r="PFV208" s="133"/>
      <c r="PFW208" s="133"/>
      <c r="PFX208" s="133"/>
      <c r="PFY208" s="133"/>
      <c r="PFZ208" s="133"/>
      <c r="PGA208" s="133"/>
      <c r="PGB208" s="133"/>
      <c r="PGC208" s="133"/>
      <c r="PGD208" s="133"/>
      <c r="PGE208" s="133"/>
      <c r="PGF208" s="133"/>
      <c r="PGG208" s="133"/>
      <c r="PGH208" s="133"/>
      <c r="PGI208" s="133"/>
      <c r="PGJ208" s="133"/>
      <c r="PGK208" s="133"/>
      <c r="PGL208" s="133"/>
      <c r="PGM208" s="133"/>
      <c r="PGN208" s="133"/>
      <c r="PGO208" s="133"/>
      <c r="PGP208" s="133"/>
      <c r="PGQ208" s="133"/>
      <c r="PGR208" s="133"/>
      <c r="PGS208" s="133"/>
      <c r="PGT208" s="133"/>
      <c r="PGU208" s="133"/>
      <c r="PGV208" s="133"/>
      <c r="PGW208" s="133"/>
      <c r="PGX208" s="133"/>
      <c r="PGY208" s="133"/>
      <c r="PGZ208" s="133"/>
      <c r="PHA208" s="133"/>
      <c r="PHB208" s="133"/>
      <c r="PHC208" s="133"/>
      <c r="PHD208" s="133"/>
      <c r="PHE208" s="133"/>
      <c r="PHF208" s="133"/>
      <c r="PHG208" s="133"/>
      <c r="PHH208" s="133"/>
      <c r="PHI208" s="133"/>
      <c r="PHJ208" s="133"/>
      <c r="PHK208" s="133"/>
      <c r="PHL208" s="133"/>
      <c r="PHM208" s="133"/>
      <c r="PHN208" s="133"/>
      <c r="PHO208" s="133"/>
      <c r="PHP208" s="133"/>
      <c r="PHQ208" s="133"/>
      <c r="PHR208" s="133"/>
      <c r="PHS208" s="133"/>
      <c r="PHT208" s="133"/>
      <c r="PHU208" s="133"/>
      <c r="PHV208" s="133"/>
      <c r="PHW208" s="133"/>
      <c r="PHX208" s="133"/>
      <c r="PHY208" s="133"/>
      <c r="PHZ208" s="133"/>
      <c r="PIA208" s="133"/>
      <c r="PIB208" s="133"/>
      <c r="PIC208" s="133"/>
      <c r="PID208" s="133"/>
      <c r="PIE208" s="133"/>
      <c r="PIF208" s="133"/>
      <c r="PIG208" s="133"/>
      <c r="PIH208" s="133"/>
      <c r="PII208" s="133"/>
      <c r="PIJ208" s="133"/>
      <c r="PIK208" s="133"/>
      <c r="PIL208" s="133"/>
      <c r="PIM208" s="133"/>
      <c r="PIN208" s="133"/>
      <c r="PIO208" s="133"/>
      <c r="PIP208" s="133"/>
      <c r="PIQ208" s="133"/>
      <c r="PIR208" s="133"/>
      <c r="PIS208" s="133"/>
      <c r="PIT208" s="133"/>
      <c r="PIU208" s="133"/>
      <c r="PIV208" s="133"/>
      <c r="PIW208" s="133"/>
      <c r="PIX208" s="133"/>
      <c r="PIY208" s="133"/>
      <c r="PIZ208" s="133"/>
      <c r="PJA208" s="133"/>
      <c r="PJB208" s="133"/>
      <c r="PJC208" s="133"/>
      <c r="PJD208" s="133"/>
      <c r="PJE208" s="133"/>
      <c r="PJF208" s="133"/>
      <c r="PJG208" s="133"/>
      <c r="PJH208" s="133"/>
      <c r="PJI208" s="133"/>
      <c r="PJJ208" s="133"/>
      <c r="PJK208" s="133"/>
      <c r="PJL208" s="133"/>
      <c r="PJM208" s="133"/>
      <c r="PJN208" s="133"/>
      <c r="PJO208" s="133"/>
      <c r="PJP208" s="133"/>
      <c r="PJQ208" s="133"/>
      <c r="PJR208" s="133"/>
      <c r="PJS208" s="133"/>
      <c r="PJT208" s="133"/>
      <c r="PJU208" s="133"/>
      <c r="PJV208" s="133"/>
      <c r="PJW208" s="133"/>
      <c r="PJX208" s="133"/>
      <c r="PJY208" s="133"/>
      <c r="PJZ208" s="133"/>
      <c r="PKA208" s="133"/>
      <c r="PKB208" s="133"/>
      <c r="PKC208" s="133"/>
      <c r="PKD208" s="133"/>
      <c r="PKE208" s="133"/>
      <c r="PKF208" s="133"/>
      <c r="PKG208" s="133"/>
      <c r="PKH208" s="133"/>
      <c r="PKI208" s="133"/>
      <c r="PKJ208" s="133"/>
      <c r="PKK208" s="133"/>
      <c r="PKL208" s="133"/>
      <c r="PKM208" s="133"/>
      <c r="PKN208" s="133"/>
      <c r="PKO208" s="133"/>
      <c r="PKP208" s="133"/>
      <c r="PKQ208" s="133"/>
      <c r="PKR208" s="133"/>
      <c r="PKS208" s="133"/>
      <c r="PKT208" s="133"/>
      <c r="PKU208" s="133"/>
      <c r="PKV208" s="133"/>
      <c r="PKW208" s="133"/>
      <c r="PKX208" s="133"/>
      <c r="PKY208" s="133"/>
      <c r="PKZ208" s="133"/>
      <c r="PLA208" s="133"/>
      <c r="PLB208" s="133"/>
      <c r="PLC208" s="133"/>
      <c r="PLD208" s="133"/>
      <c r="PLE208" s="133"/>
      <c r="PLF208" s="133"/>
      <c r="PLG208" s="133"/>
      <c r="PLH208" s="133"/>
      <c r="PLI208" s="133"/>
      <c r="PLJ208" s="133"/>
      <c r="PLK208" s="133"/>
      <c r="PLL208" s="133"/>
      <c r="PLM208" s="133"/>
      <c r="PLN208" s="133"/>
      <c r="PLO208" s="133"/>
      <c r="PLP208" s="133"/>
      <c r="PLQ208" s="133"/>
      <c r="PLR208" s="133"/>
      <c r="PLS208" s="133"/>
      <c r="PLT208" s="133"/>
      <c r="PLU208" s="133"/>
      <c r="PLV208" s="133"/>
      <c r="PLW208" s="133"/>
      <c r="PLX208" s="133"/>
      <c r="PLY208" s="133"/>
      <c r="PLZ208" s="133"/>
      <c r="PMA208" s="133"/>
      <c r="PMB208" s="133"/>
      <c r="PMC208" s="133"/>
      <c r="PMD208" s="133"/>
      <c r="PME208" s="133"/>
      <c r="PMF208" s="133"/>
      <c r="PMG208" s="133"/>
      <c r="PMH208" s="133"/>
      <c r="PMI208" s="133"/>
      <c r="PMJ208" s="133"/>
      <c r="PMK208" s="133"/>
      <c r="PML208" s="133"/>
      <c r="PMM208" s="133"/>
      <c r="PMN208" s="133"/>
      <c r="PMO208" s="133"/>
      <c r="PMP208" s="133"/>
      <c r="PMQ208" s="133"/>
      <c r="PMR208" s="133"/>
      <c r="PMS208" s="133"/>
      <c r="PMT208" s="133"/>
      <c r="PMU208" s="133"/>
      <c r="PMV208" s="133"/>
      <c r="PMW208" s="133"/>
      <c r="PMX208" s="133"/>
      <c r="PMY208" s="133"/>
      <c r="PMZ208" s="133"/>
      <c r="PNA208" s="133"/>
      <c r="PNB208" s="133"/>
      <c r="PNC208" s="133"/>
      <c r="PND208" s="133"/>
      <c r="PNE208" s="133"/>
      <c r="PNF208" s="133"/>
      <c r="PNG208" s="133"/>
      <c r="PNH208" s="133"/>
      <c r="PNI208" s="133"/>
      <c r="PNJ208" s="133"/>
      <c r="PNK208" s="133"/>
      <c r="PNL208" s="133"/>
      <c r="PNM208" s="133"/>
      <c r="PNN208" s="133"/>
      <c r="PNO208" s="133"/>
      <c r="PNP208" s="133"/>
      <c r="PNQ208" s="133"/>
      <c r="PNR208" s="133"/>
      <c r="PNS208" s="133"/>
      <c r="PNT208" s="133"/>
      <c r="PNU208" s="133"/>
      <c r="PNV208" s="133"/>
      <c r="PNW208" s="133"/>
      <c r="PNX208" s="133"/>
      <c r="PNY208" s="133"/>
      <c r="PNZ208" s="133"/>
      <c r="POA208" s="133"/>
      <c r="POB208" s="133"/>
      <c r="POC208" s="133"/>
      <c r="POD208" s="133"/>
      <c r="POE208" s="133"/>
      <c r="POF208" s="133"/>
      <c r="POG208" s="133"/>
      <c r="POH208" s="133"/>
      <c r="POI208" s="133"/>
      <c r="POJ208" s="133"/>
      <c r="POK208" s="133"/>
      <c r="POL208" s="133"/>
      <c r="POM208" s="133"/>
      <c r="PON208" s="133"/>
      <c r="POO208" s="133"/>
      <c r="POP208" s="133"/>
      <c r="POQ208" s="133"/>
      <c r="POR208" s="133"/>
      <c r="POS208" s="133"/>
      <c r="POT208" s="133"/>
      <c r="POU208" s="133"/>
      <c r="POV208" s="133"/>
      <c r="POW208" s="133"/>
      <c r="POX208" s="133"/>
      <c r="POY208" s="133"/>
      <c r="POZ208" s="133"/>
      <c r="PPA208" s="133"/>
      <c r="PPB208" s="133"/>
      <c r="PPC208" s="133"/>
      <c r="PPD208" s="133"/>
      <c r="PPE208" s="133"/>
      <c r="PPF208" s="133"/>
      <c r="PPG208" s="133"/>
      <c r="PPH208" s="133"/>
      <c r="PPI208" s="133"/>
      <c r="PPJ208" s="133"/>
      <c r="PPK208" s="133"/>
      <c r="PPL208" s="133"/>
      <c r="PPM208" s="133"/>
      <c r="PPN208" s="133"/>
      <c r="PPO208" s="133"/>
      <c r="PPP208" s="133"/>
      <c r="PPQ208" s="133"/>
      <c r="PPR208" s="133"/>
      <c r="PPS208" s="133"/>
      <c r="PPT208" s="133"/>
      <c r="PPU208" s="133"/>
      <c r="PPV208" s="133"/>
      <c r="PPW208" s="133"/>
      <c r="PPX208" s="133"/>
      <c r="PPY208" s="133"/>
      <c r="PPZ208" s="133"/>
      <c r="PQA208" s="133"/>
      <c r="PQB208" s="133"/>
      <c r="PQC208" s="133"/>
      <c r="PQD208" s="133"/>
      <c r="PQE208" s="133"/>
      <c r="PQF208" s="133"/>
      <c r="PQG208" s="133"/>
      <c r="PQH208" s="133"/>
      <c r="PQI208" s="133"/>
      <c r="PQJ208" s="133"/>
      <c r="PQK208" s="133"/>
      <c r="PQL208" s="133"/>
      <c r="PQM208" s="133"/>
      <c r="PQN208" s="133"/>
      <c r="PQO208" s="133"/>
      <c r="PQP208" s="133"/>
      <c r="PQQ208" s="133"/>
      <c r="PQR208" s="133"/>
      <c r="PQS208" s="133"/>
      <c r="PQT208" s="133"/>
      <c r="PQU208" s="133"/>
      <c r="PQV208" s="133"/>
      <c r="PQW208" s="133"/>
      <c r="PQX208" s="133"/>
      <c r="PQY208" s="133"/>
      <c r="PQZ208" s="133"/>
      <c r="PRA208" s="133"/>
      <c r="PRB208" s="133"/>
      <c r="PRC208" s="133"/>
      <c r="PRD208" s="133"/>
      <c r="PRE208" s="133"/>
      <c r="PRF208" s="133"/>
      <c r="PRG208" s="133"/>
      <c r="PRH208" s="133"/>
      <c r="PRI208" s="133"/>
      <c r="PRJ208" s="133"/>
      <c r="PRK208" s="133"/>
      <c r="PRL208" s="133"/>
      <c r="PRM208" s="133"/>
      <c r="PRN208" s="133"/>
      <c r="PRO208" s="133"/>
      <c r="PRP208" s="133"/>
      <c r="PRQ208" s="133"/>
      <c r="PRR208" s="133"/>
      <c r="PRS208" s="133"/>
      <c r="PRT208" s="133"/>
      <c r="PRU208" s="133"/>
      <c r="PRV208" s="133"/>
      <c r="PRW208" s="133"/>
      <c r="PRX208" s="133"/>
      <c r="PRY208" s="133"/>
      <c r="PRZ208" s="133"/>
      <c r="PSA208" s="133"/>
      <c r="PSB208" s="133"/>
      <c r="PSC208" s="133"/>
      <c r="PSD208" s="133"/>
      <c r="PSE208" s="133"/>
      <c r="PSF208" s="133"/>
      <c r="PSG208" s="133"/>
      <c r="PSH208" s="133"/>
      <c r="PSI208" s="133"/>
      <c r="PSJ208" s="133"/>
      <c r="PSK208" s="133"/>
      <c r="PSL208" s="133"/>
      <c r="PSM208" s="133"/>
      <c r="PSN208" s="133"/>
      <c r="PSO208" s="133"/>
      <c r="PSP208" s="133"/>
      <c r="PSQ208" s="133"/>
      <c r="PSR208" s="133"/>
      <c r="PSS208" s="133"/>
      <c r="PST208" s="133"/>
      <c r="PSU208" s="133"/>
      <c r="PSV208" s="133"/>
      <c r="PSW208" s="133"/>
      <c r="PSX208" s="133"/>
      <c r="PSY208" s="133"/>
      <c r="PSZ208" s="133"/>
      <c r="PTA208" s="133"/>
      <c r="PTB208" s="133"/>
      <c r="PTC208" s="133"/>
      <c r="PTD208" s="133"/>
      <c r="PTE208" s="133"/>
      <c r="PTF208" s="133"/>
      <c r="PTG208" s="133"/>
      <c r="PTH208" s="133"/>
      <c r="PTI208" s="133"/>
      <c r="PTJ208" s="133"/>
      <c r="PTK208" s="133"/>
      <c r="PTL208" s="133"/>
      <c r="PTM208" s="133"/>
      <c r="PTN208" s="133"/>
      <c r="PTO208" s="133"/>
      <c r="PTP208" s="133"/>
      <c r="PTQ208" s="133"/>
      <c r="PTR208" s="133"/>
      <c r="PTS208" s="133"/>
      <c r="PTT208" s="133"/>
      <c r="PTU208" s="133"/>
      <c r="PTV208" s="133"/>
      <c r="PTW208" s="133"/>
      <c r="PTX208" s="133"/>
      <c r="PTY208" s="133"/>
      <c r="PTZ208" s="133"/>
      <c r="PUA208" s="133"/>
      <c r="PUB208" s="133"/>
      <c r="PUC208" s="133"/>
      <c r="PUD208" s="133"/>
      <c r="PUE208" s="133"/>
      <c r="PUF208" s="133"/>
      <c r="PUG208" s="133"/>
      <c r="PUH208" s="133"/>
      <c r="PUI208" s="133"/>
      <c r="PUJ208" s="133"/>
      <c r="PUK208" s="133"/>
      <c r="PUL208" s="133"/>
      <c r="PUM208" s="133"/>
      <c r="PUN208" s="133"/>
      <c r="PUO208" s="133"/>
      <c r="PUP208" s="133"/>
      <c r="PUQ208" s="133"/>
      <c r="PUR208" s="133"/>
      <c r="PUS208" s="133"/>
      <c r="PUT208" s="133"/>
      <c r="PUU208" s="133"/>
      <c r="PUV208" s="133"/>
      <c r="PUW208" s="133"/>
      <c r="PUX208" s="133"/>
      <c r="PUY208" s="133"/>
      <c r="PUZ208" s="133"/>
      <c r="PVA208" s="133"/>
      <c r="PVB208" s="133"/>
      <c r="PVC208" s="133"/>
      <c r="PVD208" s="133"/>
      <c r="PVE208" s="133"/>
      <c r="PVF208" s="133"/>
      <c r="PVG208" s="133"/>
      <c r="PVH208" s="133"/>
      <c r="PVI208" s="133"/>
      <c r="PVJ208" s="133"/>
      <c r="PVK208" s="133"/>
      <c r="PVL208" s="133"/>
      <c r="PVM208" s="133"/>
      <c r="PVN208" s="133"/>
      <c r="PVO208" s="133"/>
      <c r="PVP208" s="133"/>
      <c r="PVQ208" s="133"/>
      <c r="PVR208" s="133"/>
      <c r="PVS208" s="133"/>
      <c r="PVT208" s="133"/>
      <c r="PVU208" s="133"/>
      <c r="PVV208" s="133"/>
      <c r="PVW208" s="133"/>
      <c r="PVX208" s="133"/>
      <c r="PVY208" s="133"/>
      <c r="PVZ208" s="133"/>
      <c r="PWA208" s="133"/>
      <c r="PWB208" s="133"/>
      <c r="PWC208" s="133"/>
      <c r="PWD208" s="133"/>
      <c r="PWE208" s="133"/>
      <c r="PWF208" s="133"/>
      <c r="PWG208" s="133"/>
      <c r="PWH208" s="133"/>
      <c r="PWI208" s="133"/>
      <c r="PWJ208" s="133"/>
      <c r="PWK208" s="133"/>
      <c r="PWL208" s="133"/>
      <c r="PWM208" s="133"/>
      <c r="PWN208" s="133"/>
      <c r="PWO208" s="133"/>
      <c r="PWP208" s="133"/>
      <c r="PWQ208" s="133"/>
      <c r="PWR208" s="133"/>
      <c r="PWS208" s="133"/>
      <c r="PWT208" s="133"/>
      <c r="PWU208" s="133"/>
      <c r="PWV208" s="133"/>
      <c r="PWW208" s="133"/>
      <c r="PWX208" s="133"/>
      <c r="PWY208" s="133"/>
      <c r="PWZ208" s="133"/>
      <c r="PXA208" s="133"/>
      <c r="PXB208" s="133"/>
      <c r="PXC208" s="133"/>
      <c r="PXD208" s="133"/>
      <c r="PXE208" s="133"/>
      <c r="PXF208" s="133"/>
      <c r="PXG208" s="133"/>
      <c r="PXH208" s="133"/>
      <c r="PXI208" s="133"/>
      <c r="PXJ208" s="133"/>
      <c r="PXK208" s="133"/>
      <c r="PXL208" s="133"/>
      <c r="PXM208" s="133"/>
      <c r="PXN208" s="133"/>
      <c r="PXO208" s="133"/>
      <c r="PXP208" s="133"/>
      <c r="PXQ208" s="133"/>
      <c r="PXR208" s="133"/>
      <c r="PXS208" s="133"/>
      <c r="PXT208" s="133"/>
      <c r="PXU208" s="133"/>
      <c r="PXV208" s="133"/>
      <c r="PXW208" s="133"/>
      <c r="PXX208" s="133"/>
      <c r="PXY208" s="133"/>
      <c r="PXZ208" s="133"/>
      <c r="PYA208" s="133"/>
      <c r="PYB208" s="133"/>
      <c r="PYC208" s="133"/>
      <c r="PYD208" s="133"/>
      <c r="PYE208" s="133"/>
      <c r="PYF208" s="133"/>
      <c r="PYG208" s="133"/>
      <c r="PYH208" s="133"/>
      <c r="PYI208" s="133"/>
      <c r="PYJ208" s="133"/>
      <c r="PYK208" s="133"/>
      <c r="PYL208" s="133"/>
      <c r="PYM208" s="133"/>
      <c r="PYN208" s="133"/>
      <c r="PYO208" s="133"/>
      <c r="PYP208" s="133"/>
      <c r="PYQ208" s="133"/>
      <c r="PYR208" s="133"/>
      <c r="PYS208" s="133"/>
      <c r="PYT208" s="133"/>
      <c r="PYU208" s="133"/>
      <c r="PYV208" s="133"/>
      <c r="PYW208" s="133"/>
      <c r="PYX208" s="133"/>
      <c r="PYY208" s="133"/>
      <c r="PYZ208" s="133"/>
      <c r="PZA208" s="133"/>
      <c r="PZB208" s="133"/>
      <c r="PZC208" s="133"/>
      <c r="PZD208" s="133"/>
      <c r="PZE208" s="133"/>
      <c r="PZF208" s="133"/>
      <c r="PZG208" s="133"/>
      <c r="PZH208" s="133"/>
      <c r="PZI208" s="133"/>
      <c r="PZJ208" s="133"/>
      <c r="PZK208" s="133"/>
      <c r="PZL208" s="133"/>
      <c r="PZM208" s="133"/>
      <c r="PZN208" s="133"/>
      <c r="PZO208" s="133"/>
      <c r="PZP208" s="133"/>
      <c r="PZQ208" s="133"/>
      <c r="PZR208" s="133"/>
      <c r="PZS208" s="133"/>
      <c r="PZT208" s="133"/>
      <c r="PZU208" s="133"/>
      <c r="PZV208" s="133"/>
      <c r="PZW208" s="133"/>
      <c r="PZX208" s="133"/>
      <c r="PZY208" s="133"/>
      <c r="PZZ208" s="133"/>
      <c r="QAA208" s="133"/>
      <c r="QAB208" s="133"/>
      <c r="QAC208" s="133"/>
      <c r="QAD208" s="133"/>
      <c r="QAE208" s="133"/>
      <c r="QAF208" s="133"/>
      <c r="QAG208" s="133"/>
      <c r="QAH208" s="133"/>
      <c r="QAI208" s="133"/>
      <c r="QAJ208" s="133"/>
      <c r="QAK208" s="133"/>
      <c r="QAL208" s="133"/>
      <c r="QAM208" s="133"/>
      <c r="QAN208" s="133"/>
      <c r="QAO208" s="133"/>
      <c r="QAP208" s="133"/>
      <c r="QAQ208" s="133"/>
      <c r="QAR208" s="133"/>
      <c r="QAS208" s="133"/>
      <c r="QAT208" s="133"/>
      <c r="QAU208" s="133"/>
      <c r="QAV208" s="133"/>
      <c r="QAW208" s="133"/>
      <c r="QAX208" s="133"/>
      <c r="QAY208" s="133"/>
      <c r="QAZ208" s="133"/>
      <c r="QBA208" s="133"/>
      <c r="QBB208" s="133"/>
      <c r="QBC208" s="133"/>
      <c r="QBD208" s="133"/>
      <c r="QBE208" s="133"/>
      <c r="QBF208" s="133"/>
      <c r="QBG208" s="133"/>
      <c r="QBH208" s="133"/>
      <c r="QBI208" s="133"/>
      <c r="QBJ208" s="133"/>
      <c r="QBK208" s="133"/>
      <c r="QBL208" s="133"/>
      <c r="QBM208" s="133"/>
      <c r="QBN208" s="133"/>
      <c r="QBO208" s="133"/>
      <c r="QBP208" s="133"/>
      <c r="QBQ208" s="133"/>
      <c r="QBR208" s="133"/>
      <c r="QBS208" s="133"/>
      <c r="QBT208" s="133"/>
      <c r="QBU208" s="133"/>
      <c r="QBV208" s="133"/>
      <c r="QBW208" s="133"/>
      <c r="QBX208" s="133"/>
      <c r="QBY208" s="133"/>
      <c r="QBZ208" s="133"/>
      <c r="QCA208" s="133"/>
      <c r="QCB208" s="133"/>
      <c r="QCC208" s="133"/>
      <c r="QCD208" s="133"/>
      <c r="QCE208" s="133"/>
      <c r="QCF208" s="133"/>
      <c r="QCG208" s="133"/>
      <c r="QCH208" s="133"/>
      <c r="QCI208" s="133"/>
      <c r="QCJ208" s="133"/>
      <c r="QCK208" s="133"/>
      <c r="QCL208" s="133"/>
      <c r="QCM208" s="133"/>
      <c r="QCN208" s="133"/>
      <c r="QCO208" s="133"/>
      <c r="QCP208" s="133"/>
      <c r="QCQ208" s="133"/>
      <c r="QCR208" s="133"/>
      <c r="QCS208" s="133"/>
      <c r="QCT208" s="133"/>
      <c r="QCU208" s="133"/>
      <c r="QCV208" s="133"/>
      <c r="QCW208" s="133"/>
      <c r="QCX208" s="133"/>
      <c r="QCY208" s="133"/>
      <c r="QCZ208" s="133"/>
      <c r="QDA208" s="133"/>
      <c r="QDB208" s="133"/>
      <c r="QDC208" s="133"/>
      <c r="QDD208" s="133"/>
      <c r="QDE208" s="133"/>
      <c r="QDF208" s="133"/>
      <c r="QDG208" s="133"/>
      <c r="QDH208" s="133"/>
      <c r="QDI208" s="133"/>
      <c r="QDJ208" s="133"/>
      <c r="QDK208" s="133"/>
      <c r="QDL208" s="133"/>
      <c r="QDM208" s="133"/>
      <c r="QDN208" s="133"/>
      <c r="QDO208" s="133"/>
      <c r="QDP208" s="133"/>
      <c r="QDQ208" s="133"/>
      <c r="QDR208" s="133"/>
      <c r="QDS208" s="133"/>
      <c r="QDT208" s="133"/>
      <c r="QDU208" s="133"/>
      <c r="QDV208" s="133"/>
      <c r="QDW208" s="133"/>
      <c r="QDX208" s="133"/>
      <c r="QDY208" s="133"/>
      <c r="QDZ208" s="133"/>
      <c r="QEA208" s="133"/>
      <c r="QEB208" s="133"/>
      <c r="QEC208" s="133"/>
      <c r="QED208" s="133"/>
      <c r="QEE208" s="133"/>
      <c r="QEF208" s="133"/>
      <c r="QEG208" s="133"/>
      <c r="QEH208" s="133"/>
      <c r="QEI208" s="133"/>
      <c r="QEJ208" s="133"/>
      <c r="QEK208" s="133"/>
      <c r="QEL208" s="133"/>
      <c r="QEM208" s="133"/>
      <c r="QEN208" s="133"/>
      <c r="QEO208" s="133"/>
      <c r="QEP208" s="133"/>
      <c r="QEQ208" s="133"/>
      <c r="QER208" s="133"/>
      <c r="QES208" s="133"/>
      <c r="QET208" s="133"/>
      <c r="QEU208" s="133"/>
      <c r="QEV208" s="133"/>
      <c r="QEW208" s="133"/>
      <c r="QEX208" s="133"/>
      <c r="QEY208" s="133"/>
      <c r="QEZ208" s="133"/>
      <c r="QFA208" s="133"/>
      <c r="QFB208" s="133"/>
      <c r="QFC208" s="133"/>
      <c r="QFD208" s="133"/>
      <c r="QFE208" s="133"/>
      <c r="QFF208" s="133"/>
      <c r="QFG208" s="133"/>
      <c r="QFH208" s="133"/>
      <c r="QFI208" s="133"/>
      <c r="QFJ208" s="133"/>
      <c r="QFK208" s="133"/>
      <c r="QFL208" s="133"/>
      <c r="QFM208" s="133"/>
      <c r="QFN208" s="133"/>
      <c r="QFO208" s="133"/>
      <c r="QFP208" s="133"/>
      <c r="QFQ208" s="133"/>
      <c r="QFR208" s="133"/>
      <c r="QFS208" s="133"/>
      <c r="QFT208" s="133"/>
      <c r="QFU208" s="133"/>
      <c r="QFV208" s="133"/>
      <c r="QFW208" s="133"/>
      <c r="QFX208" s="133"/>
      <c r="QFY208" s="133"/>
      <c r="QFZ208" s="133"/>
      <c r="QGA208" s="133"/>
      <c r="QGB208" s="133"/>
      <c r="QGC208" s="133"/>
      <c r="QGD208" s="133"/>
      <c r="QGE208" s="133"/>
      <c r="QGF208" s="133"/>
      <c r="QGG208" s="133"/>
      <c r="QGH208" s="133"/>
      <c r="QGI208" s="133"/>
      <c r="QGJ208" s="133"/>
      <c r="QGK208" s="133"/>
      <c r="QGL208" s="133"/>
      <c r="QGM208" s="133"/>
      <c r="QGN208" s="133"/>
      <c r="QGO208" s="133"/>
      <c r="QGP208" s="133"/>
      <c r="QGQ208" s="133"/>
      <c r="QGR208" s="133"/>
      <c r="QGS208" s="133"/>
      <c r="QGT208" s="133"/>
      <c r="QGU208" s="133"/>
      <c r="QGV208" s="133"/>
      <c r="QGW208" s="133"/>
      <c r="QGX208" s="133"/>
      <c r="QGY208" s="133"/>
      <c r="QGZ208" s="133"/>
      <c r="QHA208" s="133"/>
      <c r="QHB208" s="133"/>
      <c r="QHC208" s="133"/>
      <c r="QHD208" s="133"/>
      <c r="QHE208" s="133"/>
      <c r="QHF208" s="133"/>
      <c r="QHG208" s="133"/>
      <c r="QHH208" s="133"/>
      <c r="QHI208" s="133"/>
      <c r="QHJ208" s="133"/>
      <c r="QHK208" s="133"/>
      <c r="QHL208" s="133"/>
      <c r="QHM208" s="133"/>
      <c r="QHN208" s="133"/>
      <c r="QHO208" s="133"/>
      <c r="QHP208" s="133"/>
      <c r="QHQ208" s="133"/>
      <c r="QHR208" s="133"/>
      <c r="QHS208" s="133"/>
      <c r="QHT208" s="133"/>
      <c r="QHU208" s="133"/>
      <c r="QHV208" s="133"/>
      <c r="QHW208" s="133"/>
      <c r="QHX208" s="133"/>
      <c r="QHY208" s="133"/>
      <c r="QHZ208" s="133"/>
      <c r="QIA208" s="133"/>
      <c r="QIB208" s="133"/>
      <c r="QIC208" s="133"/>
      <c r="QID208" s="133"/>
      <c r="QIE208" s="133"/>
      <c r="QIF208" s="133"/>
      <c r="QIG208" s="133"/>
      <c r="QIH208" s="133"/>
      <c r="QII208" s="133"/>
      <c r="QIJ208" s="133"/>
      <c r="QIK208" s="133"/>
      <c r="QIL208" s="133"/>
      <c r="QIM208" s="133"/>
      <c r="QIN208" s="133"/>
      <c r="QIO208" s="133"/>
      <c r="QIP208" s="133"/>
      <c r="QIQ208" s="133"/>
      <c r="QIR208" s="133"/>
      <c r="QIS208" s="133"/>
      <c r="QIT208" s="133"/>
      <c r="QIU208" s="133"/>
      <c r="QIV208" s="133"/>
      <c r="QIW208" s="133"/>
      <c r="QIX208" s="133"/>
      <c r="QIY208" s="133"/>
      <c r="QIZ208" s="133"/>
      <c r="QJA208" s="133"/>
      <c r="QJB208" s="133"/>
      <c r="QJC208" s="133"/>
      <c r="QJD208" s="133"/>
      <c r="QJE208" s="133"/>
      <c r="QJF208" s="133"/>
      <c r="QJG208" s="133"/>
      <c r="QJH208" s="133"/>
      <c r="QJI208" s="133"/>
      <c r="QJJ208" s="133"/>
      <c r="QJK208" s="133"/>
      <c r="QJL208" s="133"/>
      <c r="QJM208" s="133"/>
      <c r="QJN208" s="133"/>
      <c r="QJO208" s="133"/>
      <c r="QJP208" s="133"/>
      <c r="QJQ208" s="133"/>
      <c r="QJR208" s="133"/>
      <c r="QJS208" s="133"/>
      <c r="QJT208" s="133"/>
      <c r="QJU208" s="133"/>
      <c r="QJV208" s="133"/>
      <c r="QJW208" s="133"/>
      <c r="QJX208" s="133"/>
      <c r="QJY208" s="133"/>
      <c r="QJZ208" s="133"/>
      <c r="QKA208" s="133"/>
      <c r="QKB208" s="133"/>
      <c r="QKC208" s="133"/>
      <c r="QKD208" s="133"/>
      <c r="QKE208" s="133"/>
      <c r="QKF208" s="133"/>
      <c r="QKG208" s="133"/>
      <c r="QKH208" s="133"/>
      <c r="QKI208" s="133"/>
      <c r="QKJ208" s="133"/>
      <c r="QKK208" s="133"/>
      <c r="QKL208" s="133"/>
      <c r="QKM208" s="133"/>
      <c r="QKN208" s="133"/>
      <c r="QKO208" s="133"/>
      <c r="QKP208" s="133"/>
      <c r="QKQ208" s="133"/>
      <c r="QKR208" s="133"/>
      <c r="QKS208" s="133"/>
      <c r="QKT208" s="133"/>
      <c r="QKU208" s="133"/>
      <c r="QKV208" s="133"/>
      <c r="QKW208" s="133"/>
      <c r="QKX208" s="133"/>
      <c r="QKY208" s="133"/>
      <c r="QKZ208" s="133"/>
      <c r="QLA208" s="133"/>
      <c r="QLB208" s="133"/>
      <c r="QLC208" s="133"/>
      <c r="QLD208" s="133"/>
      <c r="QLE208" s="133"/>
      <c r="QLF208" s="133"/>
      <c r="QLG208" s="133"/>
      <c r="QLH208" s="133"/>
      <c r="QLI208" s="133"/>
      <c r="QLJ208" s="133"/>
      <c r="QLK208" s="133"/>
      <c r="QLL208" s="133"/>
      <c r="QLM208" s="133"/>
      <c r="QLN208" s="133"/>
      <c r="QLO208" s="133"/>
      <c r="QLP208" s="133"/>
      <c r="QLQ208" s="133"/>
      <c r="QLR208" s="133"/>
      <c r="QLS208" s="133"/>
      <c r="QLT208" s="133"/>
      <c r="QLU208" s="133"/>
      <c r="QLV208" s="133"/>
      <c r="QLW208" s="133"/>
      <c r="QLX208" s="133"/>
      <c r="QLY208" s="133"/>
      <c r="QLZ208" s="133"/>
      <c r="QMA208" s="133"/>
      <c r="QMB208" s="133"/>
      <c r="QMC208" s="133"/>
      <c r="QMD208" s="133"/>
      <c r="QME208" s="133"/>
      <c r="QMF208" s="133"/>
      <c r="QMG208" s="133"/>
      <c r="QMH208" s="133"/>
      <c r="QMI208" s="133"/>
      <c r="QMJ208" s="133"/>
      <c r="QMK208" s="133"/>
      <c r="QML208" s="133"/>
      <c r="QMM208" s="133"/>
      <c r="QMN208" s="133"/>
      <c r="QMO208" s="133"/>
      <c r="QMP208" s="133"/>
      <c r="QMQ208" s="133"/>
      <c r="QMR208" s="133"/>
      <c r="QMS208" s="133"/>
      <c r="QMT208" s="133"/>
      <c r="QMU208" s="133"/>
      <c r="QMV208" s="133"/>
      <c r="QMW208" s="133"/>
      <c r="QMX208" s="133"/>
      <c r="QMY208" s="133"/>
      <c r="QMZ208" s="133"/>
      <c r="QNA208" s="133"/>
      <c r="QNB208" s="133"/>
      <c r="QNC208" s="133"/>
      <c r="QND208" s="133"/>
      <c r="QNE208" s="133"/>
      <c r="QNF208" s="133"/>
      <c r="QNG208" s="133"/>
      <c r="QNH208" s="133"/>
      <c r="QNI208" s="133"/>
      <c r="QNJ208" s="133"/>
      <c r="QNK208" s="133"/>
      <c r="QNL208" s="133"/>
      <c r="QNM208" s="133"/>
      <c r="QNN208" s="133"/>
      <c r="QNO208" s="133"/>
      <c r="QNP208" s="133"/>
      <c r="QNQ208" s="133"/>
      <c r="QNR208" s="133"/>
      <c r="QNS208" s="133"/>
      <c r="QNT208" s="133"/>
      <c r="QNU208" s="133"/>
      <c r="QNV208" s="133"/>
      <c r="QNW208" s="133"/>
      <c r="QNX208" s="133"/>
      <c r="QNY208" s="133"/>
      <c r="QNZ208" s="133"/>
      <c r="QOA208" s="133"/>
      <c r="QOB208" s="133"/>
      <c r="QOC208" s="133"/>
      <c r="QOD208" s="133"/>
      <c r="QOE208" s="133"/>
      <c r="QOF208" s="133"/>
      <c r="QOG208" s="133"/>
      <c r="QOH208" s="133"/>
      <c r="QOI208" s="133"/>
      <c r="QOJ208" s="133"/>
      <c r="QOK208" s="133"/>
      <c r="QOL208" s="133"/>
      <c r="QOM208" s="133"/>
      <c r="QON208" s="133"/>
      <c r="QOO208" s="133"/>
      <c r="QOP208" s="133"/>
      <c r="QOQ208" s="133"/>
      <c r="QOR208" s="133"/>
      <c r="QOS208" s="133"/>
      <c r="QOT208" s="133"/>
      <c r="QOU208" s="133"/>
      <c r="QOV208" s="133"/>
      <c r="QOW208" s="133"/>
      <c r="QOX208" s="133"/>
      <c r="QOY208" s="133"/>
      <c r="QOZ208" s="133"/>
      <c r="QPA208" s="133"/>
      <c r="QPB208" s="133"/>
      <c r="QPC208" s="133"/>
      <c r="QPD208" s="133"/>
      <c r="QPE208" s="133"/>
      <c r="QPF208" s="133"/>
      <c r="QPG208" s="133"/>
      <c r="QPH208" s="133"/>
      <c r="QPI208" s="133"/>
      <c r="QPJ208" s="133"/>
      <c r="QPK208" s="133"/>
      <c r="QPL208" s="133"/>
      <c r="QPM208" s="133"/>
      <c r="QPN208" s="133"/>
      <c r="QPO208" s="133"/>
      <c r="QPP208" s="133"/>
      <c r="QPQ208" s="133"/>
      <c r="QPR208" s="133"/>
      <c r="QPS208" s="133"/>
      <c r="QPT208" s="133"/>
      <c r="QPU208" s="133"/>
      <c r="QPV208" s="133"/>
      <c r="QPW208" s="133"/>
      <c r="QPX208" s="133"/>
      <c r="QPY208" s="133"/>
      <c r="QPZ208" s="133"/>
      <c r="QQA208" s="133"/>
      <c r="QQB208" s="133"/>
      <c r="QQC208" s="133"/>
      <c r="QQD208" s="133"/>
      <c r="QQE208" s="133"/>
      <c r="QQF208" s="133"/>
      <c r="QQG208" s="133"/>
      <c r="QQH208" s="133"/>
      <c r="QQI208" s="133"/>
      <c r="QQJ208" s="133"/>
      <c r="QQK208" s="133"/>
      <c r="QQL208" s="133"/>
      <c r="QQM208" s="133"/>
      <c r="QQN208" s="133"/>
      <c r="QQO208" s="133"/>
      <c r="QQP208" s="133"/>
      <c r="QQQ208" s="133"/>
      <c r="QQR208" s="133"/>
      <c r="QQS208" s="133"/>
      <c r="QQT208" s="133"/>
      <c r="QQU208" s="133"/>
      <c r="QQV208" s="133"/>
      <c r="QQW208" s="133"/>
      <c r="QQX208" s="133"/>
      <c r="QQY208" s="133"/>
      <c r="QQZ208" s="133"/>
      <c r="QRA208" s="133"/>
      <c r="QRB208" s="133"/>
      <c r="QRC208" s="133"/>
      <c r="QRD208" s="133"/>
      <c r="QRE208" s="133"/>
      <c r="QRF208" s="133"/>
      <c r="QRG208" s="133"/>
      <c r="QRH208" s="133"/>
      <c r="QRI208" s="133"/>
      <c r="QRJ208" s="133"/>
      <c r="QRK208" s="133"/>
      <c r="QRL208" s="133"/>
      <c r="QRM208" s="133"/>
      <c r="QRN208" s="133"/>
      <c r="QRO208" s="133"/>
      <c r="QRP208" s="133"/>
      <c r="QRQ208" s="133"/>
      <c r="QRR208" s="133"/>
      <c r="QRS208" s="133"/>
      <c r="QRT208" s="133"/>
      <c r="QRU208" s="133"/>
      <c r="QRV208" s="133"/>
      <c r="QRW208" s="133"/>
      <c r="QRX208" s="133"/>
      <c r="QRY208" s="133"/>
      <c r="QRZ208" s="133"/>
      <c r="QSA208" s="133"/>
      <c r="QSB208" s="133"/>
      <c r="QSC208" s="133"/>
      <c r="QSD208" s="133"/>
      <c r="QSE208" s="133"/>
      <c r="QSF208" s="133"/>
      <c r="QSG208" s="133"/>
      <c r="QSH208" s="133"/>
      <c r="QSI208" s="133"/>
      <c r="QSJ208" s="133"/>
      <c r="QSK208" s="133"/>
      <c r="QSL208" s="133"/>
      <c r="QSM208" s="133"/>
      <c r="QSN208" s="133"/>
      <c r="QSO208" s="133"/>
      <c r="QSP208" s="133"/>
      <c r="QSQ208" s="133"/>
      <c r="QSR208" s="133"/>
      <c r="QSS208" s="133"/>
      <c r="QST208" s="133"/>
      <c r="QSU208" s="133"/>
      <c r="QSV208" s="133"/>
      <c r="QSW208" s="133"/>
      <c r="QSX208" s="133"/>
      <c r="QSY208" s="133"/>
      <c r="QSZ208" s="133"/>
      <c r="QTA208" s="133"/>
      <c r="QTB208" s="133"/>
      <c r="QTC208" s="133"/>
      <c r="QTD208" s="133"/>
      <c r="QTE208" s="133"/>
      <c r="QTF208" s="133"/>
      <c r="QTG208" s="133"/>
      <c r="QTH208" s="133"/>
      <c r="QTI208" s="133"/>
      <c r="QTJ208" s="133"/>
      <c r="QTK208" s="133"/>
      <c r="QTL208" s="133"/>
      <c r="QTM208" s="133"/>
      <c r="QTN208" s="133"/>
      <c r="QTO208" s="133"/>
      <c r="QTP208" s="133"/>
      <c r="QTQ208" s="133"/>
      <c r="QTR208" s="133"/>
      <c r="QTS208" s="133"/>
      <c r="QTT208" s="133"/>
      <c r="QTU208" s="133"/>
      <c r="QTV208" s="133"/>
      <c r="QTW208" s="133"/>
      <c r="QTX208" s="133"/>
      <c r="QTY208" s="133"/>
      <c r="QTZ208" s="133"/>
      <c r="QUA208" s="133"/>
      <c r="QUB208" s="133"/>
      <c r="QUC208" s="133"/>
      <c r="QUD208" s="133"/>
      <c r="QUE208" s="133"/>
      <c r="QUF208" s="133"/>
      <c r="QUG208" s="133"/>
      <c r="QUH208" s="133"/>
      <c r="QUI208" s="133"/>
      <c r="QUJ208" s="133"/>
      <c r="QUK208" s="133"/>
      <c r="QUL208" s="133"/>
      <c r="QUM208" s="133"/>
      <c r="QUN208" s="133"/>
      <c r="QUO208" s="133"/>
      <c r="QUP208" s="133"/>
      <c r="QUQ208" s="133"/>
      <c r="QUR208" s="133"/>
      <c r="QUS208" s="133"/>
      <c r="QUT208" s="133"/>
      <c r="QUU208" s="133"/>
      <c r="QUV208" s="133"/>
      <c r="QUW208" s="133"/>
      <c r="QUX208" s="133"/>
      <c r="QUY208" s="133"/>
      <c r="QUZ208" s="133"/>
      <c r="QVA208" s="133"/>
      <c r="QVB208" s="133"/>
      <c r="QVC208" s="133"/>
      <c r="QVD208" s="133"/>
      <c r="QVE208" s="133"/>
      <c r="QVF208" s="133"/>
      <c r="QVG208" s="133"/>
      <c r="QVH208" s="133"/>
      <c r="QVI208" s="133"/>
      <c r="QVJ208" s="133"/>
      <c r="QVK208" s="133"/>
      <c r="QVL208" s="133"/>
      <c r="QVM208" s="133"/>
      <c r="QVN208" s="133"/>
      <c r="QVO208" s="133"/>
      <c r="QVP208" s="133"/>
      <c r="QVQ208" s="133"/>
      <c r="QVR208" s="133"/>
      <c r="QVS208" s="133"/>
      <c r="QVT208" s="133"/>
      <c r="QVU208" s="133"/>
      <c r="QVV208" s="133"/>
      <c r="QVW208" s="133"/>
      <c r="QVX208" s="133"/>
      <c r="QVY208" s="133"/>
      <c r="QVZ208" s="133"/>
      <c r="QWA208" s="133"/>
      <c r="QWB208" s="133"/>
      <c r="QWC208" s="133"/>
      <c r="QWD208" s="133"/>
      <c r="QWE208" s="133"/>
      <c r="QWF208" s="133"/>
      <c r="QWG208" s="133"/>
      <c r="QWH208" s="133"/>
      <c r="QWI208" s="133"/>
      <c r="QWJ208" s="133"/>
      <c r="QWK208" s="133"/>
      <c r="QWL208" s="133"/>
      <c r="QWM208" s="133"/>
      <c r="QWN208" s="133"/>
      <c r="QWO208" s="133"/>
      <c r="QWP208" s="133"/>
      <c r="QWQ208" s="133"/>
      <c r="QWR208" s="133"/>
      <c r="QWS208" s="133"/>
      <c r="QWT208" s="133"/>
      <c r="QWU208" s="133"/>
      <c r="QWV208" s="133"/>
      <c r="QWW208" s="133"/>
      <c r="QWX208" s="133"/>
      <c r="QWY208" s="133"/>
      <c r="QWZ208" s="133"/>
      <c r="QXA208" s="133"/>
      <c r="QXB208" s="133"/>
      <c r="QXC208" s="133"/>
      <c r="QXD208" s="133"/>
      <c r="QXE208" s="133"/>
      <c r="QXF208" s="133"/>
      <c r="QXG208" s="133"/>
      <c r="QXH208" s="133"/>
      <c r="QXI208" s="133"/>
      <c r="QXJ208" s="133"/>
      <c r="QXK208" s="133"/>
      <c r="QXL208" s="133"/>
      <c r="QXM208" s="133"/>
      <c r="QXN208" s="133"/>
      <c r="QXO208" s="133"/>
      <c r="QXP208" s="133"/>
      <c r="QXQ208" s="133"/>
      <c r="QXR208" s="133"/>
      <c r="QXS208" s="133"/>
      <c r="QXT208" s="133"/>
      <c r="QXU208" s="133"/>
      <c r="QXV208" s="133"/>
      <c r="QXW208" s="133"/>
      <c r="QXX208" s="133"/>
      <c r="QXY208" s="133"/>
      <c r="QXZ208" s="133"/>
      <c r="QYA208" s="133"/>
      <c r="QYB208" s="133"/>
      <c r="QYC208" s="133"/>
      <c r="QYD208" s="133"/>
      <c r="QYE208" s="133"/>
      <c r="QYF208" s="133"/>
      <c r="QYG208" s="133"/>
      <c r="QYH208" s="133"/>
      <c r="QYI208" s="133"/>
      <c r="QYJ208" s="133"/>
      <c r="QYK208" s="133"/>
      <c r="QYL208" s="133"/>
      <c r="QYM208" s="133"/>
      <c r="QYN208" s="133"/>
      <c r="QYO208" s="133"/>
      <c r="QYP208" s="133"/>
      <c r="QYQ208" s="133"/>
      <c r="QYR208" s="133"/>
      <c r="QYS208" s="133"/>
      <c r="QYT208" s="133"/>
      <c r="QYU208" s="133"/>
      <c r="QYV208" s="133"/>
      <c r="QYW208" s="133"/>
      <c r="QYX208" s="133"/>
      <c r="QYY208" s="133"/>
      <c r="QYZ208" s="133"/>
      <c r="QZA208" s="133"/>
      <c r="QZB208" s="133"/>
      <c r="QZC208" s="133"/>
      <c r="QZD208" s="133"/>
      <c r="QZE208" s="133"/>
      <c r="QZF208" s="133"/>
      <c r="QZG208" s="133"/>
      <c r="QZH208" s="133"/>
      <c r="QZI208" s="133"/>
      <c r="QZJ208" s="133"/>
      <c r="QZK208" s="133"/>
      <c r="QZL208" s="133"/>
      <c r="QZM208" s="133"/>
      <c r="QZN208" s="133"/>
      <c r="QZO208" s="133"/>
      <c r="QZP208" s="133"/>
      <c r="QZQ208" s="133"/>
      <c r="QZR208" s="133"/>
      <c r="QZS208" s="133"/>
      <c r="QZT208" s="133"/>
      <c r="QZU208" s="133"/>
      <c r="QZV208" s="133"/>
      <c r="QZW208" s="133"/>
      <c r="QZX208" s="133"/>
      <c r="QZY208" s="133"/>
      <c r="QZZ208" s="133"/>
      <c r="RAA208" s="133"/>
      <c r="RAB208" s="133"/>
      <c r="RAC208" s="133"/>
      <c r="RAD208" s="133"/>
      <c r="RAE208" s="133"/>
      <c r="RAF208" s="133"/>
      <c r="RAG208" s="133"/>
      <c r="RAH208" s="133"/>
      <c r="RAI208" s="133"/>
      <c r="RAJ208" s="133"/>
      <c r="RAK208" s="133"/>
      <c r="RAL208" s="133"/>
      <c r="RAM208" s="133"/>
      <c r="RAN208" s="133"/>
      <c r="RAO208" s="133"/>
      <c r="RAP208" s="133"/>
      <c r="RAQ208" s="133"/>
      <c r="RAR208" s="133"/>
      <c r="RAS208" s="133"/>
      <c r="RAT208" s="133"/>
      <c r="RAU208" s="133"/>
      <c r="RAV208" s="133"/>
      <c r="RAW208" s="133"/>
      <c r="RAX208" s="133"/>
      <c r="RAY208" s="133"/>
      <c r="RAZ208" s="133"/>
      <c r="RBA208" s="133"/>
      <c r="RBB208" s="133"/>
      <c r="RBC208" s="133"/>
      <c r="RBD208" s="133"/>
      <c r="RBE208" s="133"/>
      <c r="RBF208" s="133"/>
      <c r="RBG208" s="133"/>
      <c r="RBH208" s="133"/>
      <c r="RBI208" s="133"/>
      <c r="RBJ208" s="133"/>
      <c r="RBK208" s="133"/>
      <c r="RBL208" s="133"/>
      <c r="RBM208" s="133"/>
      <c r="RBN208" s="133"/>
      <c r="RBO208" s="133"/>
      <c r="RBP208" s="133"/>
      <c r="RBQ208" s="133"/>
      <c r="RBR208" s="133"/>
      <c r="RBS208" s="133"/>
      <c r="RBT208" s="133"/>
      <c r="RBU208" s="133"/>
      <c r="RBV208" s="133"/>
      <c r="RBW208" s="133"/>
      <c r="RBX208" s="133"/>
      <c r="RBY208" s="133"/>
      <c r="RBZ208" s="133"/>
      <c r="RCA208" s="133"/>
      <c r="RCB208" s="133"/>
      <c r="RCC208" s="133"/>
      <c r="RCD208" s="133"/>
      <c r="RCE208" s="133"/>
      <c r="RCF208" s="133"/>
      <c r="RCG208" s="133"/>
      <c r="RCH208" s="133"/>
      <c r="RCI208" s="133"/>
      <c r="RCJ208" s="133"/>
      <c r="RCK208" s="133"/>
      <c r="RCL208" s="133"/>
      <c r="RCM208" s="133"/>
      <c r="RCN208" s="133"/>
      <c r="RCO208" s="133"/>
      <c r="RCP208" s="133"/>
      <c r="RCQ208" s="133"/>
      <c r="RCR208" s="133"/>
      <c r="RCS208" s="133"/>
      <c r="RCT208" s="133"/>
      <c r="RCU208" s="133"/>
      <c r="RCV208" s="133"/>
      <c r="RCW208" s="133"/>
      <c r="RCX208" s="133"/>
      <c r="RCY208" s="133"/>
      <c r="RCZ208" s="133"/>
      <c r="RDA208" s="133"/>
      <c r="RDB208" s="133"/>
      <c r="RDC208" s="133"/>
      <c r="RDD208" s="133"/>
      <c r="RDE208" s="133"/>
      <c r="RDF208" s="133"/>
      <c r="RDG208" s="133"/>
      <c r="RDH208" s="133"/>
      <c r="RDI208" s="133"/>
      <c r="RDJ208" s="133"/>
      <c r="RDK208" s="133"/>
      <c r="RDL208" s="133"/>
      <c r="RDM208" s="133"/>
      <c r="RDN208" s="133"/>
      <c r="RDO208" s="133"/>
      <c r="RDP208" s="133"/>
      <c r="RDQ208" s="133"/>
      <c r="RDR208" s="133"/>
      <c r="RDS208" s="133"/>
      <c r="RDT208" s="133"/>
      <c r="RDU208" s="133"/>
      <c r="RDV208" s="133"/>
      <c r="RDW208" s="133"/>
      <c r="RDX208" s="133"/>
      <c r="RDY208" s="133"/>
      <c r="RDZ208" s="133"/>
      <c r="REA208" s="133"/>
      <c r="REB208" s="133"/>
      <c r="REC208" s="133"/>
      <c r="RED208" s="133"/>
      <c r="REE208" s="133"/>
      <c r="REF208" s="133"/>
      <c r="REG208" s="133"/>
      <c r="REH208" s="133"/>
      <c r="REI208" s="133"/>
      <c r="REJ208" s="133"/>
      <c r="REK208" s="133"/>
      <c r="REL208" s="133"/>
      <c r="REM208" s="133"/>
      <c r="REN208" s="133"/>
      <c r="REO208" s="133"/>
      <c r="REP208" s="133"/>
      <c r="REQ208" s="133"/>
      <c r="RER208" s="133"/>
      <c r="RES208" s="133"/>
      <c r="RET208" s="133"/>
      <c r="REU208" s="133"/>
      <c r="REV208" s="133"/>
      <c r="REW208" s="133"/>
      <c r="REX208" s="133"/>
      <c r="REY208" s="133"/>
      <c r="REZ208" s="133"/>
      <c r="RFA208" s="133"/>
      <c r="RFB208" s="133"/>
      <c r="RFC208" s="133"/>
      <c r="RFD208" s="133"/>
      <c r="RFE208" s="133"/>
      <c r="RFF208" s="133"/>
      <c r="RFG208" s="133"/>
      <c r="RFH208" s="133"/>
      <c r="RFI208" s="133"/>
      <c r="RFJ208" s="133"/>
      <c r="RFK208" s="133"/>
      <c r="RFL208" s="133"/>
      <c r="RFM208" s="133"/>
      <c r="RFN208" s="133"/>
      <c r="RFO208" s="133"/>
      <c r="RFP208" s="133"/>
      <c r="RFQ208" s="133"/>
      <c r="RFR208" s="133"/>
      <c r="RFS208" s="133"/>
      <c r="RFT208" s="133"/>
      <c r="RFU208" s="133"/>
      <c r="RFV208" s="133"/>
      <c r="RFW208" s="133"/>
      <c r="RFX208" s="133"/>
      <c r="RFY208" s="133"/>
      <c r="RFZ208" s="133"/>
      <c r="RGA208" s="133"/>
      <c r="RGB208" s="133"/>
      <c r="RGC208" s="133"/>
      <c r="RGD208" s="133"/>
      <c r="RGE208" s="133"/>
      <c r="RGF208" s="133"/>
      <c r="RGG208" s="133"/>
      <c r="RGH208" s="133"/>
      <c r="RGI208" s="133"/>
      <c r="RGJ208" s="133"/>
      <c r="RGK208" s="133"/>
      <c r="RGL208" s="133"/>
      <c r="RGM208" s="133"/>
      <c r="RGN208" s="133"/>
      <c r="RGO208" s="133"/>
      <c r="RGP208" s="133"/>
      <c r="RGQ208" s="133"/>
      <c r="RGR208" s="133"/>
      <c r="RGS208" s="133"/>
      <c r="RGT208" s="133"/>
      <c r="RGU208" s="133"/>
      <c r="RGV208" s="133"/>
      <c r="RGW208" s="133"/>
      <c r="RGX208" s="133"/>
      <c r="RGY208" s="133"/>
      <c r="RGZ208" s="133"/>
      <c r="RHA208" s="133"/>
      <c r="RHB208" s="133"/>
      <c r="RHC208" s="133"/>
      <c r="RHD208" s="133"/>
      <c r="RHE208" s="133"/>
      <c r="RHF208" s="133"/>
      <c r="RHG208" s="133"/>
      <c r="RHH208" s="133"/>
      <c r="RHI208" s="133"/>
      <c r="RHJ208" s="133"/>
      <c r="RHK208" s="133"/>
      <c r="RHL208" s="133"/>
      <c r="RHM208" s="133"/>
      <c r="RHN208" s="133"/>
      <c r="RHO208" s="133"/>
      <c r="RHP208" s="133"/>
      <c r="RHQ208" s="133"/>
      <c r="RHR208" s="133"/>
      <c r="RHS208" s="133"/>
      <c r="RHT208" s="133"/>
      <c r="RHU208" s="133"/>
      <c r="RHV208" s="133"/>
      <c r="RHW208" s="133"/>
      <c r="RHX208" s="133"/>
      <c r="RHY208" s="133"/>
      <c r="RHZ208" s="133"/>
      <c r="RIA208" s="133"/>
      <c r="RIB208" s="133"/>
      <c r="RIC208" s="133"/>
      <c r="RID208" s="133"/>
      <c r="RIE208" s="133"/>
      <c r="RIF208" s="133"/>
      <c r="RIG208" s="133"/>
      <c r="RIH208" s="133"/>
      <c r="RII208" s="133"/>
      <c r="RIJ208" s="133"/>
      <c r="RIK208" s="133"/>
      <c r="RIL208" s="133"/>
      <c r="RIM208" s="133"/>
      <c r="RIN208" s="133"/>
      <c r="RIO208" s="133"/>
      <c r="RIP208" s="133"/>
      <c r="RIQ208" s="133"/>
      <c r="RIR208" s="133"/>
      <c r="RIS208" s="133"/>
      <c r="RIT208" s="133"/>
      <c r="RIU208" s="133"/>
      <c r="RIV208" s="133"/>
      <c r="RIW208" s="133"/>
      <c r="RIX208" s="133"/>
      <c r="RIY208" s="133"/>
      <c r="RIZ208" s="133"/>
      <c r="RJA208" s="133"/>
      <c r="RJB208" s="133"/>
      <c r="RJC208" s="133"/>
      <c r="RJD208" s="133"/>
      <c r="RJE208" s="133"/>
      <c r="RJF208" s="133"/>
      <c r="RJG208" s="133"/>
      <c r="RJH208" s="133"/>
      <c r="RJI208" s="133"/>
      <c r="RJJ208" s="133"/>
      <c r="RJK208" s="133"/>
      <c r="RJL208" s="133"/>
      <c r="RJM208" s="133"/>
      <c r="RJN208" s="133"/>
      <c r="RJO208" s="133"/>
      <c r="RJP208" s="133"/>
      <c r="RJQ208" s="133"/>
      <c r="RJR208" s="133"/>
      <c r="RJS208" s="133"/>
      <c r="RJT208" s="133"/>
      <c r="RJU208" s="133"/>
      <c r="RJV208" s="133"/>
      <c r="RJW208" s="133"/>
      <c r="RJX208" s="133"/>
      <c r="RJY208" s="133"/>
      <c r="RJZ208" s="133"/>
      <c r="RKA208" s="133"/>
      <c r="RKB208" s="133"/>
      <c r="RKC208" s="133"/>
      <c r="RKD208" s="133"/>
      <c r="RKE208" s="133"/>
      <c r="RKF208" s="133"/>
      <c r="RKG208" s="133"/>
      <c r="RKH208" s="133"/>
      <c r="RKI208" s="133"/>
      <c r="RKJ208" s="133"/>
      <c r="RKK208" s="133"/>
      <c r="RKL208" s="133"/>
      <c r="RKM208" s="133"/>
      <c r="RKN208" s="133"/>
      <c r="RKO208" s="133"/>
      <c r="RKP208" s="133"/>
      <c r="RKQ208" s="133"/>
      <c r="RKR208" s="133"/>
      <c r="RKS208" s="133"/>
      <c r="RKT208" s="133"/>
      <c r="RKU208" s="133"/>
      <c r="RKV208" s="133"/>
      <c r="RKW208" s="133"/>
      <c r="RKX208" s="133"/>
      <c r="RKY208" s="133"/>
      <c r="RKZ208" s="133"/>
      <c r="RLA208" s="133"/>
      <c r="RLB208" s="133"/>
      <c r="RLC208" s="133"/>
      <c r="RLD208" s="133"/>
      <c r="RLE208" s="133"/>
      <c r="RLF208" s="133"/>
      <c r="RLG208" s="133"/>
      <c r="RLH208" s="133"/>
      <c r="RLI208" s="133"/>
      <c r="RLJ208" s="133"/>
      <c r="RLK208" s="133"/>
      <c r="RLL208" s="133"/>
      <c r="RLM208" s="133"/>
      <c r="RLN208" s="133"/>
      <c r="RLO208" s="133"/>
      <c r="RLP208" s="133"/>
      <c r="RLQ208" s="133"/>
      <c r="RLR208" s="133"/>
      <c r="RLS208" s="133"/>
      <c r="RLT208" s="133"/>
      <c r="RLU208" s="133"/>
      <c r="RLV208" s="133"/>
      <c r="RLW208" s="133"/>
      <c r="RLX208" s="133"/>
      <c r="RLY208" s="133"/>
      <c r="RLZ208" s="133"/>
      <c r="RMA208" s="133"/>
      <c r="RMB208" s="133"/>
      <c r="RMC208" s="133"/>
      <c r="RMD208" s="133"/>
      <c r="RME208" s="133"/>
      <c r="RMF208" s="133"/>
      <c r="RMG208" s="133"/>
      <c r="RMH208" s="133"/>
      <c r="RMI208" s="133"/>
      <c r="RMJ208" s="133"/>
      <c r="RMK208" s="133"/>
      <c r="RML208" s="133"/>
      <c r="RMM208" s="133"/>
      <c r="RMN208" s="133"/>
      <c r="RMO208" s="133"/>
      <c r="RMP208" s="133"/>
      <c r="RMQ208" s="133"/>
      <c r="RMR208" s="133"/>
      <c r="RMS208" s="133"/>
      <c r="RMT208" s="133"/>
      <c r="RMU208" s="133"/>
      <c r="RMV208" s="133"/>
      <c r="RMW208" s="133"/>
      <c r="RMX208" s="133"/>
      <c r="RMY208" s="133"/>
      <c r="RMZ208" s="133"/>
      <c r="RNA208" s="133"/>
      <c r="RNB208" s="133"/>
      <c r="RNC208" s="133"/>
      <c r="RND208" s="133"/>
      <c r="RNE208" s="133"/>
      <c r="RNF208" s="133"/>
      <c r="RNG208" s="133"/>
      <c r="RNH208" s="133"/>
      <c r="RNI208" s="133"/>
      <c r="RNJ208" s="133"/>
      <c r="RNK208" s="133"/>
      <c r="RNL208" s="133"/>
      <c r="RNM208" s="133"/>
      <c r="RNN208" s="133"/>
      <c r="RNO208" s="133"/>
      <c r="RNP208" s="133"/>
      <c r="RNQ208" s="133"/>
      <c r="RNR208" s="133"/>
      <c r="RNS208" s="133"/>
      <c r="RNT208" s="133"/>
      <c r="RNU208" s="133"/>
      <c r="RNV208" s="133"/>
      <c r="RNW208" s="133"/>
      <c r="RNX208" s="133"/>
      <c r="RNY208" s="133"/>
      <c r="RNZ208" s="133"/>
      <c r="ROA208" s="133"/>
      <c r="ROB208" s="133"/>
      <c r="ROC208" s="133"/>
      <c r="ROD208" s="133"/>
      <c r="ROE208" s="133"/>
      <c r="ROF208" s="133"/>
      <c r="ROG208" s="133"/>
      <c r="ROH208" s="133"/>
      <c r="ROI208" s="133"/>
      <c r="ROJ208" s="133"/>
      <c r="ROK208" s="133"/>
      <c r="ROL208" s="133"/>
      <c r="ROM208" s="133"/>
      <c r="RON208" s="133"/>
      <c r="ROO208" s="133"/>
      <c r="ROP208" s="133"/>
      <c r="ROQ208" s="133"/>
      <c r="ROR208" s="133"/>
      <c r="ROS208" s="133"/>
      <c r="ROT208" s="133"/>
      <c r="ROU208" s="133"/>
      <c r="ROV208" s="133"/>
      <c r="ROW208" s="133"/>
      <c r="ROX208" s="133"/>
      <c r="ROY208" s="133"/>
      <c r="ROZ208" s="133"/>
      <c r="RPA208" s="133"/>
      <c r="RPB208" s="133"/>
      <c r="RPC208" s="133"/>
      <c r="RPD208" s="133"/>
      <c r="RPE208" s="133"/>
      <c r="RPF208" s="133"/>
      <c r="RPG208" s="133"/>
      <c r="RPH208" s="133"/>
      <c r="RPI208" s="133"/>
      <c r="RPJ208" s="133"/>
      <c r="RPK208" s="133"/>
      <c r="RPL208" s="133"/>
      <c r="RPM208" s="133"/>
      <c r="RPN208" s="133"/>
      <c r="RPO208" s="133"/>
      <c r="RPP208" s="133"/>
      <c r="RPQ208" s="133"/>
      <c r="RPR208" s="133"/>
      <c r="RPS208" s="133"/>
      <c r="RPT208" s="133"/>
      <c r="RPU208" s="133"/>
      <c r="RPV208" s="133"/>
      <c r="RPW208" s="133"/>
      <c r="RPX208" s="133"/>
      <c r="RPY208" s="133"/>
      <c r="RPZ208" s="133"/>
      <c r="RQA208" s="133"/>
      <c r="RQB208" s="133"/>
      <c r="RQC208" s="133"/>
      <c r="RQD208" s="133"/>
      <c r="RQE208" s="133"/>
      <c r="RQF208" s="133"/>
      <c r="RQG208" s="133"/>
      <c r="RQH208" s="133"/>
      <c r="RQI208" s="133"/>
      <c r="RQJ208" s="133"/>
      <c r="RQK208" s="133"/>
      <c r="RQL208" s="133"/>
      <c r="RQM208" s="133"/>
      <c r="RQN208" s="133"/>
      <c r="RQO208" s="133"/>
      <c r="RQP208" s="133"/>
      <c r="RQQ208" s="133"/>
      <c r="RQR208" s="133"/>
      <c r="RQS208" s="133"/>
      <c r="RQT208" s="133"/>
      <c r="RQU208" s="133"/>
      <c r="RQV208" s="133"/>
      <c r="RQW208" s="133"/>
      <c r="RQX208" s="133"/>
      <c r="RQY208" s="133"/>
      <c r="RQZ208" s="133"/>
      <c r="RRA208" s="133"/>
      <c r="RRB208" s="133"/>
      <c r="RRC208" s="133"/>
      <c r="RRD208" s="133"/>
      <c r="RRE208" s="133"/>
      <c r="RRF208" s="133"/>
      <c r="RRG208" s="133"/>
      <c r="RRH208" s="133"/>
      <c r="RRI208" s="133"/>
      <c r="RRJ208" s="133"/>
      <c r="RRK208" s="133"/>
      <c r="RRL208" s="133"/>
      <c r="RRM208" s="133"/>
      <c r="RRN208" s="133"/>
      <c r="RRO208" s="133"/>
      <c r="RRP208" s="133"/>
      <c r="RRQ208" s="133"/>
      <c r="RRR208" s="133"/>
      <c r="RRS208" s="133"/>
      <c r="RRT208" s="133"/>
      <c r="RRU208" s="133"/>
      <c r="RRV208" s="133"/>
      <c r="RRW208" s="133"/>
      <c r="RRX208" s="133"/>
      <c r="RRY208" s="133"/>
      <c r="RRZ208" s="133"/>
      <c r="RSA208" s="133"/>
      <c r="RSB208" s="133"/>
      <c r="RSC208" s="133"/>
      <c r="RSD208" s="133"/>
      <c r="RSE208" s="133"/>
      <c r="RSF208" s="133"/>
      <c r="RSG208" s="133"/>
      <c r="RSH208" s="133"/>
      <c r="RSI208" s="133"/>
      <c r="RSJ208" s="133"/>
      <c r="RSK208" s="133"/>
      <c r="RSL208" s="133"/>
      <c r="RSM208" s="133"/>
      <c r="RSN208" s="133"/>
      <c r="RSO208" s="133"/>
      <c r="RSP208" s="133"/>
      <c r="RSQ208" s="133"/>
      <c r="RSR208" s="133"/>
      <c r="RSS208" s="133"/>
      <c r="RST208" s="133"/>
      <c r="RSU208" s="133"/>
      <c r="RSV208" s="133"/>
      <c r="RSW208" s="133"/>
      <c r="RSX208" s="133"/>
      <c r="RSY208" s="133"/>
      <c r="RSZ208" s="133"/>
      <c r="RTA208" s="133"/>
      <c r="RTB208" s="133"/>
      <c r="RTC208" s="133"/>
      <c r="RTD208" s="133"/>
      <c r="RTE208" s="133"/>
      <c r="RTF208" s="133"/>
      <c r="RTG208" s="133"/>
      <c r="RTH208" s="133"/>
      <c r="RTI208" s="133"/>
      <c r="RTJ208" s="133"/>
      <c r="RTK208" s="133"/>
      <c r="RTL208" s="133"/>
      <c r="RTM208" s="133"/>
      <c r="RTN208" s="133"/>
      <c r="RTO208" s="133"/>
      <c r="RTP208" s="133"/>
      <c r="RTQ208" s="133"/>
      <c r="RTR208" s="133"/>
      <c r="RTS208" s="133"/>
      <c r="RTT208" s="133"/>
      <c r="RTU208" s="133"/>
      <c r="RTV208" s="133"/>
      <c r="RTW208" s="133"/>
      <c r="RTX208" s="133"/>
      <c r="RTY208" s="133"/>
      <c r="RTZ208" s="133"/>
      <c r="RUA208" s="133"/>
      <c r="RUB208" s="133"/>
      <c r="RUC208" s="133"/>
      <c r="RUD208" s="133"/>
      <c r="RUE208" s="133"/>
      <c r="RUF208" s="133"/>
      <c r="RUG208" s="133"/>
      <c r="RUH208" s="133"/>
      <c r="RUI208" s="133"/>
      <c r="RUJ208" s="133"/>
      <c r="RUK208" s="133"/>
      <c r="RUL208" s="133"/>
      <c r="RUM208" s="133"/>
      <c r="RUN208" s="133"/>
      <c r="RUO208" s="133"/>
      <c r="RUP208" s="133"/>
      <c r="RUQ208" s="133"/>
      <c r="RUR208" s="133"/>
      <c r="RUS208" s="133"/>
      <c r="RUT208" s="133"/>
      <c r="RUU208" s="133"/>
      <c r="RUV208" s="133"/>
      <c r="RUW208" s="133"/>
      <c r="RUX208" s="133"/>
      <c r="RUY208" s="133"/>
      <c r="RUZ208" s="133"/>
      <c r="RVA208" s="133"/>
      <c r="RVB208" s="133"/>
      <c r="RVC208" s="133"/>
      <c r="RVD208" s="133"/>
      <c r="RVE208" s="133"/>
      <c r="RVF208" s="133"/>
      <c r="RVG208" s="133"/>
      <c r="RVH208" s="133"/>
      <c r="RVI208" s="133"/>
      <c r="RVJ208" s="133"/>
      <c r="RVK208" s="133"/>
      <c r="RVL208" s="133"/>
      <c r="RVM208" s="133"/>
      <c r="RVN208" s="133"/>
      <c r="RVO208" s="133"/>
      <c r="RVP208" s="133"/>
      <c r="RVQ208" s="133"/>
      <c r="RVR208" s="133"/>
      <c r="RVS208" s="133"/>
      <c r="RVT208" s="133"/>
      <c r="RVU208" s="133"/>
      <c r="RVV208" s="133"/>
      <c r="RVW208" s="133"/>
      <c r="RVX208" s="133"/>
      <c r="RVY208" s="133"/>
      <c r="RVZ208" s="133"/>
      <c r="RWA208" s="133"/>
      <c r="RWB208" s="133"/>
      <c r="RWC208" s="133"/>
      <c r="RWD208" s="133"/>
      <c r="RWE208" s="133"/>
      <c r="RWF208" s="133"/>
      <c r="RWG208" s="133"/>
      <c r="RWH208" s="133"/>
      <c r="RWI208" s="133"/>
      <c r="RWJ208" s="133"/>
      <c r="RWK208" s="133"/>
      <c r="RWL208" s="133"/>
      <c r="RWM208" s="133"/>
      <c r="RWN208" s="133"/>
      <c r="RWO208" s="133"/>
      <c r="RWP208" s="133"/>
      <c r="RWQ208" s="133"/>
      <c r="RWR208" s="133"/>
      <c r="RWS208" s="133"/>
      <c r="RWT208" s="133"/>
      <c r="RWU208" s="133"/>
      <c r="RWV208" s="133"/>
      <c r="RWW208" s="133"/>
      <c r="RWX208" s="133"/>
      <c r="RWY208" s="133"/>
      <c r="RWZ208" s="133"/>
      <c r="RXA208" s="133"/>
      <c r="RXB208" s="133"/>
      <c r="RXC208" s="133"/>
      <c r="RXD208" s="133"/>
      <c r="RXE208" s="133"/>
      <c r="RXF208" s="133"/>
      <c r="RXG208" s="133"/>
      <c r="RXH208" s="133"/>
      <c r="RXI208" s="133"/>
      <c r="RXJ208" s="133"/>
      <c r="RXK208" s="133"/>
      <c r="RXL208" s="133"/>
      <c r="RXM208" s="133"/>
      <c r="RXN208" s="133"/>
      <c r="RXO208" s="133"/>
      <c r="RXP208" s="133"/>
      <c r="RXQ208" s="133"/>
      <c r="RXR208" s="133"/>
      <c r="RXS208" s="133"/>
      <c r="RXT208" s="133"/>
      <c r="RXU208" s="133"/>
      <c r="RXV208" s="133"/>
      <c r="RXW208" s="133"/>
      <c r="RXX208" s="133"/>
      <c r="RXY208" s="133"/>
      <c r="RXZ208" s="133"/>
      <c r="RYA208" s="133"/>
      <c r="RYB208" s="133"/>
      <c r="RYC208" s="133"/>
      <c r="RYD208" s="133"/>
      <c r="RYE208" s="133"/>
      <c r="RYF208" s="133"/>
      <c r="RYG208" s="133"/>
      <c r="RYH208" s="133"/>
      <c r="RYI208" s="133"/>
      <c r="RYJ208" s="133"/>
      <c r="RYK208" s="133"/>
      <c r="RYL208" s="133"/>
      <c r="RYM208" s="133"/>
      <c r="RYN208" s="133"/>
      <c r="RYO208" s="133"/>
      <c r="RYP208" s="133"/>
      <c r="RYQ208" s="133"/>
      <c r="RYR208" s="133"/>
      <c r="RYS208" s="133"/>
      <c r="RYT208" s="133"/>
      <c r="RYU208" s="133"/>
      <c r="RYV208" s="133"/>
      <c r="RYW208" s="133"/>
      <c r="RYX208" s="133"/>
      <c r="RYY208" s="133"/>
      <c r="RYZ208" s="133"/>
      <c r="RZA208" s="133"/>
      <c r="RZB208" s="133"/>
      <c r="RZC208" s="133"/>
      <c r="RZD208" s="133"/>
      <c r="RZE208" s="133"/>
      <c r="RZF208" s="133"/>
      <c r="RZG208" s="133"/>
      <c r="RZH208" s="133"/>
      <c r="RZI208" s="133"/>
      <c r="RZJ208" s="133"/>
      <c r="RZK208" s="133"/>
      <c r="RZL208" s="133"/>
      <c r="RZM208" s="133"/>
      <c r="RZN208" s="133"/>
      <c r="RZO208" s="133"/>
      <c r="RZP208" s="133"/>
      <c r="RZQ208" s="133"/>
      <c r="RZR208" s="133"/>
      <c r="RZS208" s="133"/>
      <c r="RZT208" s="133"/>
      <c r="RZU208" s="133"/>
      <c r="RZV208" s="133"/>
      <c r="RZW208" s="133"/>
      <c r="RZX208" s="133"/>
      <c r="RZY208" s="133"/>
      <c r="RZZ208" s="133"/>
      <c r="SAA208" s="133"/>
      <c r="SAB208" s="133"/>
      <c r="SAC208" s="133"/>
      <c r="SAD208" s="133"/>
      <c r="SAE208" s="133"/>
      <c r="SAF208" s="133"/>
      <c r="SAG208" s="133"/>
      <c r="SAH208" s="133"/>
      <c r="SAI208" s="133"/>
      <c r="SAJ208" s="133"/>
      <c r="SAK208" s="133"/>
      <c r="SAL208" s="133"/>
      <c r="SAM208" s="133"/>
      <c r="SAN208" s="133"/>
      <c r="SAO208" s="133"/>
      <c r="SAP208" s="133"/>
      <c r="SAQ208" s="133"/>
      <c r="SAR208" s="133"/>
      <c r="SAS208" s="133"/>
      <c r="SAT208" s="133"/>
      <c r="SAU208" s="133"/>
      <c r="SAV208" s="133"/>
      <c r="SAW208" s="133"/>
      <c r="SAX208" s="133"/>
      <c r="SAY208" s="133"/>
      <c r="SAZ208" s="133"/>
      <c r="SBA208" s="133"/>
      <c r="SBB208" s="133"/>
      <c r="SBC208" s="133"/>
      <c r="SBD208" s="133"/>
      <c r="SBE208" s="133"/>
      <c r="SBF208" s="133"/>
      <c r="SBG208" s="133"/>
      <c r="SBH208" s="133"/>
      <c r="SBI208" s="133"/>
      <c r="SBJ208" s="133"/>
      <c r="SBK208" s="133"/>
      <c r="SBL208" s="133"/>
      <c r="SBM208" s="133"/>
      <c r="SBN208" s="133"/>
      <c r="SBO208" s="133"/>
      <c r="SBP208" s="133"/>
      <c r="SBQ208" s="133"/>
      <c r="SBR208" s="133"/>
      <c r="SBS208" s="133"/>
      <c r="SBT208" s="133"/>
      <c r="SBU208" s="133"/>
      <c r="SBV208" s="133"/>
      <c r="SBW208" s="133"/>
      <c r="SBX208" s="133"/>
      <c r="SBY208" s="133"/>
      <c r="SBZ208" s="133"/>
      <c r="SCA208" s="133"/>
      <c r="SCB208" s="133"/>
      <c r="SCC208" s="133"/>
      <c r="SCD208" s="133"/>
      <c r="SCE208" s="133"/>
      <c r="SCF208" s="133"/>
      <c r="SCG208" s="133"/>
      <c r="SCH208" s="133"/>
      <c r="SCI208" s="133"/>
      <c r="SCJ208" s="133"/>
      <c r="SCK208" s="133"/>
      <c r="SCL208" s="133"/>
      <c r="SCM208" s="133"/>
      <c r="SCN208" s="133"/>
      <c r="SCO208" s="133"/>
      <c r="SCP208" s="133"/>
      <c r="SCQ208" s="133"/>
      <c r="SCR208" s="133"/>
      <c r="SCS208" s="133"/>
      <c r="SCT208" s="133"/>
      <c r="SCU208" s="133"/>
      <c r="SCV208" s="133"/>
      <c r="SCW208" s="133"/>
      <c r="SCX208" s="133"/>
      <c r="SCY208" s="133"/>
      <c r="SCZ208" s="133"/>
      <c r="SDA208" s="133"/>
      <c r="SDB208" s="133"/>
      <c r="SDC208" s="133"/>
      <c r="SDD208" s="133"/>
      <c r="SDE208" s="133"/>
      <c r="SDF208" s="133"/>
      <c r="SDG208" s="133"/>
      <c r="SDH208" s="133"/>
      <c r="SDI208" s="133"/>
      <c r="SDJ208" s="133"/>
      <c r="SDK208" s="133"/>
      <c r="SDL208" s="133"/>
      <c r="SDM208" s="133"/>
      <c r="SDN208" s="133"/>
      <c r="SDO208" s="133"/>
      <c r="SDP208" s="133"/>
      <c r="SDQ208" s="133"/>
      <c r="SDR208" s="133"/>
      <c r="SDS208" s="133"/>
      <c r="SDT208" s="133"/>
      <c r="SDU208" s="133"/>
      <c r="SDV208" s="133"/>
      <c r="SDW208" s="133"/>
      <c r="SDX208" s="133"/>
      <c r="SDY208" s="133"/>
      <c r="SDZ208" s="133"/>
      <c r="SEA208" s="133"/>
      <c r="SEB208" s="133"/>
      <c r="SEC208" s="133"/>
      <c r="SED208" s="133"/>
      <c r="SEE208" s="133"/>
      <c r="SEF208" s="133"/>
      <c r="SEG208" s="133"/>
      <c r="SEH208" s="133"/>
      <c r="SEI208" s="133"/>
      <c r="SEJ208" s="133"/>
      <c r="SEK208" s="133"/>
      <c r="SEL208" s="133"/>
      <c r="SEM208" s="133"/>
      <c r="SEN208" s="133"/>
      <c r="SEO208" s="133"/>
      <c r="SEP208" s="133"/>
      <c r="SEQ208" s="133"/>
      <c r="SER208" s="133"/>
      <c r="SES208" s="133"/>
      <c r="SET208" s="133"/>
      <c r="SEU208" s="133"/>
      <c r="SEV208" s="133"/>
      <c r="SEW208" s="133"/>
      <c r="SEX208" s="133"/>
      <c r="SEY208" s="133"/>
      <c r="SEZ208" s="133"/>
      <c r="SFA208" s="133"/>
      <c r="SFB208" s="133"/>
      <c r="SFC208" s="133"/>
      <c r="SFD208" s="133"/>
      <c r="SFE208" s="133"/>
      <c r="SFF208" s="133"/>
      <c r="SFG208" s="133"/>
      <c r="SFH208" s="133"/>
      <c r="SFI208" s="133"/>
      <c r="SFJ208" s="133"/>
      <c r="SFK208" s="133"/>
      <c r="SFL208" s="133"/>
      <c r="SFM208" s="133"/>
      <c r="SFN208" s="133"/>
      <c r="SFO208" s="133"/>
      <c r="SFP208" s="133"/>
      <c r="SFQ208" s="133"/>
      <c r="SFR208" s="133"/>
      <c r="SFS208" s="133"/>
      <c r="SFT208" s="133"/>
      <c r="SFU208" s="133"/>
      <c r="SFV208" s="133"/>
      <c r="SFW208" s="133"/>
      <c r="SFX208" s="133"/>
      <c r="SFY208" s="133"/>
      <c r="SFZ208" s="133"/>
      <c r="SGA208" s="133"/>
      <c r="SGB208" s="133"/>
      <c r="SGC208" s="133"/>
      <c r="SGD208" s="133"/>
      <c r="SGE208" s="133"/>
      <c r="SGF208" s="133"/>
      <c r="SGG208" s="133"/>
      <c r="SGH208" s="133"/>
      <c r="SGI208" s="133"/>
      <c r="SGJ208" s="133"/>
      <c r="SGK208" s="133"/>
      <c r="SGL208" s="133"/>
      <c r="SGM208" s="133"/>
      <c r="SGN208" s="133"/>
      <c r="SGO208" s="133"/>
      <c r="SGP208" s="133"/>
      <c r="SGQ208" s="133"/>
      <c r="SGR208" s="133"/>
      <c r="SGS208" s="133"/>
      <c r="SGT208" s="133"/>
      <c r="SGU208" s="133"/>
      <c r="SGV208" s="133"/>
      <c r="SGW208" s="133"/>
      <c r="SGX208" s="133"/>
      <c r="SGY208" s="133"/>
      <c r="SGZ208" s="133"/>
      <c r="SHA208" s="133"/>
      <c r="SHB208" s="133"/>
      <c r="SHC208" s="133"/>
      <c r="SHD208" s="133"/>
      <c r="SHE208" s="133"/>
      <c r="SHF208" s="133"/>
      <c r="SHG208" s="133"/>
      <c r="SHH208" s="133"/>
      <c r="SHI208" s="133"/>
      <c r="SHJ208" s="133"/>
      <c r="SHK208" s="133"/>
      <c r="SHL208" s="133"/>
      <c r="SHM208" s="133"/>
      <c r="SHN208" s="133"/>
      <c r="SHO208" s="133"/>
      <c r="SHP208" s="133"/>
      <c r="SHQ208" s="133"/>
      <c r="SHR208" s="133"/>
      <c r="SHS208" s="133"/>
      <c r="SHT208" s="133"/>
      <c r="SHU208" s="133"/>
      <c r="SHV208" s="133"/>
      <c r="SHW208" s="133"/>
      <c r="SHX208" s="133"/>
      <c r="SHY208" s="133"/>
      <c r="SHZ208" s="133"/>
      <c r="SIA208" s="133"/>
      <c r="SIB208" s="133"/>
      <c r="SIC208" s="133"/>
      <c r="SID208" s="133"/>
      <c r="SIE208" s="133"/>
      <c r="SIF208" s="133"/>
      <c r="SIG208" s="133"/>
      <c r="SIH208" s="133"/>
      <c r="SII208" s="133"/>
      <c r="SIJ208" s="133"/>
      <c r="SIK208" s="133"/>
      <c r="SIL208" s="133"/>
      <c r="SIM208" s="133"/>
      <c r="SIN208" s="133"/>
      <c r="SIO208" s="133"/>
      <c r="SIP208" s="133"/>
      <c r="SIQ208" s="133"/>
      <c r="SIR208" s="133"/>
      <c r="SIS208" s="133"/>
      <c r="SIT208" s="133"/>
      <c r="SIU208" s="133"/>
      <c r="SIV208" s="133"/>
      <c r="SIW208" s="133"/>
      <c r="SIX208" s="133"/>
      <c r="SIY208" s="133"/>
      <c r="SIZ208" s="133"/>
      <c r="SJA208" s="133"/>
      <c r="SJB208" s="133"/>
      <c r="SJC208" s="133"/>
      <c r="SJD208" s="133"/>
      <c r="SJE208" s="133"/>
      <c r="SJF208" s="133"/>
      <c r="SJG208" s="133"/>
      <c r="SJH208" s="133"/>
      <c r="SJI208" s="133"/>
      <c r="SJJ208" s="133"/>
      <c r="SJK208" s="133"/>
      <c r="SJL208" s="133"/>
      <c r="SJM208" s="133"/>
      <c r="SJN208" s="133"/>
      <c r="SJO208" s="133"/>
      <c r="SJP208" s="133"/>
      <c r="SJQ208" s="133"/>
      <c r="SJR208" s="133"/>
      <c r="SJS208" s="133"/>
      <c r="SJT208" s="133"/>
      <c r="SJU208" s="133"/>
      <c r="SJV208" s="133"/>
      <c r="SJW208" s="133"/>
      <c r="SJX208" s="133"/>
      <c r="SJY208" s="133"/>
      <c r="SJZ208" s="133"/>
      <c r="SKA208" s="133"/>
      <c r="SKB208" s="133"/>
      <c r="SKC208" s="133"/>
      <c r="SKD208" s="133"/>
      <c r="SKE208" s="133"/>
      <c r="SKF208" s="133"/>
      <c r="SKG208" s="133"/>
      <c r="SKH208" s="133"/>
      <c r="SKI208" s="133"/>
      <c r="SKJ208" s="133"/>
      <c r="SKK208" s="133"/>
      <c r="SKL208" s="133"/>
      <c r="SKM208" s="133"/>
      <c r="SKN208" s="133"/>
      <c r="SKO208" s="133"/>
      <c r="SKP208" s="133"/>
      <c r="SKQ208" s="133"/>
      <c r="SKR208" s="133"/>
      <c r="SKS208" s="133"/>
      <c r="SKT208" s="133"/>
      <c r="SKU208" s="133"/>
      <c r="SKV208" s="133"/>
      <c r="SKW208" s="133"/>
      <c r="SKX208" s="133"/>
      <c r="SKY208" s="133"/>
      <c r="SKZ208" s="133"/>
      <c r="SLA208" s="133"/>
      <c r="SLB208" s="133"/>
      <c r="SLC208" s="133"/>
      <c r="SLD208" s="133"/>
      <c r="SLE208" s="133"/>
      <c r="SLF208" s="133"/>
      <c r="SLG208" s="133"/>
      <c r="SLH208" s="133"/>
      <c r="SLI208" s="133"/>
      <c r="SLJ208" s="133"/>
      <c r="SLK208" s="133"/>
      <c r="SLL208" s="133"/>
      <c r="SLM208" s="133"/>
      <c r="SLN208" s="133"/>
      <c r="SLO208" s="133"/>
      <c r="SLP208" s="133"/>
      <c r="SLQ208" s="133"/>
      <c r="SLR208" s="133"/>
      <c r="SLS208" s="133"/>
      <c r="SLT208" s="133"/>
      <c r="SLU208" s="133"/>
      <c r="SLV208" s="133"/>
      <c r="SLW208" s="133"/>
      <c r="SLX208" s="133"/>
      <c r="SLY208" s="133"/>
      <c r="SLZ208" s="133"/>
      <c r="SMA208" s="133"/>
      <c r="SMB208" s="133"/>
      <c r="SMC208" s="133"/>
      <c r="SMD208" s="133"/>
      <c r="SME208" s="133"/>
      <c r="SMF208" s="133"/>
      <c r="SMG208" s="133"/>
      <c r="SMH208" s="133"/>
      <c r="SMI208" s="133"/>
      <c r="SMJ208" s="133"/>
      <c r="SMK208" s="133"/>
      <c r="SML208" s="133"/>
      <c r="SMM208" s="133"/>
      <c r="SMN208" s="133"/>
      <c r="SMO208" s="133"/>
      <c r="SMP208" s="133"/>
      <c r="SMQ208" s="133"/>
      <c r="SMR208" s="133"/>
      <c r="SMS208" s="133"/>
      <c r="SMT208" s="133"/>
      <c r="SMU208" s="133"/>
      <c r="SMV208" s="133"/>
      <c r="SMW208" s="133"/>
      <c r="SMX208" s="133"/>
      <c r="SMY208" s="133"/>
      <c r="SMZ208" s="133"/>
      <c r="SNA208" s="133"/>
      <c r="SNB208" s="133"/>
      <c r="SNC208" s="133"/>
      <c r="SND208" s="133"/>
      <c r="SNE208" s="133"/>
      <c r="SNF208" s="133"/>
      <c r="SNG208" s="133"/>
      <c r="SNH208" s="133"/>
      <c r="SNI208" s="133"/>
      <c r="SNJ208" s="133"/>
      <c r="SNK208" s="133"/>
      <c r="SNL208" s="133"/>
      <c r="SNM208" s="133"/>
      <c r="SNN208" s="133"/>
      <c r="SNO208" s="133"/>
      <c r="SNP208" s="133"/>
      <c r="SNQ208" s="133"/>
      <c r="SNR208" s="133"/>
      <c r="SNS208" s="133"/>
      <c r="SNT208" s="133"/>
      <c r="SNU208" s="133"/>
      <c r="SNV208" s="133"/>
      <c r="SNW208" s="133"/>
      <c r="SNX208" s="133"/>
      <c r="SNY208" s="133"/>
      <c r="SNZ208" s="133"/>
      <c r="SOA208" s="133"/>
      <c r="SOB208" s="133"/>
      <c r="SOC208" s="133"/>
      <c r="SOD208" s="133"/>
      <c r="SOE208" s="133"/>
      <c r="SOF208" s="133"/>
      <c r="SOG208" s="133"/>
      <c r="SOH208" s="133"/>
      <c r="SOI208" s="133"/>
      <c r="SOJ208" s="133"/>
      <c r="SOK208" s="133"/>
      <c r="SOL208" s="133"/>
      <c r="SOM208" s="133"/>
      <c r="SON208" s="133"/>
      <c r="SOO208" s="133"/>
      <c r="SOP208" s="133"/>
      <c r="SOQ208" s="133"/>
      <c r="SOR208" s="133"/>
      <c r="SOS208" s="133"/>
      <c r="SOT208" s="133"/>
      <c r="SOU208" s="133"/>
      <c r="SOV208" s="133"/>
      <c r="SOW208" s="133"/>
      <c r="SOX208" s="133"/>
      <c r="SOY208" s="133"/>
      <c r="SOZ208" s="133"/>
      <c r="SPA208" s="133"/>
      <c r="SPB208" s="133"/>
      <c r="SPC208" s="133"/>
      <c r="SPD208" s="133"/>
      <c r="SPE208" s="133"/>
      <c r="SPF208" s="133"/>
      <c r="SPG208" s="133"/>
      <c r="SPH208" s="133"/>
      <c r="SPI208" s="133"/>
      <c r="SPJ208" s="133"/>
      <c r="SPK208" s="133"/>
      <c r="SPL208" s="133"/>
      <c r="SPM208" s="133"/>
      <c r="SPN208" s="133"/>
      <c r="SPO208" s="133"/>
      <c r="SPP208" s="133"/>
      <c r="SPQ208" s="133"/>
      <c r="SPR208" s="133"/>
      <c r="SPS208" s="133"/>
      <c r="SPT208" s="133"/>
      <c r="SPU208" s="133"/>
      <c r="SPV208" s="133"/>
      <c r="SPW208" s="133"/>
      <c r="SPX208" s="133"/>
      <c r="SPY208" s="133"/>
      <c r="SPZ208" s="133"/>
      <c r="SQA208" s="133"/>
      <c r="SQB208" s="133"/>
      <c r="SQC208" s="133"/>
      <c r="SQD208" s="133"/>
      <c r="SQE208" s="133"/>
      <c r="SQF208" s="133"/>
      <c r="SQG208" s="133"/>
      <c r="SQH208" s="133"/>
      <c r="SQI208" s="133"/>
      <c r="SQJ208" s="133"/>
      <c r="SQK208" s="133"/>
      <c r="SQL208" s="133"/>
      <c r="SQM208" s="133"/>
      <c r="SQN208" s="133"/>
      <c r="SQO208" s="133"/>
      <c r="SQP208" s="133"/>
      <c r="SQQ208" s="133"/>
      <c r="SQR208" s="133"/>
      <c r="SQS208" s="133"/>
      <c r="SQT208" s="133"/>
      <c r="SQU208" s="133"/>
      <c r="SQV208" s="133"/>
      <c r="SQW208" s="133"/>
      <c r="SQX208" s="133"/>
      <c r="SQY208" s="133"/>
      <c r="SQZ208" s="133"/>
      <c r="SRA208" s="133"/>
      <c r="SRB208" s="133"/>
      <c r="SRC208" s="133"/>
      <c r="SRD208" s="133"/>
      <c r="SRE208" s="133"/>
      <c r="SRF208" s="133"/>
      <c r="SRG208" s="133"/>
      <c r="SRH208" s="133"/>
      <c r="SRI208" s="133"/>
      <c r="SRJ208" s="133"/>
      <c r="SRK208" s="133"/>
      <c r="SRL208" s="133"/>
      <c r="SRM208" s="133"/>
      <c r="SRN208" s="133"/>
      <c r="SRO208" s="133"/>
      <c r="SRP208" s="133"/>
      <c r="SRQ208" s="133"/>
      <c r="SRR208" s="133"/>
      <c r="SRS208" s="133"/>
      <c r="SRT208" s="133"/>
      <c r="SRU208" s="133"/>
      <c r="SRV208" s="133"/>
      <c r="SRW208" s="133"/>
      <c r="SRX208" s="133"/>
      <c r="SRY208" s="133"/>
      <c r="SRZ208" s="133"/>
      <c r="SSA208" s="133"/>
      <c r="SSB208" s="133"/>
      <c r="SSC208" s="133"/>
      <c r="SSD208" s="133"/>
      <c r="SSE208" s="133"/>
      <c r="SSF208" s="133"/>
      <c r="SSG208" s="133"/>
      <c r="SSH208" s="133"/>
      <c r="SSI208" s="133"/>
      <c r="SSJ208" s="133"/>
      <c r="SSK208" s="133"/>
      <c r="SSL208" s="133"/>
      <c r="SSM208" s="133"/>
      <c r="SSN208" s="133"/>
      <c r="SSO208" s="133"/>
      <c r="SSP208" s="133"/>
      <c r="SSQ208" s="133"/>
      <c r="SSR208" s="133"/>
      <c r="SSS208" s="133"/>
      <c r="SST208" s="133"/>
      <c r="SSU208" s="133"/>
      <c r="SSV208" s="133"/>
      <c r="SSW208" s="133"/>
      <c r="SSX208" s="133"/>
      <c r="SSY208" s="133"/>
      <c r="SSZ208" s="133"/>
      <c r="STA208" s="133"/>
      <c r="STB208" s="133"/>
      <c r="STC208" s="133"/>
      <c r="STD208" s="133"/>
      <c r="STE208" s="133"/>
      <c r="STF208" s="133"/>
      <c r="STG208" s="133"/>
      <c r="STH208" s="133"/>
      <c r="STI208" s="133"/>
      <c r="STJ208" s="133"/>
      <c r="STK208" s="133"/>
      <c r="STL208" s="133"/>
      <c r="STM208" s="133"/>
      <c r="STN208" s="133"/>
      <c r="STO208" s="133"/>
      <c r="STP208" s="133"/>
      <c r="STQ208" s="133"/>
      <c r="STR208" s="133"/>
      <c r="STS208" s="133"/>
      <c r="STT208" s="133"/>
      <c r="STU208" s="133"/>
      <c r="STV208" s="133"/>
      <c r="STW208" s="133"/>
      <c r="STX208" s="133"/>
      <c r="STY208" s="133"/>
      <c r="STZ208" s="133"/>
      <c r="SUA208" s="133"/>
      <c r="SUB208" s="133"/>
      <c r="SUC208" s="133"/>
      <c r="SUD208" s="133"/>
      <c r="SUE208" s="133"/>
      <c r="SUF208" s="133"/>
      <c r="SUG208" s="133"/>
      <c r="SUH208" s="133"/>
      <c r="SUI208" s="133"/>
      <c r="SUJ208" s="133"/>
      <c r="SUK208" s="133"/>
      <c r="SUL208" s="133"/>
      <c r="SUM208" s="133"/>
      <c r="SUN208" s="133"/>
      <c r="SUO208" s="133"/>
      <c r="SUP208" s="133"/>
      <c r="SUQ208" s="133"/>
      <c r="SUR208" s="133"/>
      <c r="SUS208" s="133"/>
      <c r="SUT208" s="133"/>
      <c r="SUU208" s="133"/>
      <c r="SUV208" s="133"/>
      <c r="SUW208" s="133"/>
      <c r="SUX208" s="133"/>
      <c r="SUY208" s="133"/>
      <c r="SUZ208" s="133"/>
      <c r="SVA208" s="133"/>
      <c r="SVB208" s="133"/>
      <c r="SVC208" s="133"/>
      <c r="SVD208" s="133"/>
      <c r="SVE208" s="133"/>
      <c r="SVF208" s="133"/>
      <c r="SVG208" s="133"/>
      <c r="SVH208" s="133"/>
      <c r="SVI208" s="133"/>
      <c r="SVJ208" s="133"/>
      <c r="SVK208" s="133"/>
      <c r="SVL208" s="133"/>
      <c r="SVM208" s="133"/>
      <c r="SVN208" s="133"/>
      <c r="SVO208" s="133"/>
      <c r="SVP208" s="133"/>
      <c r="SVQ208" s="133"/>
      <c r="SVR208" s="133"/>
      <c r="SVS208" s="133"/>
      <c r="SVT208" s="133"/>
      <c r="SVU208" s="133"/>
      <c r="SVV208" s="133"/>
      <c r="SVW208" s="133"/>
      <c r="SVX208" s="133"/>
      <c r="SVY208" s="133"/>
      <c r="SVZ208" s="133"/>
      <c r="SWA208" s="133"/>
      <c r="SWB208" s="133"/>
      <c r="SWC208" s="133"/>
      <c r="SWD208" s="133"/>
      <c r="SWE208" s="133"/>
      <c r="SWF208" s="133"/>
      <c r="SWG208" s="133"/>
      <c r="SWH208" s="133"/>
      <c r="SWI208" s="133"/>
      <c r="SWJ208" s="133"/>
      <c r="SWK208" s="133"/>
      <c r="SWL208" s="133"/>
      <c r="SWM208" s="133"/>
      <c r="SWN208" s="133"/>
      <c r="SWO208" s="133"/>
      <c r="SWP208" s="133"/>
      <c r="SWQ208" s="133"/>
      <c r="SWR208" s="133"/>
      <c r="SWS208" s="133"/>
      <c r="SWT208" s="133"/>
      <c r="SWU208" s="133"/>
      <c r="SWV208" s="133"/>
      <c r="SWW208" s="133"/>
      <c r="SWX208" s="133"/>
      <c r="SWY208" s="133"/>
      <c r="SWZ208" s="133"/>
      <c r="SXA208" s="133"/>
      <c r="SXB208" s="133"/>
      <c r="SXC208" s="133"/>
      <c r="SXD208" s="133"/>
      <c r="SXE208" s="133"/>
      <c r="SXF208" s="133"/>
      <c r="SXG208" s="133"/>
      <c r="SXH208" s="133"/>
      <c r="SXI208" s="133"/>
      <c r="SXJ208" s="133"/>
      <c r="SXK208" s="133"/>
      <c r="SXL208" s="133"/>
      <c r="SXM208" s="133"/>
      <c r="SXN208" s="133"/>
      <c r="SXO208" s="133"/>
      <c r="SXP208" s="133"/>
      <c r="SXQ208" s="133"/>
      <c r="SXR208" s="133"/>
      <c r="SXS208" s="133"/>
      <c r="SXT208" s="133"/>
      <c r="SXU208" s="133"/>
      <c r="SXV208" s="133"/>
      <c r="SXW208" s="133"/>
      <c r="SXX208" s="133"/>
      <c r="SXY208" s="133"/>
      <c r="SXZ208" s="133"/>
      <c r="SYA208" s="133"/>
      <c r="SYB208" s="133"/>
      <c r="SYC208" s="133"/>
      <c r="SYD208" s="133"/>
      <c r="SYE208" s="133"/>
      <c r="SYF208" s="133"/>
      <c r="SYG208" s="133"/>
      <c r="SYH208" s="133"/>
      <c r="SYI208" s="133"/>
      <c r="SYJ208" s="133"/>
      <c r="SYK208" s="133"/>
      <c r="SYL208" s="133"/>
      <c r="SYM208" s="133"/>
      <c r="SYN208" s="133"/>
      <c r="SYO208" s="133"/>
      <c r="SYP208" s="133"/>
      <c r="SYQ208" s="133"/>
      <c r="SYR208" s="133"/>
      <c r="SYS208" s="133"/>
      <c r="SYT208" s="133"/>
      <c r="SYU208" s="133"/>
      <c r="SYV208" s="133"/>
      <c r="SYW208" s="133"/>
      <c r="SYX208" s="133"/>
      <c r="SYY208" s="133"/>
      <c r="SYZ208" s="133"/>
      <c r="SZA208" s="133"/>
      <c r="SZB208" s="133"/>
      <c r="SZC208" s="133"/>
      <c r="SZD208" s="133"/>
      <c r="SZE208" s="133"/>
      <c r="SZF208" s="133"/>
      <c r="SZG208" s="133"/>
      <c r="SZH208" s="133"/>
      <c r="SZI208" s="133"/>
      <c r="SZJ208" s="133"/>
      <c r="SZK208" s="133"/>
      <c r="SZL208" s="133"/>
      <c r="SZM208" s="133"/>
      <c r="SZN208" s="133"/>
      <c r="SZO208" s="133"/>
      <c r="SZP208" s="133"/>
      <c r="SZQ208" s="133"/>
      <c r="SZR208" s="133"/>
      <c r="SZS208" s="133"/>
      <c r="SZT208" s="133"/>
      <c r="SZU208" s="133"/>
      <c r="SZV208" s="133"/>
      <c r="SZW208" s="133"/>
      <c r="SZX208" s="133"/>
      <c r="SZY208" s="133"/>
      <c r="SZZ208" s="133"/>
      <c r="TAA208" s="133"/>
      <c r="TAB208" s="133"/>
      <c r="TAC208" s="133"/>
      <c r="TAD208" s="133"/>
      <c r="TAE208" s="133"/>
      <c r="TAF208" s="133"/>
      <c r="TAG208" s="133"/>
      <c r="TAH208" s="133"/>
      <c r="TAI208" s="133"/>
      <c r="TAJ208" s="133"/>
      <c r="TAK208" s="133"/>
      <c r="TAL208" s="133"/>
      <c r="TAM208" s="133"/>
      <c r="TAN208" s="133"/>
      <c r="TAO208" s="133"/>
      <c r="TAP208" s="133"/>
      <c r="TAQ208" s="133"/>
      <c r="TAR208" s="133"/>
      <c r="TAS208" s="133"/>
      <c r="TAT208" s="133"/>
      <c r="TAU208" s="133"/>
      <c r="TAV208" s="133"/>
      <c r="TAW208" s="133"/>
      <c r="TAX208" s="133"/>
      <c r="TAY208" s="133"/>
      <c r="TAZ208" s="133"/>
      <c r="TBA208" s="133"/>
      <c r="TBB208" s="133"/>
      <c r="TBC208" s="133"/>
      <c r="TBD208" s="133"/>
      <c r="TBE208" s="133"/>
      <c r="TBF208" s="133"/>
      <c r="TBG208" s="133"/>
      <c r="TBH208" s="133"/>
      <c r="TBI208" s="133"/>
      <c r="TBJ208" s="133"/>
      <c r="TBK208" s="133"/>
      <c r="TBL208" s="133"/>
      <c r="TBM208" s="133"/>
      <c r="TBN208" s="133"/>
      <c r="TBO208" s="133"/>
      <c r="TBP208" s="133"/>
      <c r="TBQ208" s="133"/>
      <c r="TBR208" s="133"/>
      <c r="TBS208" s="133"/>
      <c r="TBT208" s="133"/>
      <c r="TBU208" s="133"/>
      <c r="TBV208" s="133"/>
      <c r="TBW208" s="133"/>
      <c r="TBX208" s="133"/>
      <c r="TBY208" s="133"/>
      <c r="TBZ208" s="133"/>
      <c r="TCA208" s="133"/>
      <c r="TCB208" s="133"/>
      <c r="TCC208" s="133"/>
      <c r="TCD208" s="133"/>
      <c r="TCE208" s="133"/>
      <c r="TCF208" s="133"/>
      <c r="TCG208" s="133"/>
      <c r="TCH208" s="133"/>
      <c r="TCI208" s="133"/>
      <c r="TCJ208" s="133"/>
      <c r="TCK208" s="133"/>
      <c r="TCL208" s="133"/>
      <c r="TCM208" s="133"/>
      <c r="TCN208" s="133"/>
      <c r="TCO208" s="133"/>
      <c r="TCP208" s="133"/>
      <c r="TCQ208" s="133"/>
      <c r="TCR208" s="133"/>
      <c r="TCS208" s="133"/>
      <c r="TCT208" s="133"/>
      <c r="TCU208" s="133"/>
      <c r="TCV208" s="133"/>
      <c r="TCW208" s="133"/>
      <c r="TCX208" s="133"/>
      <c r="TCY208" s="133"/>
      <c r="TCZ208" s="133"/>
      <c r="TDA208" s="133"/>
      <c r="TDB208" s="133"/>
      <c r="TDC208" s="133"/>
      <c r="TDD208" s="133"/>
      <c r="TDE208" s="133"/>
      <c r="TDF208" s="133"/>
      <c r="TDG208" s="133"/>
      <c r="TDH208" s="133"/>
      <c r="TDI208" s="133"/>
      <c r="TDJ208" s="133"/>
      <c r="TDK208" s="133"/>
      <c r="TDL208" s="133"/>
      <c r="TDM208" s="133"/>
      <c r="TDN208" s="133"/>
      <c r="TDO208" s="133"/>
      <c r="TDP208" s="133"/>
      <c r="TDQ208" s="133"/>
      <c r="TDR208" s="133"/>
      <c r="TDS208" s="133"/>
      <c r="TDT208" s="133"/>
      <c r="TDU208" s="133"/>
      <c r="TDV208" s="133"/>
      <c r="TDW208" s="133"/>
      <c r="TDX208" s="133"/>
      <c r="TDY208" s="133"/>
      <c r="TDZ208" s="133"/>
      <c r="TEA208" s="133"/>
      <c r="TEB208" s="133"/>
      <c r="TEC208" s="133"/>
      <c r="TED208" s="133"/>
      <c r="TEE208" s="133"/>
      <c r="TEF208" s="133"/>
      <c r="TEG208" s="133"/>
      <c r="TEH208" s="133"/>
      <c r="TEI208" s="133"/>
      <c r="TEJ208" s="133"/>
      <c r="TEK208" s="133"/>
      <c r="TEL208" s="133"/>
      <c r="TEM208" s="133"/>
      <c r="TEN208" s="133"/>
      <c r="TEO208" s="133"/>
      <c r="TEP208" s="133"/>
      <c r="TEQ208" s="133"/>
      <c r="TER208" s="133"/>
      <c r="TES208" s="133"/>
      <c r="TET208" s="133"/>
      <c r="TEU208" s="133"/>
      <c r="TEV208" s="133"/>
      <c r="TEW208" s="133"/>
      <c r="TEX208" s="133"/>
      <c r="TEY208" s="133"/>
      <c r="TEZ208" s="133"/>
      <c r="TFA208" s="133"/>
      <c r="TFB208" s="133"/>
      <c r="TFC208" s="133"/>
      <c r="TFD208" s="133"/>
      <c r="TFE208" s="133"/>
      <c r="TFF208" s="133"/>
      <c r="TFG208" s="133"/>
      <c r="TFH208" s="133"/>
      <c r="TFI208" s="133"/>
      <c r="TFJ208" s="133"/>
      <c r="TFK208" s="133"/>
      <c r="TFL208" s="133"/>
      <c r="TFM208" s="133"/>
      <c r="TFN208" s="133"/>
      <c r="TFO208" s="133"/>
      <c r="TFP208" s="133"/>
      <c r="TFQ208" s="133"/>
      <c r="TFR208" s="133"/>
      <c r="TFS208" s="133"/>
      <c r="TFT208" s="133"/>
      <c r="TFU208" s="133"/>
      <c r="TFV208" s="133"/>
      <c r="TFW208" s="133"/>
      <c r="TFX208" s="133"/>
      <c r="TFY208" s="133"/>
      <c r="TFZ208" s="133"/>
      <c r="TGA208" s="133"/>
      <c r="TGB208" s="133"/>
      <c r="TGC208" s="133"/>
      <c r="TGD208" s="133"/>
      <c r="TGE208" s="133"/>
      <c r="TGF208" s="133"/>
      <c r="TGG208" s="133"/>
      <c r="TGH208" s="133"/>
      <c r="TGI208" s="133"/>
      <c r="TGJ208" s="133"/>
      <c r="TGK208" s="133"/>
      <c r="TGL208" s="133"/>
      <c r="TGM208" s="133"/>
      <c r="TGN208" s="133"/>
      <c r="TGO208" s="133"/>
      <c r="TGP208" s="133"/>
      <c r="TGQ208" s="133"/>
      <c r="TGR208" s="133"/>
      <c r="TGS208" s="133"/>
      <c r="TGT208" s="133"/>
      <c r="TGU208" s="133"/>
      <c r="TGV208" s="133"/>
      <c r="TGW208" s="133"/>
      <c r="TGX208" s="133"/>
      <c r="TGY208" s="133"/>
      <c r="TGZ208" s="133"/>
      <c r="THA208" s="133"/>
      <c r="THB208" s="133"/>
      <c r="THC208" s="133"/>
      <c r="THD208" s="133"/>
      <c r="THE208" s="133"/>
      <c r="THF208" s="133"/>
      <c r="THG208" s="133"/>
      <c r="THH208" s="133"/>
      <c r="THI208" s="133"/>
      <c r="THJ208" s="133"/>
      <c r="THK208" s="133"/>
      <c r="THL208" s="133"/>
      <c r="THM208" s="133"/>
      <c r="THN208" s="133"/>
      <c r="THO208" s="133"/>
      <c r="THP208" s="133"/>
      <c r="THQ208" s="133"/>
      <c r="THR208" s="133"/>
      <c r="THS208" s="133"/>
      <c r="THT208" s="133"/>
      <c r="THU208" s="133"/>
      <c r="THV208" s="133"/>
      <c r="THW208" s="133"/>
      <c r="THX208" s="133"/>
      <c r="THY208" s="133"/>
      <c r="THZ208" s="133"/>
      <c r="TIA208" s="133"/>
      <c r="TIB208" s="133"/>
      <c r="TIC208" s="133"/>
      <c r="TID208" s="133"/>
      <c r="TIE208" s="133"/>
      <c r="TIF208" s="133"/>
      <c r="TIG208" s="133"/>
      <c r="TIH208" s="133"/>
      <c r="TII208" s="133"/>
      <c r="TIJ208" s="133"/>
      <c r="TIK208" s="133"/>
      <c r="TIL208" s="133"/>
      <c r="TIM208" s="133"/>
      <c r="TIN208" s="133"/>
      <c r="TIO208" s="133"/>
      <c r="TIP208" s="133"/>
      <c r="TIQ208" s="133"/>
      <c r="TIR208" s="133"/>
      <c r="TIS208" s="133"/>
      <c r="TIT208" s="133"/>
      <c r="TIU208" s="133"/>
      <c r="TIV208" s="133"/>
      <c r="TIW208" s="133"/>
      <c r="TIX208" s="133"/>
      <c r="TIY208" s="133"/>
      <c r="TIZ208" s="133"/>
      <c r="TJA208" s="133"/>
      <c r="TJB208" s="133"/>
      <c r="TJC208" s="133"/>
      <c r="TJD208" s="133"/>
      <c r="TJE208" s="133"/>
      <c r="TJF208" s="133"/>
      <c r="TJG208" s="133"/>
      <c r="TJH208" s="133"/>
      <c r="TJI208" s="133"/>
      <c r="TJJ208" s="133"/>
      <c r="TJK208" s="133"/>
      <c r="TJL208" s="133"/>
      <c r="TJM208" s="133"/>
      <c r="TJN208" s="133"/>
      <c r="TJO208" s="133"/>
      <c r="TJP208" s="133"/>
      <c r="TJQ208" s="133"/>
      <c r="TJR208" s="133"/>
      <c r="TJS208" s="133"/>
      <c r="TJT208" s="133"/>
      <c r="TJU208" s="133"/>
      <c r="TJV208" s="133"/>
      <c r="TJW208" s="133"/>
      <c r="TJX208" s="133"/>
      <c r="TJY208" s="133"/>
      <c r="TJZ208" s="133"/>
      <c r="TKA208" s="133"/>
      <c r="TKB208" s="133"/>
      <c r="TKC208" s="133"/>
      <c r="TKD208" s="133"/>
      <c r="TKE208" s="133"/>
      <c r="TKF208" s="133"/>
      <c r="TKG208" s="133"/>
      <c r="TKH208" s="133"/>
      <c r="TKI208" s="133"/>
      <c r="TKJ208" s="133"/>
      <c r="TKK208" s="133"/>
      <c r="TKL208" s="133"/>
      <c r="TKM208" s="133"/>
      <c r="TKN208" s="133"/>
      <c r="TKO208" s="133"/>
      <c r="TKP208" s="133"/>
      <c r="TKQ208" s="133"/>
      <c r="TKR208" s="133"/>
      <c r="TKS208" s="133"/>
      <c r="TKT208" s="133"/>
      <c r="TKU208" s="133"/>
      <c r="TKV208" s="133"/>
      <c r="TKW208" s="133"/>
      <c r="TKX208" s="133"/>
      <c r="TKY208" s="133"/>
      <c r="TKZ208" s="133"/>
      <c r="TLA208" s="133"/>
      <c r="TLB208" s="133"/>
      <c r="TLC208" s="133"/>
      <c r="TLD208" s="133"/>
      <c r="TLE208" s="133"/>
      <c r="TLF208" s="133"/>
      <c r="TLG208" s="133"/>
      <c r="TLH208" s="133"/>
      <c r="TLI208" s="133"/>
      <c r="TLJ208" s="133"/>
      <c r="TLK208" s="133"/>
      <c r="TLL208" s="133"/>
      <c r="TLM208" s="133"/>
      <c r="TLN208" s="133"/>
      <c r="TLO208" s="133"/>
      <c r="TLP208" s="133"/>
      <c r="TLQ208" s="133"/>
      <c r="TLR208" s="133"/>
      <c r="TLS208" s="133"/>
      <c r="TLT208" s="133"/>
      <c r="TLU208" s="133"/>
      <c r="TLV208" s="133"/>
      <c r="TLW208" s="133"/>
      <c r="TLX208" s="133"/>
      <c r="TLY208" s="133"/>
      <c r="TLZ208" s="133"/>
      <c r="TMA208" s="133"/>
      <c r="TMB208" s="133"/>
      <c r="TMC208" s="133"/>
      <c r="TMD208" s="133"/>
      <c r="TME208" s="133"/>
      <c r="TMF208" s="133"/>
      <c r="TMG208" s="133"/>
      <c r="TMH208" s="133"/>
      <c r="TMI208" s="133"/>
      <c r="TMJ208" s="133"/>
      <c r="TMK208" s="133"/>
      <c r="TML208" s="133"/>
      <c r="TMM208" s="133"/>
      <c r="TMN208" s="133"/>
      <c r="TMO208" s="133"/>
      <c r="TMP208" s="133"/>
      <c r="TMQ208" s="133"/>
      <c r="TMR208" s="133"/>
      <c r="TMS208" s="133"/>
      <c r="TMT208" s="133"/>
      <c r="TMU208" s="133"/>
      <c r="TMV208" s="133"/>
      <c r="TMW208" s="133"/>
      <c r="TMX208" s="133"/>
      <c r="TMY208" s="133"/>
      <c r="TMZ208" s="133"/>
      <c r="TNA208" s="133"/>
      <c r="TNB208" s="133"/>
      <c r="TNC208" s="133"/>
      <c r="TND208" s="133"/>
      <c r="TNE208" s="133"/>
      <c r="TNF208" s="133"/>
      <c r="TNG208" s="133"/>
      <c r="TNH208" s="133"/>
      <c r="TNI208" s="133"/>
      <c r="TNJ208" s="133"/>
      <c r="TNK208" s="133"/>
      <c r="TNL208" s="133"/>
      <c r="TNM208" s="133"/>
      <c r="TNN208" s="133"/>
      <c r="TNO208" s="133"/>
      <c r="TNP208" s="133"/>
      <c r="TNQ208" s="133"/>
      <c r="TNR208" s="133"/>
      <c r="TNS208" s="133"/>
      <c r="TNT208" s="133"/>
      <c r="TNU208" s="133"/>
      <c r="TNV208" s="133"/>
      <c r="TNW208" s="133"/>
      <c r="TNX208" s="133"/>
      <c r="TNY208" s="133"/>
      <c r="TNZ208" s="133"/>
      <c r="TOA208" s="133"/>
      <c r="TOB208" s="133"/>
      <c r="TOC208" s="133"/>
      <c r="TOD208" s="133"/>
      <c r="TOE208" s="133"/>
      <c r="TOF208" s="133"/>
      <c r="TOG208" s="133"/>
      <c r="TOH208" s="133"/>
      <c r="TOI208" s="133"/>
      <c r="TOJ208" s="133"/>
      <c r="TOK208" s="133"/>
      <c r="TOL208" s="133"/>
      <c r="TOM208" s="133"/>
      <c r="TON208" s="133"/>
      <c r="TOO208" s="133"/>
      <c r="TOP208" s="133"/>
      <c r="TOQ208" s="133"/>
      <c r="TOR208" s="133"/>
      <c r="TOS208" s="133"/>
      <c r="TOT208" s="133"/>
      <c r="TOU208" s="133"/>
      <c r="TOV208" s="133"/>
      <c r="TOW208" s="133"/>
      <c r="TOX208" s="133"/>
      <c r="TOY208" s="133"/>
      <c r="TOZ208" s="133"/>
      <c r="TPA208" s="133"/>
      <c r="TPB208" s="133"/>
      <c r="TPC208" s="133"/>
      <c r="TPD208" s="133"/>
      <c r="TPE208" s="133"/>
      <c r="TPF208" s="133"/>
      <c r="TPG208" s="133"/>
      <c r="TPH208" s="133"/>
      <c r="TPI208" s="133"/>
      <c r="TPJ208" s="133"/>
      <c r="TPK208" s="133"/>
      <c r="TPL208" s="133"/>
      <c r="TPM208" s="133"/>
      <c r="TPN208" s="133"/>
      <c r="TPO208" s="133"/>
      <c r="TPP208" s="133"/>
      <c r="TPQ208" s="133"/>
      <c r="TPR208" s="133"/>
      <c r="TPS208" s="133"/>
      <c r="TPT208" s="133"/>
      <c r="TPU208" s="133"/>
      <c r="TPV208" s="133"/>
      <c r="TPW208" s="133"/>
      <c r="TPX208" s="133"/>
      <c r="TPY208" s="133"/>
      <c r="TPZ208" s="133"/>
      <c r="TQA208" s="133"/>
      <c r="TQB208" s="133"/>
      <c r="TQC208" s="133"/>
      <c r="TQD208" s="133"/>
      <c r="TQE208" s="133"/>
      <c r="TQF208" s="133"/>
      <c r="TQG208" s="133"/>
      <c r="TQH208" s="133"/>
      <c r="TQI208" s="133"/>
      <c r="TQJ208" s="133"/>
      <c r="TQK208" s="133"/>
      <c r="TQL208" s="133"/>
      <c r="TQM208" s="133"/>
      <c r="TQN208" s="133"/>
      <c r="TQO208" s="133"/>
      <c r="TQP208" s="133"/>
      <c r="TQQ208" s="133"/>
      <c r="TQR208" s="133"/>
      <c r="TQS208" s="133"/>
      <c r="TQT208" s="133"/>
      <c r="TQU208" s="133"/>
      <c r="TQV208" s="133"/>
      <c r="TQW208" s="133"/>
      <c r="TQX208" s="133"/>
      <c r="TQY208" s="133"/>
      <c r="TQZ208" s="133"/>
      <c r="TRA208" s="133"/>
      <c r="TRB208" s="133"/>
      <c r="TRC208" s="133"/>
      <c r="TRD208" s="133"/>
      <c r="TRE208" s="133"/>
      <c r="TRF208" s="133"/>
      <c r="TRG208" s="133"/>
      <c r="TRH208" s="133"/>
      <c r="TRI208" s="133"/>
      <c r="TRJ208" s="133"/>
      <c r="TRK208" s="133"/>
      <c r="TRL208" s="133"/>
      <c r="TRM208" s="133"/>
      <c r="TRN208" s="133"/>
      <c r="TRO208" s="133"/>
      <c r="TRP208" s="133"/>
      <c r="TRQ208" s="133"/>
      <c r="TRR208" s="133"/>
      <c r="TRS208" s="133"/>
      <c r="TRT208" s="133"/>
      <c r="TRU208" s="133"/>
      <c r="TRV208" s="133"/>
      <c r="TRW208" s="133"/>
      <c r="TRX208" s="133"/>
      <c r="TRY208" s="133"/>
      <c r="TRZ208" s="133"/>
      <c r="TSA208" s="133"/>
      <c r="TSB208" s="133"/>
      <c r="TSC208" s="133"/>
      <c r="TSD208" s="133"/>
      <c r="TSE208" s="133"/>
      <c r="TSF208" s="133"/>
      <c r="TSG208" s="133"/>
      <c r="TSH208" s="133"/>
      <c r="TSI208" s="133"/>
      <c r="TSJ208" s="133"/>
      <c r="TSK208" s="133"/>
      <c r="TSL208" s="133"/>
      <c r="TSM208" s="133"/>
      <c r="TSN208" s="133"/>
      <c r="TSO208" s="133"/>
      <c r="TSP208" s="133"/>
      <c r="TSQ208" s="133"/>
      <c r="TSR208" s="133"/>
      <c r="TSS208" s="133"/>
      <c r="TST208" s="133"/>
      <c r="TSU208" s="133"/>
      <c r="TSV208" s="133"/>
      <c r="TSW208" s="133"/>
      <c r="TSX208" s="133"/>
      <c r="TSY208" s="133"/>
      <c r="TSZ208" s="133"/>
      <c r="TTA208" s="133"/>
      <c r="TTB208" s="133"/>
      <c r="TTC208" s="133"/>
      <c r="TTD208" s="133"/>
      <c r="TTE208" s="133"/>
      <c r="TTF208" s="133"/>
      <c r="TTG208" s="133"/>
      <c r="TTH208" s="133"/>
      <c r="TTI208" s="133"/>
      <c r="TTJ208" s="133"/>
      <c r="TTK208" s="133"/>
      <c r="TTL208" s="133"/>
      <c r="TTM208" s="133"/>
      <c r="TTN208" s="133"/>
      <c r="TTO208" s="133"/>
      <c r="TTP208" s="133"/>
      <c r="TTQ208" s="133"/>
      <c r="TTR208" s="133"/>
      <c r="TTS208" s="133"/>
      <c r="TTT208" s="133"/>
      <c r="TTU208" s="133"/>
      <c r="TTV208" s="133"/>
      <c r="TTW208" s="133"/>
      <c r="TTX208" s="133"/>
      <c r="TTY208" s="133"/>
      <c r="TTZ208" s="133"/>
      <c r="TUA208" s="133"/>
      <c r="TUB208" s="133"/>
      <c r="TUC208" s="133"/>
      <c r="TUD208" s="133"/>
      <c r="TUE208" s="133"/>
      <c r="TUF208" s="133"/>
      <c r="TUG208" s="133"/>
      <c r="TUH208" s="133"/>
      <c r="TUI208" s="133"/>
      <c r="TUJ208" s="133"/>
      <c r="TUK208" s="133"/>
      <c r="TUL208" s="133"/>
      <c r="TUM208" s="133"/>
      <c r="TUN208" s="133"/>
      <c r="TUO208" s="133"/>
      <c r="TUP208" s="133"/>
      <c r="TUQ208" s="133"/>
      <c r="TUR208" s="133"/>
      <c r="TUS208" s="133"/>
      <c r="TUT208" s="133"/>
      <c r="TUU208" s="133"/>
      <c r="TUV208" s="133"/>
      <c r="TUW208" s="133"/>
      <c r="TUX208" s="133"/>
      <c r="TUY208" s="133"/>
      <c r="TUZ208" s="133"/>
      <c r="TVA208" s="133"/>
      <c r="TVB208" s="133"/>
      <c r="TVC208" s="133"/>
      <c r="TVD208" s="133"/>
      <c r="TVE208" s="133"/>
      <c r="TVF208" s="133"/>
      <c r="TVG208" s="133"/>
      <c r="TVH208" s="133"/>
      <c r="TVI208" s="133"/>
      <c r="TVJ208" s="133"/>
      <c r="TVK208" s="133"/>
      <c r="TVL208" s="133"/>
      <c r="TVM208" s="133"/>
      <c r="TVN208" s="133"/>
      <c r="TVO208" s="133"/>
      <c r="TVP208" s="133"/>
      <c r="TVQ208" s="133"/>
      <c r="TVR208" s="133"/>
      <c r="TVS208" s="133"/>
      <c r="TVT208" s="133"/>
      <c r="TVU208" s="133"/>
      <c r="TVV208" s="133"/>
      <c r="TVW208" s="133"/>
      <c r="TVX208" s="133"/>
      <c r="TVY208" s="133"/>
      <c r="TVZ208" s="133"/>
      <c r="TWA208" s="133"/>
      <c r="TWB208" s="133"/>
      <c r="TWC208" s="133"/>
      <c r="TWD208" s="133"/>
      <c r="TWE208" s="133"/>
      <c r="TWF208" s="133"/>
      <c r="TWG208" s="133"/>
      <c r="TWH208" s="133"/>
      <c r="TWI208" s="133"/>
      <c r="TWJ208" s="133"/>
      <c r="TWK208" s="133"/>
      <c r="TWL208" s="133"/>
      <c r="TWM208" s="133"/>
      <c r="TWN208" s="133"/>
      <c r="TWO208" s="133"/>
      <c r="TWP208" s="133"/>
      <c r="TWQ208" s="133"/>
      <c r="TWR208" s="133"/>
      <c r="TWS208" s="133"/>
      <c r="TWT208" s="133"/>
      <c r="TWU208" s="133"/>
      <c r="TWV208" s="133"/>
      <c r="TWW208" s="133"/>
      <c r="TWX208" s="133"/>
      <c r="TWY208" s="133"/>
      <c r="TWZ208" s="133"/>
      <c r="TXA208" s="133"/>
      <c r="TXB208" s="133"/>
      <c r="TXC208" s="133"/>
      <c r="TXD208" s="133"/>
      <c r="TXE208" s="133"/>
      <c r="TXF208" s="133"/>
      <c r="TXG208" s="133"/>
      <c r="TXH208" s="133"/>
      <c r="TXI208" s="133"/>
      <c r="TXJ208" s="133"/>
      <c r="TXK208" s="133"/>
      <c r="TXL208" s="133"/>
      <c r="TXM208" s="133"/>
      <c r="TXN208" s="133"/>
      <c r="TXO208" s="133"/>
      <c r="TXP208" s="133"/>
      <c r="TXQ208" s="133"/>
      <c r="TXR208" s="133"/>
      <c r="TXS208" s="133"/>
      <c r="TXT208" s="133"/>
      <c r="TXU208" s="133"/>
      <c r="TXV208" s="133"/>
      <c r="TXW208" s="133"/>
      <c r="TXX208" s="133"/>
      <c r="TXY208" s="133"/>
      <c r="TXZ208" s="133"/>
      <c r="TYA208" s="133"/>
      <c r="TYB208" s="133"/>
      <c r="TYC208" s="133"/>
      <c r="TYD208" s="133"/>
      <c r="TYE208" s="133"/>
      <c r="TYF208" s="133"/>
      <c r="TYG208" s="133"/>
      <c r="TYH208" s="133"/>
      <c r="TYI208" s="133"/>
      <c r="TYJ208" s="133"/>
      <c r="TYK208" s="133"/>
      <c r="TYL208" s="133"/>
      <c r="TYM208" s="133"/>
      <c r="TYN208" s="133"/>
      <c r="TYO208" s="133"/>
      <c r="TYP208" s="133"/>
      <c r="TYQ208" s="133"/>
      <c r="TYR208" s="133"/>
      <c r="TYS208" s="133"/>
      <c r="TYT208" s="133"/>
      <c r="TYU208" s="133"/>
      <c r="TYV208" s="133"/>
      <c r="TYW208" s="133"/>
      <c r="TYX208" s="133"/>
      <c r="TYY208" s="133"/>
      <c r="TYZ208" s="133"/>
      <c r="TZA208" s="133"/>
      <c r="TZB208" s="133"/>
      <c r="TZC208" s="133"/>
      <c r="TZD208" s="133"/>
      <c r="TZE208" s="133"/>
      <c r="TZF208" s="133"/>
      <c r="TZG208" s="133"/>
      <c r="TZH208" s="133"/>
      <c r="TZI208" s="133"/>
      <c r="TZJ208" s="133"/>
      <c r="TZK208" s="133"/>
      <c r="TZL208" s="133"/>
      <c r="TZM208" s="133"/>
      <c r="TZN208" s="133"/>
      <c r="TZO208" s="133"/>
      <c r="TZP208" s="133"/>
      <c r="TZQ208" s="133"/>
      <c r="TZR208" s="133"/>
      <c r="TZS208" s="133"/>
      <c r="TZT208" s="133"/>
      <c r="TZU208" s="133"/>
      <c r="TZV208" s="133"/>
      <c r="TZW208" s="133"/>
      <c r="TZX208" s="133"/>
      <c r="TZY208" s="133"/>
      <c r="TZZ208" s="133"/>
      <c r="UAA208" s="133"/>
      <c r="UAB208" s="133"/>
      <c r="UAC208" s="133"/>
      <c r="UAD208" s="133"/>
      <c r="UAE208" s="133"/>
      <c r="UAF208" s="133"/>
      <c r="UAG208" s="133"/>
      <c r="UAH208" s="133"/>
      <c r="UAI208" s="133"/>
      <c r="UAJ208" s="133"/>
      <c r="UAK208" s="133"/>
      <c r="UAL208" s="133"/>
      <c r="UAM208" s="133"/>
      <c r="UAN208" s="133"/>
      <c r="UAO208" s="133"/>
      <c r="UAP208" s="133"/>
      <c r="UAQ208" s="133"/>
      <c r="UAR208" s="133"/>
      <c r="UAS208" s="133"/>
      <c r="UAT208" s="133"/>
      <c r="UAU208" s="133"/>
      <c r="UAV208" s="133"/>
      <c r="UAW208" s="133"/>
      <c r="UAX208" s="133"/>
      <c r="UAY208" s="133"/>
      <c r="UAZ208" s="133"/>
      <c r="UBA208" s="133"/>
      <c r="UBB208" s="133"/>
      <c r="UBC208" s="133"/>
      <c r="UBD208" s="133"/>
      <c r="UBE208" s="133"/>
      <c r="UBF208" s="133"/>
      <c r="UBG208" s="133"/>
      <c r="UBH208" s="133"/>
      <c r="UBI208" s="133"/>
      <c r="UBJ208" s="133"/>
      <c r="UBK208" s="133"/>
      <c r="UBL208" s="133"/>
      <c r="UBM208" s="133"/>
      <c r="UBN208" s="133"/>
      <c r="UBO208" s="133"/>
      <c r="UBP208" s="133"/>
      <c r="UBQ208" s="133"/>
      <c r="UBR208" s="133"/>
      <c r="UBS208" s="133"/>
      <c r="UBT208" s="133"/>
      <c r="UBU208" s="133"/>
      <c r="UBV208" s="133"/>
      <c r="UBW208" s="133"/>
      <c r="UBX208" s="133"/>
      <c r="UBY208" s="133"/>
      <c r="UBZ208" s="133"/>
      <c r="UCA208" s="133"/>
      <c r="UCB208" s="133"/>
      <c r="UCC208" s="133"/>
      <c r="UCD208" s="133"/>
      <c r="UCE208" s="133"/>
      <c r="UCF208" s="133"/>
      <c r="UCG208" s="133"/>
      <c r="UCH208" s="133"/>
      <c r="UCI208" s="133"/>
      <c r="UCJ208" s="133"/>
      <c r="UCK208" s="133"/>
      <c r="UCL208" s="133"/>
      <c r="UCM208" s="133"/>
      <c r="UCN208" s="133"/>
      <c r="UCO208" s="133"/>
      <c r="UCP208" s="133"/>
      <c r="UCQ208" s="133"/>
      <c r="UCR208" s="133"/>
      <c r="UCS208" s="133"/>
      <c r="UCT208" s="133"/>
      <c r="UCU208" s="133"/>
      <c r="UCV208" s="133"/>
      <c r="UCW208" s="133"/>
      <c r="UCX208" s="133"/>
      <c r="UCY208" s="133"/>
      <c r="UCZ208" s="133"/>
      <c r="UDA208" s="133"/>
      <c r="UDB208" s="133"/>
      <c r="UDC208" s="133"/>
      <c r="UDD208" s="133"/>
      <c r="UDE208" s="133"/>
      <c r="UDF208" s="133"/>
      <c r="UDG208" s="133"/>
      <c r="UDH208" s="133"/>
      <c r="UDI208" s="133"/>
      <c r="UDJ208" s="133"/>
      <c r="UDK208" s="133"/>
      <c r="UDL208" s="133"/>
      <c r="UDM208" s="133"/>
      <c r="UDN208" s="133"/>
      <c r="UDO208" s="133"/>
      <c r="UDP208" s="133"/>
      <c r="UDQ208" s="133"/>
      <c r="UDR208" s="133"/>
      <c r="UDS208" s="133"/>
      <c r="UDT208" s="133"/>
      <c r="UDU208" s="133"/>
      <c r="UDV208" s="133"/>
      <c r="UDW208" s="133"/>
      <c r="UDX208" s="133"/>
      <c r="UDY208" s="133"/>
      <c r="UDZ208" s="133"/>
      <c r="UEA208" s="133"/>
      <c r="UEB208" s="133"/>
      <c r="UEC208" s="133"/>
      <c r="UED208" s="133"/>
      <c r="UEE208" s="133"/>
      <c r="UEF208" s="133"/>
      <c r="UEG208" s="133"/>
      <c r="UEH208" s="133"/>
      <c r="UEI208" s="133"/>
      <c r="UEJ208" s="133"/>
      <c r="UEK208" s="133"/>
      <c r="UEL208" s="133"/>
      <c r="UEM208" s="133"/>
      <c r="UEN208" s="133"/>
      <c r="UEO208" s="133"/>
      <c r="UEP208" s="133"/>
      <c r="UEQ208" s="133"/>
      <c r="UER208" s="133"/>
      <c r="UES208" s="133"/>
      <c r="UET208" s="133"/>
      <c r="UEU208" s="133"/>
      <c r="UEV208" s="133"/>
      <c r="UEW208" s="133"/>
      <c r="UEX208" s="133"/>
      <c r="UEY208" s="133"/>
      <c r="UEZ208" s="133"/>
      <c r="UFA208" s="133"/>
      <c r="UFB208" s="133"/>
      <c r="UFC208" s="133"/>
      <c r="UFD208" s="133"/>
      <c r="UFE208" s="133"/>
      <c r="UFF208" s="133"/>
      <c r="UFG208" s="133"/>
      <c r="UFH208" s="133"/>
      <c r="UFI208" s="133"/>
      <c r="UFJ208" s="133"/>
      <c r="UFK208" s="133"/>
      <c r="UFL208" s="133"/>
      <c r="UFM208" s="133"/>
      <c r="UFN208" s="133"/>
      <c r="UFO208" s="133"/>
      <c r="UFP208" s="133"/>
      <c r="UFQ208" s="133"/>
      <c r="UFR208" s="133"/>
      <c r="UFS208" s="133"/>
      <c r="UFT208" s="133"/>
      <c r="UFU208" s="133"/>
      <c r="UFV208" s="133"/>
      <c r="UFW208" s="133"/>
      <c r="UFX208" s="133"/>
      <c r="UFY208" s="133"/>
      <c r="UFZ208" s="133"/>
      <c r="UGA208" s="133"/>
      <c r="UGB208" s="133"/>
      <c r="UGC208" s="133"/>
      <c r="UGD208" s="133"/>
      <c r="UGE208" s="133"/>
      <c r="UGF208" s="133"/>
      <c r="UGG208" s="133"/>
      <c r="UGH208" s="133"/>
      <c r="UGI208" s="133"/>
      <c r="UGJ208" s="133"/>
      <c r="UGK208" s="133"/>
      <c r="UGL208" s="133"/>
      <c r="UGM208" s="133"/>
      <c r="UGN208" s="133"/>
      <c r="UGO208" s="133"/>
      <c r="UGP208" s="133"/>
      <c r="UGQ208" s="133"/>
      <c r="UGR208" s="133"/>
      <c r="UGS208" s="133"/>
      <c r="UGT208" s="133"/>
      <c r="UGU208" s="133"/>
      <c r="UGV208" s="133"/>
      <c r="UGW208" s="133"/>
      <c r="UGX208" s="133"/>
      <c r="UGY208" s="133"/>
      <c r="UGZ208" s="133"/>
      <c r="UHA208" s="133"/>
      <c r="UHB208" s="133"/>
      <c r="UHC208" s="133"/>
      <c r="UHD208" s="133"/>
      <c r="UHE208" s="133"/>
      <c r="UHF208" s="133"/>
      <c r="UHG208" s="133"/>
      <c r="UHH208" s="133"/>
      <c r="UHI208" s="133"/>
      <c r="UHJ208" s="133"/>
      <c r="UHK208" s="133"/>
      <c r="UHL208" s="133"/>
      <c r="UHM208" s="133"/>
      <c r="UHN208" s="133"/>
      <c r="UHO208" s="133"/>
      <c r="UHP208" s="133"/>
      <c r="UHQ208" s="133"/>
      <c r="UHR208" s="133"/>
      <c r="UHS208" s="133"/>
      <c r="UHT208" s="133"/>
      <c r="UHU208" s="133"/>
      <c r="UHV208" s="133"/>
      <c r="UHW208" s="133"/>
      <c r="UHX208" s="133"/>
      <c r="UHY208" s="133"/>
      <c r="UHZ208" s="133"/>
      <c r="UIA208" s="133"/>
      <c r="UIB208" s="133"/>
      <c r="UIC208" s="133"/>
      <c r="UID208" s="133"/>
      <c r="UIE208" s="133"/>
      <c r="UIF208" s="133"/>
      <c r="UIG208" s="133"/>
      <c r="UIH208" s="133"/>
      <c r="UII208" s="133"/>
      <c r="UIJ208" s="133"/>
      <c r="UIK208" s="133"/>
      <c r="UIL208" s="133"/>
      <c r="UIM208" s="133"/>
      <c r="UIN208" s="133"/>
      <c r="UIO208" s="133"/>
      <c r="UIP208" s="133"/>
      <c r="UIQ208" s="133"/>
      <c r="UIR208" s="133"/>
      <c r="UIS208" s="133"/>
      <c r="UIT208" s="133"/>
      <c r="UIU208" s="133"/>
      <c r="UIV208" s="133"/>
      <c r="UIW208" s="133"/>
      <c r="UIX208" s="133"/>
      <c r="UIY208" s="133"/>
      <c r="UIZ208" s="133"/>
      <c r="UJA208" s="133"/>
      <c r="UJB208" s="133"/>
      <c r="UJC208" s="133"/>
      <c r="UJD208" s="133"/>
      <c r="UJE208" s="133"/>
      <c r="UJF208" s="133"/>
      <c r="UJG208" s="133"/>
      <c r="UJH208" s="133"/>
      <c r="UJI208" s="133"/>
      <c r="UJJ208" s="133"/>
      <c r="UJK208" s="133"/>
      <c r="UJL208" s="133"/>
      <c r="UJM208" s="133"/>
      <c r="UJN208" s="133"/>
      <c r="UJO208" s="133"/>
      <c r="UJP208" s="133"/>
      <c r="UJQ208" s="133"/>
      <c r="UJR208" s="133"/>
      <c r="UJS208" s="133"/>
      <c r="UJT208" s="133"/>
      <c r="UJU208" s="133"/>
      <c r="UJV208" s="133"/>
      <c r="UJW208" s="133"/>
      <c r="UJX208" s="133"/>
      <c r="UJY208" s="133"/>
      <c r="UJZ208" s="133"/>
      <c r="UKA208" s="133"/>
      <c r="UKB208" s="133"/>
      <c r="UKC208" s="133"/>
      <c r="UKD208" s="133"/>
      <c r="UKE208" s="133"/>
      <c r="UKF208" s="133"/>
      <c r="UKG208" s="133"/>
      <c r="UKH208" s="133"/>
      <c r="UKI208" s="133"/>
      <c r="UKJ208" s="133"/>
      <c r="UKK208" s="133"/>
      <c r="UKL208" s="133"/>
      <c r="UKM208" s="133"/>
      <c r="UKN208" s="133"/>
      <c r="UKO208" s="133"/>
      <c r="UKP208" s="133"/>
      <c r="UKQ208" s="133"/>
      <c r="UKR208" s="133"/>
      <c r="UKS208" s="133"/>
      <c r="UKT208" s="133"/>
      <c r="UKU208" s="133"/>
      <c r="UKV208" s="133"/>
      <c r="UKW208" s="133"/>
      <c r="UKX208" s="133"/>
      <c r="UKY208" s="133"/>
      <c r="UKZ208" s="133"/>
      <c r="ULA208" s="133"/>
      <c r="ULB208" s="133"/>
      <c r="ULC208" s="133"/>
      <c r="ULD208" s="133"/>
      <c r="ULE208" s="133"/>
      <c r="ULF208" s="133"/>
      <c r="ULG208" s="133"/>
      <c r="ULH208" s="133"/>
      <c r="ULI208" s="133"/>
      <c r="ULJ208" s="133"/>
      <c r="ULK208" s="133"/>
      <c r="ULL208" s="133"/>
      <c r="ULM208" s="133"/>
      <c r="ULN208" s="133"/>
      <c r="ULO208" s="133"/>
      <c r="ULP208" s="133"/>
      <c r="ULQ208" s="133"/>
      <c r="ULR208" s="133"/>
      <c r="ULS208" s="133"/>
      <c r="ULT208" s="133"/>
      <c r="ULU208" s="133"/>
      <c r="ULV208" s="133"/>
      <c r="ULW208" s="133"/>
      <c r="ULX208" s="133"/>
      <c r="ULY208" s="133"/>
      <c r="ULZ208" s="133"/>
      <c r="UMA208" s="133"/>
      <c r="UMB208" s="133"/>
      <c r="UMC208" s="133"/>
      <c r="UMD208" s="133"/>
      <c r="UME208" s="133"/>
      <c r="UMF208" s="133"/>
      <c r="UMG208" s="133"/>
      <c r="UMH208" s="133"/>
      <c r="UMI208" s="133"/>
      <c r="UMJ208" s="133"/>
      <c r="UMK208" s="133"/>
      <c r="UML208" s="133"/>
      <c r="UMM208" s="133"/>
      <c r="UMN208" s="133"/>
      <c r="UMO208" s="133"/>
      <c r="UMP208" s="133"/>
      <c r="UMQ208" s="133"/>
      <c r="UMR208" s="133"/>
      <c r="UMS208" s="133"/>
      <c r="UMT208" s="133"/>
      <c r="UMU208" s="133"/>
      <c r="UMV208" s="133"/>
      <c r="UMW208" s="133"/>
      <c r="UMX208" s="133"/>
      <c r="UMY208" s="133"/>
      <c r="UMZ208" s="133"/>
      <c r="UNA208" s="133"/>
      <c r="UNB208" s="133"/>
      <c r="UNC208" s="133"/>
      <c r="UND208" s="133"/>
      <c r="UNE208" s="133"/>
      <c r="UNF208" s="133"/>
      <c r="UNG208" s="133"/>
      <c r="UNH208" s="133"/>
      <c r="UNI208" s="133"/>
      <c r="UNJ208" s="133"/>
      <c r="UNK208" s="133"/>
      <c r="UNL208" s="133"/>
      <c r="UNM208" s="133"/>
      <c r="UNN208" s="133"/>
      <c r="UNO208" s="133"/>
      <c r="UNP208" s="133"/>
      <c r="UNQ208" s="133"/>
      <c r="UNR208" s="133"/>
      <c r="UNS208" s="133"/>
      <c r="UNT208" s="133"/>
      <c r="UNU208" s="133"/>
      <c r="UNV208" s="133"/>
      <c r="UNW208" s="133"/>
      <c r="UNX208" s="133"/>
      <c r="UNY208" s="133"/>
      <c r="UNZ208" s="133"/>
      <c r="UOA208" s="133"/>
      <c r="UOB208" s="133"/>
      <c r="UOC208" s="133"/>
      <c r="UOD208" s="133"/>
      <c r="UOE208" s="133"/>
      <c r="UOF208" s="133"/>
      <c r="UOG208" s="133"/>
      <c r="UOH208" s="133"/>
      <c r="UOI208" s="133"/>
      <c r="UOJ208" s="133"/>
      <c r="UOK208" s="133"/>
      <c r="UOL208" s="133"/>
      <c r="UOM208" s="133"/>
      <c r="UON208" s="133"/>
      <c r="UOO208" s="133"/>
      <c r="UOP208" s="133"/>
      <c r="UOQ208" s="133"/>
      <c r="UOR208" s="133"/>
      <c r="UOS208" s="133"/>
      <c r="UOT208" s="133"/>
      <c r="UOU208" s="133"/>
      <c r="UOV208" s="133"/>
      <c r="UOW208" s="133"/>
      <c r="UOX208" s="133"/>
      <c r="UOY208" s="133"/>
      <c r="UOZ208" s="133"/>
      <c r="UPA208" s="133"/>
      <c r="UPB208" s="133"/>
      <c r="UPC208" s="133"/>
      <c r="UPD208" s="133"/>
      <c r="UPE208" s="133"/>
      <c r="UPF208" s="133"/>
      <c r="UPG208" s="133"/>
      <c r="UPH208" s="133"/>
      <c r="UPI208" s="133"/>
      <c r="UPJ208" s="133"/>
      <c r="UPK208" s="133"/>
      <c r="UPL208" s="133"/>
      <c r="UPM208" s="133"/>
      <c r="UPN208" s="133"/>
      <c r="UPO208" s="133"/>
      <c r="UPP208" s="133"/>
      <c r="UPQ208" s="133"/>
      <c r="UPR208" s="133"/>
      <c r="UPS208" s="133"/>
      <c r="UPT208" s="133"/>
      <c r="UPU208" s="133"/>
      <c r="UPV208" s="133"/>
      <c r="UPW208" s="133"/>
      <c r="UPX208" s="133"/>
      <c r="UPY208" s="133"/>
      <c r="UPZ208" s="133"/>
      <c r="UQA208" s="133"/>
      <c r="UQB208" s="133"/>
      <c r="UQC208" s="133"/>
      <c r="UQD208" s="133"/>
      <c r="UQE208" s="133"/>
      <c r="UQF208" s="133"/>
      <c r="UQG208" s="133"/>
      <c r="UQH208" s="133"/>
      <c r="UQI208" s="133"/>
      <c r="UQJ208" s="133"/>
      <c r="UQK208" s="133"/>
      <c r="UQL208" s="133"/>
      <c r="UQM208" s="133"/>
      <c r="UQN208" s="133"/>
      <c r="UQO208" s="133"/>
      <c r="UQP208" s="133"/>
      <c r="UQQ208" s="133"/>
      <c r="UQR208" s="133"/>
      <c r="UQS208" s="133"/>
      <c r="UQT208" s="133"/>
      <c r="UQU208" s="133"/>
      <c r="UQV208" s="133"/>
      <c r="UQW208" s="133"/>
      <c r="UQX208" s="133"/>
      <c r="UQY208" s="133"/>
      <c r="UQZ208" s="133"/>
      <c r="URA208" s="133"/>
      <c r="URB208" s="133"/>
      <c r="URC208" s="133"/>
      <c r="URD208" s="133"/>
      <c r="URE208" s="133"/>
      <c r="URF208" s="133"/>
      <c r="URG208" s="133"/>
      <c r="URH208" s="133"/>
      <c r="URI208" s="133"/>
      <c r="URJ208" s="133"/>
      <c r="URK208" s="133"/>
      <c r="URL208" s="133"/>
      <c r="URM208" s="133"/>
      <c r="URN208" s="133"/>
      <c r="URO208" s="133"/>
      <c r="URP208" s="133"/>
      <c r="URQ208" s="133"/>
      <c r="URR208" s="133"/>
      <c r="URS208" s="133"/>
      <c r="URT208" s="133"/>
      <c r="URU208" s="133"/>
      <c r="URV208" s="133"/>
      <c r="URW208" s="133"/>
      <c r="URX208" s="133"/>
      <c r="URY208" s="133"/>
      <c r="URZ208" s="133"/>
      <c r="USA208" s="133"/>
      <c r="USB208" s="133"/>
      <c r="USC208" s="133"/>
      <c r="USD208" s="133"/>
      <c r="USE208" s="133"/>
      <c r="USF208" s="133"/>
      <c r="USG208" s="133"/>
      <c r="USH208" s="133"/>
      <c r="USI208" s="133"/>
      <c r="USJ208" s="133"/>
      <c r="USK208" s="133"/>
      <c r="USL208" s="133"/>
      <c r="USM208" s="133"/>
      <c r="USN208" s="133"/>
      <c r="USO208" s="133"/>
      <c r="USP208" s="133"/>
      <c r="USQ208" s="133"/>
      <c r="USR208" s="133"/>
      <c r="USS208" s="133"/>
      <c r="UST208" s="133"/>
      <c r="USU208" s="133"/>
      <c r="USV208" s="133"/>
      <c r="USW208" s="133"/>
      <c r="USX208" s="133"/>
      <c r="USY208" s="133"/>
      <c r="USZ208" s="133"/>
      <c r="UTA208" s="133"/>
      <c r="UTB208" s="133"/>
      <c r="UTC208" s="133"/>
      <c r="UTD208" s="133"/>
      <c r="UTE208" s="133"/>
      <c r="UTF208" s="133"/>
      <c r="UTG208" s="133"/>
      <c r="UTH208" s="133"/>
      <c r="UTI208" s="133"/>
      <c r="UTJ208" s="133"/>
      <c r="UTK208" s="133"/>
      <c r="UTL208" s="133"/>
      <c r="UTM208" s="133"/>
      <c r="UTN208" s="133"/>
      <c r="UTO208" s="133"/>
      <c r="UTP208" s="133"/>
      <c r="UTQ208" s="133"/>
      <c r="UTR208" s="133"/>
      <c r="UTS208" s="133"/>
      <c r="UTT208" s="133"/>
      <c r="UTU208" s="133"/>
      <c r="UTV208" s="133"/>
      <c r="UTW208" s="133"/>
      <c r="UTX208" s="133"/>
      <c r="UTY208" s="133"/>
      <c r="UTZ208" s="133"/>
      <c r="UUA208" s="133"/>
      <c r="UUB208" s="133"/>
      <c r="UUC208" s="133"/>
      <c r="UUD208" s="133"/>
      <c r="UUE208" s="133"/>
      <c r="UUF208" s="133"/>
      <c r="UUG208" s="133"/>
      <c r="UUH208" s="133"/>
      <c r="UUI208" s="133"/>
      <c r="UUJ208" s="133"/>
      <c r="UUK208" s="133"/>
      <c r="UUL208" s="133"/>
      <c r="UUM208" s="133"/>
      <c r="UUN208" s="133"/>
      <c r="UUO208" s="133"/>
      <c r="UUP208" s="133"/>
      <c r="UUQ208" s="133"/>
      <c r="UUR208" s="133"/>
      <c r="UUS208" s="133"/>
      <c r="UUT208" s="133"/>
      <c r="UUU208" s="133"/>
      <c r="UUV208" s="133"/>
      <c r="UUW208" s="133"/>
      <c r="UUX208" s="133"/>
      <c r="UUY208" s="133"/>
      <c r="UUZ208" s="133"/>
      <c r="UVA208" s="133"/>
      <c r="UVB208" s="133"/>
      <c r="UVC208" s="133"/>
      <c r="UVD208" s="133"/>
      <c r="UVE208" s="133"/>
      <c r="UVF208" s="133"/>
      <c r="UVG208" s="133"/>
      <c r="UVH208" s="133"/>
      <c r="UVI208" s="133"/>
      <c r="UVJ208" s="133"/>
      <c r="UVK208" s="133"/>
      <c r="UVL208" s="133"/>
      <c r="UVM208" s="133"/>
      <c r="UVN208" s="133"/>
      <c r="UVO208" s="133"/>
      <c r="UVP208" s="133"/>
      <c r="UVQ208" s="133"/>
      <c r="UVR208" s="133"/>
      <c r="UVS208" s="133"/>
      <c r="UVT208" s="133"/>
      <c r="UVU208" s="133"/>
      <c r="UVV208" s="133"/>
      <c r="UVW208" s="133"/>
      <c r="UVX208" s="133"/>
      <c r="UVY208" s="133"/>
      <c r="UVZ208" s="133"/>
      <c r="UWA208" s="133"/>
      <c r="UWB208" s="133"/>
      <c r="UWC208" s="133"/>
      <c r="UWD208" s="133"/>
      <c r="UWE208" s="133"/>
      <c r="UWF208" s="133"/>
      <c r="UWG208" s="133"/>
      <c r="UWH208" s="133"/>
      <c r="UWI208" s="133"/>
      <c r="UWJ208" s="133"/>
      <c r="UWK208" s="133"/>
      <c r="UWL208" s="133"/>
      <c r="UWM208" s="133"/>
      <c r="UWN208" s="133"/>
      <c r="UWO208" s="133"/>
      <c r="UWP208" s="133"/>
      <c r="UWQ208" s="133"/>
      <c r="UWR208" s="133"/>
      <c r="UWS208" s="133"/>
      <c r="UWT208" s="133"/>
      <c r="UWU208" s="133"/>
      <c r="UWV208" s="133"/>
      <c r="UWW208" s="133"/>
      <c r="UWX208" s="133"/>
      <c r="UWY208" s="133"/>
      <c r="UWZ208" s="133"/>
      <c r="UXA208" s="133"/>
      <c r="UXB208" s="133"/>
      <c r="UXC208" s="133"/>
      <c r="UXD208" s="133"/>
      <c r="UXE208" s="133"/>
      <c r="UXF208" s="133"/>
      <c r="UXG208" s="133"/>
      <c r="UXH208" s="133"/>
      <c r="UXI208" s="133"/>
      <c r="UXJ208" s="133"/>
      <c r="UXK208" s="133"/>
      <c r="UXL208" s="133"/>
      <c r="UXM208" s="133"/>
      <c r="UXN208" s="133"/>
      <c r="UXO208" s="133"/>
      <c r="UXP208" s="133"/>
      <c r="UXQ208" s="133"/>
      <c r="UXR208" s="133"/>
      <c r="UXS208" s="133"/>
      <c r="UXT208" s="133"/>
      <c r="UXU208" s="133"/>
      <c r="UXV208" s="133"/>
      <c r="UXW208" s="133"/>
      <c r="UXX208" s="133"/>
      <c r="UXY208" s="133"/>
      <c r="UXZ208" s="133"/>
      <c r="UYA208" s="133"/>
      <c r="UYB208" s="133"/>
      <c r="UYC208" s="133"/>
      <c r="UYD208" s="133"/>
      <c r="UYE208" s="133"/>
      <c r="UYF208" s="133"/>
      <c r="UYG208" s="133"/>
      <c r="UYH208" s="133"/>
      <c r="UYI208" s="133"/>
      <c r="UYJ208" s="133"/>
      <c r="UYK208" s="133"/>
      <c r="UYL208" s="133"/>
      <c r="UYM208" s="133"/>
      <c r="UYN208" s="133"/>
      <c r="UYO208" s="133"/>
      <c r="UYP208" s="133"/>
      <c r="UYQ208" s="133"/>
      <c r="UYR208" s="133"/>
      <c r="UYS208" s="133"/>
      <c r="UYT208" s="133"/>
      <c r="UYU208" s="133"/>
      <c r="UYV208" s="133"/>
      <c r="UYW208" s="133"/>
      <c r="UYX208" s="133"/>
      <c r="UYY208" s="133"/>
      <c r="UYZ208" s="133"/>
      <c r="UZA208" s="133"/>
      <c r="UZB208" s="133"/>
      <c r="UZC208" s="133"/>
      <c r="UZD208" s="133"/>
      <c r="UZE208" s="133"/>
      <c r="UZF208" s="133"/>
      <c r="UZG208" s="133"/>
      <c r="UZH208" s="133"/>
      <c r="UZI208" s="133"/>
      <c r="UZJ208" s="133"/>
      <c r="UZK208" s="133"/>
      <c r="UZL208" s="133"/>
      <c r="UZM208" s="133"/>
      <c r="UZN208" s="133"/>
      <c r="UZO208" s="133"/>
      <c r="UZP208" s="133"/>
      <c r="UZQ208" s="133"/>
      <c r="UZR208" s="133"/>
      <c r="UZS208" s="133"/>
      <c r="UZT208" s="133"/>
      <c r="UZU208" s="133"/>
      <c r="UZV208" s="133"/>
      <c r="UZW208" s="133"/>
      <c r="UZX208" s="133"/>
      <c r="UZY208" s="133"/>
      <c r="UZZ208" s="133"/>
      <c r="VAA208" s="133"/>
      <c r="VAB208" s="133"/>
      <c r="VAC208" s="133"/>
      <c r="VAD208" s="133"/>
      <c r="VAE208" s="133"/>
      <c r="VAF208" s="133"/>
      <c r="VAG208" s="133"/>
      <c r="VAH208" s="133"/>
      <c r="VAI208" s="133"/>
      <c r="VAJ208" s="133"/>
      <c r="VAK208" s="133"/>
      <c r="VAL208" s="133"/>
      <c r="VAM208" s="133"/>
      <c r="VAN208" s="133"/>
      <c r="VAO208" s="133"/>
      <c r="VAP208" s="133"/>
      <c r="VAQ208" s="133"/>
      <c r="VAR208" s="133"/>
      <c r="VAS208" s="133"/>
      <c r="VAT208" s="133"/>
      <c r="VAU208" s="133"/>
      <c r="VAV208" s="133"/>
      <c r="VAW208" s="133"/>
      <c r="VAX208" s="133"/>
      <c r="VAY208" s="133"/>
      <c r="VAZ208" s="133"/>
      <c r="VBA208" s="133"/>
      <c r="VBB208" s="133"/>
      <c r="VBC208" s="133"/>
      <c r="VBD208" s="133"/>
      <c r="VBE208" s="133"/>
      <c r="VBF208" s="133"/>
      <c r="VBG208" s="133"/>
      <c r="VBH208" s="133"/>
      <c r="VBI208" s="133"/>
      <c r="VBJ208" s="133"/>
      <c r="VBK208" s="133"/>
      <c r="VBL208" s="133"/>
      <c r="VBM208" s="133"/>
      <c r="VBN208" s="133"/>
      <c r="VBO208" s="133"/>
      <c r="VBP208" s="133"/>
      <c r="VBQ208" s="133"/>
      <c r="VBR208" s="133"/>
      <c r="VBS208" s="133"/>
      <c r="VBT208" s="133"/>
      <c r="VBU208" s="133"/>
      <c r="VBV208" s="133"/>
      <c r="VBW208" s="133"/>
      <c r="VBX208" s="133"/>
      <c r="VBY208" s="133"/>
      <c r="VBZ208" s="133"/>
      <c r="VCA208" s="133"/>
      <c r="VCB208" s="133"/>
      <c r="VCC208" s="133"/>
      <c r="VCD208" s="133"/>
      <c r="VCE208" s="133"/>
      <c r="VCF208" s="133"/>
      <c r="VCG208" s="133"/>
      <c r="VCH208" s="133"/>
      <c r="VCI208" s="133"/>
      <c r="VCJ208" s="133"/>
      <c r="VCK208" s="133"/>
      <c r="VCL208" s="133"/>
      <c r="VCM208" s="133"/>
      <c r="VCN208" s="133"/>
      <c r="VCO208" s="133"/>
      <c r="VCP208" s="133"/>
      <c r="VCQ208" s="133"/>
      <c r="VCR208" s="133"/>
      <c r="VCS208" s="133"/>
      <c r="VCT208" s="133"/>
      <c r="VCU208" s="133"/>
      <c r="VCV208" s="133"/>
      <c r="VCW208" s="133"/>
      <c r="VCX208" s="133"/>
      <c r="VCY208" s="133"/>
      <c r="VCZ208" s="133"/>
      <c r="VDA208" s="133"/>
      <c r="VDB208" s="133"/>
      <c r="VDC208" s="133"/>
      <c r="VDD208" s="133"/>
      <c r="VDE208" s="133"/>
      <c r="VDF208" s="133"/>
      <c r="VDG208" s="133"/>
      <c r="VDH208" s="133"/>
      <c r="VDI208" s="133"/>
      <c r="VDJ208" s="133"/>
      <c r="VDK208" s="133"/>
      <c r="VDL208" s="133"/>
      <c r="VDM208" s="133"/>
      <c r="VDN208" s="133"/>
      <c r="VDO208" s="133"/>
      <c r="VDP208" s="133"/>
      <c r="VDQ208" s="133"/>
      <c r="VDR208" s="133"/>
      <c r="VDS208" s="133"/>
      <c r="VDT208" s="133"/>
      <c r="VDU208" s="133"/>
      <c r="VDV208" s="133"/>
      <c r="VDW208" s="133"/>
      <c r="VDX208" s="133"/>
      <c r="VDY208" s="133"/>
      <c r="VDZ208" s="133"/>
      <c r="VEA208" s="133"/>
      <c r="VEB208" s="133"/>
      <c r="VEC208" s="133"/>
      <c r="VED208" s="133"/>
      <c r="VEE208" s="133"/>
      <c r="VEF208" s="133"/>
      <c r="VEG208" s="133"/>
      <c r="VEH208" s="133"/>
      <c r="VEI208" s="133"/>
      <c r="VEJ208" s="133"/>
      <c r="VEK208" s="133"/>
      <c r="VEL208" s="133"/>
      <c r="VEM208" s="133"/>
      <c r="VEN208" s="133"/>
      <c r="VEO208" s="133"/>
      <c r="VEP208" s="133"/>
      <c r="VEQ208" s="133"/>
      <c r="VER208" s="133"/>
      <c r="VES208" s="133"/>
      <c r="VET208" s="133"/>
      <c r="VEU208" s="133"/>
      <c r="VEV208" s="133"/>
      <c r="VEW208" s="133"/>
      <c r="VEX208" s="133"/>
      <c r="VEY208" s="133"/>
      <c r="VEZ208" s="133"/>
      <c r="VFA208" s="133"/>
      <c r="VFB208" s="133"/>
      <c r="VFC208" s="133"/>
      <c r="VFD208" s="133"/>
      <c r="VFE208" s="133"/>
      <c r="VFF208" s="133"/>
      <c r="VFG208" s="133"/>
      <c r="VFH208" s="133"/>
      <c r="VFI208" s="133"/>
      <c r="VFJ208" s="133"/>
      <c r="VFK208" s="133"/>
      <c r="VFL208" s="133"/>
      <c r="VFM208" s="133"/>
      <c r="VFN208" s="133"/>
      <c r="VFO208" s="133"/>
      <c r="VFP208" s="133"/>
      <c r="VFQ208" s="133"/>
      <c r="VFR208" s="133"/>
      <c r="VFS208" s="133"/>
      <c r="VFT208" s="133"/>
      <c r="VFU208" s="133"/>
      <c r="VFV208" s="133"/>
      <c r="VFW208" s="133"/>
      <c r="VFX208" s="133"/>
      <c r="VFY208" s="133"/>
      <c r="VFZ208" s="133"/>
      <c r="VGA208" s="133"/>
      <c r="VGB208" s="133"/>
      <c r="VGC208" s="133"/>
      <c r="VGD208" s="133"/>
      <c r="VGE208" s="133"/>
      <c r="VGF208" s="133"/>
      <c r="VGG208" s="133"/>
      <c r="VGH208" s="133"/>
      <c r="VGI208" s="133"/>
      <c r="VGJ208" s="133"/>
      <c r="VGK208" s="133"/>
      <c r="VGL208" s="133"/>
      <c r="VGM208" s="133"/>
      <c r="VGN208" s="133"/>
      <c r="VGO208" s="133"/>
      <c r="VGP208" s="133"/>
      <c r="VGQ208" s="133"/>
      <c r="VGR208" s="133"/>
      <c r="VGS208" s="133"/>
      <c r="VGT208" s="133"/>
      <c r="VGU208" s="133"/>
      <c r="VGV208" s="133"/>
      <c r="VGW208" s="133"/>
      <c r="VGX208" s="133"/>
      <c r="VGY208" s="133"/>
      <c r="VGZ208" s="133"/>
      <c r="VHA208" s="133"/>
      <c r="VHB208" s="133"/>
      <c r="VHC208" s="133"/>
      <c r="VHD208" s="133"/>
      <c r="VHE208" s="133"/>
      <c r="VHF208" s="133"/>
      <c r="VHG208" s="133"/>
      <c r="VHH208" s="133"/>
      <c r="VHI208" s="133"/>
      <c r="VHJ208" s="133"/>
      <c r="VHK208" s="133"/>
      <c r="VHL208" s="133"/>
      <c r="VHM208" s="133"/>
      <c r="VHN208" s="133"/>
      <c r="VHO208" s="133"/>
      <c r="VHP208" s="133"/>
      <c r="VHQ208" s="133"/>
      <c r="VHR208" s="133"/>
      <c r="VHS208" s="133"/>
      <c r="VHT208" s="133"/>
      <c r="VHU208" s="133"/>
      <c r="VHV208" s="133"/>
      <c r="VHW208" s="133"/>
      <c r="VHX208" s="133"/>
      <c r="VHY208" s="133"/>
      <c r="VHZ208" s="133"/>
      <c r="VIA208" s="133"/>
      <c r="VIB208" s="133"/>
      <c r="VIC208" s="133"/>
      <c r="VID208" s="133"/>
      <c r="VIE208" s="133"/>
      <c r="VIF208" s="133"/>
      <c r="VIG208" s="133"/>
      <c r="VIH208" s="133"/>
      <c r="VII208" s="133"/>
      <c r="VIJ208" s="133"/>
      <c r="VIK208" s="133"/>
      <c r="VIL208" s="133"/>
      <c r="VIM208" s="133"/>
      <c r="VIN208" s="133"/>
      <c r="VIO208" s="133"/>
      <c r="VIP208" s="133"/>
      <c r="VIQ208" s="133"/>
      <c r="VIR208" s="133"/>
      <c r="VIS208" s="133"/>
      <c r="VIT208" s="133"/>
      <c r="VIU208" s="133"/>
      <c r="VIV208" s="133"/>
      <c r="VIW208" s="133"/>
      <c r="VIX208" s="133"/>
      <c r="VIY208" s="133"/>
      <c r="VIZ208" s="133"/>
      <c r="VJA208" s="133"/>
      <c r="VJB208" s="133"/>
      <c r="VJC208" s="133"/>
      <c r="VJD208" s="133"/>
      <c r="VJE208" s="133"/>
      <c r="VJF208" s="133"/>
      <c r="VJG208" s="133"/>
      <c r="VJH208" s="133"/>
      <c r="VJI208" s="133"/>
      <c r="VJJ208" s="133"/>
      <c r="VJK208" s="133"/>
      <c r="VJL208" s="133"/>
      <c r="VJM208" s="133"/>
      <c r="VJN208" s="133"/>
      <c r="VJO208" s="133"/>
      <c r="VJP208" s="133"/>
      <c r="VJQ208" s="133"/>
      <c r="VJR208" s="133"/>
      <c r="VJS208" s="133"/>
      <c r="VJT208" s="133"/>
      <c r="VJU208" s="133"/>
      <c r="VJV208" s="133"/>
      <c r="VJW208" s="133"/>
      <c r="VJX208" s="133"/>
      <c r="VJY208" s="133"/>
      <c r="VJZ208" s="133"/>
      <c r="VKA208" s="133"/>
      <c r="VKB208" s="133"/>
      <c r="VKC208" s="133"/>
      <c r="VKD208" s="133"/>
      <c r="VKE208" s="133"/>
      <c r="VKF208" s="133"/>
      <c r="VKG208" s="133"/>
      <c r="VKH208" s="133"/>
      <c r="VKI208" s="133"/>
      <c r="VKJ208" s="133"/>
      <c r="VKK208" s="133"/>
      <c r="VKL208" s="133"/>
      <c r="VKM208" s="133"/>
      <c r="VKN208" s="133"/>
      <c r="VKO208" s="133"/>
      <c r="VKP208" s="133"/>
      <c r="VKQ208" s="133"/>
      <c r="VKR208" s="133"/>
      <c r="VKS208" s="133"/>
      <c r="VKT208" s="133"/>
      <c r="VKU208" s="133"/>
      <c r="VKV208" s="133"/>
      <c r="VKW208" s="133"/>
      <c r="VKX208" s="133"/>
      <c r="VKY208" s="133"/>
      <c r="VKZ208" s="133"/>
      <c r="VLA208" s="133"/>
      <c r="VLB208" s="133"/>
      <c r="VLC208" s="133"/>
      <c r="VLD208" s="133"/>
      <c r="VLE208" s="133"/>
      <c r="VLF208" s="133"/>
      <c r="VLG208" s="133"/>
      <c r="VLH208" s="133"/>
      <c r="VLI208" s="133"/>
      <c r="VLJ208" s="133"/>
      <c r="VLK208" s="133"/>
      <c r="VLL208" s="133"/>
      <c r="VLM208" s="133"/>
      <c r="VLN208" s="133"/>
      <c r="VLO208" s="133"/>
      <c r="VLP208" s="133"/>
      <c r="VLQ208" s="133"/>
      <c r="VLR208" s="133"/>
      <c r="VLS208" s="133"/>
      <c r="VLT208" s="133"/>
      <c r="VLU208" s="133"/>
      <c r="VLV208" s="133"/>
      <c r="VLW208" s="133"/>
      <c r="VLX208" s="133"/>
      <c r="VLY208" s="133"/>
      <c r="VLZ208" s="133"/>
      <c r="VMA208" s="133"/>
      <c r="VMB208" s="133"/>
      <c r="VMC208" s="133"/>
      <c r="VMD208" s="133"/>
      <c r="VME208" s="133"/>
      <c r="VMF208" s="133"/>
      <c r="VMG208" s="133"/>
      <c r="VMH208" s="133"/>
      <c r="VMI208" s="133"/>
      <c r="VMJ208" s="133"/>
      <c r="VMK208" s="133"/>
      <c r="VML208" s="133"/>
      <c r="VMM208" s="133"/>
      <c r="VMN208" s="133"/>
      <c r="VMO208" s="133"/>
      <c r="VMP208" s="133"/>
      <c r="VMQ208" s="133"/>
      <c r="VMR208" s="133"/>
      <c r="VMS208" s="133"/>
      <c r="VMT208" s="133"/>
      <c r="VMU208" s="133"/>
      <c r="VMV208" s="133"/>
      <c r="VMW208" s="133"/>
      <c r="VMX208" s="133"/>
      <c r="VMY208" s="133"/>
      <c r="VMZ208" s="133"/>
      <c r="VNA208" s="133"/>
      <c r="VNB208" s="133"/>
      <c r="VNC208" s="133"/>
      <c r="VND208" s="133"/>
      <c r="VNE208" s="133"/>
      <c r="VNF208" s="133"/>
      <c r="VNG208" s="133"/>
      <c r="VNH208" s="133"/>
      <c r="VNI208" s="133"/>
      <c r="VNJ208" s="133"/>
      <c r="VNK208" s="133"/>
      <c r="VNL208" s="133"/>
      <c r="VNM208" s="133"/>
      <c r="VNN208" s="133"/>
      <c r="VNO208" s="133"/>
      <c r="VNP208" s="133"/>
      <c r="VNQ208" s="133"/>
      <c r="VNR208" s="133"/>
      <c r="VNS208" s="133"/>
      <c r="VNT208" s="133"/>
      <c r="VNU208" s="133"/>
      <c r="VNV208" s="133"/>
      <c r="VNW208" s="133"/>
      <c r="VNX208" s="133"/>
      <c r="VNY208" s="133"/>
      <c r="VNZ208" s="133"/>
      <c r="VOA208" s="133"/>
      <c r="VOB208" s="133"/>
      <c r="VOC208" s="133"/>
      <c r="VOD208" s="133"/>
      <c r="VOE208" s="133"/>
      <c r="VOF208" s="133"/>
      <c r="VOG208" s="133"/>
      <c r="VOH208" s="133"/>
      <c r="VOI208" s="133"/>
      <c r="VOJ208" s="133"/>
      <c r="VOK208" s="133"/>
      <c r="VOL208" s="133"/>
      <c r="VOM208" s="133"/>
      <c r="VON208" s="133"/>
      <c r="VOO208" s="133"/>
      <c r="VOP208" s="133"/>
      <c r="VOQ208" s="133"/>
      <c r="VOR208" s="133"/>
      <c r="VOS208" s="133"/>
      <c r="VOT208" s="133"/>
      <c r="VOU208" s="133"/>
      <c r="VOV208" s="133"/>
      <c r="VOW208" s="133"/>
      <c r="VOX208" s="133"/>
      <c r="VOY208" s="133"/>
      <c r="VOZ208" s="133"/>
      <c r="VPA208" s="133"/>
      <c r="VPB208" s="133"/>
      <c r="VPC208" s="133"/>
      <c r="VPD208" s="133"/>
      <c r="VPE208" s="133"/>
      <c r="VPF208" s="133"/>
      <c r="VPG208" s="133"/>
      <c r="VPH208" s="133"/>
      <c r="VPI208" s="133"/>
      <c r="VPJ208" s="133"/>
      <c r="VPK208" s="133"/>
      <c r="VPL208" s="133"/>
      <c r="VPM208" s="133"/>
      <c r="VPN208" s="133"/>
      <c r="VPO208" s="133"/>
      <c r="VPP208" s="133"/>
      <c r="VPQ208" s="133"/>
      <c r="VPR208" s="133"/>
      <c r="VPS208" s="133"/>
      <c r="VPT208" s="133"/>
      <c r="VPU208" s="133"/>
      <c r="VPV208" s="133"/>
      <c r="VPW208" s="133"/>
      <c r="VPX208" s="133"/>
      <c r="VPY208" s="133"/>
      <c r="VPZ208" s="133"/>
      <c r="VQA208" s="133"/>
      <c r="VQB208" s="133"/>
      <c r="VQC208" s="133"/>
      <c r="VQD208" s="133"/>
      <c r="VQE208" s="133"/>
      <c r="VQF208" s="133"/>
      <c r="VQG208" s="133"/>
      <c r="VQH208" s="133"/>
      <c r="VQI208" s="133"/>
      <c r="VQJ208" s="133"/>
      <c r="VQK208" s="133"/>
      <c r="VQL208" s="133"/>
      <c r="VQM208" s="133"/>
      <c r="VQN208" s="133"/>
      <c r="VQO208" s="133"/>
      <c r="VQP208" s="133"/>
      <c r="VQQ208" s="133"/>
      <c r="VQR208" s="133"/>
      <c r="VQS208" s="133"/>
      <c r="VQT208" s="133"/>
      <c r="VQU208" s="133"/>
      <c r="VQV208" s="133"/>
      <c r="VQW208" s="133"/>
      <c r="VQX208" s="133"/>
      <c r="VQY208" s="133"/>
      <c r="VQZ208" s="133"/>
      <c r="VRA208" s="133"/>
      <c r="VRB208" s="133"/>
      <c r="VRC208" s="133"/>
      <c r="VRD208" s="133"/>
      <c r="VRE208" s="133"/>
      <c r="VRF208" s="133"/>
      <c r="VRG208" s="133"/>
      <c r="VRH208" s="133"/>
      <c r="VRI208" s="133"/>
      <c r="VRJ208" s="133"/>
      <c r="VRK208" s="133"/>
      <c r="VRL208" s="133"/>
      <c r="VRM208" s="133"/>
      <c r="VRN208" s="133"/>
      <c r="VRO208" s="133"/>
      <c r="VRP208" s="133"/>
      <c r="VRQ208" s="133"/>
      <c r="VRR208" s="133"/>
      <c r="VRS208" s="133"/>
      <c r="VRT208" s="133"/>
      <c r="VRU208" s="133"/>
      <c r="VRV208" s="133"/>
      <c r="VRW208" s="133"/>
      <c r="VRX208" s="133"/>
      <c r="VRY208" s="133"/>
      <c r="VRZ208" s="133"/>
      <c r="VSA208" s="133"/>
      <c r="VSB208" s="133"/>
      <c r="VSC208" s="133"/>
      <c r="VSD208" s="133"/>
      <c r="VSE208" s="133"/>
      <c r="VSF208" s="133"/>
      <c r="VSG208" s="133"/>
      <c r="VSH208" s="133"/>
      <c r="VSI208" s="133"/>
      <c r="VSJ208" s="133"/>
      <c r="VSK208" s="133"/>
      <c r="VSL208" s="133"/>
      <c r="VSM208" s="133"/>
      <c r="VSN208" s="133"/>
      <c r="VSO208" s="133"/>
      <c r="VSP208" s="133"/>
      <c r="VSQ208" s="133"/>
      <c r="VSR208" s="133"/>
      <c r="VSS208" s="133"/>
      <c r="VST208" s="133"/>
      <c r="VSU208" s="133"/>
      <c r="VSV208" s="133"/>
      <c r="VSW208" s="133"/>
      <c r="VSX208" s="133"/>
      <c r="VSY208" s="133"/>
      <c r="VSZ208" s="133"/>
      <c r="VTA208" s="133"/>
      <c r="VTB208" s="133"/>
      <c r="VTC208" s="133"/>
      <c r="VTD208" s="133"/>
      <c r="VTE208" s="133"/>
      <c r="VTF208" s="133"/>
      <c r="VTG208" s="133"/>
      <c r="VTH208" s="133"/>
      <c r="VTI208" s="133"/>
      <c r="VTJ208" s="133"/>
      <c r="VTK208" s="133"/>
      <c r="VTL208" s="133"/>
      <c r="VTM208" s="133"/>
      <c r="VTN208" s="133"/>
      <c r="VTO208" s="133"/>
      <c r="VTP208" s="133"/>
      <c r="VTQ208" s="133"/>
      <c r="VTR208" s="133"/>
      <c r="VTS208" s="133"/>
      <c r="VTT208" s="133"/>
      <c r="VTU208" s="133"/>
      <c r="VTV208" s="133"/>
      <c r="VTW208" s="133"/>
      <c r="VTX208" s="133"/>
      <c r="VTY208" s="133"/>
      <c r="VTZ208" s="133"/>
      <c r="VUA208" s="133"/>
      <c r="VUB208" s="133"/>
      <c r="VUC208" s="133"/>
      <c r="VUD208" s="133"/>
      <c r="VUE208" s="133"/>
      <c r="VUF208" s="133"/>
      <c r="VUG208" s="133"/>
      <c r="VUH208" s="133"/>
      <c r="VUI208" s="133"/>
      <c r="VUJ208" s="133"/>
      <c r="VUK208" s="133"/>
      <c r="VUL208" s="133"/>
      <c r="VUM208" s="133"/>
      <c r="VUN208" s="133"/>
      <c r="VUO208" s="133"/>
      <c r="VUP208" s="133"/>
      <c r="VUQ208" s="133"/>
      <c r="VUR208" s="133"/>
      <c r="VUS208" s="133"/>
      <c r="VUT208" s="133"/>
      <c r="VUU208" s="133"/>
      <c r="VUV208" s="133"/>
      <c r="VUW208" s="133"/>
      <c r="VUX208" s="133"/>
      <c r="VUY208" s="133"/>
      <c r="VUZ208" s="133"/>
      <c r="VVA208" s="133"/>
      <c r="VVB208" s="133"/>
      <c r="VVC208" s="133"/>
      <c r="VVD208" s="133"/>
      <c r="VVE208" s="133"/>
      <c r="VVF208" s="133"/>
      <c r="VVG208" s="133"/>
      <c r="VVH208" s="133"/>
      <c r="VVI208" s="133"/>
      <c r="VVJ208" s="133"/>
      <c r="VVK208" s="133"/>
      <c r="VVL208" s="133"/>
      <c r="VVM208" s="133"/>
      <c r="VVN208" s="133"/>
      <c r="VVO208" s="133"/>
      <c r="VVP208" s="133"/>
      <c r="VVQ208" s="133"/>
      <c r="VVR208" s="133"/>
      <c r="VVS208" s="133"/>
      <c r="VVT208" s="133"/>
      <c r="VVU208" s="133"/>
      <c r="VVV208" s="133"/>
      <c r="VVW208" s="133"/>
      <c r="VVX208" s="133"/>
      <c r="VVY208" s="133"/>
      <c r="VVZ208" s="133"/>
      <c r="VWA208" s="133"/>
      <c r="VWB208" s="133"/>
      <c r="VWC208" s="133"/>
      <c r="VWD208" s="133"/>
      <c r="VWE208" s="133"/>
      <c r="VWF208" s="133"/>
      <c r="VWG208" s="133"/>
      <c r="VWH208" s="133"/>
      <c r="VWI208" s="133"/>
      <c r="VWJ208" s="133"/>
      <c r="VWK208" s="133"/>
      <c r="VWL208" s="133"/>
      <c r="VWM208" s="133"/>
      <c r="VWN208" s="133"/>
      <c r="VWO208" s="133"/>
      <c r="VWP208" s="133"/>
      <c r="VWQ208" s="133"/>
      <c r="VWR208" s="133"/>
      <c r="VWS208" s="133"/>
      <c r="VWT208" s="133"/>
      <c r="VWU208" s="133"/>
      <c r="VWV208" s="133"/>
      <c r="VWW208" s="133"/>
      <c r="VWX208" s="133"/>
      <c r="VWY208" s="133"/>
      <c r="VWZ208" s="133"/>
      <c r="VXA208" s="133"/>
      <c r="VXB208" s="133"/>
      <c r="VXC208" s="133"/>
      <c r="VXD208" s="133"/>
      <c r="VXE208" s="133"/>
      <c r="VXF208" s="133"/>
      <c r="VXG208" s="133"/>
      <c r="VXH208" s="133"/>
      <c r="VXI208" s="133"/>
      <c r="VXJ208" s="133"/>
      <c r="VXK208" s="133"/>
      <c r="VXL208" s="133"/>
      <c r="VXM208" s="133"/>
      <c r="VXN208" s="133"/>
      <c r="VXO208" s="133"/>
      <c r="VXP208" s="133"/>
      <c r="VXQ208" s="133"/>
      <c r="VXR208" s="133"/>
      <c r="VXS208" s="133"/>
      <c r="VXT208" s="133"/>
      <c r="VXU208" s="133"/>
      <c r="VXV208" s="133"/>
      <c r="VXW208" s="133"/>
      <c r="VXX208" s="133"/>
      <c r="VXY208" s="133"/>
      <c r="VXZ208" s="133"/>
      <c r="VYA208" s="133"/>
      <c r="VYB208" s="133"/>
      <c r="VYC208" s="133"/>
      <c r="VYD208" s="133"/>
      <c r="VYE208" s="133"/>
      <c r="VYF208" s="133"/>
      <c r="VYG208" s="133"/>
      <c r="VYH208" s="133"/>
      <c r="VYI208" s="133"/>
      <c r="VYJ208" s="133"/>
      <c r="VYK208" s="133"/>
      <c r="VYL208" s="133"/>
      <c r="VYM208" s="133"/>
      <c r="VYN208" s="133"/>
      <c r="VYO208" s="133"/>
      <c r="VYP208" s="133"/>
      <c r="VYQ208" s="133"/>
      <c r="VYR208" s="133"/>
      <c r="VYS208" s="133"/>
      <c r="VYT208" s="133"/>
      <c r="VYU208" s="133"/>
      <c r="VYV208" s="133"/>
      <c r="VYW208" s="133"/>
      <c r="VYX208" s="133"/>
      <c r="VYY208" s="133"/>
      <c r="VYZ208" s="133"/>
      <c r="VZA208" s="133"/>
      <c r="VZB208" s="133"/>
      <c r="VZC208" s="133"/>
      <c r="VZD208" s="133"/>
      <c r="VZE208" s="133"/>
      <c r="VZF208" s="133"/>
      <c r="VZG208" s="133"/>
      <c r="VZH208" s="133"/>
      <c r="VZI208" s="133"/>
      <c r="VZJ208" s="133"/>
      <c r="VZK208" s="133"/>
      <c r="VZL208" s="133"/>
      <c r="VZM208" s="133"/>
      <c r="VZN208" s="133"/>
      <c r="VZO208" s="133"/>
      <c r="VZP208" s="133"/>
      <c r="VZQ208" s="133"/>
      <c r="VZR208" s="133"/>
      <c r="VZS208" s="133"/>
      <c r="VZT208" s="133"/>
      <c r="VZU208" s="133"/>
      <c r="VZV208" s="133"/>
      <c r="VZW208" s="133"/>
      <c r="VZX208" s="133"/>
      <c r="VZY208" s="133"/>
      <c r="VZZ208" s="133"/>
      <c r="WAA208" s="133"/>
      <c r="WAB208" s="133"/>
      <c r="WAC208" s="133"/>
      <c r="WAD208" s="133"/>
      <c r="WAE208" s="133"/>
      <c r="WAF208" s="133"/>
      <c r="WAG208" s="133"/>
      <c r="WAH208" s="133"/>
      <c r="WAI208" s="133"/>
      <c r="WAJ208" s="133"/>
      <c r="WAK208" s="133"/>
      <c r="WAL208" s="133"/>
      <c r="WAM208" s="133"/>
      <c r="WAN208" s="133"/>
      <c r="WAO208" s="133"/>
      <c r="WAP208" s="133"/>
      <c r="WAQ208" s="133"/>
      <c r="WAR208" s="133"/>
      <c r="WAS208" s="133"/>
      <c r="WAT208" s="133"/>
      <c r="WAU208" s="133"/>
      <c r="WAV208" s="133"/>
      <c r="WAW208" s="133"/>
      <c r="WAX208" s="133"/>
      <c r="WAY208" s="133"/>
      <c r="WAZ208" s="133"/>
      <c r="WBA208" s="133"/>
      <c r="WBB208" s="133"/>
      <c r="WBC208" s="133"/>
      <c r="WBD208" s="133"/>
      <c r="WBE208" s="133"/>
      <c r="WBF208" s="133"/>
      <c r="WBG208" s="133"/>
      <c r="WBH208" s="133"/>
      <c r="WBI208" s="133"/>
      <c r="WBJ208" s="133"/>
      <c r="WBK208" s="133"/>
      <c r="WBL208" s="133"/>
      <c r="WBM208" s="133"/>
      <c r="WBN208" s="133"/>
      <c r="WBO208" s="133"/>
      <c r="WBP208" s="133"/>
      <c r="WBQ208" s="133"/>
      <c r="WBR208" s="133"/>
      <c r="WBS208" s="133"/>
      <c r="WBT208" s="133"/>
      <c r="WBU208" s="133"/>
      <c r="WBV208" s="133"/>
      <c r="WBW208" s="133"/>
      <c r="WBX208" s="133"/>
      <c r="WBY208" s="133"/>
      <c r="WBZ208" s="133"/>
      <c r="WCA208" s="133"/>
      <c r="WCB208" s="133"/>
      <c r="WCC208" s="133"/>
      <c r="WCD208" s="133"/>
      <c r="WCE208" s="133"/>
      <c r="WCF208" s="133"/>
      <c r="WCG208" s="133"/>
      <c r="WCH208" s="133"/>
      <c r="WCI208" s="133"/>
      <c r="WCJ208" s="133"/>
      <c r="WCK208" s="133"/>
      <c r="WCL208" s="133"/>
      <c r="WCM208" s="133"/>
      <c r="WCN208" s="133"/>
      <c r="WCO208" s="133"/>
      <c r="WCP208" s="133"/>
      <c r="WCQ208" s="133"/>
      <c r="WCR208" s="133"/>
      <c r="WCS208" s="133"/>
      <c r="WCT208" s="133"/>
      <c r="WCU208" s="133"/>
      <c r="WCV208" s="133"/>
      <c r="WCW208" s="133"/>
      <c r="WCX208" s="133"/>
      <c r="WCY208" s="133"/>
      <c r="WCZ208" s="133"/>
      <c r="WDA208" s="133"/>
      <c r="WDB208" s="133"/>
      <c r="WDC208" s="133"/>
      <c r="WDD208" s="133"/>
      <c r="WDE208" s="133"/>
      <c r="WDF208" s="133"/>
      <c r="WDG208" s="133"/>
      <c r="WDH208" s="133"/>
      <c r="WDI208" s="133"/>
      <c r="WDJ208" s="133"/>
      <c r="WDK208" s="133"/>
      <c r="WDL208" s="133"/>
      <c r="WDM208" s="133"/>
      <c r="WDN208" s="133"/>
      <c r="WDO208" s="133"/>
      <c r="WDP208" s="133"/>
      <c r="WDQ208" s="133"/>
      <c r="WDR208" s="133"/>
      <c r="WDS208" s="133"/>
      <c r="WDT208" s="133"/>
      <c r="WDU208" s="133"/>
      <c r="WDV208" s="133"/>
      <c r="WDW208" s="133"/>
      <c r="WDX208" s="133"/>
      <c r="WDY208" s="133"/>
      <c r="WDZ208" s="133"/>
      <c r="WEA208" s="133"/>
      <c r="WEB208" s="133"/>
      <c r="WEC208" s="133"/>
      <c r="WED208" s="133"/>
      <c r="WEE208" s="133"/>
      <c r="WEF208" s="133"/>
      <c r="WEG208" s="133"/>
      <c r="WEH208" s="133"/>
      <c r="WEI208" s="133"/>
      <c r="WEJ208" s="133"/>
      <c r="WEK208" s="133"/>
      <c r="WEL208" s="133"/>
      <c r="WEM208" s="133"/>
      <c r="WEN208" s="133"/>
      <c r="WEO208" s="133"/>
      <c r="WEP208" s="133"/>
      <c r="WEQ208" s="133"/>
      <c r="WER208" s="133"/>
      <c r="WES208" s="133"/>
      <c r="WET208" s="133"/>
      <c r="WEU208" s="133"/>
      <c r="WEV208" s="133"/>
      <c r="WEW208" s="133"/>
      <c r="WEX208" s="133"/>
      <c r="WEY208" s="133"/>
      <c r="WEZ208" s="133"/>
      <c r="WFA208" s="133"/>
      <c r="WFB208" s="133"/>
      <c r="WFC208" s="133"/>
      <c r="WFD208" s="133"/>
      <c r="WFE208" s="133"/>
      <c r="WFF208" s="133"/>
      <c r="WFG208" s="133"/>
      <c r="WFH208" s="133"/>
      <c r="WFI208" s="133"/>
      <c r="WFJ208" s="133"/>
      <c r="WFK208" s="133"/>
      <c r="WFL208" s="133"/>
      <c r="WFM208" s="133"/>
      <c r="WFN208" s="133"/>
      <c r="WFO208" s="133"/>
      <c r="WFP208" s="133"/>
      <c r="WFQ208" s="133"/>
      <c r="WFR208" s="133"/>
      <c r="WFS208" s="133"/>
      <c r="WFT208" s="133"/>
      <c r="WFU208" s="133"/>
      <c r="WFV208" s="133"/>
      <c r="WFW208" s="133"/>
      <c r="WFX208" s="133"/>
      <c r="WFY208" s="133"/>
      <c r="WFZ208" s="133"/>
      <c r="WGA208" s="133"/>
      <c r="WGB208" s="133"/>
      <c r="WGC208" s="133"/>
      <c r="WGD208" s="133"/>
      <c r="WGE208" s="133"/>
      <c r="WGF208" s="133"/>
      <c r="WGG208" s="133"/>
      <c r="WGH208" s="133"/>
      <c r="WGI208" s="133"/>
      <c r="WGJ208" s="133"/>
      <c r="WGK208" s="133"/>
      <c r="WGL208" s="133"/>
      <c r="WGM208" s="133"/>
      <c r="WGN208" s="133"/>
      <c r="WGO208" s="133"/>
      <c r="WGP208" s="133"/>
      <c r="WGQ208" s="133"/>
      <c r="WGR208" s="133"/>
      <c r="WGS208" s="133"/>
      <c r="WGT208" s="133"/>
      <c r="WGU208" s="133"/>
      <c r="WGV208" s="133"/>
      <c r="WGW208" s="133"/>
      <c r="WGX208" s="133"/>
      <c r="WGY208" s="133"/>
      <c r="WGZ208" s="133"/>
      <c r="WHA208" s="133"/>
      <c r="WHB208" s="133"/>
      <c r="WHC208" s="133"/>
      <c r="WHD208" s="133"/>
      <c r="WHE208" s="133"/>
      <c r="WHF208" s="133"/>
      <c r="WHG208" s="133"/>
      <c r="WHH208" s="133"/>
      <c r="WHI208" s="133"/>
      <c r="WHJ208" s="133"/>
      <c r="WHK208" s="133"/>
      <c r="WHL208" s="133"/>
      <c r="WHM208" s="133"/>
      <c r="WHN208" s="133"/>
      <c r="WHO208" s="133"/>
      <c r="WHP208" s="133"/>
      <c r="WHQ208" s="133"/>
      <c r="WHR208" s="133"/>
      <c r="WHS208" s="133"/>
      <c r="WHT208" s="133"/>
      <c r="WHU208" s="133"/>
      <c r="WHV208" s="133"/>
      <c r="WHW208" s="133"/>
      <c r="WHX208" s="133"/>
      <c r="WHY208" s="133"/>
      <c r="WHZ208" s="133"/>
      <c r="WIA208" s="133"/>
      <c r="WIB208" s="133"/>
      <c r="WIC208" s="133"/>
      <c r="WID208" s="133"/>
      <c r="WIE208" s="133"/>
      <c r="WIF208" s="133"/>
      <c r="WIG208" s="133"/>
      <c r="WIH208" s="133"/>
      <c r="WII208" s="133"/>
      <c r="WIJ208" s="133"/>
      <c r="WIK208" s="133"/>
      <c r="WIL208" s="133"/>
      <c r="WIM208" s="133"/>
      <c r="WIN208" s="133"/>
      <c r="WIO208" s="133"/>
      <c r="WIP208" s="133"/>
      <c r="WIQ208" s="133"/>
      <c r="WIR208" s="133"/>
      <c r="WIS208" s="133"/>
      <c r="WIT208" s="133"/>
      <c r="WIU208" s="133"/>
      <c r="WIV208" s="133"/>
      <c r="WIW208" s="133"/>
      <c r="WIX208" s="133"/>
      <c r="WIY208" s="133"/>
      <c r="WIZ208" s="133"/>
      <c r="WJA208" s="133"/>
      <c r="WJB208" s="133"/>
      <c r="WJC208" s="133"/>
      <c r="WJD208" s="133"/>
      <c r="WJE208" s="133"/>
      <c r="WJF208" s="133"/>
      <c r="WJG208" s="133"/>
      <c r="WJH208" s="133"/>
      <c r="WJI208" s="133"/>
      <c r="WJJ208" s="133"/>
      <c r="WJK208" s="133"/>
      <c r="WJL208" s="133"/>
      <c r="WJM208" s="133"/>
      <c r="WJN208" s="133"/>
      <c r="WJO208" s="133"/>
      <c r="WJP208" s="133"/>
      <c r="WJQ208" s="133"/>
      <c r="WJR208" s="133"/>
      <c r="WJS208" s="133"/>
      <c r="WJT208" s="133"/>
      <c r="WJU208" s="133"/>
      <c r="WJV208" s="133"/>
      <c r="WJW208" s="133"/>
      <c r="WJX208" s="133"/>
      <c r="WJY208" s="133"/>
      <c r="WJZ208" s="133"/>
      <c r="WKA208" s="133"/>
      <c r="WKB208" s="133"/>
      <c r="WKC208" s="133"/>
      <c r="WKD208" s="133"/>
      <c r="WKE208" s="133"/>
      <c r="WKF208" s="133"/>
      <c r="WKG208" s="133"/>
      <c r="WKH208" s="133"/>
      <c r="WKI208" s="133"/>
      <c r="WKJ208" s="133"/>
      <c r="WKK208" s="133"/>
      <c r="WKL208" s="133"/>
      <c r="WKM208" s="133"/>
      <c r="WKN208" s="133"/>
      <c r="WKO208" s="133"/>
      <c r="WKP208" s="133"/>
      <c r="WKQ208" s="133"/>
      <c r="WKR208" s="133"/>
      <c r="WKS208" s="133"/>
      <c r="WKT208" s="133"/>
      <c r="WKU208" s="133"/>
      <c r="WKV208" s="133"/>
      <c r="WKW208" s="133"/>
      <c r="WKX208" s="133"/>
      <c r="WKY208" s="133"/>
      <c r="WKZ208" s="133"/>
      <c r="WLA208" s="133"/>
      <c r="WLB208" s="133"/>
      <c r="WLC208" s="133"/>
      <c r="WLD208" s="133"/>
      <c r="WLE208" s="133"/>
      <c r="WLF208" s="133"/>
      <c r="WLG208" s="133"/>
      <c r="WLH208" s="133"/>
      <c r="WLI208" s="133"/>
      <c r="WLJ208" s="133"/>
      <c r="WLK208" s="133"/>
      <c r="WLL208" s="133"/>
      <c r="WLM208" s="133"/>
      <c r="WLN208" s="133"/>
      <c r="WLO208" s="133"/>
      <c r="WLP208" s="133"/>
      <c r="WLQ208" s="133"/>
      <c r="WLR208" s="133"/>
      <c r="WLS208" s="133"/>
      <c r="WLT208" s="133"/>
      <c r="WLU208" s="133"/>
      <c r="WLV208" s="133"/>
      <c r="WLW208" s="133"/>
      <c r="WLX208" s="133"/>
      <c r="WLY208" s="133"/>
      <c r="WLZ208" s="133"/>
      <c r="WMA208" s="133"/>
      <c r="WMB208" s="133"/>
      <c r="WMC208" s="133"/>
      <c r="WMD208" s="133"/>
      <c r="WME208" s="133"/>
      <c r="WMF208" s="133"/>
      <c r="WMG208" s="133"/>
      <c r="WMH208" s="133"/>
      <c r="WMI208" s="133"/>
      <c r="WMJ208" s="133"/>
      <c r="WMK208" s="133"/>
      <c r="WML208" s="133"/>
      <c r="WMM208" s="133"/>
      <c r="WMN208" s="133"/>
      <c r="WMO208" s="133"/>
      <c r="WMP208" s="133"/>
      <c r="WMQ208" s="133"/>
      <c r="WMR208" s="133"/>
      <c r="WMS208" s="133"/>
      <c r="WMT208" s="133"/>
      <c r="WMU208" s="133"/>
      <c r="WMV208" s="133"/>
      <c r="WMW208" s="133"/>
      <c r="WMX208" s="133"/>
      <c r="WMY208" s="133"/>
      <c r="WMZ208" s="133"/>
      <c r="WNA208" s="133"/>
      <c r="WNB208" s="133"/>
      <c r="WNC208" s="133"/>
      <c r="WND208" s="133"/>
      <c r="WNE208" s="133"/>
      <c r="WNF208" s="133"/>
      <c r="WNG208" s="133"/>
      <c r="WNH208" s="133"/>
      <c r="WNI208" s="133"/>
      <c r="WNJ208" s="133"/>
      <c r="WNK208" s="133"/>
      <c r="WNL208" s="133"/>
      <c r="WNM208" s="133"/>
      <c r="WNN208" s="133"/>
      <c r="WNO208" s="133"/>
      <c r="WNP208" s="133"/>
      <c r="WNQ208" s="133"/>
      <c r="WNR208" s="133"/>
      <c r="WNS208" s="133"/>
      <c r="WNT208" s="133"/>
      <c r="WNU208" s="133"/>
      <c r="WNV208" s="133"/>
      <c r="WNW208" s="133"/>
      <c r="WNX208" s="133"/>
      <c r="WNY208" s="133"/>
      <c r="WNZ208" s="133"/>
      <c r="WOA208" s="133"/>
      <c r="WOB208" s="133"/>
      <c r="WOC208" s="133"/>
      <c r="WOD208" s="133"/>
      <c r="WOE208" s="133"/>
      <c r="WOF208" s="133"/>
      <c r="WOG208" s="133"/>
      <c r="WOH208" s="133"/>
      <c r="WOI208" s="133"/>
      <c r="WOJ208" s="133"/>
      <c r="WOK208" s="133"/>
      <c r="WOL208" s="133"/>
      <c r="WOM208" s="133"/>
      <c r="WON208" s="133"/>
      <c r="WOO208" s="133"/>
      <c r="WOP208" s="133"/>
      <c r="WOQ208" s="133"/>
      <c r="WOR208" s="133"/>
      <c r="WOS208" s="133"/>
      <c r="WOT208" s="133"/>
      <c r="WOU208" s="133"/>
      <c r="WOV208" s="133"/>
      <c r="WOW208" s="133"/>
      <c r="WOX208" s="133"/>
      <c r="WOY208" s="133"/>
      <c r="WOZ208" s="133"/>
      <c r="WPA208" s="133"/>
      <c r="WPB208" s="133"/>
      <c r="WPC208" s="133"/>
      <c r="WPD208" s="133"/>
      <c r="WPE208" s="133"/>
      <c r="WPF208" s="133"/>
      <c r="WPG208" s="133"/>
      <c r="WPH208" s="133"/>
      <c r="WPI208" s="133"/>
      <c r="WPJ208" s="133"/>
      <c r="WPK208" s="133"/>
      <c r="WPL208" s="133"/>
      <c r="WPM208" s="133"/>
      <c r="WPN208" s="133"/>
      <c r="WPO208" s="133"/>
      <c r="WPP208" s="133"/>
      <c r="WPQ208" s="133"/>
      <c r="WPR208" s="133"/>
      <c r="WPS208" s="133"/>
      <c r="WPT208" s="133"/>
      <c r="WPU208" s="133"/>
      <c r="WPV208" s="133"/>
      <c r="WPW208" s="133"/>
      <c r="WPX208" s="133"/>
      <c r="WPY208" s="133"/>
      <c r="WPZ208" s="133"/>
      <c r="WQA208" s="133"/>
      <c r="WQB208" s="133"/>
      <c r="WQC208" s="133"/>
      <c r="WQD208" s="133"/>
      <c r="WQE208" s="133"/>
      <c r="WQF208" s="133"/>
      <c r="WQG208" s="133"/>
      <c r="WQH208" s="133"/>
      <c r="WQI208" s="133"/>
      <c r="WQJ208" s="133"/>
      <c r="WQK208" s="133"/>
      <c r="WQL208" s="133"/>
      <c r="WQM208" s="133"/>
      <c r="WQN208" s="133"/>
      <c r="WQO208" s="133"/>
      <c r="WQP208" s="133"/>
      <c r="WQQ208" s="133"/>
      <c r="WQR208" s="133"/>
      <c r="WQS208" s="133"/>
      <c r="WQT208" s="133"/>
      <c r="WQU208" s="133"/>
      <c r="WQV208" s="133"/>
      <c r="WQW208" s="133"/>
      <c r="WQX208" s="133"/>
      <c r="WQY208" s="133"/>
      <c r="WQZ208" s="133"/>
      <c r="WRA208" s="133"/>
      <c r="WRB208" s="133"/>
      <c r="WRC208" s="133"/>
      <c r="WRD208" s="133"/>
      <c r="WRE208" s="133"/>
      <c r="WRF208" s="133"/>
      <c r="WRG208" s="133"/>
      <c r="WRH208" s="133"/>
      <c r="WRI208" s="133"/>
      <c r="WRJ208" s="133"/>
      <c r="WRK208" s="133"/>
      <c r="WRL208" s="133"/>
      <c r="WRM208" s="133"/>
      <c r="WRN208" s="133"/>
      <c r="WRO208" s="133"/>
      <c r="WRP208" s="133"/>
      <c r="WRQ208" s="133"/>
      <c r="WRR208" s="133"/>
      <c r="WRS208" s="133"/>
      <c r="WRT208" s="133"/>
      <c r="WRU208" s="133"/>
      <c r="WRV208" s="133"/>
      <c r="WRW208" s="133"/>
      <c r="WRX208" s="133"/>
      <c r="WRY208" s="133"/>
      <c r="WRZ208" s="133"/>
      <c r="WSA208" s="133"/>
      <c r="WSB208" s="133"/>
      <c r="WSC208" s="133"/>
      <c r="WSD208" s="133"/>
      <c r="WSE208" s="133"/>
      <c r="WSF208" s="133"/>
      <c r="WSG208" s="133"/>
      <c r="WSH208" s="133"/>
      <c r="WSI208" s="133"/>
      <c r="WSJ208" s="133"/>
      <c r="WSK208" s="133"/>
      <c r="WSL208" s="133"/>
      <c r="WSM208" s="133"/>
      <c r="WSN208" s="133"/>
      <c r="WSO208" s="133"/>
      <c r="WSP208" s="133"/>
      <c r="WSQ208" s="133"/>
      <c r="WSR208" s="133"/>
      <c r="WSS208" s="133"/>
      <c r="WST208" s="133"/>
      <c r="WSU208" s="133"/>
      <c r="WSV208" s="133"/>
      <c r="WSW208" s="133"/>
      <c r="WSX208" s="133"/>
      <c r="WSY208" s="133"/>
      <c r="WSZ208" s="133"/>
      <c r="WTA208" s="133"/>
      <c r="WTB208" s="133"/>
      <c r="WTC208" s="133"/>
      <c r="WTD208" s="133"/>
      <c r="WTE208" s="133"/>
      <c r="WTF208" s="133"/>
      <c r="WTG208" s="133"/>
      <c r="WTH208" s="133"/>
      <c r="WTI208" s="133"/>
      <c r="WTJ208" s="133"/>
      <c r="WTK208" s="133"/>
      <c r="WTL208" s="133"/>
      <c r="WTM208" s="133"/>
      <c r="WTN208" s="133"/>
      <c r="WTO208" s="133"/>
      <c r="WTP208" s="133"/>
      <c r="WTQ208" s="133"/>
      <c r="WTR208" s="133"/>
      <c r="WTS208" s="133"/>
      <c r="WTT208" s="133"/>
      <c r="WTU208" s="133"/>
      <c r="WTV208" s="133"/>
      <c r="WTW208" s="133"/>
      <c r="WTX208" s="133"/>
      <c r="WTY208" s="133"/>
      <c r="WTZ208" s="133"/>
      <c r="WUA208" s="133"/>
      <c r="WUB208" s="133"/>
      <c r="WUC208" s="133"/>
      <c r="WUD208" s="133"/>
      <c r="WUE208" s="133"/>
      <c r="WUF208" s="133"/>
      <c r="WUG208" s="133"/>
      <c r="WUH208" s="133"/>
      <c r="WUI208" s="133"/>
      <c r="WUJ208" s="133"/>
      <c r="WUK208" s="133"/>
      <c r="WUL208" s="133"/>
      <c r="WUM208" s="133"/>
      <c r="WUN208" s="133"/>
      <c r="WUO208" s="133"/>
      <c r="WUP208" s="133"/>
      <c r="WUQ208" s="133"/>
      <c r="WUR208" s="133"/>
      <c r="WUS208" s="133"/>
      <c r="WUT208" s="133"/>
      <c r="WUU208" s="133"/>
      <c r="WUV208" s="133"/>
      <c r="WUW208" s="133"/>
      <c r="WUX208" s="133"/>
      <c r="WUY208" s="133"/>
      <c r="WUZ208" s="133"/>
      <c r="WVA208" s="133"/>
      <c r="WVB208" s="133"/>
      <c r="WVC208" s="133"/>
      <c r="WVD208" s="133"/>
      <c r="WVE208" s="133"/>
      <c r="WVF208" s="133"/>
      <c r="WVG208" s="133"/>
      <c r="WVH208" s="133"/>
      <c r="WVI208" s="133"/>
      <c r="WVJ208" s="133"/>
      <c r="WVK208" s="133"/>
      <c r="WVL208" s="133"/>
      <c r="WVM208" s="133"/>
      <c r="WVN208" s="133"/>
      <c r="WVO208" s="133"/>
      <c r="WVP208" s="133"/>
      <c r="WVQ208" s="133"/>
      <c r="WVR208" s="133"/>
      <c r="WVS208" s="133"/>
      <c r="WVT208" s="133"/>
      <c r="WVU208" s="133"/>
      <c r="WVV208" s="133"/>
      <c r="WVW208" s="133"/>
      <c r="WVX208" s="133"/>
      <c r="WVY208" s="133"/>
      <c r="WVZ208" s="133"/>
      <c r="WWA208" s="133"/>
      <c r="WWB208" s="133"/>
      <c r="WWC208" s="133"/>
      <c r="WWD208" s="133"/>
      <c r="WWE208" s="133"/>
      <c r="WWF208" s="133"/>
      <c r="WWG208" s="133"/>
      <c r="WWH208" s="133"/>
      <c r="WWI208" s="133"/>
      <c r="WWJ208" s="133"/>
      <c r="WWK208" s="133"/>
      <c r="WWL208" s="133"/>
      <c r="WWM208" s="133"/>
      <c r="WWN208" s="133"/>
      <c r="WWO208" s="133"/>
      <c r="WWP208" s="133"/>
      <c r="WWQ208" s="133"/>
      <c r="WWR208" s="133"/>
      <c r="WWS208" s="133"/>
      <c r="WWT208" s="133"/>
      <c r="WWU208" s="133"/>
      <c r="WWV208" s="133"/>
      <c r="WWW208" s="133"/>
      <c r="WWX208" s="133"/>
      <c r="WWY208" s="133"/>
      <c r="WWZ208" s="133"/>
      <c r="WXA208" s="133"/>
      <c r="WXB208" s="133"/>
      <c r="WXC208" s="133"/>
      <c r="WXD208" s="133"/>
      <c r="WXE208" s="133"/>
      <c r="WXF208" s="133"/>
      <c r="WXG208" s="133"/>
      <c r="WXH208" s="133"/>
      <c r="WXI208" s="133"/>
      <c r="WXJ208" s="133"/>
      <c r="WXK208" s="133"/>
      <c r="WXL208" s="133"/>
      <c r="WXM208" s="133"/>
      <c r="WXN208" s="133"/>
      <c r="WXO208" s="133"/>
      <c r="WXP208" s="133"/>
      <c r="WXQ208" s="133"/>
      <c r="WXR208" s="133"/>
      <c r="WXS208" s="133"/>
      <c r="WXT208" s="133"/>
      <c r="WXU208" s="133"/>
      <c r="WXV208" s="133"/>
      <c r="WXW208" s="133"/>
      <c r="WXX208" s="133"/>
      <c r="WXY208" s="133"/>
      <c r="WXZ208" s="133"/>
      <c r="WYA208" s="133"/>
      <c r="WYB208" s="133"/>
      <c r="WYC208" s="133"/>
      <c r="WYD208" s="133"/>
      <c r="WYE208" s="133"/>
      <c r="WYF208" s="133"/>
      <c r="WYG208" s="133"/>
      <c r="WYH208" s="133"/>
      <c r="WYI208" s="133"/>
      <c r="WYJ208" s="133"/>
      <c r="WYK208" s="133"/>
      <c r="WYL208" s="133"/>
      <c r="WYM208" s="133"/>
      <c r="WYN208" s="133"/>
      <c r="WYO208" s="133"/>
      <c r="WYP208" s="133"/>
      <c r="WYQ208" s="133"/>
      <c r="WYR208" s="133"/>
      <c r="WYS208" s="133"/>
      <c r="WYT208" s="133"/>
      <c r="WYU208" s="133"/>
      <c r="WYV208" s="133"/>
      <c r="WYW208" s="133"/>
      <c r="WYX208" s="133"/>
      <c r="WYY208" s="133"/>
      <c r="WYZ208" s="133"/>
      <c r="WZA208" s="133"/>
      <c r="WZB208" s="133"/>
      <c r="WZC208" s="133"/>
      <c r="WZD208" s="133"/>
      <c r="WZE208" s="133"/>
      <c r="WZF208" s="133"/>
      <c r="WZG208" s="133"/>
      <c r="WZH208" s="133"/>
      <c r="WZI208" s="133"/>
      <c r="WZJ208" s="133"/>
      <c r="WZK208" s="133"/>
      <c r="WZL208" s="133"/>
      <c r="WZM208" s="133"/>
      <c r="WZN208" s="133"/>
      <c r="WZO208" s="133"/>
      <c r="WZP208" s="133"/>
      <c r="WZQ208" s="133"/>
      <c r="WZR208" s="133"/>
      <c r="WZS208" s="133"/>
      <c r="WZT208" s="133"/>
      <c r="WZU208" s="133"/>
      <c r="WZV208" s="133"/>
      <c r="WZW208" s="133"/>
      <c r="WZX208" s="133"/>
      <c r="WZY208" s="133"/>
      <c r="WZZ208" s="133"/>
      <c r="XAA208" s="133"/>
      <c r="XAB208" s="133"/>
      <c r="XAC208" s="133"/>
      <c r="XAD208" s="133"/>
      <c r="XAE208" s="133"/>
      <c r="XAF208" s="133"/>
      <c r="XAG208" s="133"/>
      <c r="XAH208" s="133"/>
      <c r="XAI208" s="133"/>
      <c r="XAJ208" s="133"/>
      <c r="XAK208" s="133"/>
      <c r="XAL208" s="133"/>
      <c r="XAM208" s="133"/>
      <c r="XAN208" s="133"/>
      <c r="XAO208" s="133"/>
      <c r="XAP208" s="133"/>
      <c r="XAQ208" s="133"/>
      <c r="XAR208" s="133"/>
      <c r="XAS208" s="133"/>
      <c r="XAT208" s="133"/>
      <c r="XAU208" s="133"/>
      <c r="XAV208" s="133"/>
      <c r="XAW208" s="133"/>
      <c r="XAX208" s="133"/>
      <c r="XAY208" s="133"/>
      <c r="XAZ208" s="133"/>
      <c r="XBA208" s="133"/>
      <c r="XBB208" s="133"/>
      <c r="XBC208" s="133"/>
      <c r="XBD208" s="133"/>
      <c r="XBE208" s="133"/>
      <c r="XBF208" s="133"/>
      <c r="XBG208" s="133"/>
      <c r="XBH208" s="133"/>
      <c r="XBI208" s="133"/>
      <c r="XBJ208" s="133"/>
      <c r="XBK208" s="133"/>
      <c r="XBL208" s="133"/>
      <c r="XBM208" s="133"/>
      <c r="XBN208" s="133"/>
      <c r="XBO208" s="133"/>
      <c r="XBP208" s="133"/>
      <c r="XBQ208" s="133"/>
      <c r="XBR208" s="133"/>
      <c r="XBS208" s="133"/>
      <c r="XBT208" s="133"/>
      <c r="XBU208" s="133"/>
      <c r="XBV208" s="133"/>
      <c r="XBW208" s="133"/>
      <c r="XBX208" s="133"/>
      <c r="XBY208" s="133"/>
      <c r="XBZ208" s="133"/>
      <c r="XCA208" s="133"/>
      <c r="XCB208" s="133"/>
      <c r="XCC208" s="133"/>
      <c r="XCD208" s="133"/>
      <c r="XCE208" s="133"/>
      <c r="XCF208" s="133"/>
      <c r="XCG208" s="133"/>
      <c r="XCH208" s="133"/>
      <c r="XCI208" s="133"/>
      <c r="XCJ208" s="133"/>
      <c r="XCK208" s="133"/>
      <c r="XCL208" s="133"/>
      <c r="XCM208" s="133"/>
      <c r="XCN208" s="133"/>
      <c r="XCO208" s="133"/>
      <c r="XCP208" s="133"/>
      <c r="XCQ208" s="133"/>
      <c r="XCR208" s="133"/>
      <c r="XCS208" s="133"/>
      <c r="XCT208" s="133"/>
      <c r="XCU208" s="133"/>
      <c r="XCV208" s="133"/>
      <c r="XCW208" s="133"/>
      <c r="XCX208" s="133"/>
      <c r="XCY208" s="133"/>
      <c r="XCZ208" s="133"/>
      <c r="XDA208" s="133"/>
      <c r="XDB208" s="133"/>
      <c r="XDC208" s="133"/>
      <c r="XDD208" s="133"/>
      <c r="XDE208" s="133"/>
      <c r="XDF208" s="133"/>
      <c r="XDG208" s="133"/>
      <c r="XDH208" s="133"/>
      <c r="XDI208" s="133"/>
      <c r="XDJ208" s="133"/>
      <c r="XDK208" s="133"/>
      <c r="XDL208" s="133"/>
      <c r="XDM208" s="133"/>
      <c r="XDN208" s="133"/>
      <c r="XDO208" s="133"/>
      <c r="XDP208" s="133"/>
      <c r="XDQ208" s="133"/>
      <c r="XDR208" s="133"/>
      <c r="XDS208" s="133"/>
      <c r="XDT208" s="133"/>
      <c r="XDU208" s="133"/>
      <c r="XDV208" s="133"/>
      <c r="XDW208" s="133"/>
      <c r="XDX208" s="133"/>
      <c r="XDY208" s="133"/>
      <c r="XDZ208" s="133"/>
      <c r="XEA208" s="133"/>
      <c r="XEB208" s="133"/>
      <c r="XEC208" s="133"/>
      <c r="XED208" s="133"/>
      <c r="XEE208" s="133"/>
      <c r="XEF208" s="133"/>
      <c r="XEG208" s="133"/>
      <c r="XEH208" s="133"/>
      <c r="XEI208" s="133"/>
      <c r="XEJ208" s="133"/>
      <c r="XEK208" s="133"/>
      <c r="XEL208" s="133"/>
      <c r="XEM208" s="133"/>
      <c r="XEN208" s="133"/>
      <c r="XEO208" s="133"/>
      <c r="XEP208" s="133"/>
      <c r="XEQ208" s="133"/>
      <c r="XER208" s="133"/>
      <c r="XES208" s="133"/>
      <c r="XET208" s="133"/>
      <c r="XEU208" s="133"/>
      <c r="XEV208" s="133"/>
      <c r="XEW208" s="133"/>
      <c r="XEX208" s="133"/>
      <c r="XEY208" s="133"/>
      <c r="XEZ208" s="133"/>
      <c r="XFA208" s="133"/>
      <c r="XFB208" s="133"/>
    </row>
    <row r="209" spans="1:41" s="133" customFormat="1" x14ac:dyDescent="0.2">
      <c r="A209" s="30" t="s">
        <v>47</v>
      </c>
      <c r="B209" s="30" t="s">
        <v>1312</v>
      </c>
      <c r="C209" s="30"/>
      <c r="D209" s="30" t="s">
        <v>60</v>
      </c>
      <c r="E209" s="30" t="s">
        <v>685</v>
      </c>
      <c r="F209" s="72"/>
      <c r="G209" s="30"/>
      <c r="H209" s="106"/>
      <c r="I209" s="30" t="s">
        <v>1314</v>
      </c>
      <c r="J209" s="30" t="s">
        <v>1313</v>
      </c>
      <c r="K209" s="30" t="s">
        <v>63</v>
      </c>
      <c r="L209" s="31">
        <v>2023</v>
      </c>
      <c r="M209" s="31"/>
      <c r="N209" s="32"/>
      <c r="O209" s="33"/>
      <c r="P209" s="31">
        <v>100</v>
      </c>
      <c r="Q209" s="35">
        <v>5000</v>
      </c>
      <c r="R209" s="31">
        <v>240</v>
      </c>
      <c r="S209" s="31"/>
      <c r="T209" s="31"/>
      <c r="U209" s="31"/>
      <c r="V209" s="31"/>
      <c r="W209" s="31"/>
      <c r="X209" s="31"/>
      <c r="Y209" s="31"/>
      <c r="Z209" s="30"/>
      <c r="AA209" s="30"/>
      <c r="AB209" s="30">
        <f>100*5000*0.1</f>
        <v>50000</v>
      </c>
      <c r="AC209" s="30" t="s">
        <v>42</v>
      </c>
      <c r="AD209" s="30"/>
      <c r="AE209" s="30"/>
      <c r="AF209" s="72" t="s">
        <v>1315</v>
      </c>
      <c r="AG209" s="31">
        <v>3</v>
      </c>
      <c r="AH209" s="31">
        <v>3</v>
      </c>
      <c r="AI209" s="31">
        <v>2</v>
      </c>
      <c r="AJ209" s="31">
        <v>3</v>
      </c>
      <c r="AK209" s="31">
        <v>3</v>
      </c>
      <c r="AL209" s="31">
        <v>3</v>
      </c>
      <c r="AM209" s="31">
        <f>AL209*AK209*AJ209*AI209*AH209*AG209</f>
        <v>486</v>
      </c>
      <c r="AN209" s="30" t="s">
        <v>45</v>
      </c>
      <c r="AO209" s="37">
        <v>44986</v>
      </c>
    </row>
    <row r="210" spans="1:41" ht="38.25" x14ac:dyDescent="0.2">
      <c r="A210" s="22" t="s">
        <v>58</v>
      </c>
      <c r="B210" s="22" t="s">
        <v>421</v>
      </c>
      <c r="C210" s="22"/>
      <c r="D210" s="22" t="s">
        <v>422</v>
      </c>
      <c r="E210" s="22" t="s">
        <v>101</v>
      </c>
      <c r="F210" s="71" t="s">
        <v>900</v>
      </c>
      <c r="G210" s="22"/>
      <c r="H210" s="22"/>
      <c r="I210" s="22" t="s">
        <v>423</v>
      </c>
      <c r="J210" s="22"/>
      <c r="K210" s="22" t="s">
        <v>42</v>
      </c>
      <c r="L210" s="24">
        <v>2024</v>
      </c>
      <c r="M210" s="24"/>
      <c r="N210" s="38">
        <v>750</v>
      </c>
      <c r="O210" s="39"/>
      <c r="P210" s="27">
        <f t="shared" ref="P210:P211" si="23">N210*O210</f>
        <v>0</v>
      </c>
      <c r="Q210" s="28"/>
      <c r="R210" s="28">
        <f t="shared" ref="R210:R211" si="24">IF(Q210&lt;4.99,(Q210*12%+4),IF(Q210&lt;10.99,(Q210*12%+8),IF(Q210&lt;14.99,(Q210*12%+12),IF(Q210&lt;879.99,(Q210*12%+16),IF(Q210&lt;2569.99,(Q210*7%+60),240)))))</f>
        <v>4</v>
      </c>
      <c r="S210" s="29">
        <f t="shared" ref="S210:S211" si="25">R210*P210</f>
        <v>0</v>
      </c>
      <c r="T210" s="24"/>
      <c r="U210" s="24"/>
      <c r="V210" s="24"/>
      <c r="W210" s="24"/>
      <c r="X210" s="24"/>
      <c r="Y210" s="24"/>
      <c r="Z210" s="22"/>
      <c r="AA210" s="22"/>
      <c r="AB210" s="22"/>
      <c r="AC210" s="22" t="s">
        <v>42</v>
      </c>
      <c r="AD210" s="22"/>
      <c r="AE210" s="40" t="s">
        <v>56</v>
      </c>
      <c r="AF210" s="71" t="s">
        <v>424</v>
      </c>
      <c r="AG210" s="24">
        <v>3</v>
      </c>
      <c r="AH210" s="24">
        <v>2</v>
      </c>
      <c r="AI210" s="24">
        <v>3</v>
      </c>
      <c r="AJ210" s="24">
        <v>1</v>
      </c>
      <c r="AK210" s="24">
        <v>3</v>
      </c>
      <c r="AL210" s="24">
        <v>2</v>
      </c>
      <c r="AM210" s="24">
        <v>108</v>
      </c>
      <c r="AN210" s="22" t="s">
        <v>45</v>
      </c>
      <c r="AO210" s="22"/>
    </row>
    <row r="211" spans="1:41" ht="38.25" hidden="1" x14ac:dyDescent="0.2">
      <c r="A211" s="22" t="s">
        <v>86</v>
      </c>
      <c r="B211" s="22" t="s">
        <v>259</v>
      </c>
      <c r="C211" s="22"/>
      <c r="D211" s="22" t="s">
        <v>98</v>
      </c>
      <c r="E211" s="22" t="s">
        <v>786</v>
      </c>
      <c r="F211" s="71" t="s">
        <v>900</v>
      </c>
      <c r="G211" s="22"/>
      <c r="H211" s="22"/>
      <c r="I211" s="22" t="s">
        <v>787</v>
      </c>
      <c r="J211" s="22"/>
      <c r="K211" s="22" t="s">
        <v>64</v>
      </c>
      <c r="L211" s="24">
        <v>2019</v>
      </c>
      <c r="M211" s="24"/>
      <c r="N211" s="38">
        <v>70000</v>
      </c>
      <c r="O211" s="39"/>
      <c r="P211" s="27">
        <f t="shared" si="23"/>
        <v>0</v>
      </c>
      <c r="Q211" s="28"/>
      <c r="R211" s="28">
        <f t="shared" si="24"/>
        <v>4</v>
      </c>
      <c r="S211" s="29">
        <f t="shared" si="25"/>
        <v>0</v>
      </c>
      <c r="T211" s="24"/>
      <c r="U211" s="24"/>
      <c r="V211" s="24"/>
      <c r="W211" s="24"/>
      <c r="X211" s="24"/>
      <c r="Y211" s="24"/>
      <c r="Z211" s="22"/>
      <c r="AA211" s="22"/>
      <c r="AB211" s="22"/>
      <c r="AC211" s="22" t="s">
        <v>64</v>
      </c>
      <c r="AD211" s="22"/>
      <c r="AE211" s="22" t="s">
        <v>95</v>
      </c>
      <c r="AF211" s="71" t="s">
        <v>788</v>
      </c>
      <c r="AG211" s="24">
        <v>3</v>
      </c>
      <c r="AH211" s="24">
        <v>3</v>
      </c>
      <c r="AI211" s="24">
        <v>3</v>
      </c>
      <c r="AJ211" s="24">
        <v>1</v>
      </c>
      <c r="AK211" s="24">
        <v>3</v>
      </c>
      <c r="AL211" s="24">
        <v>2</v>
      </c>
      <c r="AM211" s="24">
        <v>162</v>
      </c>
      <c r="AN211" s="22" t="s">
        <v>45</v>
      </c>
      <c r="AO211" s="22"/>
    </row>
    <row r="212" spans="1:41" x14ac:dyDescent="0.2">
      <c r="A212" s="22" t="s">
        <v>47</v>
      </c>
      <c r="B212" s="22" t="s">
        <v>1141</v>
      </c>
      <c r="C212" s="22"/>
      <c r="D212" s="22" t="s">
        <v>1142</v>
      </c>
      <c r="E212" s="22" t="s">
        <v>251</v>
      </c>
      <c r="F212" s="71"/>
      <c r="G212" s="22"/>
      <c r="H212" s="22"/>
      <c r="I212" s="22" t="s">
        <v>1143</v>
      </c>
      <c r="J212" s="22" t="s">
        <v>1350</v>
      </c>
      <c r="K212" s="22" t="s">
        <v>42</v>
      </c>
      <c r="L212" s="24">
        <v>2023</v>
      </c>
      <c r="M212" s="24"/>
      <c r="N212" s="38">
        <v>15000</v>
      </c>
      <c r="O212" s="39"/>
      <c r="P212" s="27"/>
      <c r="Q212" s="28">
        <v>300</v>
      </c>
      <c r="R212" s="28"/>
      <c r="S212" s="29"/>
      <c r="T212" s="24"/>
      <c r="U212" s="24"/>
      <c r="V212" s="24"/>
      <c r="W212" s="24"/>
      <c r="X212" s="24"/>
      <c r="Y212" s="24"/>
      <c r="Z212" s="22"/>
      <c r="AA212" s="22"/>
      <c r="AB212" s="22"/>
      <c r="AC212" s="22"/>
      <c r="AD212" s="22"/>
      <c r="AE212" s="22"/>
      <c r="AF212" s="71"/>
      <c r="AG212" s="24"/>
      <c r="AH212" s="24"/>
      <c r="AI212" s="24"/>
      <c r="AJ212" s="24"/>
      <c r="AK212" s="24"/>
      <c r="AL212" s="24"/>
      <c r="AM212" s="24"/>
      <c r="AN212" s="22"/>
      <c r="AO212" s="22"/>
    </row>
    <row r="213" spans="1:41" ht="38.25" hidden="1" x14ac:dyDescent="0.2">
      <c r="A213" s="22" t="s">
        <v>47</v>
      </c>
      <c r="B213" s="22" t="s">
        <v>816</v>
      </c>
      <c r="C213" s="22"/>
      <c r="D213" s="65" t="s">
        <v>98</v>
      </c>
      <c r="E213" s="88" t="s">
        <v>870</v>
      </c>
      <c r="F213" s="78" t="s">
        <v>900</v>
      </c>
      <c r="G213" s="88"/>
      <c r="H213" s="77"/>
      <c r="I213" s="65" t="s">
        <v>871</v>
      </c>
      <c r="J213" s="22"/>
      <c r="K213" s="22" t="s">
        <v>42</v>
      </c>
      <c r="L213" s="24">
        <v>2021</v>
      </c>
      <c r="M213" s="24"/>
      <c r="N213" s="38"/>
      <c r="O213" s="39"/>
      <c r="P213" s="27"/>
      <c r="Q213" s="28"/>
      <c r="R213" s="28"/>
      <c r="S213" s="29"/>
      <c r="T213" s="24"/>
      <c r="U213" s="24"/>
      <c r="V213" s="24"/>
      <c r="W213" s="24"/>
      <c r="X213" s="24"/>
      <c r="Y213" s="24"/>
      <c r="Z213" s="22"/>
      <c r="AA213" s="22"/>
      <c r="AB213" s="22"/>
      <c r="AC213" s="22" t="s">
        <v>42</v>
      </c>
      <c r="AD213" s="22"/>
      <c r="AE213" s="41"/>
      <c r="AF213" s="67"/>
      <c r="AG213" s="24">
        <v>2</v>
      </c>
      <c r="AH213" s="24">
        <v>3</v>
      </c>
      <c r="AI213" s="24">
        <v>3</v>
      </c>
      <c r="AJ213" s="24">
        <v>1</v>
      </c>
      <c r="AK213" s="24">
        <v>2</v>
      </c>
      <c r="AL213" s="24">
        <v>3</v>
      </c>
      <c r="AM213" s="24">
        <v>108</v>
      </c>
      <c r="AN213" s="22" t="s">
        <v>45</v>
      </c>
      <c r="AO213" s="69">
        <v>44197</v>
      </c>
    </row>
    <row r="214" spans="1:41" x14ac:dyDescent="0.2">
      <c r="A214" s="201" t="s">
        <v>58</v>
      </c>
      <c r="B214" s="201" t="s">
        <v>97</v>
      </c>
      <c r="C214" s="201"/>
      <c r="D214" s="202" t="s">
        <v>37</v>
      </c>
      <c r="E214" s="203" t="s">
        <v>1197</v>
      </c>
      <c r="F214" s="204"/>
      <c r="G214" s="203"/>
      <c r="H214" s="205"/>
      <c r="I214" s="202" t="s">
        <v>1198</v>
      </c>
      <c r="J214" s="201"/>
      <c r="K214" s="201"/>
      <c r="L214" s="206">
        <v>2024</v>
      </c>
      <c r="M214" s="206"/>
      <c r="N214" s="207">
        <v>1275</v>
      </c>
      <c r="O214" s="208"/>
      <c r="P214" s="209"/>
      <c r="Q214" s="210"/>
      <c r="R214" s="210"/>
      <c r="S214" s="211"/>
      <c r="T214" s="206"/>
      <c r="U214" s="206"/>
      <c r="V214" s="206"/>
      <c r="W214" s="206"/>
      <c r="X214" s="206"/>
      <c r="Y214" s="206"/>
      <c r="Z214" s="201"/>
      <c r="AA214" s="201"/>
      <c r="AB214" s="201"/>
      <c r="AC214" s="201" t="s">
        <v>42</v>
      </c>
      <c r="AD214" s="201"/>
      <c r="AE214" s="212"/>
      <c r="AF214" s="213"/>
      <c r="AG214" s="206">
        <v>3</v>
      </c>
      <c r="AH214" s="206">
        <v>2</v>
      </c>
      <c r="AI214" s="206">
        <v>2</v>
      </c>
      <c r="AJ214" s="206">
        <v>3</v>
      </c>
      <c r="AK214" s="206">
        <v>1</v>
      </c>
      <c r="AL214" s="206">
        <v>2</v>
      </c>
      <c r="AM214" s="206">
        <f>AL214*AK214*AJ214*AI214*AH214*AG214</f>
        <v>72</v>
      </c>
      <c r="AN214" s="201" t="s">
        <v>45</v>
      </c>
      <c r="AO214" s="214">
        <v>44713</v>
      </c>
    </row>
    <row r="215" spans="1:41" s="215" customFormat="1" x14ac:dyDescent="0.2">
      <c r="A215" s="215" t="s">
        <v>58</v>
      </c>
      <c r="B215" s="215" t="s">
        <v>97</v>
      </c>
      <c r="D215" s="215" t="s">
        <v>37</v>
      </c>
      <c r="E215" s="215" t="s">
        <v>406</v>
      </c>
      <c r="F215" s="215" t="s">
        <v>958</v>
      </c>
      <c r="I215" s="215" t="s">
        <v>407</v>
      </c>
      <c r="J215" s="215" t="s">
        <v>1251</v>
      </c>
      <c r="K215" s="215" t="s">
        <v>409</v>
      </c>
      <c r="L215" s="215">
        <v>2024</v>
      </c>
      <c r="N215" s="215">
        <f>8500000/10000*1.5</f>
        <v>1275</v>
      </c>
      <c r="P215" s="215">
        <f>N215*O215</f>
        <v>0</v>
      </c>
      <c r="R215" s="215">
        <f>IF(Q215&lt;4.99,(Q215*12%+4),IF(Q215&lt;10.99,(Q215*12%+8),IF(Q215&lt;14.99,(Q215*12%+12),IF(Q215&lt;879.99,(Q215*12%+16),IF(Q215&lt;2569.99,(Q215*7%+60),240)))))</f>
        <v>4</v>
      </c>
      <c r="S215" s="215">
        <f>R215*P215</f>
        <v>0</v>
      </c>
      <c r="AC215" s="215" t="s">
        <v>64</v>
      </c>
      <c r="AE215" s="215" t="s">
        <v>70</v>
      </c>
      <c r="AF215" s="215" t="s">
        <v>410</v>
      </c>
      <c r="AG215" s="215">
        <v>1</v>
      </c>
      <c r="AH215" s="215">
        <v>2</v>
      </c>
      <c r="AI215" s="215">
        <v>1</v>
      </c>
      <c r="AJ215" s="215">
        <v>3</v>
      </c>
      <c r="AK215" s="215">
        <v>1</v>
      </c>
      <c r="AL215" s="215">
        <v>2</v>
      </c>
      <c r="AM215" s="215">
        <v>12</v>
      </c>
      <c r="AN215" s="215" t="s">
        <v>48</v>
      </c>
    </row>
    <row r="216" spans="1:41" ht="38.25" hidden="1" x14ac:dyDescent="0.2">
      <c r="A216" s="22" t="s">
        <v>35</v>
      </c>
      <c r="B216" s="22" t="s">
        <v>762</v>
      </c>
      <c r="C216" s="22"/>
      <c r="D216" s="22" t="s">
        <v>37</v>
      </c>
      <c r="E216" s="22" t="s">
        <v>999</v>
      </c>
      <c r="F216" s="71" t="s">
        <v>899</v>
      </c>
      <c r="G216" s="22"/>
      <c r="H216" s="22"/>
      <c r="I216" s="22" t="s">
        <v>763</v>
      </c>
      <c r="J216" s="22"/>
      <c r="K216" s="22" t="s">
        <v>42</v>
      </c>
      <c r="L216" s="24">
        <v>2021</v>
      </c>
      <c r="M216" s="24"/>
      <c r="N216" s="38"/>
      <c r="O216" s="39"/>
      <c r="P216" s="24"/>
      <c r="Q216" s="28"/>
      <c r="R216" s="24"/>
      <c r="S216" s="24"/>
      <c r="T216" s="24"/>
      <c r="U216" s="24"/>
      <c r="V216" s="24"/>
      <c r="W216" s="24"/>
      <c r="X216" s="24"/>
      <c r="Y216" s="24"/>
      <c r="Z216" s="22"/>
      <c r="AA216" s="22"/>
      <c r="AB216" s="22"/>
      <c r="AC216" s="22"/>
      <c r="AD216" s="22"/>
      <c r="AE216" s="22"/>
      <c r="AF216" s="71"/>
      <c r="AG216" s="24">
        <v>1</v>
      </c>
      <c r="AH216" s="24">
        <v>3</v>
      </c>
      <c r="AI216" s="24">
        <v>2</v>
      </c>
      <c r="AJ216" s="24">
        <v>3</v>
      </c>
      <c r="AK216" s="24">
        <v>1</v>
      </c>
      <c r="AL216" s="24">
        <v>2</v>
      </c>
      <c r="AM216" s="14">
        <f>AG216*AH216*AI216*AJ216*AK216*AL216</f>
        <v>36</v>
      </c>
      <c r="AN216" s="22"/>
      <c r="AO216" s="22"/>
    </row>
    <row r="217" spans="1:41" ht="38.25" hidden="1" x14ac:dyDescent="0.2">
      <c r="A217" s="22" t="s">
        <v>35</v>
      </c>
      <c r="B217" s="22" t="s">
        <v>603</v>
      </c>
      <c r="C217" s="22"/>
      <c r="D217" s="22" t="s">
        <v>60</v>
      </c>
      <c r="E217" s="22" t="s">
        <v>604</v>
      </c>
      <c r="F217" s="97" t="s">
        <v>969</v>
      </c>
      <c r="G217" s="22"/>
      <c r="H217" s="22"/>
      <c r="I217" s="22" t="s">
        <v>605</v>
      </c>
      <c r="J217" s="22" t="s">
        <v>606</v>
      </c>
      <c r="K217" s="22" t="s">
        <v>607</v>
      </c>
      <c r="L217" s="24">
        <v>2018</v>
      </c>
      <c r="M217" s="24"/>
      <c r="N217" s="51">
        <v>1600</v>
      </c>
      <c r="O217" s="39"/>
      <c r="P217" s="27">
        <f t="shared" ref="P217:P223" si="26">N217*O217</f>
        <v>0</v>
      </c>
      <c r="Q217" s="28"/>
      <c r="R217" s="28">
        <f t="shared" ref="R217:R225" si="27">IF(Q217&lt;4.99,(Q217*12%+4),IF(Q217&lt;10.99,(Q217*12%+8),IF(Q217&lt;14.99,(Q217*12%+12),IF(Q217&lt;879.99,(Q217*12%+16),IF(Q217&lt;2569.99,(Q217*7%+60),240)))))</f>
        <v>4</v>
      </c>
      <c r="S217" s="29">
        <f t="shared" ref="S217:S225" si="28">R217*P217</f>
        <v>0</v>
      </c>
      <c r="T217" s="24"/>
      <c r="U217" s="24"/>
      <c r="V217" s="24"/>
      <c r="W217" s="24"/>
      <c r="X217" s="24"/>
      <c r="Y217" s="24"/>
      <c r="Z217" s="22"/>
      <c r="AA217" s="22"/>
      <c r="AB217" s="22"/>
      <c r="AC217" s="22" t="s">
        <v>186</v>
      </c>
      <c r="AD217" s="22"/>
      <c r="AE217" s="22" t="s">
        <v>129</v>
      </c>
      <c r="AF217" s="71" t="s">
        <v>608</v>
      </c>
      <c r="AG217" s="24">
        <v>3</v>
      </c>
      <c r="AH217" s="24">
        <v>1</v>
      </c>
      <c r="AI217" s="24">
        <v>1</v>
      </c>
      <c r="AJ217" s="24">
        <v>3</v>
      </c>
      <c r="AK217" s="24">
        <v>1</v>
      </c>
      <c r="AL217" s="24">
        <v>1</v>
      </c>
      <c r="AM217" s="24">
        <v>9</v>
      </c>
      <c r="AN217" s="22" t="s">
        <v>48</v>
      </c>
      <c r="AO217" s="22"/>
    </row>
    <row r="218" spans="1:41" s="133" customFormat="1" ht="38.25" hidden="1" x14ac:dyDescent="0.2">
      <c r="A218" s="22" t="s">
        <v>35</v>
      </c>
      <c r="B218" s="23" t="s">
        <v>672</v>
      </c>
      <c r="C218" s="22"/>
      <c r="D218" s="22" t="s">
        <v>37</v>
      </c>
      <c r="E218" s="22" t="s">
        <v>604</v>
      </c>
      <c r="F218" s="71" t="s">
        <v>969</v>
      </c>
      <c r="G218" s="22"/>
      <c r="H218" s="22"/>
      <c r="I218" s="22" t="s">
        <v>673</v>
      </c>
      <c r="J218" s="22"/>
      <c r="K218" s="22" t="s">
        <v>128</v>
      </c>
      <c r="L218" s="24">
        <v>2022</v>
      </c>
      <c r="M218" s="24"/>
      <c r="N218" s="38">
        <f>3000*0.85+8500000/100000*3*5</f>
        <v>3825</v>
      </c>
      <c r="O218" s="39"/>
      <c r="P218" s="27">
        <f t="shared" si="26"/>
        <v>0</v>
      </c>
      <c r="Q218" s="28"/>
      <c r="R218" s="28">
        <f t="shared" si="27"/>
        <v>4</v>
      </c>
      <c r="S218" s="29">
        <f t="shared" si="28"/>
        <v>0</v>
      </c>
      <c r="T218" s="24"/>
      <c r="U218" s="24"/>
      <c r="V218" s="24"/>
      <c r="W218" s="24"/>
      <c r="X218" s="24"/>
      <c r="Y218" s="24"/>
      <c r="Z218" s="22"/>
      <c r="AA218" s="22"/>
      <c r="AB218" s="22"/>
      <c r="AC218" s="22" t="s">
        <v>64</v>
      </c>
      <c r="AD218" s="22"/>
      <c r="AE218" s="22" t="s">
        <v>76</v>
      </c>
      <c r="AF218" s="71" t="s">
        <v>520</v>
      </c>
      <c r="AG218" s="24">
        <v>3</v>
      </c>
      <c r="AH218" s="24">
        <v>2</v>
      </c>
      <c r="AI218" s="24">
        <v>2</v>
      </c>
      <c r="AJ218" s="24">
        <v>3</v>
      </c>
      <c r="AK218" s="24">
        <v>1</v>
      </c>
      <c r="AL218" s="24">
        <v>2</v>
      </c>
      <c r="AM218" s="24">
        <v>72</v>
      </c>
      <c r="AN218" s="22" t="s">
        <v>45</v>
      </c>
      <c r="AO218" s="22"/>
    </row>
    <row r="219" spans="1:41" ht="38.25" hidden="1" x14ac:dyDescent="0.2">
      <c r="A219" s="22" t="s">
        <v>35</v>
      </c>
      <c r="B219" s="22" t="s">
        <v>517</v>
      </c>
      <c r="C219" s="22"/>
      <c r="D219" s="22" t="s">
        <v>37</v>
      </c>
      <c r="E219" s="22" t="s">
        <v>518</v>
      </c>
      <c r="F219" s="97" t="s">
        <v>969</v>
      </c>
      <c r="G219" s="22"/>
      <c r="H219" s="22"/>
      <c r="I219" s="22" t="s">
        <v>519</v>
      </c>
      <c r="J219" s="22"/>
      <c r="K219" s="22" t="s">
        <v>128</v>
      </c>
      <c r="L219" s="24">
        <v>2022</v>
      </c>
      <c r="M219" s="24"/>
      <c r="N219" s="51">
        <v>6250</v>
      </c>
      <c r="O219" s="39"/>
      <c r="P219" s="27">
        <f t="shared" si="26"/>
        <v>0</v>
      </c>
      <c r="Q219" s="28"/>
      <c r="R219" s="28">
        <f t="shared" si="27"/>
        <v>4</v>
      </c>
      <c r="S219" s="29">
        <f t="shared" si="28"/>
        <v>0</v>
      </c>
      <c r="T219" s="24"/>
      <c r="U219" s="24"/>
      <c r="V219" s="24"/>
      <c r="W219" s="24"/>
      <c r="X219" s="24"/>
      <c r="Y219" s="24"/>
      <c r="Z219" s="22"/>
      <c r="AA219" s="22"/>
      <c r="AB219" s="22"/>
      <c r="AC219" s="22" t="s">
        <v>64</v>
      </c>
      <c r="AD219" s="22"/>
      <c r="AE219" s="22" t="s">
        <v>76</v>
      </c>
      <c r="AF219" s="71" t="s">
        <v>520</v>
      </c>
      <c r="AG219" s="24">
        <v>3</v>
      </c>
      <c r="AH219" s="24">
        <v>2</v>
      </c>
      <c r="AI219" s="24">
        <v>2</v>
      </c>
      <c r="AJ219" s="24">
        <v>3</v>
      </c>
      <c r="AK219" s="24">
        <v>1</v>
      </c>
      <c r="AL219" s="24">
        <v>2</v>
      </c>
      <c r="AM219" s="24">
        <v>72</v>
      </c>
      <c r="AN219" s="22" t="s">
        <v>45</v>
      </c>
      <c r="AO219" s="22"/>
    </row>
    <row r="220" spans="1:41" ht="38.25" hidden="1" x14ac:dyDescent="0.2">
      <c r="A220" s="22" t="s">
        <v>35</v>
      </c>
      <c r="B220" s="22" t="s">
        <v>674</v>
      </c>
      <c r="C220" s="22"/>
      <c r="D220" s="22" t="s">
        <v>37</v>
      </c>
      <c r="E220" s="22" t="s">
        <v>675</v>
      </c>
      <c r="F220" s="71" t="s">
        <v>969</v>
      </c>
      <c r="G220" s="22"/>
      <c r="H220" s="22"/>
      <c r="I220" s="22" t="s">
        <v>676</v>
      </c>
      <c r="J220" s="22"/>
      <c r="K220" s="22" t="s">
        <v>128</v>
      </c>
      <c r="L220" s="24">
        <v>2021</v>
      </c>
      <c r="M220" s="24"/>
      <c r="N220" s="51" t="e">
        <f>8500000/100000*4+#REF!</f>
        <v>#REF!</v>
      </c>
      <c r="O220" s="39"/>
      <c r="P220" s="27" t="e">
        <f t="shared" si="26"/>
        <v>#REF!</v>
      </c>
      <c r="Q220" s="28"/>
      <c r="R220" s="28">
        <f t="shared" si="27"/>
        <v>4</v>
      </c>
      <c r="S220" s="29" t="e">
        <f t="shared" si="28"/>
        <v>#REF!</v>
      </c>
      <c r="T220" s="24"/>
      <c r="U220" s="24"/>
      <c r="V220" s="24"/>
      <c r="W220" s="24"/>
      <c r="X220" s="24"/>
      <c r="Y220" s="24"/>
      <c r="Z220" s="22"/>
      <c r="AA220" s="22"/>
      <c r="AB220" s="22"/>
      <c r="AC220" s="22" t="s">
        <v>677</v>
      </c>
      <c r="AD220" s="22"/>
      <c r="AE220" s="22" t="s">
        <v>129</v>
      </c>
      <c r="AF220" s="71" t="s">
        <v>678</v>
      </c>
      <c r="AG220" s="24">
        <v>3</v>
      </c>
      <c r="AH220" s="24">
        <v>2</v>
      </c>
      <c r="AI220" s="24">
        <v>2</v>
      </c>
      <c r="AJ220" s="24">
        <v>3</v>
      </c>
      <c r="AK220" s="24">
        <v>1</v>
      </c>
      <c r="AL220" s="24">
        <v>2</v>
      </c>
      <c r="AM220" s="24">
        <v>72</v>
      </c>
      <c r="AN220" s="22" t="s">
        <v>45</v>
      </c>
      <c r="AO220" s="22"/>
    </row>
    <row r="221" spans="1:41" ht="38.25" hidden="1" x14ac:dyDescent="0.2">
      <c r="A221" s="22" t="s">
        <v>58</v>
      </c>
      <c r="B221" s="22" t="s">
        <v>521</v>
      </c>
      <c r="C221" s="22"/>
      <c r="D221" s="22" t="s">
        <v>37</v>
      </c>
      <c r="E221" s="22" t="s">
        <v>522</v>
      </c>
      <c r="F221" s="71"/>
      <c r="G221" s="71" t="s">
        <v>970</v>
      </c>
      <c r="H221" s="22"/>
      <c r="I221" s="22" t="s">
        <v>523</v>
      </c>
      <c r="J221" s="22" t="s">
        <v>524</v>
      </c>
      <c r="K221" s="22" t="s">
        <v>315</v>
      </c>
      <c r="L221" s="24">
        <v>2021</v>
      </c>
      <c r="M221" s="24"/>
      <c r="N221" s="51">
        <f>8500000/100000*3*0.8</f>
        <v>204</v>
      </c>
      <c r="O221" s="39"/>
      <c r="P221" s="27">
        <f t="shared" si="26"/>
        <v>0</v>
      </c>
      <c r="Q221" s="28"/>
      <c r="R221" s="28">
        <f t="shared" si="27"/>
        <v>4</v>
      </c>
      <c r="S221" s="29">
        <f t="shared" si="28"/>
        <v>0</v>
      </c>
      <c r="T221" s="24"/>
      <c r="U221" s="24"/>
      <c r="V221" s="24"/>
      <c r="W221" s="24"/>
      <c r="X221" s="24"/>
      <c r="Y221" s="24"/>
      <c r="Z221" s="22"/>
      <c r="AA221" s="22"/>
      <c r="AB221" s="22"/>
      <c r="AC221" s="22" t="s">
        <v>42</v>
      </c>
      <c r="AD221" s="22"/>
      <c r="AE221" s="22"/>
      <c r="AF221" s="71" t="s">
        <v>525</v>
      </c>
      <c r="AG221" s="24">
        <v>1</v>
      </c>
      <c r="AH221" s="24">
        <v>2</v>
      </c>
      <c r="AI221" s="24">
        <v>2</v>
      </c>
      <c r="AJ221" s="24">
        <v>3</v>
      </c>
      <c r="AK221" s="24">
        <v>1</v>
      </c>
      <c r="AL221" s="24">
        <v>1</v>
      </c>
      <c r="AM221" s="24">
        <v>12</v>
      </c>
      <c r="AN221" s="22" t="s">
        <v>48</v>
      </c>
      <c r="AO221" s="22"/>
    </row>
    <row r="222" spans="1:41" ht="38.25" hidden="1" x14ac:dyDescent="0.2">
      <c r="A222" s="22" t="s">
        <v>86</v>
      </c>
      <c r="B222" s="22" t="s">
        <v>560</v>
      </c>
      <c r="C222" s="22"/>
      <c r="D222" s="22" t="s">
        <v>98</v>
      </c>
      <c r="E222" s="22" t="s">
        <v>443</v>
      </c>
      <c r="F222" s="71" t="s">
        <v>960</v>
      </c>
      <c r="G222" s="22"/>
      <c r="H222" s="22"/>
      <c r="I222" s="22" t="s">
        <v>561</v>
      </c>
      <c r="J222" s="22"/>
      <c r="K222" s="22" t="s">
        <v>42</v>
      </c>
      <c r="L222" s="24">
        <v>2022</v>
      </c>
      <c r="M222" s="24"/>
      <c r="N222" s="52">
        <f>8500000/1000</f>
        <v>8500</v>
      </c>
      <c r="O222" s="39"/>
      <c r="P222" s="27">
        <f t="shared" si="26"/>
        <v>0</v>
      </c>
      <c r="Q222" s="28"/>
      <c r="R222" s="28">
        <f t="shared" si="27"/>
        <v>4</v>
      </c>
      <c r="S222" s="29">
        <f t="shared" si="28"/>
        <v>0</v>
      </c>
      <c r="T222" s="24"/>
      <c r="U222" s="24"/>
      <c r="V222" s="24"/>
      <c r="W222" s="24"/>
      <c r="X222" s="24"/>
      <c r="Y222" s="24"/>
      <c r="Z222" s="22"/>
      <c r="AA222" s="22"/>
      <c r="AB222" s="22"/>
      <c r="AC222" s="22" t="s">
        <v>42</v>
      </c>
      <c r="AD222" s="22"/>
      <c r="AE222" s="22"/>
      <c r="AF222" s="71" t="s">
        <v>562</v>
      </c>
      <c r="AG222" s="24">
        <v>1</v>
      </c>
      <c r="AH222" s="24">
        <v>3</v>
      </c>
      <c r="AI222" s="24">
        <v>3</v>
      </c>
      <c r="AJ222" s="24">
        <v>3</v>
      </c>
      <c r="AK222" s="24">
        <v>1</v>
      </c>
      <c r="AL222" s="24">
        <v>2</v>
      </c>
      <c r="AM222" s="24">
        <v>54</v>
      </c>
      <c r="AN222" s="22" t="s">
        <v>48</v>
      </c>
      <c r="AO222" s="22"/>
    </row>
    <row r="223" spans="1:41" ht="38.25" hidden="1" x14ac:dyDescent="0.2">
      <c r="A223" s="30" t="s">
        <v>58</v>
      </c>
      <c r="B223" s="30" t="s">
        <v>794</v>
      </c>
      <c r="C223" s="30"/>
      <c r="D223" s="30" t="s">
        <v>60</v>
      </c>
      <c r="E223" s="30" t="s">
        <v>443</v>
      </c>
      <c r="F223" s="72" t="s">
        <v>960</v>
      </c>
      <c r="G223" s="30"/>
      <c r="H223" s="106"/>
      <c r="I223" s="30" t="s">
        <v>795</v>
      </c>
      <c r="J223" s="30" t="s">
        <v>796</v>
      </c>
      <c r="K223" s="30" t="s">
        <v>315</v>
      </c>
      <c r="L223" s="31">
        <v>2019</v>
      </c>
      <c r="M223" s="31"/>
      <c r="N223" s="32">
        <f>0.01*8500000</f>
        <v>85000</v>
      </c>
      <c r="O223" s="33"/>
      <c r="P223" s="34">
        <f t="shared" si="26"/>
        <v>0</v>
      </c>
      <c r="Q223" s="35"/>
      <c r="R223" s="35">
        <f t="shared" si="27"/>
        <v>4</v>
      </c>
      <c r="S223" s="36">
        <f t="shared" si="28"/>
        <v>0</v>
      </c>
      <c r="T223" s="31"/>
      <c r="U223" s="31"/>
      <c r="V223" s="31"/>
      <c r="W223" s="31"/>
      <c r="X223" s="31"/>
      <c r="Y223" s="31"/>
      <c r="Z223" s="30"/>
      <c r="AA223" s="30"/>
      <c r="AB223" s="30"/>
      <c r="AC223" s="30" t="s">
        <v>42</v>
      </c>
      <c r="AD223" s="30"/>
      <c r="AE223" s="30"/>
      <c r="AF223" s="72" t="s">
        <v>562</v>
      </c>
      <c r="AG223" s="31">
        <v>1</v>
      </c>
      <c r="AH223" s="31">
        <v>1</v>
      </c>
      <c r="AI223" s="31">
        <v>3</v>
      </c>
      <c r="AJ223" s="31">
        <v>3</v>
      </c>
      <c r="AK223" s="31">
        <v>3</v>
      </c>
      <c r="AL223" s="31">
        <v>2</v>
      </c>
      <c r="AM223" s="31">
        <v>54</v>
      </c>
      <c r="AN223" s="30" t="s">
        <v>48</v>
      </c>
      <c r="AO223" s="30"/>
    </row>
    <row r="224" spans="1:41" x14ac:dyDescent="0.2">
      <c r="A224" s="30" t="s">
        <v>58</v>
      </c>
      <c r="B224" s="30" t="s">
        <v>1242</v>
      </c>
      <c r="C224" s="30"/>
      <c r="D224" s="30" t="s">
        <v>1243</v>
      </c>
      <c r="E224" s="30" t="s">
        <v>1241</v>
      </c>
      <c r="F224" s="72"/>
      <c r="G224" s="30"/>
      <c r="H224" s="106"/>
      <c r="I224" s="30" t="s">
        <v>1244</v>
      </c>
      <c r="J224" s="30"/>
      <c r="K224" s="30" t="s">
        <v>42</v>
      </c>
      <c r="L224" s="31">
        <v>2024</v>
      </c>
      <c r="M224" s="31"/>
      <c r="N224" s="32">
        <v>3</v>
      </c>
      <c r="O224" s="33"/>
      <c r="P224" s="34">
        <v>3</v>
      </c>
      <c r="Q224" s="35"/>
      <c r="R224" s="35"/>
      <c r="S224" s="36"/>
      <c r="T224" s="31"/>
      <c r="U224" s="31"/>
      <c r="V224" s="31"/>
      <c r="W224" s="31"/>
      <c r="X224" s="31"/>
      <c r="Y224" s="31"/>
      <c r="Z224" s="30"/>
      <c r="AA224" s="30"/>
      <c r="AB224" s="30"/>
      <c r="AC224" s="30"/>
      <c r="AD224" s="30"/>
      <c r="AE224" s="30"/>
      <c r="AF224" s="72"/>
      <c r="AG224" s="31"/>
      <c r="AH224" s="31"/>
      <c r="AI224" s="31"/>
      <c r="AJ224" s="31"/>
      <c r="AK224" s="31"/>
      <c r="AL224" s="31"/>
      <c r="AM224" s="31"/>
      <c r="AN224" s="30"/>
      <c r="AO224" s="37">
        <v>44805</v>
      </c>
    </row>
    <row r="225" spans="1:41" s="133" customFormat="1" ht="38.25" hidden="1" x14ac:dyDescent="0.2">
      <c r="A225" s="22" t="s">
        <v>58</v>
      </c>
      <c r="B225" s="23" t="s">
        <v>380</v>
      </c>
      <c r="C225" s="22"/>
      <c r="D225" s="22" t="s">
        <v>60</v>
      </c>
      <c r="E225" s="22" t="s">
        <v>381</v>
      </c>
      <c r="F225" s="65" t="s">
        <v>955</v>
      </c>
      <c r="G225" s="22"/>
      <c r="H225" s="22"/>
      <c r="I225" s="22" t="s">
        <v>382</v>
      </c>
      <c r="J225" s="22"/>
      <c r="K225" s="22" t="s">
        <v>201</v>
      </c>
      <c r="L225" s="24">
        <v>2019</v>
      </c>
      <c r="M225" s="24"/>
      <c r="N225" s="38">
        <f>8500000/50000*2</f>
        <v>340</v>
      </c>
      <c r="O225" s="39"/>
      <c r="P225" s="27">
        <f>N225*O225</f>
        <v>0</v>
      </c>
      <c r="Q225" s="28"/>
      <c r="R225" s="28">
        <f t="shared" si="27"/>
        <v>4</v>
      </c>
      <c r="S225" s="29">
        <f t="shared" si="28"/>
        <v>0</v>
      </c>
      <c r="T225" s="24"/>
      <c r="U225" s="24"/>
      <c r="V225" s="24"/>
      <c r="W225" s="24"/>
      <c r="X225" s="24"/>
      <c r="Y225" s="24"/>
      <c r="Z225" s="22"/>
      <c r="AA225" s="22"/>
      <c r="AB225" s="22"/>
      <c r="AC225" s="22" t="s">
        <v>64</v>
      </c>
      <c r="AD225" s="22"/>
      <c r="AE225" s="22" t="s">
        <v>76</v>
      </c>
      <c r="AF225" s="71" t="s">
        <v>383</v>
      </c>
      <c r="AG225" s="24">
        <v>2</v>
      </c>
      <c r="AH225" s="24">
        <v>1</v>
      </c>
      <c r="AI225" s="24">
        <v>2</v>
      </c>
      <c r="AJ225" s="24">
        <v>3</v>
      </c>
      <c r="AK225" s="24">
        <v>2</v>
      </c>
      <c r="AL225" s="24">
        <v>2</v>
      </c>
      <c r="AM225" s="24">
        <v>48</v>
      </c>
      <c r="AN225" s="22" t="s">
        <v>45</v>
      </c>
      <c r="AO225" s="22"/>
    </row>
    <row r="226" spans="1:41" ht="38.25" hidden="1" x14ac:dyDescent="0.2">
      <c r="A226" s="22" t="s">
        <v>35</v>
      </c>
      <c r="B226" s="22" t="s">
        <v>268</v>
      </c>
      <c r="C226" s="22"/>
      <c r="D226" s="65" t="s">
        <v>37</v>
      </c>
      <c r="E226" s="88" t="s">
        <v>875</v>
      </c>
      <c r="F226" s="88"/>
      <c r="G226" s="88"/>
      <c r="H226" s="80" t="s">
        <v>898</v>
      </c>
      <c r="I226" s="65" t="s">
        <v>876</v>
      </c>
      <c r="J226" s="22"/>
      <c r="K226" s="22" t="s">
        <v>42</v>
      </c>
      <c r="L226" s="24">
        <v>2022</v>
      </c>
      <c r="M226" s="24"/>
      <c r="N226" s="38"/>
      <c r="O226" s="39"/>
      <c r="P226" s="27"/>
      <c r="Q226" s="28"/>
      <c r="R226" s="28"/>
      <c r="S226" s="29"/>
      <c r="T226" s="24"/>
      <c r="U226" s="24"/>
      <c r="V226" s="24"/>
      <c r="W226" s="24"/>
      <c r="X226" s="24"/>
      <c r="Y226" s="24"/>
      <c r="Z226" s="22"/>
      <c r="AA226" s="22"/>
      <c r="AB226" s="22"/>
      <c r="AC226" s="22" t="s">
        <v>42</v>
      </c>
      <c r="AD226" s="22"/>
      <c r="AE226" s="41"/>
      <c r="AF226" s="67"/>
      <c r="AG226" s="24"/>
      <c r="AH226" s="24"/>
      <c r="AI226" s="24"/>
      <c r="AJ226" s="24"/>
      <c r="AK226" s="24"/>
      <c r="AL226" s="24"/>
      <c r="AM226" s="24">
        <v>0</v>
      </c>
      <c r="AN226" s="22"/>
      <c r="AO226" s="69"/>
    </row>
    <row r="227" spans="1:41" ht="38.25" hidden="1" x14ac:dyDescent="0.2">
      <c r="A227" s="22" t="s">
        <v>58</v>
      </c>
      <c r="B227" s="22" t="s">
        <v>368</v>
      </c>
      <c r="C227" s="22"/>
      <c r="D227" s="22" t="s">
        <v>98</v>
      </c>
      <c r="E227" s="22" t="s">
        <v>369</v>
      </c>
      <c r="F227" s="22"/>
      <c r="G227" s="95"/>
      <c r="H227" s="110" t="s">
        <v>954</v>
      </c>
      <c r="I227" s="22" t="s">
        <v>370</v>
      </c>
      <c r="J227" s="22"/>
      <c r="K227" s="22" t="s">
        <v>42</v>
      </c>
      <c r="L227" s="24">
        <v>2021</v>
      </c>
      <c r="M227" s="24"/>
      <c r="N227" s="38">
        <f>8000000/454000</f>
        <v>17.621145374449338</v>
      </c>
      <c r="O227" s="39"/>
      <c r="P227" s="27">
        <f>N227*O227</f>
        <v>0</v>
      </c>
      <c r="Q227" s="28"/>
      <c r="R227" s="28">
        <f>IF(Q227&lt;4.99,(Q227*12%+4),IF(Q227&lt;10.99,(Q227*12%+8),IF(Q227&lt;14.99,(Q227*12%+12),IF(Q227&lt;879.99,(Q227*12%+16),IF(Q227&lt;2569.99,(Q227*7%+60),240)))))</f>
        <v>4</v>
      </c>
      <c r="S227" s="29">
        <f>R227*P227</f>
        <v>0</v>
      </c>
      <c r="T227" s="24"/>
      <c r="U227" s="24"/>
      <c r="V227" s="24"/>
      <c r="W227" s="24"/>
      <c r="X227" s="24"/>
      <c r="Y227" s="24"/>
      <c r="Z227" s="22"/>
      <c r="AA227" s="22"/>
      <c r="AB227" s="22"/>
      <c r="AC227" s="22" t="s">
        <v>42</v>
      </c>
      <c r="AD227" s="22"/>
      <c r="AE227" s="22"/>
      <c r="AF227" s="71"/>
      <c r="AG227" s="24">
        <v>1</v>
      </c>
      <c r="AH227" s="24">
        <v>1</v>
      </c>
      <c r="AI227" s="24">
        <v>2</v>
      </c>
      <c r="AJ227" s="24">
        <v>3</v>
      </c>
      <c r="AK227" s="24">
        <v>3</v>
      </c>
      <c r="AL227" s="24">
        <v>1</v>
      </c>
      <c r="AM227" s="24">
        <v>18</v>
      </c>
      <c r="AN227" s="22" t="s">
        <v>48</v>
      </c>
      <c r="AO227" s="22"/>
    </row>
    <row r="228" spans="1:41" ht="38.25" hidden="1" x14ac:dyDescent="0.2">
      <c r="A228" s="22" t="s">
        <v>35</v>
      </c>
      <c r="B228" s="22" t="s">
        <v>223</v>
      </c>
      <c r="C228" s="22"/>
      <c r="D228" s="22" t="s">
        <v>60</v>
      </c>
      <c r="E228" s="22" t="s">
        <v>578</v>
      </c>
      <c r="F228" s="65" t="s">
        <v>978</v>
      </c>
      <c r="G228" s="95"/>
      <c r="H228" s="22"/>
      <c r="I228" s="23" t="s">
        <v>579</v>
      </c>
      <c r="J228" s="22" t="s">
        <v>580</v>
      </c>
      <c r="K228" s="23" t="s">
        <v>315</v>
      </c>
      <c r="L228" s="24"/>
      <c r="M228" s="24"/>
      <c r="N228" s="51">
        <v>6100</v>
      </c>
      <c r="O228" s="39"/>
      <c r="P228" s="27">
        <f>N228*O228</f>
        <v>0</v>
      </c>
      <c r="Q228" s="28"/>
      <c r="R228" s="28">
        <f>IF(Q228&lt;4.99,(Q228*12%+4),IF(Q228&lt;10.99,(Q228*12%+8),IF(Q228&lt;14.99,(Q228*12%+12),IF(Q228&lt;879.99,(Q228*12%+16),IF(Q228&lt;2569.99,(Q228*7%+60),240)))))</f>
        <v>4</v>
      </c>
      <c r="S228" s="29">
        <f>R228*P228</f>
        <v>0</v>
      </c>
      <c r="T228" s="24"/>
      <c r="U228" s="24"/>
      <c r="V228" s="24"/>
      <c r="W228" s="24"/>
      <c r="X228" s="24"/>
      <c r="Y228" s="24"/>
      <c r="Z228" s="22"/>
      <c r="AA228" s="22"/>
      <c r="AB228" s="22"/>
      <c r="AC228" s="22" t="s">
        <v>42</v>
      </c>
      <c r="AD228" s="22"/>
      <c r="AE228" s="22"/>
      <c r="AF228" s="71"/>
      <c r="AG228" s="24">
        <v>1</v>
      </c>
      <c r="AH228" s="24">
        <v>2</v>
      </c>
      <c r="AI228" s="24">
        <v>1</v>
      </c>
      <c r="AJ228" s="24">
        <v>3</v>
      </c>
      <c r="AK228" s="24">
        <v>1</v>
      </c>
      <c r="AL228" s="24">
        <v>1</v>
      </c>
      <c r="AM228" s="24">
        <v>6</v>
      </c>
      <c r="AN228" s="22" t="s">
        <v>48</v>
      </c>
      <c r="AO228" s="22"/>
    </row>
    <row r="229" spans="1:41" ht="38.25" hidden="1" x14ac:dyDescent="0.2">
      <c r="A229" s="30" t="s">
        <v>58</v>
      </c>
      <c r="B229" s="30" t="s">
        <v>880</v>
      </c>
      <c r="C229" s="30"/>
      <c r="D229" s="139" t="s">
        <v>37</v>
      </c>
      <c r="E229" s="139" t="s">
        <v>276</v>
      </c>
      <c r="F229" s="139" t="s">
        <v>897</v>
      </c>
      <c r="G229" s="139"/>
      <c r="H229" s="139"/>
      <c r="I229" s="139" t="s">
        <v>881</v>
      </c>
      <c r="J229" s="30" t="s">
        <v>1134</v>
      </c>
      <c r="K229" s="30" t="s">
        <v>42</v>
      </c>
      <c r="L229" s="31">
        <v>2022</v>
      </c>
      <c r="M229" s="31"/>
      <c r="N229" s="32"/>
      <c r="O229" s="33"/>
      <c r="P229" s="34"/>
      <c r="Q229" s="35"/>
      <c r="R229" s="35"/>
      <c r="S229" s="36"/>
      <c r="T229" s="31"/>
      <c r="U229" s="31"/>
      <c r="V229" s="31"/>
      <c r="W229" s="31"/>
      <c r="X229" s="31"/>
      <c r="Y229" s="31"/>
      <c r="Z229" s="30"/>
      <c r="AA229" s="30"/>
      <c r="AB229" s="30"/>
      <c r="AC229" s="30" t="s">
        <v>42</v>
      </c>
      <c r="AD229" s="30"/>
      <c r="AE229" s="50"/>
      <c r="AF229" s="141"/>
      <c r="AG229" s="31"/>
      <c r="AH229" s="31"/>
      <c r="AI229" s="31"/>
      <c r="AJ229" s="31"/>
      <c r="AK229" s="31"/>
      <c r="AL229" s="31"/>
      <c r="AM229" s="31">
        <v>0</v>
      </c>
      <c r="AN229" s="30"/>
      <c r="AO229" s="142"/>
    </row>
    <row r="230" spans="1:41" ht="38.25" hidden="1" x14ac:dyDescent="0.2">
      <c r="A230" s="22" t="s">
        <v>35</v>
      </c>
      <c r="B230" s="22" t="s">
        <v>268</v>
      </c>
      <c r="C230" s="22"/>
      <c r="D230" s="65" t="s">
        <v>37</v>
      </c>
      <c r="E230" s="88" t="s">
        <v>276</v>
      </c>
      <c r="F230" s="88" t="s">
        <v>897</v>
      </c>
      <c r="G230" s="77"/>
      <c r="H230" s="88"/>
      <c r="I230" s="65" t="s">
        <v>879</v>
      </c>
      <c r="J230" s="22" t="s">
        <v>1133</v>
      </c>
      <c r="K230" s="22" t="s">
        <v>42</v>
      </c>
      <c r="L230" s="24">
        <v>2021</v>
      </c>
      <c r="M230" s="24"/>
      <c r="N230" s="38">
        <v>3300</v>
      </c>
      <c r="O230" s="39"/>
      <c r="P230" s="27">
        <v>20</v>
      </c>
      <c r="Q230" s="28">
        <v>5000</v>
      </c>
      <c r="R230" s="28">
        <v>240</v>
      </c>
      <c r="S230" s="29">
        <f>P230*R230</f>
        <v>4800</v>
      </c>
      <c r="T230" s="24"/>
      <c r="U230" s="24"/>
      <c r="V230" s="24"/>
      <c r="W230" s="24"/>
      <c r="X230" s="24"/>
      <c r="Y230" s="24"/>
      <c r="Z230" s="113" t="e">
        <f>#REF!</f>
        <v>#REF!</v>
      </c>
      <c r="AA230" s="22"/>
      <c r="AB230" s="22"/>
      <c r="AC230" s="22" t="s">
        <v>42</v>
      </c>
      <c r="AD230" s="22"/>
      <c r="AE230" s="41"/>
      <c r="AF230" s="67"/>
      <c r="AG230" s="24"/>
      <c r="AH230" s="24"/>
      <c r="AI230" s="24"/>
      <c r="AJ230" s="24"/>
      <c r="AK230" s="24"/>
      <c r="AL230" s="24"/>
      <c r="AM230" s="24">
        <v>0</v>
      </c>
      <c r="AN230" s="22"/>
      <c r="AO230" s="69"/>
    </row>
    <row r="231" spans="1:41" ht="51" hidden="1" x14ac:dyDescent="0.2">
      <c r="A231" s="22" t="s">
        <v>35</v>
      </c>
      <c r="B231" s="22" t="s">
        <v>268</v>
      </c>
      <c r="C231" s="22"/>
      <c r="D231" s="22" t="s">
        <v>37</v>
      </c>
      <c r="E231" s="22" t="s">
        <v>276</v>
      </c>
      <c r="F231" s="71" t="s">
        <v>897</v>
      </c>
      <c r="G231" s="22"/>
      <c r="H231" s="22"/>
      <c r="I231" s="22" t="s">
        <v>277</v>
      </c>
      <c r="J231" s="22" t="s">
        <v>278</v>
      </c>
      <c r="K231" s="22" t="s">
        <v>279</v>
      </c>
      <c r="L231" s="24">
        <v>2021</v>
      </c>
      <c r="M231" s="24"/>
      <c r="N231" s="51">
        <f>0.75*4400</f>
        <v>3300</v>
      </c>
      <c r="O231" s="39"/>
      <c r="P231" s="27">
        <f>N231*O231</f>
        <v>0</v>
      </c>
      <c r="Q231" s="28"/>
      <c r="R231" s="28">
        <f>IF(Q231&lt;4.99,(Q231*12%+4),IF(Q231&lt;10.99,(Q231*12%+8),IF(Q231&lt;14.99,(Q231*12%+12),IF(Q231&lt;879.99,(Q231*12%+16),IF(Q231&lt;2569.99,(Q231*7%+60),240)))))</f>
        <v>4</v>
      </c>
      <c r="S231" s="29">
        <f>R231*P231</f>
        <v>0</v>
      </c>
      <c r="T231" s="24"/>
      <c r="U231" s="24"/>
      <c r="V231" s="24"/>
      <c r="W231" s="24"/>
      <c r="X231" s="24"/>
      <c r="Y231" s="24"/>
      <c r="Z231" s="22">
        <v>0</v>
      </c>
      <c r="AA231" s="22">
        <v>0</v>
      </c>
      <c r="AB231" s="22"/>
      <c r="AC231" s="22" t="s">
        <v>42</v>
      </c>
      <c r="AD231" s="22"/>
      <c r="AE231" s="22" t="s">
        <v>95</v>
      </c>
      <c r="AF231" s="71" t="s">
        <v>280</v>
      </c>
      <c r="AG231" s="24">
        <v>3</v>
      </c>
      <c r="AH231" s="24">
        <v>2</v>
      </c>
      <c r="AI231" s="24">
        <v>1</v>
      </c>
      <c r="AJ231" s="24">
        <v>3</v>
      </c>
      <c r="AK231" s="24">
        <v>2</v>
      </c>
      <c r="AL231" s="24">
        <v>2</v>
      </c>
      <c r="AM231" s="24">
        <v>72</v>
      </c>
      <c r="AN231" s="22" t="s">
        <v>45</v>
      </c>
      <c r="AO231" s="22"/>
    </row>
    <row r="232" spans="1:41" ht="38.25" hidden="1" x14ac:dyDescent="0.2">
      <c r="A232" s="22" t="s">
        <v>58</v>
      </c>
      <c r="B232" s="23" t="s">
        <v>328</v>
      </c>
      <c r="C232" s="22"/>
      <c r="D232" s="22" t="s">
        <v>329</v>
      </c>
      <c r="E232" s="22" t="s">
        <v>276</v>
      </c>
      <c r="F232" s="71" t="s">
        <v>897</v>
      </c>
      <c r="G232" s="22"/>
      <c r="H232" s="22"/>
      <c r="I232" s="22" t="s">
        <v>330</v>
      </c>
      <c r="J232" s="22"/>
      <c r="K232" s="22" t="s">
        <v>331</v>
      </c>
      <c r="L232" s="24">
        <v>2018</v>
      </c>
      <c r="M232" s="24"/>
      <c r="N232" s="38">
        <f>0.12*8500</f>
        <v>1020</v>
      </c>
      <c r="O232" s="39"/>
      <c r="P232" s="27">
        <f>N232*O232</f>
        <v>0</v>
      </c>
      <c r="Q232" s="28"/>
      <c r="R232" s="28">
        <f>IF(Q232&lt;4.99,(Q232*12%+4),IF(Q232&lt;10.99,(Q232*12%+8),IF(Q232&lt;14.99,(Q232*12%+12),IF(Q232&lt;879.99,(Q232*12%+16),IF(Q232&lt;2569.99,(Q232*7%+60),240)))))</f>
        <v>4</v>
      </c>
      <c r="S232" s="29">
        <f>R232*P232</f>
        <v>0</v>
      </c>
      <c r="T232" s="24"/>
      <c r="U232" s="24"/>
      <c r="V232" s="24"/>
      <c r="W232" s="24"/>
      <c r="X232" s="24"/>
      <c r="Y232" s="24"/>
      <c r="Z232" s="22"/>
      <c r="AA232" s="22"/>
      <c r="AB232" s="22"/>
      <c r="AC232" s="22" t="s">
        <v>42</v>
      </c>
      <c r="AD232" s="22"/>
      <c r="AE232" s="41" t="s">
        <v>56</v>
      </c>
      <c r="AF232" s="71" t="s">
        <v>332</v>
      </c>
      <c r="AG232" s="24">
        <v>2</v>
      </c>
      <c r="AH232" s="24">
        <v>2</v>
      </c>
      <c r="AI232" s="24">
        <v>3</v>
      </c>
      <c r="AJ232" s="24">
        <v>3</v>
      </c>
      <c r="AK232" s="24">
        <v>1</v>
      </c>
      <c r="AL232" s="24">
        <v>1</v>
      </c>
      <c r="AM232" s="24">
        <v>36</v>
      </c>
      <c r="AN232" s="22" t="s">
        <v>45</v>
      </c>
      <c r="AO232" s="22"/>
    </row>
    <row r="233" spans="1:41" ht="38.25" hidden="1" x14ac:dyDescent="0.2">
      <c r="A233" s="22" t="s">
        <v>35</v>
      </c>
      <c r="B233" s="22" t="s">
        <v>682</v>
      </c>
      <c r="C233" s="22"/>
      <c r="D233" s="22" t="s">
        <v>37</v>
      </c>
      <c r="E233" s="22" t="s">
        <v>276</v>
      </c>
      <c r="F233" s="71" t="s">
        <v>897</v>
      </c>
      <c r="G233" s="22"/>
      <c r="H233" s="22"/>
      <c r="I233" s="22" t="s">
        <v>683</v>
      </c>
      <c r="J233" s="22"/>
      <c r="K233" s="22" t="s">
        <v>64</v>
      </c>
      <c r="L233" s="24">
        <v>2021</v>
      </c>
      <c r="M233" s="24"/>
      <c r="N233" s="38">
        <v>76000</v>
      </c>
      <c r="O233" s="39"/>
      <c r="P233" s="27">
        <f>N233*O233</f>
        <v>0</v>
      </c>
      <c r="Q233" s="28"/>
      <c r="R233" s="28">
        <f>IF(Q233&lt;4.99,(Q233*12%+4),IF(Q233&lt;10.99,(Q233*12%+8),IF(Q233&lt;14.99,(Q233*12%+12),IF(Q233&lt;879.99,(Q233*12%+16),IF(Q233&lt;2569.99,(Q233*7%+60),240)))))</f>
        <v>4</v>
      </c>
      <c r="S233" s="29">
        <f>R233*P233</f>
        <v>0</v>
      </c>
      <c r="T233" s="24"/>
      <c r="U233" s="24"/>
      <c r="V233" s="24"/>
      <c r="W233" s="24"/>
      <c r="X233" s="24"/>
      <c r="Y233" s="24"/>
      <c r="Z233" s="22"/>
      <c r="AA233" s="22"/>
      <c r="AB233" s="22"/>
      <c r="AC233" s="22" t="s">
        <v>64</v>
      </c>
      <c r="AD233" s="22"/>
      <c r="AE233" s="41" t="s">
        <v>56</v>
      </c>
      <c r="AF233" s="71" t="s">
        <v>684</v>
      </c>
      <c r="AG233" s="24">
        <v>2</v>
      </c>
      <c r="AH233" s="24">
        <v>3</v>
      </c>
      <c r="AI233" s="24">
        <v>3</v>
      </c>
      <c r="AJ233" s="24">
        <v>3</v>
      </c>
      <c r="AK233" s="24">
        <v>1</v>
      </c>
      <c r="AL233" s="24">
        <v>2</v>
      </c>
      <c r="AM233" s="24">
        <v>108</v>
      </c>
      <c r="AN233" s="22" t="s">
        <v>45</v>
      </c>
      <c r="AO233" s="22"/>
    </row>
    <row r="234" spans="1:41" ht="38.25" hidden="1" x14ac:dyDescent="0.2">
      <c r="A234" s="22" t="s">
        <v>58</v>
      </c>
      <c r="B234" s="23" t="s">
        <v>349</v>
      </c>
      <c r="C234" s="22"/>
      <c r="D234" s="22" t="s">
        <v>37</v>
      </c>
      <c r="E234" s="22" t="s">
        <v>350</v>
      </c>
      <c r="F234" s="71" t="s">
        <v>951</v>
      </c>
      <c r="G234" s="22"/>
      <c r="H234" s="22"/>
      <c r="I234" s="22" t="s">
        <v>351</v>
      </c>
      <c r="J234" s="22" t="s">
        <v>352</v>
      </c>
      <c r="K234" s="22" t="s">
        <v>63</v>
      </c>
      <c r="L234" s="24">
        <v>2018</v>
      </c>
      <c r="M234" s="24"/>
      <c r="N234" s="38">
        <v>400</v>
      </c>
      <c r="O234" s="39"/>
      <c r="P234" s="27">
        <f>N234*O234</f>
        <v>0</v>
      </c>
      <c r="Q234" s="28"/>
      <c r="R234" s="28">
        <f>IF(Q234&lt;4.99,(Q234*12%+4),IF(Q234&lt;10.99,(Q234*12%+8),IF(Q234&lt;14.99,(Q234*12%+12),IF(Q234&lt;879.99,(Q234*12%+16),IF(Q234&lt;2569.99,(Q234*7%+60),240)))))</f>
        <v>4</v>
      </c>
      <c r="S234" s="29">
        <f>R234*P234</f>
        <v>0</v>
      </c>
      <c r="T234" s="24"/>
      <c r="U234" s="24"/>
      <c r="V234" s="24"/>
      <c r="W234" s="24"/>
      <c r="X234" s="24"/>
      <c r="Y234" s="24"/>
      <c r="Z234" s="22"/>
      <c r="AA234" s="22"/>
      <c r="AB234" s="22"/>
      <c r="AC234" s="22" t="s">
        <v>42</v>
      </c>
      <c r="AD234" s="22"/>
      <c r="AE234" s="22" t="s">
        <v>213</v>
      </c>
      <c r="AF234" s="71" t="s">
        <v>353</v>
      </c>
      <c r="AG234" s="24">
        <v>3</v>
      </c>
      <c r="AH234" s="24">
        <v>1</v>
      </c>
      <c r="AI234" s="24">
        <v>3</v>
      </c>
      <c r="AJ234" s="24">
        <v>3</v>
      </c>
      <c r="AK234" s="24">
        <v>1</v>
      </c>
      <c r="AL234" s="24">
        <v>1</v>
      </c>
      <c r="AM234" s="24">
        <v>27</v>
      </c>
      <c r="AN234" s="22" t="s">
        <v>48</v>
      </c>
      <c r="AO234" s="22"/>
    </row>
    <row r="235" spans="1:41" ht="38.25" hidden="1" x14ac:dyDescent="0.2">
      <c r="A235" s="22" t="s">
        <v>35</v>
      </c>
      <c r="B235" s="22" t="s">
        <v>883</v>
      </c>
      <c r="C235" s="22"/>
      <c r="D235" s="65" t="s">
        <v>37</v>
      </c>
      <c r="E235" s="88" t="s">
        <v>768</v>
      </c>
      <c r="F235" s="88"/>
      <c r="G235" s="88"/>
      <c r="H235" s="65" t="s">
        <v>896</v>
      </c>
      <c r="I235" s="65" t="s">
        <v>882</v>
      </c>
      <c r="J235" s="22"/>
      <c r="K235" s="22" t="s">
        <v>42</v>
      </c>
      <c r="L235" s="24">
        <v>2022</v>
      </c>
      <c r="M235" s="24"/>
      <c r="N235" s="38"/>
      <c r="O235" s="39"/>
      <c r="P235" s="27"/>
      <c r="Q235" s="28"/>
      <c r="R235" s="28"/>
      <c r="S235" s="29"/>
      <c r="T235" s="24"/>
      <c r="U235" s="24"/>
      <c r="V235" s="24"/>
      <c r="W235" s="24"/>
      <c r="X235" s="24"/>
      <c r="Y235" s="24"/>
      <c r="Z235" s="22"/>
      <c r="AA235" s="22"/>
      <c r="AB235" s="22"/>
      <c r="AC235" s="22" t="s">
        <v>42</v>
      </c>
      <c r="AD235" s="22"/>
      <c r="AE235" s="41"/>
      <c r="AF235" s="67"/>
      <c r="AG235" s="24"/>
      <c r="AH235" s="24"/>
      <c r="AI235" s="24"/>
      <c r="AJ235" s="24"/>
      <c r="AK235" s="24"/>
      <c r="AL235" s="24"/>
      <c r="AM235" s="24">
        <v>0</v>
      </c>
      <c r="AN235" s="22"/>
      <c r="AO235" s="69"/>
    </row>
    <row r="236" spans="1:41" s="133" customFormat="1" ht="38.25" x14ac:dyDescent="0.2">
      <c r="A236" s="30" t="s">
        <v>35</v>
      </c>
      <c r="B236" s="30" t="s">
        <v>73</v>
      </c>
      <c r="C236" s="30"/>
      <c r="D236" s="30" t="s">
        <v>60</v>
      </c>
      <c r="E236" s="30" t="s">
        <v>768</v>
      </c>
      <c r="F236" s="30"/>
      <c r="G236" s="30"/>
      <c r="H236" s="139" t="s">
        <v>896</v>
      </c>
      <c r="I236" s="30" t="s">
        <v>769</v>
      </c>
      <c r="J236" s="30" t="s">
        <v>1266</v>
      </c>
      <c r="K236" s="30" t="s">
        <v>63</v>
      </c>
      <c r="L236" s="31">
        <v>2023</v>
      </c>
      <c r="M236" s="31"/>
      <c r="N236" s="32">
        <f>4*85*20</f>
        <v>6800</v>
      </c>
      <c r="O236" s="33" t="s">
        <v>1012</v>
      </c>
      <c r="P236" s="34">
        <v>20</v>
      </c>
      <c r="Q236" s="35">
        <v>6000</v>
      </c>
      <c r="R236" s="35">
        <f>IF(Q236&lt;4.99,(Q236*12%+4),IF(Q236&lt;10.99,(Q236*12%+8),IF(Q236&lt;14.99,(Q236*12%+12),IF(Q236&lt;879.99,(Q236*12%+16),IF(Q236&lt;2569.99,(Q236*7%+60),240)))))</f>
        <v>240</v>
      </c>
      <c r="S236" s="36">
        <f>R236*P236</f>
        <v>4800</v>
      </c>
      <c r="T236" s="31"/>
      <c r="U236" s="31"/>
      <c r="V236" s="31"/>
      <c r="W236" s="31"/>
      <c r="X236" s="31"/>
      <c r="Y236" s="31"/>
      <c r="Z236" s="30"/>
      <c r="AA236" s="30"/>
      <c r="AB236" s="30">
        <f>20*6000</f>
        <v>120000</v>
      </c>
      <c r="AC236" s="30" t="s">
        <v>42</v>
      </c>
      <c r="AD236" s="30"/>
      <c r="AE236" s="30"/>
      <c r="AF236" s="72" t="s">
        <v>1267</v>
      </c>
      <c r="AG236" s="31">
        <v>1</v>
      </c>
      <c r="AH236" s="31">
        <v>2</v>
      </c>
      <c r="AI236" s="31">
        <v>1</v>
      </c>
      <c r="AJ236" s="31">
        <v>3</v>
      </c>
      <c r="AK236" s="31">
        <v>0</v>
      </c>
      <c r="AL236" s="31">
        <v>1</v>
      </c>
      <c r="AM236" s="31">
        <v>0</v>
      </c>
      <c r="AN236" s="30" t="s">
        <v>48</v>
      </c>
      <c r="AO236" s="30"/>
    </row>
    <row r="237" spans="1:41" ht="38.25" hidden="1" x14ac:dyDescent="0.2">
      <c r="A237" s="22" t="s">
        <v>58</v>
      </c>
      <c r="B237" s="22" t="s">
        <v>752</v>
      </c>
      <c r="C237" s="22"/>
      <c r="D237" s="22" t="s">
        <v>60</v>
      </c>
      <c r="E237" s="22" t="s">
        <v>753</v>
      </c>
      <c r="F237" s="71" t="s">
        <v>900</v>
      </c>
      <c r="G237" s="22"/>
      <c r="H237" s="22"/>
      <c r="I237" s="22" t="s">
        <v>754</v>
      </c>
      <c r="J237" s="22"/>
      <c r="K237" s="22" t="s">
        <v>128</v>
      </c>
      <c r="L237" s="24">
        <v>2020</v>
      </c>
      <c r="M237" s="24"/>
      <c r="N237" s="38">
        <f>4.5*80</f>
        <v>360</v>
      </c>
      <c r="O237" s="39"/>
      <c r="P237" s="27">
        <f>N237*O237</f>
        <v>0</v>
      </c>
      <c r="Q237" s="28"/>
      <c r="R237" s="28">
        <f>IF(Q237&lt;4.99,(Q237*12%+4),IF(Q237&lt;10.99,(Q237*12%+8),IF(Q237&lt;14.99,(Q237*12%+12),IF(Q237&lt;879.99,(Q237*12%+16),IF(Q237&lt;2569.99,(Q237*7%+60),240)))))</f>
        <v>4</v>
      </c>
      <c r="S237" s="29">
        <f>R237*P237</f>
        <v>0</v>
      </c>
      <c r="T237" s="24"/>
      <c r="U237" s="24"/>
      <c r="V237" s="24"/>
      <c r="W237" s="24"/>
      <c r="X237" s="24"/>
      <c r="Y237" s="24"/>
      <c r="Z237" s="22"/>
      <c r="AA237" s="22"/>
      <c r="AB237" s="22"/>
      <c r="AC237" s="22" t="s">
        <v>677</v>
      </c>
      <c r="AD237" s="22"/>
      <c r="AE237" s="22" t="s">
        <v>56</v>
      </c>
      <c r="AF237" s="71" t="s">
        <v>755</v>
      </c>
      <c r="AG237" s="24">
        <v>1</v>
      </c>
      <c r="AH237" s="24">
        <v>1</v>
      </c>
      <c r="AI237" s="24">
        <v>1</v>
      </c>
      <c r="AJ237" s="24">
        <v>3</v>
      </c>
      <c r="AK237" s="24">
        <v>1</v>
      </c>
      <c r="AL237" s="24">
        <v>1</v>
      </c>
      <c r="AM237" s="24">
        <v>3</v>
      </c>
      <c r="AN237" s="22" t="s">
        <v>48</v>
      </c>
      <c r="AO237" s="22"/>
    </row>
    <row r="238" spans="1:41" s="133" customFormat="1" ht="51" hidden="1" x14ac:dyDescent="0.2">
      <c r="A238" s="30" t="s">
        <v>72</v>
      </c>
      <c r="B238" s="30" t="s">
        <v>1278</v>
      </c>
      <c r="C238" s="30"/>
      <c r="D238" s="139" t="s">
        <v>98</v>
      </c>
      <c r="E238" s="139" t="s">
        <v>142</v>
      </c>
      <c r="F238" s="139" t="s">
        <v>895</v>
      </c>
      <c r="G238" s="139"/>
      <c r="H238" s="139"/>
      <c r="I238" s="139" t="s">
        <v>884</v>
      </c>
      <c r="J238" s="30" t="s">
        <v>1402</v>
      </c>
      <c r="K238" s="72" t="s">
        <v>63</v>
      </c>
      <c r="L238" s="31">
        <v>2025</v>
      </c>
      <c r="M238" s="31"/>
      <c r="N238" s="32">
        <v>1800</v>
      </c>
      <c r="O238" s="33"/>
      <c r="P238" s="34">
        <v>100</v>
      </c>
      <c r="Q238" s="35">
        <v>4000</v>
      </c>
      <c r="R238" s="35"/>
      <c r="S238" s="36"/>
      <c r="T238" s="31"/>
      <c r="U238" s="31"/>
      <c r="V238" s="31"/>
      <c r="W238" s="31"/>
      <c r="X238" s="31"/>
      <c r="Y238" s="31"/>
      <c r="Z238" s="30"/>
      <c r="AA238" s="30"/>
      <c r="AB238" s="30"/>
      <c r="AC238" s="30" t="s">
        <v>42</v>
      </c>
      <c r="AD238" s="30"/>
      <c r="AE238" s="50">
        <v>44986</v>
      </c>
      <c r="AF238" s="141" t="s">
        <v>1403</v>
      </c>
      <c r="AG238" s="31">
        <v>1</v>
      </c>
      <c r="AH238" s="31">
        <v>1</v>
      </c>
      <c r="AI238" s="31">
        <v>1</v>
      </c>
      <c r="AJ238" s="31">
        <v>3</v>
      </c>
      <c r="AK238" s="31">
        <v>1</v>
      </c>
      <c r="AL238" s="31">
        <v>2</v>
      </c>
      <c r="AM238" s="31">
        <v>6</v>
      </c>
      <c r="AN238" s="30" t="s">
        <v>48</v>
      </c>
      <c r="AO238" s="142"/>
    </row>
    <row r="239" spans="1:41" s="133" customFormat="1" ht="51" x14ac:dyDescent="0.2">
      <c r="A239" s="30" t="s">
        <v>72</v>
      </c>
      <c r="B239" s="30" t="s">
        <v>1278</v>
      </c>
      <c r="C239" s="30"/>
      <c r="D239" s="139" t="s">
        <v>98</v>
      </c>
      <c r="E239" s="139" t="s">
        <v>142</v>
      </c>
      <c r="F239" s="139"/>
      <c r="G239" s="139"/>
      <c r="H239" s="139"/>
      <c r="I239" s="139" t="s">
        <v>1279</v>
      </c>
      <c r="J239" s="30" t="s">
        <v>1401</v>
      </c>
      <c r="K239" s="72" t="s">
        <v>63</v>
      </c>
      <c r="L239" s="31">
        <v>2024</v>
      </c>
      <c r="M239" s="31"/>
      <c r="N239" s="32">
        <v>1800</v>
      </c>
      <c r="O239" s="33"/>
      <c r="P239" s="34">
        <v>100</v>
      </c>
      <c r="Q239" s="35">
        <v>4000</v>
      </c>
      <c r="R239" s="35"/>
      <c r="S239" s="36"/>
      <c r="T239" s="31"/>
      <c r="U239" s="31"/>
      <c r="V239" s="31"/>
      <c r="W239" s="31"/>
      <c r="X239" s="31"/>
      <c r="Y239" s="31"/>
      <c r="Z239" s="30"/>
      <c r="AA239" s="30"/>
      <c r="AB239" s="30"/>
      <c r="AC239" s="30" t="s">
        <v>42</v>
      </c>
      <c r="AD239" s="30"/>
      <c r="AE239" s="50">
        <v>44986</v>
      </c>
      <c r="AF239" s="141" t="s">
        <v>1316</v>
      </c>
      <c r="AG239" s="31"/>
      <c r="AH239" s="31"/>
      <c r="AI239" s="31"/>
      <c r="AJ239" s="31"/>
      <c r="AK239" s="31"/>
      <c r="AL239" s="31"/>
      <c r="AM239" s="31"/>
      <c r="AN239" s="30"/>
      <c r="AO239" s="142"/>
    </row>
    <row r="240" spans="1:41" ht="38.25" hidden="1" x14ac:dyDescent="0.2">
      <c r="A240" s="22" t="s">
        <v>86</v>
      </c>
      <c r="B240" s="22" t="s">
        <v>259</v>
      </c>
      <c r="C240" s="22"/>
      <c r="D240" s="22" t="s">
        <v>98</v>
      </c>
      <c r="E240" s="22" t="s">
        <v>142</v>
      </c>
      <c r="F240" s="71" t="s">
        <v>895</v>
      </c>
      <c r="G240" s="22"/>
      <c r="H240" s="22"/>
      <c r="I240" s="22" t="s">
        <v>260</v>
      </c>
      <c r="J240" s="22" t="s">
        <v>1061</v>
      </c>
      <c r="K240" s="22" t="s">
        <v>42</v>
      </c>
      <c r="L240" s="24">
        <v>2022</v>
      </c>
      <c r="M240" s="24"/>
      <c r="N240" s="38">
        <v>70000</v>
      </c>
      <c r="O240" s="39"/>
      <c r="P240" s="27">
        <v>10</v>
      </c>
      <c r="Q240" s="28">
        <v>1500</v>
      </c>
      <c r="R240" s="28">
        <f>IF(Q240&lt;4.99,(Q240*12%+4),IF(Q240&lt;10.99,(Q240*12%+8),IF(Q240&lt;14.99,(Q240*12%+12),IF(Q240&lt;879.99,(Q240*12%+16),IF(Q240&lt;2569.99,(Q240*7%+60),240)))))</f>
        <v>165</v>
      </c>
      <c r="S240" s="29">
        <f>R240*P240</f>
        <v>1650</v>
      </c>
      <c r="T240" s="24"/>
      <c r="U240" s="24"/>
      <c r="V240" s="24"/>
      <c r="W240" s="24"/>
      <c r="X240" s="24"/>
      <c r="Y240" s="24"/>
      <c r="Z240" s="113" t="e">
        <f>#REF!</f>
        <v>#REF!</v>
      </c>
      <c r="AA240" s="22"/>
      <c r="AB240" s="22"/>
      <c r="AC240" s="22" t="s">
        <v>64</v>
      </c>
      <c r="AD240" s="22" t="s">
        <v>261</v>
      </c>
      <c r="AE240" s="22" t="s">
        <v>132</v>
      </c>
      <c r="AF240" s="71" t="s">
        <v>262</v>
      </c>
      <c r="AG240" s="24">
        <v>1</v>
      </c>
      <c r="AH240" s="24">
        <v>3</v>
      </c>
      <c r="AI240" s="24">
        <v>1</v>
      </c>
      <c r="AJ240" s="24">
        <v>1</v>
      </c>
      <c r="AK240" s="24">
        <v>3</v>
      </c>
      <c r="AL240" s="24">
        <v>1</v>
      </c>
      <c r="AM240" s="24">
        <v>9</v>
      </c>
      <c r="AN240" s="22" t="s">
        <v>48</v>
      </c>
      <c r="AO240" s="22"/>
    </row>
    <row r="241" spans="1:16382" ht="38.25" hidden="1" x14ac:dyDescent="0.2">
      <c r="A241" s="22" t="s">
        <v>35</v>
      </c>
      <c r="B241" s="22" t="s">
        <v>358</v>
      </c>
      <c r="C241" s="22"/>
      <c r="D241" s="22" t="s">
        <v>37</v>
      </c>
      <c r="E241" s="22" t="s">
        <v>359</v>
      </c>
      <c r="F241" s="22"/>
      <c r="G241" s="97" t="s">
        <v>952</v>
      </c>
      <c r="H241" s="22"/>
      <c r="I241" s="22" t="s">
        <v>360</v>
      </c>
      <c r="J241" s="22" t="s">
        <v>361</v>
      </c>
      <c r="K241" s="22" t="s">
        <v>63</v>
      </c>
      <c r="L241" s="24">
        <v>2019</v>
      </c>
      <c r="M241" s="24"/>
      <c r="N241" s="38">
        <f>4*85*20</f>
        <v>6800</v>
      </c>
      <c r="O241" s="39"/>
      <c r="P241" s="27">
        <f>N241*O241</f>
        <v>0</v>
      </c>
      <c r="Q241" s="28"/>
      <c r="R241" s="28">
        <f>IF(Q241&lt;4.99,(Q241*12%+4),IF(Q241&lt;10.99,(Q241*12%+8),IF(Q241&lt;14.99,(Q241*12%+12),IF(Q241&lt;879.99,(Q241*12%+16),IF(Q241&lt;2569.99,(Q241*7%+60),240)))))</f>
        <v>4</v>
      </c>
      <c r="S241" s="29">
        <f>R241*P241</f>
        <v>0</v>
      </c>
      <c r="T241" s="24"/>
      <c r="U241" s="24"/>
      <c r="V241" s="24"/>
      <c r="W241" s="24"/>
      <c r="X241" s="24"/>
      <c r="Y241" s="24"/>
      <c r="Z241" s="22"/>
      <c r="AA241" s="22"/>
      <c r="AB241" s="22"/>
      <c r="AC241" s="22" t="s">
        <v>42</v>
      </c>
      <c r="AD241" s="22"/>
      <c r="AE241" s="22"/>
      <c r="AF241" s="71" t="s">
        <v>362</v>
      </c>
      <c r="AG241" s="24">
        <v>1</v>
      </c>
      <c r="AH241" s="24">
        <v>2</v>
      </c>
      <c r="AI241" s="24">
        <v>1</v>
      </c>
      <c r="AJ241" s="24">
        <v>3</v>
      </c>
      <c r="AK241" s="24">
        <v>1</v>
      </c>
      <c r="AL241" s="24">
        <v>1</v>
      </c>
      <c r="AM241" s="24">
        <v>6</v>
      </c>
      <c r="AN241" s="22" t="s">
        <v>48</v>
      </c>
      <c r="AO241" s="22"/>
    </row>
    <row r="242" spans="1:16382" ht="38.25" hidden="1" x14ac:dyDescent="0.2">
      <c r="A242" s="13" t="s">
        <v>58</v>
      </c>
      <c r="B242" s="13" t="s">
        <v>158</v>
      </c>
      <c r="C242" s="13"/>
      <c r="D242" s="13" t="s">
        <v>37</v>
      </c>
      <c r="E242" s="13" t="s">
        <v>159</v>
      </c>
      <c r="F242" s="70" t="s">
        <v>932</v>
      </c>
      <c r="G242" s="13"/>
      <c r="H242" s="13"/>
      <c r="I242" s="13" t="s">
        <v>160</v>
      </c>
      <c r="J242" s="13" t="s">
        <v>161</v>
      </c>
      <c r="K242" s="13" t="s">
        <v>42</v>
      </c>
      <c r="L242" s="14">
        <v>2020</v>
      </c>
      <c r="M242" s="14"/>
      <c r="N242" s="15">
        <v>1000</v>
      </c>
      <c r="O242" s="16"/>
      <c r="P242" s="17">
        <f>N242*O242</f>
        <v>0</v>
      </c>
      <c r="Q242" s="18"/>
      <c r="R242" s="18">
        <f>IF(Q242&lt;4.99,(Q242*12%+4),IF(Q242&lt;10.99,(Q242*12%+8),IF(Q242&lt;14.99,(Q242*12%+12),IF(Q242&lt;879.99,(Q242*12%+16),IF(Q242&lt;2569.99,(Q242*7%+60),240)))))</f>
        <v>4</v>
      </c>
      <c r="S242" s="19">
        <f>R242*P242</f>
        <v>0</v>
      </c>
      <c r="T242" s="14"/>
      <c r="U242" s="14"/>
      <c r="V242" s="14"/>
      <c r="W242" s="14"/>
      <c r="X242" s="14"/>
      <c r="Y242" s="14"/>
      <c r="Z242" s="13"/>
      <c r="AA242" s="13"/>
      <c r="AB242" s="13"/>
      <c r="AC242" s="13" t="s">
        <v>42</v>
      </c>
      <c r="AD242" s="13"/>
      <c r="AE242" s="20"/>
      <c r="AF242" s="70"/>
      <c r="AG242" s="14">
        <v>3</v>
      </c>
      <c r="AH242" s="14">
        <v>2</v>
      </c>
      <c r="AI242" s="14">
        <v>2</v>
      </c>
      <c r="AJ242" s="14">
        <v>3</v>
      </c>
      <c r="AK242" s="14">
        <v>3</v>
      </c>
      <c r="AL242" s="14">
        <v>2</v>
      </c>
      <c r="AM242" s="14">
        <v>216</v>
      </c>
      <c r="AN242" s="13" t="s">
        <v>45</v>
      </c>
      <c r="AO242" s="20">
        <v>43525</v>
      </c>
    </row>
    <row r="243" spans="1:16382" ht="38.25" hidden="1" x14ac:dyDescent="0.2">
      <c r="A243" s="22" t="s">
        <v>47</v>
      </c>
      <c r="B243" s="22" t="s">
        <v>885</v>
      </c>
      <c r="C243" s="22"/>
      <c r="D243" s="65" t="s">
        <v>37</v>
      </c>
      <c r="E243" s="88" t="s">
        <v>886</v>
      </c>
      <c r="F243" s="78" t="s">
        <v>894</v>
      </c>
      <c r="G243" s="88"/>
      <c r="H243" s="88"/>
      <c r="I243" s="65" t="s">
        <v>887</v>
      </c>
      <c r="J243" s="22" t="s">
        <v>888</v>
      </c>
      <c r="K243" s="22" t="s">
        <v>42</v>
      </c>
      <c r="L243" s="24">
        <v>2021</v>
      </c>
      <c r="M243" s="24"/>
      <c r="N243" s="38"/>
      <c r="O243" s="39"/>
      <c r="P243" s="27"/>
      <c r="Q243" s="28"/>
      <c r="R243" s="28"/>
      <c r="S243" s="29"/>
      <c r="T243" s="24"/>
      <c r="U243" s="24"/>
      <c r="V243" s="24"/>
      <c r="W243" s="24"/>
      <c r="X243" s="24"/>
      <c r="Y243" s="24"/>
      <c r="Z243" s="22"/>
      <c r="AA243" s="22"/>
      <c r="AB243" s="22"/>
      <c r="AC243" s="22" t="s">
        <v>42</v>
      </c>
      <c r="AD243" s="22"/>
      <c r="AE243" s="41"/>
      <c r="AF243" s="67"/>
      <c r="AG243" s="24"/>
      <c r="AH243" s="24"/>
      <c r="AI243" s="24"/>
      <c r="AJ243" s="24"/>
      <c r="AK243" s="24"/>
      <c r="AL243" s="24"/>
      <c r="AM243" s="24">
        <v>0</v>
      </c>
      <c r="AN243" s="22"/>
      <c r="AO243" s="69"/>
    </row>
    <row r="244" spans="1:16382" ht="38.25" hidden="1" x14ac:dyDescent="0.2">
      <c r="A244" s="22" t="s">
        <v>47</v>
      </c>
      <c r="B244" s="22" t="s">
        <v>885</v>
      </c>
      <c r="C244" s="22"/>
      <c r="D244" s="65" t="s">
        <v>98</v>
      </c>
      <c r="E244" s="88" t="s">
        <v>886</v>
      </c>
      <c r="F244" s="78" t="s">
        <v>894</v>
      </c>
      <c r="G244" s="88"/>
      <c r="H244" s="88"/>
      <c r="I244" s="65" t="s">
        <v>887</v>
      </c>
      <c r="J244" s="22" t="s">
        <v>889</v>
      </c>
      <c r="K244" s="22" t="s">
        <v>42</v>
      </c>
      <c r="L244" s="24">
        <v>2021</v>
      </c>
      <c r="M244" s="24"/>
      <c r="N244" s="38"/>
      <c r="O244" s="39"/>
      <c r="P244" s="27"/>
      <c r="Q244" s="28"/>
      <c r="R244" s="28"/>
      <c r="S244" s="29"/>
      <c r="T244" s="24"/>
      <c r="U244" s="24"/>
      <c r="V244" s="24"/>
      <c r="W244" s="24"/>
      <c r="X244" s="24"/>
      <c r="Y244" s="24"/>
      <c r="Z244" s="22"/>
      <c r="AA244" s="22"/>
      <c r="AB244" s="22"/>
      <c r="AC244" s="22" t="s">
        <v>42</v>
      </c>
      <c r="AD244" s="22"/>
      <c r="AE244" s="41"/>
      <c r="AF244" s="67" t="s">
        <v>890</v>
      </c>
      <c r="AG244" s="24"/>
      <c r="AH244" s="24"/>
      <c r="AI244" s="24"/>
      <c r="AJ244" s="24"/>
      <c r="AK244" s="24"/>
      <c r="AL244" s="24"/>
      <c r="AM244" s="24">
        <v>0</v>
      </c>
      <c r="AN244" s="22"/>
      <c r="AO244" s="69"/>
    </row>
    <row r="245" spans="1:16382" s="133" customFormat="1" ht="25.5" x14ac:dyDescent="0.2">
      <c r="A245" s="30" t="s">
        <v>35</v>
      </c>
      <c r="B245" s="30" t="s">
        <v>1180</v>
      </c>
      <c r="C245" s="30"/>
      <c r="D245" s="139" t="s">
        <v>37</v>
      </c>
      <c r="E245" s="139" t="s">
        <v>1181</v>
      </c>
      <c r="F245" s="199"/>
      <c r="G245" s="139"/>
      <c r="H245" s="139"/>
      <c r="I245" s="139" t="s">
        <v>1182</v>
      </c>
      <c r="J245" s="30" t="s">
        <v>1258</v>
      </c>
      <c r="K245" s="30" t="s">
        <v>1259</v>
      </c>
      <c r="L245" s="31">
        <v>2023</v>
      </c>
      <c r="M245" s="31"/>
      <c r="N245" s="32"/>
      <c r="O245" s="33"/>
      <c r="P245" s="34">
        <v>15</v>
      </c>
      <c r="Q245" s="35">
        <v>8500</v>
      </c>
      <c r="R245" s="35">
        <v>240</v>
      </c>
      <c r="S245" s="36"/>
      <c r="T245" s="31"/>
      <c r="U245" s="31"/>
      <c r="V245" s="31"/>
      <c r="W245" s="31"/>
      <c r="X245" s="31"/>
      <c r="Y245" s="31"/>
      <c r="Z245" s="132">
        <f>P245*Q245*12*0.15</f>
        <v>229500</v>
      </c>
      <c r="AA245" s="30"/>
      <c r="AB245" s="30"/>
      <c r="AC245" s="30" t="s">
        <v>42</v>
      </c>
      <c r="AD245" s="30"/>
      <c r="AE245" s="50"/>
      <c r="AF245" s="141" t="s">
        <v>1405</v>
      </c>
      <c r="AG245" s="31">
        <v>1</v>
      </c>
      <c r="AH245" s="31">
        <v>2</v>
      </c>
      <c r="AI245" s="31">
        <v>2</v>
      </c>
      <c r="AJ245" s="31">
        <v>3</v>
      </c>
      <c r="AK245" s="31">
        <v>1</v>
      </c>
      <c r="AL245" s="31">
        <v>2</v>
      </c>
      <c r="AM245" s="31">
        <f>AL245*AK245*AJ245*AI245*AH245*AG245</f>
        <v>24</v>
      </c>
      <c r="AN245" s="30" t="s">
        <v>45</v>
      </c>
      <c r="AO245" s="142">
        <v>44682</v>
      </c>
      <c r="AP245" s="133" t="s">
        <v>1357</v>
      </c>
    </row>
    <row r="246" spans="1:16382" ht="38.25" hidden="1" x14ac:dyDescent="0.2">
      <c r="A246" s="201" t="s">
        <v>86</v>
      </c>
      <c r="B246" s="201" t="s">
        <v>259</v>
      </c>
      <c r="C246" s="201"/>
      <c r="D246" s="201" t="s">
        <v>98</v>
      </c>
      <c r="E246" s="201" t="s">
        <v>321</v>
      </c>
      <c r="F246" s="216" t="s">
        <v>949</v>
      </c>
      <c r="G246" s="201"/>
      <c r="H246" s="201"/>
      <c r="I246" s="201" t="s">
        <v>322</v>
      </c>
      <c r="J246" s="201"/>
      <c r="K246" s="201" t="s">
        <v>64</v>
      </c>
      <c r="L246" s="206">
        <v>2020</v>
      </c>
      <c r="M246" s="206"/>
      <c r="N246" s="207">
        <v>70000</v>
      </c>
      <c r="O246" s="208"/>
      <c r="P246" s="209">
        <f>N246*O246</f>
        <v>0</v>
      </c>
      <c r="Q246" s="210"/>
      <c r="R246" s="210">
        <f>IF(Q246&lt;4.99,(Q246*12%+4),IF(Q246&lt;10.99,(Q246*12%+8),IF(Q246&lt;14.99,(Q246*12%+12),IF(Q246&lt;879.99,(Q246*12%+16),IF(Q246&lt;2569.99,(Q246*7%+60),240)))))</f>
        <v>4</v>
      </c>
      <c r="S246" s="211">
        <f>R246*P246</f>
        <v>0</v>
      </c>
      <c r="T246" s="206"/>
      <c r="U246" s="206"/>
      <c r="V246" s="206"/>
      <c r="W246" s="206"/>
      <c r="X246" s="206"/>
      <c r="Y246" s="206"/>
      <c r="Z246" s="201"/>
      <c r="AA246" s="201"/>
      <c r="AB246" s="201"/>
      <c r="AC246" s="201" t="s">
        <v>64</v>
      </c>
      <c r="AD246" s="201"/>
      <c r="AE246" s="217"/>
      <c r="AF246" s="216"/>
      <c r="AG246" s="206">
        <v>1</v>
      </c>
      <c r="AH246" s="206">
        <v>3</v>
      </c>
      <c r="AI246" s="206">
        <v>1</v>
      </c>
      <c r="AJ246" s="206">
        <v>1</v>
      </c>
      <c r="AK246" s="206">
        <v>3</v>
      </c>
      <c r="AL246" s="206">
        <v>1</v>
      </c>
      <c r="AM246" s="206">
        <v>9</v>
      </c>
      <c r="AN246" s="201" t="s">
        <v>48</v>
      </c>
      <c r="AO246" s="201"/>
    </row>
    <row r="247" spans="1:16382" s="218" customFormat="1" ht="38.25" hidden="1" x14ac:dyDescent="0.2">
      <c r="A247" s="22" t="s">
        <v>35</v>
      </c>
      <c r="B247" s="22" t="s">
        <v>255</v>
      </c>
      <c r="C247" s="22"/>
      <c r="D247" s="22" t="s">
        <v>98</v>
      </c>
      <c r="E247" s="22" t="s">
        <v>256</v>
      </c>
      <c r="F247" s="71" t="s">
        <v>943</v>
      </c>
      <c r="G247" s="22"/>
      <c r="H247" s="22"/>
      <c r="I247" s="22" t="s">
        <v>257</v>
      </c>
      <c r="J247" s="22"/>
      <c r="K247" s="22" t="s">
        <v>42</v>
      </c>
      <c r="L247" s="24">
        <v>2022</v>
      </c>
      <c r="M247" s="24"/>
      <c r="N247" s="51">
        <v>4400</v>
      </c>
      <c r="O247" s="39"/>
      <c r="P247" s="27">
        <f>N247*O247</f>
        <v>0</v>
      </c>
      <c r="Q247" s="28"/>
      <c r="R247" s="28">
        <f>IF(Q247&lt;4.99,(Q247*12%+4),IF(Q247&lt;10.99,(Q247*12%+8),IF(Q247&lt;14.99,(Q247*12%+12),IF(Q247&lt;879.99,(Q247*12%+16),IF(Q247&lt;2569.99,(Q247*7%+60),240)))))</f>
        <v>4</v>
      </c>
      <c r="S247" s="29">
        <f>R247*P247</f>
        <v>0</v>
      </c>
      <c r="T247" s="24"/>
      <c r="U247" s="24"/>
      <c r="V247" s="24"/>
      <c r="W247" s="24"/>
      <c r="X247" s="24"/>
      <c r="Y247" s="24"/>
      <c r="Z247" s="22"/>
      <c r="AA247" s="22"/>
      <c r="AB247" s="22"/>
      <c r="AC247" s="22" t="s">
        <v>42</v>
      </c>
      <c r="AD247" s="22"/>
      <c r="AE247" s="22"/>
      <c r="AF247" s="71" t="s">
        <v>258</v>
      </c>
      <c r="AG247" s="24">
        <v>1</v>
      </c>
      <c r="AH247" s="24">
        <v>2</v>
      </c>
      <c r="AI247" s="24">
        <v>1</v>
      </c>
      <c r="AJ247" s="24">
        <v>3</v>
      </c>
      <c r="AK247" s="24">
        <v>2</v>
      </c>
      <c r="AL247" s="24">
        <v>2</v>
      </c>
      <c r="AM247" s="24">
        <v>24</v>
      </c>
      <c r="AN247" s="22" t="s">
        <v>48</v>
      </c>
      <c r="AO247" s="22"/>
    </row>
    <row r="248" spans="1:16382" s="219" customFormat="1" x14ac:dyDescent="0.2">
      <c r="A248" s="30" t="s">
        <v>72</v>
      </c>
      <c r="B248" s="30" t="s">
        <v>1228</v>
      </c>
      <c r="C248" s="30"/>
      <c r="D248" s="30" t="s">
        <v>37</v>
      </c>
      <c r="E248" s="30" t="s">
        <v>655</v>
      </c>
      <c r="F248" s="72"/>
      <c r="G248" s="30"/>
      <c r="H248" s="30"/>
      <c r="I248" s="30" t="s">
        <v>1229</v>
      </c>
      <c r="J248" s="30" t="s">
        <v>1230</v>
      </c>
      <c r="K248" s="30" t="s">
        <v>63</v>
      </c>
      <c r="L248" s="31">
        <v>2023</v>
      </c>
      <c r="M248" s="31"/>
      <c r="N248" s="32">
        <v>1000000</v>
      </c>
      <c r="O248" s="33">
        <v>5.0000000000000001E-4</v>
      </c>
      <c r="P248" s="34">
        <v>30</v>
      </c>
      <c r="Q248" s="35">
        <v>600</v>
      </c>
      <c r="R248" s="35">
        <v>75</v>
      </c>
      <c r="S248" s="36"/>
      <c r="T248" s="31"/>
      <c r="U248" s="31"/>
      <c r="V248" s="31"/>
      <c r="W248" s="31"/>
      <c r="X248" s="31"/>
      <c r="Y248" s="31"/>
      <c r="Z248" s="132">
        <f>Q248*P248*6</f>
        <v>108000</v>
      </c>
      <c r="AA248" s="30"/>
      <c r="AB248" s="30"/>
      <c r="AC248" s="30"/>
      <c r="AD248" s="30"/>
      <c r="AE248" s="30"/>
      <c r="AF248" s="72"/>
      <c r="AG248" s="31"/>
      <c r="AH248" s="31"/>
      <c r="AI248" s="31"/>
      <c r="AJ248" s="31"/>
      <c r="AK248" s="31"/>
      <c r="AL248" s="31"/>
      <c r="AM248" s="31"/>
      <c r="AN248" s="30"/>
      <c r="AO248" s="30"/>
    </row>
    <row r="249" spans="1:16382" s="218" customFormat="1" x14ac:dyDescent="0.2">
      <c r="A249" s="22" t="s">
        <v>35</v>
      </c>
      <c r="B249" s="22" t="s">
        <v>169</v>
      </c>
      <c r="C249" s="22"/>
      <c r="D249" s="22" t="s">
        <v>60</v>
      </c>
      <c r="E249" s="22" t="s">
        <v>1231</v>
      </c>
      <c r="F249" s="22"/>
      <c r="G249" s="22"/>
      <c r="H249" s="22"/>
      <c r="I249" s="22" t="s">
        <v>1232</v>
      </c>
      <c r="J249" s="22"/>
      <c r="K249" s="22" t="s">
        <v>42</v>
      </c>
      <c r="L249" s="24">
        <v>2024</v>
      </c>
      <c r="M249" s="24"/>
      <c r="N249" s="38"/>
      <c r="O249" s="39"/>
      <c r="P249" s="24"/>
      <c r="Q249" s="28"/>
      <c r="R249" s="24"/>
      <c r="S249" s="24"/>
      <c r="T249" s="24"/>
      <c r="U249" s="24"/>
      <c r="V249" s="24"/>
      <c r="W249" s="24"/>
      <c r="X249" s="24"/>
      <c r="Y249" s="24"/>
      <c r="Z249" s="22"/>
      <c r="AA249" s="22"/>
      <c r="AB249" s="22"/>
      <c r="AC249" s="22"/>
      <c r="AD249" s="22"/>
      <c r="AE249" s="22"/>
      <c r="AF249" s="71"/>
      <c r="AG249" s="24"/>
      <c r="AH249" s="24"/>
      <c r="AI249" s="24"/>
      <c r="AJ249" s="24"/>
      <c r="AK249" s="24"/>
      <c r="AL249" s="24"/>
      <c r="AM249" s="24"/>
      <c r="AN249" s="22"/>
      <c r="AO249" s="40">
        <v>44805</v>
      </c>
    </row>
    <row r="250" spans="1:16382" s="218" customFormat="1" x14ac:dyDescent="0.2">
      <c r="A250" s="22" t="s">
        <v>35</v>
      </c>
      <c r="B250" s="22" t="s">
        <v>165</v>
      </c>
      <c r="C250" s="22"/>
      <c r="D250" s="22" t="s">
        <v>37</v>
      </c>
      <c r="E250" s="22" t="s">
        <v>1234</v>
      </c>
      <c r="F250" s="22"/>
      <c r="G250" s="22"/>
      <c r="H250" s="22"/>
      <c r="I250" s="22" t="s">
        <v>1235</v>
      </c>
      <c r="J250" s="22"/>
      <c r="K250" s="22" t="s">
        <v>42</v>
      </c>
      <c r="L250" s="24">
        <v>2024</v>
      </c>
      <c r="M250" s="24"/>
      <c r="N250" s="38">
        <v>85</v>
      </c>
      <c r="O250" s="39">
        <v>5.0000000000000001E-4</v>
      </c>
      <c r="P250" s="24">
        <v>5</v>
      </c>
      <c r="Q250" s="28">
        <v>10000</v>
      </c>
      <c r="R250" s="24">
        <v>240</v>
      </c>
      <c r="S250" s="24"/>
      <c r="T250" s="24"/>
      <c r="U250" s="24"/>
      <c r="V250" s="24"/>
      <c r="W250" s="24"/>
      <c r="X250" s="24"/>
      <c r="Y250" s="24"/>
      <c r="Z250" s="113">
        <f>Q250*P250*12*0.1</f>
        <v>60000</v>
      </c>
      <c r="AA250" s="22"/>
      <c r="AB250" s="22"/>
      <c r="AC250" s="22"/>
      <c r="AD250" s="22"/>
      <c r="AE250" s="22"/>
      <c r="AF250" s="71"/>
      <c r="AG250" s="24"/>
      <c r="AH250" s="24"/>
      <c r="AI250" s="24"/>
      <c r="AJ250" s="24"/>
      <c r="AK250" s="24"/>
      <c r="AL250" s="24"/>
      <c r="AM250" s="24"/>
      <c r="AN250" s="22"/>
      <c r="AO250" s="22"/>
    </row>
    <row r="251" spans="1:16382" s="226" customFormat="1" x14ac:dyDescent="0.2">
      <c r="A251" s="22" t="s">
        <v>47</v>
      </c>
      <c r="B251" s="22" t="s">
        <v>1413</v>
      </c>
      <c r="C251" s="22"/>
      <c r="D251" s="22" t="s">
        <v>98</v>
      </c>
      <c r="E251" s="22" t="s">
        <v>297</v>
      </c>
      <c r="F251" s="22"/>
      <c r="G251" s="22"/>
      <c r="H251" s="22"/>
      <c r="I251" s="22" t="s">
        <v>1408</v>
      </c>
      <c r="J251" s="22" t="s">
        <v>1407</v>
      </c>
      <c r="K251" s="22" t="s">
        <v>315</v>
      </c>
      <c r="L251" s="24">
        <v>2023</v>
      </c>
      <c r="M251" s="24"/>
      <c r="N251" s="38"/>
      <c r="O251" s="39"/>
      <c r="P251" s="24"/>
      <c r="Q251" s="28"/>
      <c r="R251" s="24"/>
      <c r="S251" s="24"/>
      <c r="T251" s="24"/>
      <c r="U251" s="24"/>
      <c r="V251" s="24"/>
      <c r="W251" s="24"/>
      <c r="X251" s="24"/>
      <c r="Y251" s="24"/>
      <c r="Z251" s="113"/>
      <c r="AA251" s="22"/>
      <c r="AB251" s="22"/>
      <c r="AC251" s="22"/>
      <c r="AD251" s="22"/>
      <c r="AE251" s="22"/>
      <c r="AF251" s="71"/>
      <c r="AG251" s="24"/>
      <c r="AH251" s="24"/>
      <c r="AI251" s="24"/>
      <c r="AJ251" s="24"/>
      <c r="AK251" s="24"/>
      <c r="AL251" s="24"/>
      <c r="AM251" s="24"/>
      <c r="AN251" s="22"/>
      <c r="AO251" s="22"/>
    </row>
    <row r="252" spans="1:16382" s="226" customFormat="1" x14ac:dyDescent="0.2">
      <c r="A252" s="22" t="s">
        <v>47</v>
      </c>
      <c r="B252" s="22" t="s">
        <v>1412</v>
      </c>
      <c r="C252" s="22"/>
      <c r="D252" s="22" t="s">
        <v>98</v>
      </c>
      <c r="E252" s="22" t="s">
        <v>170</v>
      </c>
      <c r="F252" s="22"/>
      <c r="G252" s="22"/>
      <c r="H252" s="22"/>
      <c r="I252" s="22" t="s">
        <v>1409</v>
      </c>
      <c r="J252" s="22" t="s">
        <v>1410</v>
      </c>
      <c r="K252" s="22" t="s">
        <v>315</v>
      </c>
      <c r="L252" s="24">
        <v>2023</v>
      </c>
      <c r="M252" s="24"/>
      <c r="N252" s="38"/>
      <c r="O252" s="39"/>
      <c r="P252" s="24"/>
      <c r="Q252" s="28"/>
      <c r="R252" s="24"/>
      <c r="S252" s="24"/>
      <c r="T252" s="24"/>
      <c r="U252" s="24"/>
      <c r="V252" s="24"/>
      <c r="W252" s="24"/>
      <c r="X252" s="24"/>
      <c r="Y252" s="24"/>
      <c r="Z252" s="113"/>
      <c r="AA252" s="22"/>
      <c r="AB252" s="22"/>
      <c r="AC252" s="22"/>
      <c r="AD252" s="22"/>
      <c r="AE252" s="22"/>
      <c r="AF252" s="71"/>
      <c r="AG252" s="24"/>
      <c r="AH252" s="24"/>
      <c r="AI252" s="24"/>
      <c r="AJ252" s="24"/>
      <c r="AK252" s="24"/>
      <c r="AL252" s="24"/>
      <c r="AM252" s="24"/>
      <c r="AN252" s="22"/>
      <c r="AO252" s="22"/>
    </row>
    <row r="253" spans="1:16382" s="226" customFormat="1" x14ac:dyDescent="0.2">
      <c r="A253" s="22" t="s">
        <v>47</v>
      </c>
      <c r="B253" s="22" t="s">
        <v>1406</v>
      </c>
      <c r="C253" s="22"/>
      <c r="D253" s="22" t="s">
        <v>98</v>
      </c>
      <c r="E253" s="22" t="s">
        <v>170</v>
      </c>
      <c r="F253" s="22"/>
      <c r="G253" s="22"/>
      <c r="H253" s="22"/>
      <c r="I253" s="22" t="s">
        <v>1409</v>
      </c>
      <c r="J253" s="22" t="s">
        <v>1411</v>
      </c>
      <c r="K253" s="22" t="s">
        <v>63</v>
      </c>
      <c r="L253" s="24">
        <v>2024</v>
      </c>
      <c r="M253" s="24"/>
      <c r="N253" s="38"/>
      <c r="O253" s="39"/>
      <c r="P253" s="24"/>
      <c r="Q253" s="28"/>
      <c r="R253" s="24"/>
      <c r="S253" s="24"/>
      <c r="T253" s="24"/>
      <c r="U253" s="24"/>
      <c r="V253" s="24"/>
      <c r="W253" s="24"/>
      <c r="X253" s="24"/>
      <c r="Y253" s="24"/>
      <c r="Z253" s="113"/>
      <c r="AA253" s="22"/>
      <c r="AB253" s="22"/>
      <c r="AC253" s="22"/>
      <c r="AD253" s="22"/>
      <c r="AE253" s="22"/>
      <c r="AF253" s="71"/>
      <c r="AG253" s="24"/>
      <c r="AH253" s="24"/>
      <c r="AI253" s="24"/>
      <c r="AJ253" s="24"/>
      <c r="AK253" s="24"/>
      <c r="AL253" s="24"/>
      <c r="AM253" s="24"/>
      <c r="AN253" s="22"/>
      <c r="AO253" s="22"/>
    </row>
    <row r="254" spans="1:16382" s="226" customFormat="1" x14ac:dyDescent="0.2">
      <c r="A254" s="30" t="s">
        <v>47</v>
      </c>
      <c r="B254" s="30" t="s">
        <v>1425</v>
      </c>
      <c r="C254" s="30"/>
      <c r="D254" s="30" t="s">
        <v>37</v>
      </c>
      <c r="E254" s="30" t="s">
        <v>1423</v>
      </c>
      <c r="F254" s="72"/>
      <c r="G254" s="30"/>
      <c r="H254" s="30"/>
      <c r="I254" s="30" t="s">
        <v>1424</v>
      </c>
      <c r="J254" s="30"/>
      <c r="K254" s="30" t="s">
        <v>42</v>
      </c>
      <c r="L254" s="31">
        <v>2025</v>
      </c>
      <c r="M254" s="31"/>
      <c r="N254" s="32"/>
      <c r="O254" s="33"/>
      <c r="P254" s="34"/>
      <c r="Q254" s="35"/>
      <c r="R254" s="35"/>
      <c r="S254" s="36"/>
      <c r="T254" s="31"/>
      <c r="U254" s="31"/>
      <c r="V254" s="31"/>
      <c r="W254" s="31"/>
      <c r="X254" s="31"/>
      <c r="Y254" s="31"/>
      <c r="Z254" s="132"/>
      <c r="AA254" s="30"/>
      <c r="AB254" s="30"/>
      <c r="AC254" s="30"/>
      <c r="AD254" s="72"/>
      <c r="AE254" s="31"/>
      <c r="AF254" s="31" t="s">
        <v>1426</v>
      </c>
      <c r="AG254" s="31"/>
      <c r="AH254" s="31"/>
      <c r="AI254" s="31"/>
      <c r="AJ254" s="31"/>
      <c r="AK254" s="31"/>
      <c r="AL254" s="30"/>
      <c r="AM254" s="30"/>
      <c r="AN254" s="219"/>
      <c r="AO254" s="219"/>
      <c r="AP254" s="219"/>
      <c r="AQ254" s="219"/>
      <c r="AR254" s="219"/>
      <c r="AS254" s="219"/>
      <c r="AT254" s="219"/>
      <c r="AU254" s="219"/>
      <c r="AV254" s="219"/>
      <c r="AW254" s="219"/>
      <c r="AX254" s="219"/>
      <c r="AY254" s="219"/>
      <c r="AZ254" s="219"/>
      <c r="BA254" s="219"/>
      <c r="BB254" s="219"/>
      <c r="BC254" s="219"/>
      <c r="BD254" s="219"/>
      <c r="BE254" s="219"/>
      <c r="BF254" s="219"/>
      <c r="BG254" s="219"/>
      <c r="BH254" s="219"/>
      <c r="BI254" s="219"/>
      <c r="BJ254" s="219"/>
      <c r="BK254" s="219"/>
      <c r="BL254" s="219"/>
      <c r="BM254" s="219"/>
      <c r="BN254" s="219"/>
      <c r="BO254" s="219"/>
      <c r="BP254" s="219"/>
      <c r="BQ254" s="219"/>
      <c r="BR254" s="219"/>
      <c r="BS254" s="219"/>
      <c r="BT254" s="219"/>
      <c r="BU254" s="219"/>
      <c r="BV254" s="219"/>
      <c r="BW254" s="219"/>
      <c r="BX254" s="219"/>
      <c r="BY254" s="219"/>
      <c r="BZ254" s="219"/>
      <c r="CA254" s="219"/>
      <c r="CB254" s="219"/>
      <c r="CC254" s="219"/>
      <c r="CD254" s="219"/>
      <c r="CE254" s="219"/>
      <c r="CF254" s="219"/>
      <c r="CG254" s="219"/>
      <c r="CH254" s="219"/>
      <c r="CI254" s="219"/>
      <c r="CJ254" s="219"/>
      <c r="CK254" s="219"/>
      <c r="CL254" s="219"/>
      <c r="CM254" s="219"/>
      <c r="CN254" s="219"/>
      <c r="CO254" s="219"/>
      <c r="CP254" s="219"/>
      <c r="CQ254" s="219"/>
      <c r="CR254" s="219"/>
      <c r="CS254" s="219"/>
      <c r="CT254" s="219"/>
      <c r="CU254" s="219"/>
      <c r="CV254" s="219"/>
      <c r="CW254" s="219"/>
      <c r="CX254" s="219"/>
      <c r="CY254" s="219"/>
      <c r="CZ254" s="219"/>
      <c r="DA254" s="219"/>
      <c r="DB254" s="219"/>
      <c r="DC254" s="219"/>
      <c r="DD254" s="219"/>
      <c r="DE254" s="219"/>
      <c r="DF254" s="219"/>
      <c r="DG254" s="219"/>
      <c r="DH254" s="219"/>
      <c r="DI254" s="219"/>
      <c r="DJ254" s="219"/>
      <c r="DK254" s="219"/>
      <c r="DL254" s="219"/>
      <c r="DM254" s="219"/>
      <c r="DN254" s="219"/>
      <c r="DO254" s="219"/>
      <c r="DP254" s="219"/>
      <c r="DQ254" s="219"/>
      <c r="DR254" s="219"/>
      <c r="DS254" s="219"/>
      <c r="DT254" s="219"/>
      <c r="DU254" s="219"/>
      <c r="DV254" s="219"/>
      <c r="DW254" s="219"/>
      <c r="DX254" s="219"/>
      <c r="DY254" s="219"/>
      <c r="DZ254" s="219"/>
      <c r="EA254" s="219"/>
      <c r="EB254" s="219"/>
      <c r="EC254" s="219"/>
      <c r="ED254" s="219"/>
      <c r="EE254" s="219"/>
      <c r="EF254" s="219"/>
      <c r="EG254" s="219"/>
      <c r="EH254" s="219"/>
      <c r="EI254" s="219"/>
      <c r="EJ254" s="219"/>
      <c r="EK254" s="219"/>
      <c r="EL254" s="219"/>
      <c r="EM254" s="219"/>
      <c r="EN254" s="219"/>
      <c r="EO254" s="219"/>
      <c r="EP254" s="219"/>
      <c r="EQ254" s="219"/>
      <c r="ER254" s="219"/>
      <c r="ES254" s="219"/>
      <c r="ET254" s="219"/>
      <c r="EU254" s="219"/>
      <c r="EV254" s="219"/>
      <c r="EW254" s="219"/>
      <c r="EX254" s="219"/>
      <c r="EY254" s="219"/>
      <c r="EZ254" s="219"/>
      <c r="FA254" s="219"/>
      <c r="FB254" s="219"/>
      <c r="FC254" s="219"/>
      <c r="FD254" s="219"/>
      <c r="FE254" s="219"/>
      <c r="FF254" s="219"/>
      <c r="FG254" s="219"/>
      <c r="FH254" s="219"/>
      <c r="FI254" s="219"/>
      <c r="FJ254" s="219"/>
      <c r="FK254" s="219"/>
      <c r="FL254" s="219"/>
      <c r="FM254" s="219"/>
      <c r="FN254" s="219"/>
      <c r="FO254" s="219"/>
      <c r="FP254" s="219"/>
      <c r="FQ254" s="219"/>
      <c r="FR254" s="219"/>
      <c r="FS254" s="219"/>
      <c r="FT254" s="219"/>
      <c r="FU254" s="219"/>
      <c r="FV254" s="219"/>
      <c r="FW254" s="219"/>
      <c r="FX254" s="219"/>
      <c r="FY254" s="219"/>
      <c r="FZ254" s="219"/>
      <c r="GA254" s="219"/>
      <c r="GB254" s="219"/>
      <c r="GC254" s="219"/>
      <c r="GD254" s="219"/>
      <c r="GE254" s="219"/>
      <c r="GF254" s="219"/>
      <c r="GG254" s="219"/>
      <c r="GH254" s="219"/>
      <c r="GI254" s="219"/>
      <c r="GJ254" s="219"/>
      <c r="GK254" s="219"/>
      <c r="GL254" s="219"/>
      <c r="GM254" s="219"/>
      <c r="GN254" s="219"/>
      <c r="GO254" s="219"/>
      <c r="GP254" s="219"/>
      <c r="GQ254" s="219"/>
      <c r="GR254" s="219"/>
      <c r="GS254" s="219"/>
      <c r="GT254" s="219"/>
      <c r="GU254" s="219"/>
      <c r="GV254" s="219"/>
      <c r="GW254" s="219"/>
      <c r="GX254" s="219"/>
      <c r="GY254" s="219"/>
      <c r="GZ254" s="219"/>
      <c r="HA254" s="219"/>
      <c r="HB254" s="219"/>
      <c r="HC254" s="219"/>
      <c r="HD254" s="219"/>
      <c r="HE254" s="219"/>
      <c r="HF254" s="219"/>
      <c r="HG254" s="219"/>
      <c r="HH254" s="219"/>
      <c r="HI254" s="219"/>
      <c r="HJ254" s="219"/>
      <c r="HK254" s="219"/>
      <c r="HL254" s="219"/>
      <c r="HM254" s="219"/>
      <c r="HN254" s="219"/>
      <c r="HO254" s="219"/>
      <c r="HP254" s="219"/>
      <c r="HQ254" s="219"/>
      <c r="HR254" s="219"/>
      <c r="HS254" s="219"/>
      <c r="HT254" s="219"/>
      <c r="HU254" s="219"/>
      <c r="HV254" s="219"/>
      <c r="HW254" s="219"/>
      <c r="HX254" s="219"/>
      <c r="HY254" s="219"/>
      <c r="HZ254" s="219"/>
      <c r="IA254" s="219"/>
      <c r="IB254" s="219"/>
      <c r="IC254" s="219"/>
      <c r="ID254" s="219"/>
      <c r="IE254" s="219"/>
      <c r="IF254" s="219"/>
      <c r="IG254" s="219"/>
      <c r="IH254" s="219"/>
      <c r="II254" s="219"/>
      <c r="IJ254" s="219"/>
      <c r="IK254" s="219"/>
      <c r="IL254" s="219"/>
      <c r="IM254" s="219"/>
      <c r="IN254" s="219"/>
      <c r="IO254" s="219"/>
      <c r="IP254" s="219"/>
      <c r="IQ254" s="219"/>
      <c r="IR254" s="219"/>
      <c r="IS254" s="219"/>
      <c r="IT254" s="219"/>
      <c r="IU254" s="219"/>
      <c r="IV254" s="219"/>
      <c r="IW254" s="219"/>
      <c r="IX254" s="219"/>
      <c r="IY254" s="219"/>
      <c r="IZ254" s="219"/>
      <c r="JA254" s="219"/>
      <c r="JB254" s="219"/>
      <c r="JC254" s="219"/>
      <c r="JD254" s="219"/>
      <c r="JE254" s="219"/>
      <c r="JF254" s="219"/>
      <c r="JG254" s="219"/>
      <c r="JH254" s="219"/>
      <c r="JI254" s="219"/>
      <c r="JJ254" s="219"/>
      <c r="JK254" s="219"/>
      <c r="JL254" s="219"/>
      <c r="JM254" s="219"/>
      <c r="JN254" s="219"/>
      <c r="JO254" s="219"/>
      <c r="JP254" s="219"/>
      <c r="JQ254" s="219"/>
      <c r="JR254" s="219"/>
      <c r="JS254" s="219"/>
      <c r="JT254" s="219"/>
      <c r="JU254" s="219"/>
      <c r="JV254" s="219"/>
      <c r="JW254" s="219"/>
      <c r="JX254" s="219"/>
      <c r="JY254" s="219"/>
      <c r="JZ254" s="219"/>
      <c r="KA254" s="219"/>
      <c r="KB254" s="219"/>
      <c r="KC254" s="219"/>
      <c r="KD254" s="219"/>
      <c r="KE254" s="219"/>
      <c r="KF254" s="219"/>
      <c r="KG254" s="219"/>
      <c r="KH254" s="219"/>
      <c r="KI254" s="219"/>
      <c r="KJ254" s="219"/>
      <c r="KK254" s="219"/>
      <c r="KL254" s="219"/>
      <c r="KM254" s="219"/>
      <c r="KN254" s="219"/>
      <c r="KO254" s="219"/>
      <c r="KP254" s="219"/>
      <c r="KQ254" s="219"/>
      <c r="KR254" s="219"/>
      <c r="KS254" s="219"/>
      <c r="KT254" s="219"/>
      <c r="KU254" s="219"/>
      <c r="KV254" s="219"/>
      <c r="KW254" s="219"/>
      <c r="KX254" s="219"/>
      <c r="KY254" s="219"/>
      <c r="KZ254" s="219"/>
      <c r="LA254" s="219"/>
      <c r="LB254" s="219"/>
      <c r="LC254" s="219"/>
      <c r="LD254" s="219"/>
      <c r="LE254" s="219"/>
      <c r="LF254" s="219"/>
      <c r="LG254" s="219"/>
      <c r="LH254" s="219"/>
      <c r="LI254" s="219"/>
      <c r="LJ254" s="219"/>
      <c r="LK254" s="219"/>
      <c r="LL254" s="219"/>
      <c r="LM254" s="219"/>
      <c r="LN254" s="219"/>
      <c r="LO254" s="219"/>
      <c r="LP254" s="219"/>
      <c r="LQ254" s="219"/>
      <c r="LR254" s="219"/>
      <c r="LS254" s="219"/>
      <c r="LT254" s="219"/>
      <c r="LU254" s="219"/>
      <c r="LV254" s="219"/>
      <c r="LW254" s="219"/>
      <c r="LX254" s="219"/>
      <c r="LY254" s="219"/>
      <c r="LZ254" s="219"/>
      <c r="MA254" s="219"/>
      <c r="MB254" s="219"/>
      <c r="MC254" s="219"/>
      <c r="MD254" s="219"/>
      <c r="ME254" s="219"/>
      <c r="MF254" s="219"/>
      <c r="MG254" s="219"/>
      <c r="MH254" s="219"/>
      <c r="MI254" s="219"/>
      <c r="MJ254" s="219"/>
      <c r="MK254" s="219"/>
      <c r="ML254" s="219"/>
      <c r="MM254" s="219"/>
      <c r="MN254" s="219"/>
      <c r="MO254" s="219"/>
      <c r="MP254" s="219"/>
      <c r="MQ254" s="219"/>
      <c r="MR254" s="219"/>
      <c r="MS254" s="219"/>
      <c r="MT254" s="219"/>
      <c r="MU254" s="219"/>
      <c r="MV254" s="219"/>
      <c r="MW254" s="219"/>
      <c r="MX254" s="219"/>
      <c r="MY254" s="219"/>
      <c r="MZ254" s="219"/>
      <c r="NA254" s="219"/>
      <c r="NB254" s="219"/>
      <c r="NC254" s="219"/>
      <c r="ND254" s="219"/>
      <c r="NE254" s="219"/>
      <c r="NF254" s="219"/>
      <c r="NG254" s="219"/>
      <c r="NH254" s="219"/>
      <c r="NI254" s="219"/>
      <c r="NJ254" s="219"/>
      <c r="NK254" s="219"/>
      <c r="NL254" s="219"/>
      <c r="NM254" s="219"/>
      <c r="NN254" s="219"/>
      <c r="NO254" s="219"/>
      <c r="NP254" s="219"/>
      <c r="NQ254" s="219"/>
      <c r="NR254" s="219"/>
      <c r="NS254" s="219"/>
      <c r="NT254" s="219"/>
      <c r="NU254" s="219"/>
      <c r="NV254" s="219"/>
      <c r="NW254" s="219"/>
      <c r="NX254" s="219"/>
      <c r="NY254" s="219"/>
      <c r="NZ254" s="219"/>
      <c r="OA254" s="219"/>
      <c r="OB254" s="219"/>
      <c r="OC254" s="219"/>
      <c r="OD254" s="219"/>
      <c r="OE254" s="219"/>
      <c r="OF254" s="219"/>
      <c r="OG254" s="219"/>
      <c r="OH254" s="219"/>
      <c r="OI254" s="219"/>
      <c r="OJ254" s="219"/>
      <c r="OK254" s="219"/>
      <c r="OL254" s="219"/>
      <c r="OM254" s="219"/>
      <c r="ON254" s="219"/>
      <c r="OO254" s="219"/>
      <c r="OP254" s="219"/>
      <c r="OQ254" s="219"/>
      <c r="OR254" s="219"/>
      <c r="OS254" s="219"/>
      <c r="OT254" s="219"/>
      <c r="OU254" s="219"/>
      <c r="OV254" s="219"/>
      <c r="OW254" s="219"/>
      <c r="OX254" s="219"/>
      <c r="OY254" s="219"/>
      <c r="OZ254" s="219"/>
      <c r="PA254" s="219"/>
      <c r="PB254" s="219"/>
      <c r="PC254" s="219"/>
      <c r="PD254" s="219"/>
      <c r="PE254" s="219"/>
      <c r="PF254" s="219"/>
      <c r="PG254" s="219"/>
      <c r="PH254" s="219"/>
      <c r="PI254" s="219"/>
      <c r="PJ254" s="219"/>
      <c r="PK254" s="219"/>
      <c r="PL254" s="219"/>
      <c r="PM254" s="219"/>
      <c r="PN254" s="219"/>
      <c r="PO254" s="219"/>
      <c r="PP254" s="219"/>
      <c r="PQ254" s="219"/>
      <c r="PR254" s="219"/>
      <c r="PS254" s="219"/>
      <c r="PT254" s="219"/>
      <c r="PU254" s="219"/>
      <c r="PV254" s="219"/>
      <c r="PW254" s="219"/>
      <c r="PX254" s="219"/>
      <c r="PY254" s="219"/>
      <c r="PZ254" s="219"/>
      <c r="QA254" s="219"/>
      <c r="QB254" s="219"/>
      <c r="QC254" s="219"/>
      <c r="QD254" s="219"/>
      <c r="QE254" s="219"/>
      <c r="QF254" s="219"/>
      <c r="QG254" s="219"/>
      <c r="QH254" s="219"/>
      <c r="QI254" s="219"/>
      <c r="QJ254" s="219"/>
      <c r="QK254" s="219"/>
      <c r="QL254" s="219"/>
      <c r="QM254" s="219"/>
      <c r="QN254" s="219"/>
      <c r="QO254" s="219"/>
      <c r="QP254" s="219"/>
      <c r="QQ254" s="219"/>
      <c r="QR254" s="219"/>
      <c r="QS254" s="219"/>
      <c r="QT254" s="219"/>
      <c r="QU254" s="219"/>
      <c r="QV254" s="219"/>
      <c r="QW254" s="219"/>
      <c r="QX254" s="219"/>
      <c r="QY254" s="219"/>
      <c r="QZ254" s="219"/>
      <c r="RA254" s="219"/>
      <c r="RB254" s="219"/>
      <c r="RC254" s="219"/>
      <c r="RD254" s="219"/>
      <c r="RE254" s="219"/>
      <c r="RF254" s="219"/>
      <c r="RG254" s="219"/>
      <c r="RH254" s="219"/>
      <c r="RI254" s="219"/>
      <c r="RJ254" s="219"/>
      <c r="RK254" s="219"/>
      <c r="RL254" s="219"/>
      <c r="RM254" s="219"/>
      <c r="RN254" s="219"/>
      <c r="RO254" s="219"/>
      <c r="RP254" s="219"/>
      <c r="RQ254" s="219"/>
      <c r="RR254" s="219"/>
      <c r="RS254" s="219"/>
      <c r="RT254" s="219"/>
      <c r="RU254" s="219"/>
      <c r="RV254" s="219"/>
      <c r="RW254" s="219"/>
      <c r="RX254" s="219"/>
      <c r="RY254" s="219"/>
      <c r="RZ254" s="219"/>
      <c r="SA254" s="219"/>
      <c r="SB254" s="219"/>
      <c r="SC254" s="219"/>
      <c r="SD254" s="219"/>
      <c r="SE254" s="219"/>
      <c r="SF254" s="219"/>
      <c r="SG254" s="219"/>
      <c r="SH254" s="219"/>
      <c r="SI254" s="219"/>
      <c r="SJ254" s="219"/>
      <c r="SK254" s="219"/>
      <c r="SL254" s="219"/>
      <c r="SM254" s="219"/>
      <c r="SN254" s="219"/>
      <c r="SO254" s="219"/>
      <c r="SP254" s="219"/>
      <c r="SQ254" s="219"/>
      <c r="SR254" s="219"/>
      <c r="SS254" s="219"/>
      <c r="ST254" s="219"/>
      <c r="SU254" s="219"/>
      <c r="SV254" s="219"/>
      <c r="SW254" s="219"/>
      <c r="SX254" s="219"/>
      <c r="SY254" s="219"/>
      <c r="SZ254" s="219"/>
      <c r="TA254" s="219"/>
      <c r="TB254" s="219"/>
      <c r="TC254" s="219"/>
      <c r="TD254" s="219"/>
      <c r="TE254" s="219"/>
      <c r="TF254" s="219"/>
      <c r="TG254" s="219"/>
      <c r="TH254" s="219"/>
      <c r="TI254" s="219"/>
      <c r="TJ254" s="219"/>
      <c r="TK254" s="219"/>
      <c r="TL254" s="219"/>
      <c r="TM254" s="219"/>
      <c r="TN254" s="219"/>
      <c r="TO254" s="219"/>
      <c r="TP254" s="219"/>
      <c r="TQ254" s="219"/>
      <c r="TR254" s="219"/>
      <c r="TS254" s="219"/>
      <c r="TT254" s="219"/>
      <c r="TU254" s="219"/>
      <c r="TV254" s="219"/>
      <c r="TW254" s="219"/>
      <c r="TX254" s="219"/>
      <c r="TY254" s="219"/>
      <c r="TZ254" s="219"/>
      <c r="UA254" s="219"/>
      <c r="UB254" s="219"/>
      <c r="UC254" s="219"/>
      <c r="UD254" s="219"/>
      <c r="UE254" s="219"/>
      <c r="UF254" s="219"/>
      <c r="UG254" s="219"/>
      <c r="UH254" s="219"/>
      <c r="UI254" s="219"/>
      <c r="UJ254" s="219"/>
      <c r="UK254" s="219"/>
      <c r="UL254" s="219"/>
      <c r="UM254" s="219"/>
      <c r="UN254" s="219"/>
      <c r="UO254" s="219"/>
      <c r="UP254" s="219"/>
      <c r="UQ254" s="219"/>
      <c r="UR254" s="219"/>
      <c r="US254" s="219"/>
      <c r="UT254" s="219"/>
      <c r="UU254" s="219"/>
      <c r="UV254" s="219"/>
      <c r="UW254" s="219"/>
      <c r="UX254" s="219"/>
      <c r="UY254" s="219"/>
      <c r="UZ254" s="219"/>
      <c r="VA254" s="219"/>
      <c r="VB254" s="219"/>
      <c r="VC254" s="219"/>
      <c r="VD254" s="219"/>
      <c r="VE254" s="219"/>
      <c r="VF254" s="219"/>
      <c r="VG254" s="219"/>
      <c r="VH254" s="219"/>
      <c r="VI254" s="219"/>
      <c r="VJ254" s="219"/>
      <c r="VK254" s="219"/>
      <c r="VL254" s="219"/>
      <c r="VM254" s="219"/>
      <c r="VN254" s="219"/>
      <c r="VO254" s="219"/>
      <c r="VP254" s="219"/>
      <c r="VQ254" s="219"/>
      <c r="VR254" s="219"/>
      <c r="VS254" s="219"/>
      <c r="VT254" s="219"/>
      <c r="VU254" s="219"/>
      <c r="VV254" s="219"/>
      <c r="VW254" s="219"/>
      <c r="VX254" s="219"/>
      <c r="VY254" s="219"/>
      <c r="VZ254" s="219"/>
      <c r="WA254" s="219"/>
      <c r="WB254" s="219"/>
      <c r="WC254" s="219"/>
      <c r="WD254" s="219"/>
      <c r="WE254" s="219"/>
      <c r="WF254" s="219"/>
      <c r="WG254" s="219"/>
      <c r="WH254" s="219"/>
      <c r="WI254" s="219"/>
      <c r="WJ254" s="219"/>
      <c r="WK254" s="219"/>
      <c r="WL254" s="219"/>
      <c r="WM254" s="219"/>
      <c r="WN254" s="219"/>
      <c r="WO254" s="219"/>
      <c r="WP254" s="219"/>
      <c r="WQ254" s="219"/>
      <c r="WR254" s="219"/>
      <c r="WS254" s="219"/>
      <c r="WT254" s="219"/>
      <c r="WU254" s="219"/>
      <c r="WV254" s="219"/>
      <c r="WW254" s="219"/>
      <c r="WX254" s="219"/>
      <c r="WY254" s="219"/>
      <c r="WZ254" s="219"/>
      <c r="XA254" s="219"/>
      <c r="XB254" s="219"/>
      <c r="XC254" s="219"/>
      <c r="XD254" s="219"/>
      <c r="XE254" s="219"/>
      <c r="XF254" s="219"/>
      <c r="XG254" s="219"/>
      <c r="XH254" s="219"/>
      <c r="XI254" s="219"/>
      <c r="XJ254" s="219"/>
      <c r="XK254" s="219"/>
      <c r="XL254" s="219"/>
      <c r="XM254" s="219"/>
      <c r="XN254" s="219"/>
      <c r="XO254" s="219"/>
      <c r="XP254" s="219"/>
      <c r="XQ254" s="219"/>
      <c r="XR254" s="219"/>
      <c r="XS254" s="219"/>
      <c r="XT254" s="219"/>
      <c r="XU254" s="219"/>
      <c r="XV254" s="219"/>
      <c r="XW254" s="219"/>
      <c r="XX254" s="219"/>
      <c r="XY254" s="219"/>
      <c r="XZ254" s="219"/>
      <c r="YA254" s="219"/>
      <c r="YB254" s="219"/>
      <c r="YC254" s="219"/>
      <c r="YD254" s="219"/>
      <c r="YE254" s="219"/>
      <c r="YF254" s="219"/>
      <c r="YG254" s="219"/>
      <c r="YH254" s="219"/>
      <c r="YI254" s="219"/>
      <c r="YJ254" s="219"/>
      <c r="YK254" s="219"/>
      <c r="YL254" s="219"/>
      <c r="YM254" s="219"/>
      <c r="YN254" s="219"/>
      <c r="YO254" s="219"/>
      <c r="YP254" s="219"/>
      <c r="YQ254" s="219"/>
      <c r="YR254" s="219"/>
      <c r="YS254" s="219"/>
      <c r="YT254" s="219"/>
      <c r="YU254" s="219"/>
      <c r="YV254" s="219"/>
      <c r="YW254" s="219"/>
      <c r="YX254" s="219"/>
      <c r="YY254" s="219"/>
      <c r="YZ254" s="219"/>
      <c r="ZA254" s="219"/>
      <c r="ZB254" s="219"/>
      <c r="ZC254" s="219"/>
      <c r="ZD254" s="219"/>
      <c r="ZE254" s="219"/>
      <c r="ZF254" s="219"/>
      <c r="ZG254" s="219"/>
      <c r="ZH254" s="219"/>
      <c r="ZI254" s="219"/>
      <c r="ZJ254" s="219"/>
      <c r="ZK254" s="219"/>
      <c r="ZL254" s="219"/>
      <c r="ZM254" s="219"/>
      <c r="ZN254" s="219"/>
      <c r="ZO254" s="219"/>
      <c r="ZP254" s="219"/>
      <c r="ZQ254" s="219"/>
      <c r="ZR254" s="219"/>
      <c r="ZS254" s="219"/>
      <c r="ZT254" s="219"/>
      <c r="ZU254" s="219"/>
      <c r="ZV254" s="219"/>
      <c r="ZW254" s="219"/>
      <c r="ZX254" s="219"/>
      <c r="ZY254" s="219"/>
      <c r="ZZ254" s="219"/>
      <c r="AAA254" s="219"/>
      <c r="AAB254" s="219"/>
      <c r="AAC254" s="219"/>
      <c r="AAD254" s="219"/>
      <c r="AAE254" s="219"/>
      <c r="AAF254" s="219"/>
      <c r="AAG254" s="219"/>
      <c r="AAH254" s="219"/>
      <c r="AAI254" s="219"/>
      <c r="AAJ254" s="219"/>
      <c r="AAK254" s="219"/>
      <c r="AAL254" s="219"/>
      <c r="AAM254" s="219"/>
      <c r="AAN254" s="219"/>
      <c r="AAO254" s="219"/>
      <c r="AAP254" s="219"/>
      <c r="AAQ254" s="219"/>
      <c r="AAR254" s="219"/>
      <c r="AAS254" s="219"/>
      <c r="AAT254" s="219"/>
      <c r="AAU254" s="219"/>
      <c r="AAV254" s="219"/>
      <c r="AAW254" s="219"/>
      <c r="AAX254" s="219"/>
      <c r="AAY254" s="219"/>
      <c r="AAZ254" s="219"/>
      <c r="ABA254" s="219"/>
      <c r="ABB254" s="219"/>
      <c r="ABC254" s="219"/>
      <c r="ABD254" s="219"/>
      <c r="ABE254" s="219"/>
      <c r="ABF254" s="219"/>
      <c r="ABG254" s="219"/>
      <c r="ABH254" s="219"/>
      <c r="ABI254" s="219"/>
      <c r="ABJ254" s="219"/>
      <c r="ABK254" s="219"/>
      <c r="ABL254" s="219"/>
      <c r="ABM254" s="219"/>
      <c r="ABN254" s="219"/>
      <c r="ABO254" s="219"/>
      <c r="ABP254" s="219"/>
      <c r="ABQ254" s="219"/>
      <c r="ABR254" s="219"/>
      <c r="ABS254" s="219"/>
      <c r="ABT254" s="219"/>
      <c r="ABU254" s="219"/>
      <c r="ABV254" s="219"/>
      <c r="ABW254" s="219"/>
      <c r="ABX254" s="219"/>
      <c r="ABY254" s="219"/>
      <c r="ABZ254" s="219"/>
      <c r="ACA254" s="219"/>
      <c r="ACB254" s="219"/>
      <c r="ACC254" s="219"/>
      <c r="ACD254" s="219"/>
      <c r="ACE254" s="219"/>
      <c r="ACF254" s="219"/>
      <c r="ACG254" s="219"/>
      <c r="ACH254" s="219"/>
      <c r="ACI254" s="219"/>
      <c r="ACJ254" s="219"/>
      <c r="ACK254" s="219"/>
      <c r="ACL254" s="219"/>
      <c r="ACM254" s="219"/>
      <c r="ACN254" s="219"/>
      <c r="ACO254" s="219"/>
      <c r="ACP254" s="219"/>
      <c r="ACQ254" s="219"/>
      <c r="ACR254" s="219"/>
      <c r="ACS254" s="219"/>
      <c r="ACT254" s="219"/>
      <c r="ACU254" s="219"/>
      <c r="ACV254" s="219"/>
      <c r="ACW254" s="219"/>
      <c r="ACX254" s="219"/>
      <c r="ACY254" s="219"/>
      <c r="ACZ254" s="219"/>
      <c r="ADA254" s="219"/>
      <c r="ADB254" s="219"/>
      <c r="ADC254" s="219"/>
      <c r="ADD254" s="219"/>
      <c r="ADE254" s="219"/>
      <c r="ADF254" s="219"/>
      <c r="ADG254" s="219"/>
      <c r="ADH254" s="219"/>
      <c r="ADI254" s="219"/>
      <c r="ADJ254" s="219"/>
      <c r="ADK254" s="219"/>
      <c r="ADL254" s="219"/>
      <c r="ADM254" s="219"/>
      <c r="ADN254" s="219"/>
      <c r="ADO254" s="219"/>
      <c r="ADP254" s="219"/>
      <c r="ADQ254" s="219"/>
      <c r="ADR254" s="219"/>
      <c r="ADS254" s="219"/>
      <c r="ADT254" s="219"/>
      <c r="ADU254" s="219"/>
      <c r="ADV254" s="219"/>
      <c r="ADW254" s="219"/>
      <c r="ADX254" s="219"/>
      <c r="ADY254" s="219"/>
      <c r="ADZ254" s="219"/>
      <c r="AEA254" s="219"/>
      <c r="AEB254" s="219"/>
      <c r="AEC254" s="219"/>
      <c r="AED254" s="219"/>
      <c r="AEE254" s="219"/>
      <c r="AEF254" s="219"/>
      <c r="AEG254" s="219"/>
      <c r="AEH254" s="219"/>
      <c r="AEI254" s="219"/>
      <c r="AEJ254" s="219"/>
      <c r="AEK254" s="219"/>
      <c r="AEL254" s="219"/>
      <c r="AEM254" s="219"/>
      <c r="AEN254" s="219"/>
      <c r="AEO254" s="219"/>
      <c r="AEP254" s="219"/>
      <c r="AEQ254" s="219"/>
      <c r="AER254" s="219"/>
      <c r="AES254" s="219"/>
      <c r="AET254" s="219"/>
      <c r="AEU254" s="219"/>
      <c r="AEV254" s="219"/>
      <c r="AEW254" s="219"/>
      <c r="AEX254" s="219"/>
      <c r="AEY254" s="219"/>
      <c r="AEZ254" s="219"/>
      <c r="AFA254" s="219"/>
      <c r="AFB254" s="219"/>
      <c r="AFC254" s="219"/>
      <c r="AFD254" s="219"/>
      <c r="AFE254" s="219"/>
      <c r="AFF254" s="219"/>
      <c r="AFG254" s="219"/>
      <c r="AFH254" s="219"/>
      <c r="AFI254" s="219"/>
      <c r="AFJ254" s="219"/>
      <c r="AFK254" s="219"/>
      <c r="AFL254" s="219"/>
      <c r="AFM254" s="219"/>
      <c r="AFN254" s="219"/>
      <c r="AFO254" s="219"/>
      <c r="AFP254" s="219"/>
      <c r="AFQ254" s="219"/>
      <c r="AFR254" s="219"/>
      <c r="AFS254" s="219"/>
      <c r="AFT254" s="219"/>
      <c r="AFU254" s="219"/>
      <c r="AFV254" s="219"/>
      <c r="AFW254" s="219"/>
      <c r="AFX254" s="219"/>
      <c r="AFY254" s="219"/>
      <c r="AFZ254" s="219"/>
      <c r="AGA254" s="219"/>
      <c r="AGB254" s="219"/>
      <c r="AGC254" s="219"/>
      <c r="AGD254" s="219"/>
      <c r="AGE254" s="219"/>
      <c r="AGF254" s="219"/>
      <c r="AGG254" s="219"/>
      <c r="AGH254" s="219"/>
      <c r="AGI254" s="219"/>
      <c r="AGJ254" s="219"/>
      <c r="AGK254" s="219"/>
      <c r="AGL254" s="219"/>
      <c r="AGM254" s="219"/>
      <c r="AGN254" s="219"/>
      <c r="AGO254" s="219"/>
      <c r="AGP254" s="219"/>
      <c r="AGQ254" s="219"/>
      <c r="AGR254" s="219"/>
      <c r="AGS254" s="219"/>
      <c r="AGT254" s="219"/>
      <c r="AGU254" s="219"/>
      <c r="AGV254" s="219"/>
      <c r="AGW254" s="219"/>
      <c r="AGX254" s="219"/>
      <c r="AGY254" s="219"/>
      <c r="AGZ254" s="219"/>
      <c r="AHA254" s="219"/>
      <c r="AHB254" s="219"/>
      <c r="AHC254" s="219"/>
      <c r="AHD254" s="219"/>
      <c r="AHE254" s="219"/>
      <c r="AHF254" s="219"/>
      <c r="AHG254" s="219"/>
      <c r="AHH254" s="219"/>
      <c r="AHI254" s="219"/>
      <c r="AHJ254" s="219"/>
      <c r="AHK254" s="219"/>
      <c r="AHL254" s="219"/>
      <c r="AHM254" s="219"/>
      <c r="AHN254" s="219"/>
      <c r="AHO254" s="219"/>
      <c r="AHP254" s="219"/>
      <c r="AHQ254" s="219"/>
      <c r="AHR254" s="219"/>
      <c r="AHS254" s="219"/>
      <c r="AHT254" s="219"/>
      <c r="AHU254" s="219"/>
      <c r="AHV254" s="219"/>
      <c r="AHW254" s="219"/>
      <c r="AHX254" s="219"/>
      <c r="AHY254" s="219"/>
      <c r="AHZ254" s="219"/>
      <c r="AIA254" s="219"/>
      <c r="AIB254" s="219"/>
      <c r="AIC254" s="219"/>
      <c r="AID254" s="219"/>
      <c r="AIE254" s="219"/>
      <c r="AIF254" s="219"/>
      <c r="AIG254" s="219"/>
      <c r="AIH254" s="219"/>
      <c r="AII254" s="219"/>
      <c r="AIJ254" s="219"/>
      <c r="AIK254" s="219"/>
      <c r="AIL254" s="219"/>
      <c r="AIM254" s="219"/>
      <c r="AIN254" s="219"/>
      <c r="AIO254" s="219"/>
      <c r="AIP254" s="219"/>
      <c r="AIQ254" s="219"/>
      <c r="AIR254" s="219"/>
      <c r="AIS254" s="219"/>
      <c r="AIT254" s="219"/>
      <c r="AIU254" s="219"/>
      <c r="AIV254" s="219"/>
      <c r="AIW254" s="219"/>
      <c r="AIX254" s="219"/>
      <c r="AIY254" s="219"/>
      <c r="AIZ254" s="219"/>
      <c r="AJA254" s="219"/>
      <c r="AJB254" s="219"/>
      <c r="AJC254" s="219"/>
      <c r="AJD254" s="219"/>
      <c r="AJE254" s="219"/>
      <c r="AJF254" s="219"/>
      <c r="AJG254" s="219"/>
      <c r="AJH254" s="219"/>
      <c r="AJI254" s="219"/>
      <c r="AJJ254" s="219"/>
      <c r="AJK254" s="219"/>
      <c r="AJL254" s="219"/>
      <c r="AJM254" s="219"/>
      <c r="AJN254" s="219"/>
      <c r="AJO254" s="219"/>
      <c r="AJP254" s="219"/>
      <c r="AJQ254" s="219"/>
      <c r="AJR254" s="219"/>
      <c r="AJS254" s="219"/>
      <c r="AJT254" s="219"/>
      <c r="AJU254" s="219"/>
      <c r="AJV254" s="219"/>
      <c r="AJW254" s="219"/>
      <c r="AJX254" s="219"/>
      <c r="AJY254" s="219"/>
      <c r="AJZ254" s="219"/>
      <c r="AKA254" s="219"/>
      <c r="AKB254" s="219"/>
      <c r="AKC254" s="219"/>
      <c r="AKD254" s="219"/>
      <c r="AKE254" s="219"/>
      <c r="AKF254" s="219"/>
      <c r="AKG254" s="219"/>
      <c r="AKH254" s="219"/>
      <c r="AKI254" s="219"/>
      <c r="AKJ254" s="219"/>
      <c r="AKK254" s="219"/>
      <c r="AKL254" s="219"/>
      <c r="AKM254" s="219"/>
      <c r="AKN254" s="219"/>
      <c r="AKO254" s="219"/>
      <c r="AKP254" s="219"/>
      <c r="AKQ254" s="219"/>
      <c r="AKR254" s="219"/>
      <c r="AKS254" s="219"/>
      <c r="AKT254" s="219"/>
      <c r="AKU254" s="219"/>
      <c r="AKV254" s="219"/>
      <c r="AKW254" s="219"/>
      <c r="AKX254" s="219"/>
      <c r="AKY254" s="219"/>
      <c r="AKZ254" s="219"/>
      <c r="ALA254" s="219"/>
      <c r="ALB254" s="219"/>
      <c r="ALC254" s="219"/>
      <c r="ALD254" s="219"/>
      <c r="ALE254" s="219"/>
      <c r="ALF254" s="219"/>
      <c r="ALG254" s="219"/>
      <c r="ALH254" s="219"/>
      <c r="ALI254" s="219"/>
      <c r="ALJ254" s="219"/>
      <c r="ALK254" s="219"/>
      <c r="ALL254" s="219"/>
      <c r="ALM254" s="219"/>
      <c r="ALN254" s="219"/>
      <c r="ALO254" s="219"/>
      <c r="ALP254" s="219"/>
      <c r="ALQ254" s="219"/>
      <c r="ALR254" s="219"/>
      <c r="ALS254" s="219"/>
      <c r="ALT254" s="219"/>
      <c r="ALU254" s="219"/>
      <c r="ALV254" s="219"/>
      <c r="ALW254" s="219"/>
      <c r="ALX254" s="219"/>
      <c r="ALY254" s="219"/>
      <c r="ALZ254" s="219"/>
      <c r="AMA254" s="219"/>
      <c r="AMB254" s="219"/>
      <c r="AMC254" s="219"/>
      <c r="AMD254" s="219"/>
      <c r="AME254" s="219"/>
      <c r="AMF254" s="219"/>
      <c r="AMG254" s="219"/>
      <c r="AMH254" s="219"/>
      <c r="AMI254" s="219"/>
      <c r="AMJ254" s="219"/>
      <c r="AMK254" s="219"/>
      <c r="AML254" s="219"/>
      <c r="AMM254" s="219"/>
      <c r="AMN254" s="219"/>
      <c r="AMO254" s="219"/>
      <c r="AMP254" s="219"/>
      <c r="AMQ254" s="219"/>
      <c r="AMR254" s="219"/>
      <c r="AMS254" s="219"/>
      <c r="AMT254" s="219"/>
      <c r="AMU254" s="219"/>
      <c r="AMV254" s="219"/>
      <c r="AMW254" s="219"/>
      <c r="AMX254" s="219"/>
      <c r="AMY254" s="219"/>
      <c r="AMZ254" s="219"/>
      <c r="ANA254" s="219"/>
      <c r="ANB254" s="219"/>
      <c r="ANC254" s="219"/>
      <c r="AND254" s="219"/>
      <c r="ANE254" s="219"/>
      <c r="ANF254" s="219"/>
      <c r="ANG254" s="219"/>
      <c r="ANH254" s="219"/>
      <c r="ANI254" s="219"/>
      <c r="ANJ254" s="219"/>
      <c r="ANK254" s="219"/>
      <c r="ANL254" s="219"/>
      <c r="ANM254" s="219"/>
      <c r="ANN254" s="219"/>
      <c r="ANO254" s="219"/>
      <c r="ANP254" s="219"/>
      <c r="ANQ254" s="219"/>
      <c r="ANR254" s="219"/>
      <c r="ANS254" s="219"/>
      <c r="ANT254" s="219"/>
      <c r="ANU254" s="219"/>
      <c r="ANV254" s="219"/>
      <c r="ANW254" s="219"/>
      <c r="ANX254" s="219"/>
      <c r="ANY254" s="219"/>
      <c r="ANZ254" s="219"/>
      <c r="AOA254" s="219"/>
      <c r="AOB254" s="219"/>
      <c r="AOC254" s="219"/>
      <c r="AOD254" s="219"/>
      <c r="AOE254" s="219"/>
      <c r="AOF254" s="219"/>
      <c r="AOG254" s="219"/>
      <c r="AOH254" s="219"/>
      <c r="AOI254" s="219"/>
      <c r="AOJ254" s="219"/>
      <c r="AOK254" s="219"/>
      <c r="AOL254" s="219"/>
      <c r="AOM254" s="219"/>
      <c r="AON254" s="219"/>
      <c r="AOO254" s="219"/>
      <c r="AOP254" s="219"/>
      <c r="AOQ254" s="219"/>
      <c r="AOR254" s="219"/>
      <c r="AOS254" s="219"/>
      <c r="AOT254" s="219"/>
      <c r="AOU254" s="219"/>
      <c r="AOV254" s="219"/>
      <c r="AOW254" s="219"/>
      <c r="AOX254" s="219"/>
      <c r="AOY254" s="219"/>
      <c r="AOZ254" s="219"/>
      <c r="APA254" s="219"/>
      <c r="APB254" s="219"/>
      <c r="APC254" s="219"/>
      <c r="APD254" s="219"/>
      <c r="APE254" s="219"/>
      <c r="APF254" s="219"/>
      <c r="APG254" s="219"/>
      <c r="APH254" s="219"/>
      <c r="API254" s="219"/>
      <c r="APJ254" s="219"/>
      <c r="APK254" s="219"/>
      <c r="APL254" s="219"/>
      <c r="APM254" s="219"/>
      <c r="APN254" s="219"/>
      <c r="APO254" s="219"/>
      <c r="APP254" s="219"/>
      <c r="APQ254" s="219"/>
      <c r="APR254" s="219"/>
      <c r="APS254" s="219"/>
      <c r="APT254" s="219"/>
      <c r="APU254" s="219"/>
      <c r="APV254" s="219"/>
      <c r="APW254" s="219"/>
      <c r="APX254" s="219"/>
      <c r="APY254" s="219"/>
      <c r="APZ254" s="219"/>
      <c r="AQA254" s="219"/>
      <c r="AQB254" s="219"/>
      <c r="AQC254" s="219"/>
      <c r="AQD254" s="219"/>
      <c r="AQE254" s="219"/>
      <c r="AQF254" s="219"/>
      <c r="AQG254" s="219"/>
      <c r="AQH254" s="219"/>
      <c r="AQI254" s="219"/>
      <c r="AQJ254" s="219"/>
      <c r="AQK254" s="219"/>
      <c r="AQL254" s="219"/>
      <c r="AQM254" s="219"/>
      <c r="AQN254" s="219"/>
      <c r="AQO254" s="219"/>
      <c r="AQP254" s="219"/>
      <c r="AQQ254" s="219"/>
      <c r="AQR254" s="219"/>
      <c r="AQS254" s="219"/>
      <c r="AQT254" s="219"/>
      <c r="AQU254" s="219"/>
      <c r="AQV254" s="219"/>
      <c r="AQW254" s="219"/>
      <c r="AQX254" s="219"/>
      <c r="AQY254" s="219"/>
      <c r="AQZ254" s="219"/>
      <c r="ARA254" s="219"/>
      <c r="ARB254" s="219"/>
      <c r="ARC254" s="219"/>
      <c r="ARD254" s="219"/>
      <c r="ARE254" s="219"/>
      <c r="ARF254" s="219"/>
      <c r="ARG254" s="219"/>
      <c r="ARH254" s="219"/>
      <c r="ARI254" s="219"/>
      <c r="ARJ254" s="219"/>
      <c r="ARK254" s="219"/>
      <c r="ARL254" s="219"/>
      <c r="ARM254" s="219"/>
      <c r="ARN254" s="219"/>
      <c r="ARO254" s="219"/>
      <c r="ARP254" s="219"/>
      <c r="ARQ254" s="219"/>
      <c r="ARR254" s="219"/>
      <c r="ARS254" s="219"/>
      <c r="ART254" s="219"/>
      <c r="ARU254" s="219"/>
      <c r="ARV254" s="219"/>
      <c r="ARW254" s="219"/>
      <c r="ARX254" s="219"/>
      <c r="ARY254" s="219"/>
      <c r="ARZ254" s="219"/>
      <c r="ASA254" s="219"/>
      <c r="ASB254" s="219"/>
      <c r="ASC254" s="219"/>
      <c r="ASD254" s="219"/>
      <c r="ASE254" s="219"/>
      <c r="ASF254" s="219"/>
      <c r="ASG254" s="219"/>
      <c r="ASH254" s="219"/>
      <c r="ASI254" s="219"/>
      <c r="ASJ254" s="219"/>
      <c r="ASK254" s="219"/>
      <c r="ASL254" s="219"/>
      <c r="ASM254" s="219"/>
      <c r="ASN254" s="219"/>
      <c r="ASO254" s="219"/>
      <c r="ASP254" s="219"/>
      <c r="ASQ254" s="219"/>
      <c r="ASR254" s="219"/>
      <c r="ASS254" s="219"/>
      <c r="AST254" s="219"/>
      <c r="ASU254" s="219"/>
      <c r="ASV254" s="219"/>
      <c r="ASW254" s="219"/>
      <c r="ASX254" s="219"/>
      <c r="ASY254" s="219"/>
      <c r="ASZ254" s="219"/>
      <c r="ATA254" s="219"/>
      <c r="ATB254" s="219"/>
      <c r="ATC254" s="219"/>
      <c r="ATD254" s="219"/>
      <c r="ATE254" s="219"/>
      <c r="ATF254" s="219"/>
      <c r="ATG254" s="219"/>
      <c r="ATH254" s="219"/>
      <c r="ATI254" s="219"/>
      <c r="ATJ254" s="219"/>
      <c r="ATK254" s="219"/>
      <c r="ATL254" s="219"/>
      <c r="ATM254" s="219"/>
      <c r="ATN254" s="219"/>
      <c r="ATO254" s="219"/>
      <c r="ATP254" s="219"/>
      <c r="ATQ254" s="219"/>
      <c r="ATR254" s="219"/>
      <c r="ATS254" s="219"/>
      <c r="ATT254" s="219"/>
      <c r="ATU254" s="219"/>
      <c r="ATV254" s="219"/>
      <c r="ATW254" s="219"/>
      <c r="ATX254" s="219"/>
      <c r="ATY254" s="219"/>
      <c r="ATZ254" s="219"/>
      <c r="AUA254" s="219"/>
      <c r="AUB254" s="219"/>
      <c r="AUC254" s="219"/>
      <c r="AUD254" s="219"/>
      <c r="AUE254" s="219"/>
      <c r="AUF254" s="219"/>
      <c r="AUG254" s="219"/>
      <c r="AUH254" s="219"/>
      <c r="AUI254" s="219"/>
      <c r="AUJ254" s="219"/>
      <c r="AUK254" s="219"/>
      <c r="AUL254" s="219"/>
      <c r="AUM254" s="219"/>
      <c r="AUN254" s="219"/>
      <c r="AUO254" s="219"/>
      <c r="AUP254" s="219"/>
      <c r="AUQ254" s="219"/>
      <c r="AUR254" s="219"/>
      <c r="AUS254" s="219"/>
      <c r="AUT254" s="219"/>
      <c r="AUU254" s="219"/>
      <c r="AUV254" s="219"/>
      <c r="AUW254" s="219"/>
      <c r="AUX254" s="219"/>
      <c r="AUY254" s="219"/>
      <c r="AUZ254" s="219"/>
      <c r="AVA254" s="219"/>
      <c r="AVB254" s="219"/>
      <c r="AVC254" s="219"/>
      <c r="AVD254" s="219"/>
      <c r="AVE254" s="219"/>
      <c r="AVF254" s="219"/>
      <c r="AVG254" s="219"/>
      <c r="AVH254" s="219"/>
      <c r="AVI254" s="219"/>
      <c r="AVJ254" s="219"/>
      <c r="AVK254" s="219"/>
      <c r="AVL254" s="219"/>
      <c r="AVM254" s="219"/>
      <c r="AVN254" s="219"/>
      <c r="AVO254" s="219"/>
      <c r="AVP254" s="219"/>
      <c r="AVQ254" s="219"/>
      <c r="AVR254" s="219"/>
      <c r="AVS254" s="219"/>
      <c r="AVT254" s="219"/>
      <c r="AVU254" s="219"/>
      <c r="AVV254" s="219"/>
      <c r="AVW254" s="219"/>
      <c r="AVX254" s="219"/>
      <c r="AVY254" s="219"/>
      <c r="AVZ254" s="219"/>
      <c r="AWA254" s="219"/>
      <c r="AWB254" s="219"/>
      <c r="AWC254" s="219"/>
      <c r="AWD254" s="219"/>
      <c r="AWE254" s="219"/>
      <c r="AWF254" s="219"/>
      <c r="AWG254" s="219"/>
      <c r="AWH254" s="219"/>
      <c r="AWI254" s="219"/>
      <c r="AWJ254" s="219"/>
      <c r="AWK254" s="219"/>
      <c r="AWL254" s="219"/>
      <c r="AWM254" s="219"/>
      <c r="AWN254" s="219"/>
      <c r="AWO254" s="219"/>
      <c r="AWP254" s="219"/>
      <c r="AWQ254" s="219"/>
      <c r="AWR254" s="219"/>
      <c r="AWS254" s="219"/>
      <c r="AWT254" s="219"/>
      <c r="AWU254" s="219"/>
      <c r="AWV254" s="219"/>
      <c r="AWW254" s="219"/>
      <c r="AWX254" s="219"/>
      <c r="AWY254" s="219"/>
      <c r="AWZ254" s="219"/>
      <c r="AXA254" s="219"/>
      <c r="AXB254" s="219"/>
      <c r="AXC254" s="219"/>
      <c r="AXD254" s="219"/>
      <c r="AXE254" s="219"/>
      <c r="AXF254" s="219"/>
      <c r="AXG254" s="219"/>
      <c r="AXH254" s="219"/>
      <c r="AXI254" s="219"/>
      <c r="AXJ254" s="219"/>
      <c r="AXK254" s="219"/>
      <c r="AXL254" s="219"/>
      <c r="AXM254" s="219"/>
      <c r="AXN254" s="219"/>
      <c r="AXO254" s="219"/>
      <c r="AXP254" s="219"/>
      <c r="AXQ254" s="219"/>
      <c r="AXR254" s="219"/>
      <c r="AXS254" s="219"/>
      <c r="AXT254" s="219"/>
      <c r="AXU254" s="219"/>
      <c r="AXV254" s="219"/>
      <c r="AXW254" s="219"/>
      <c r="AXX254" s="219"/>
      <c r="AXY254" s="219"/>
      <c r="AXZ254" s="219"/>
      <c r="AYA254" s="219"/>
      <c r="AYB254" s="219"/>
      <c r="AYC254" s="219"/>
      <c r="AYD254" s="219"/>
      <c r="AYE254" s="219"/>
      <c r="AYF254" s="219"/>
      <c r="AYG254" s="219"/>
      <c r="AYH254" s="219"/>
      <c r="AYI254" s="219"/>
      <c r="AYJ254" s="219"/>
      <c r="AYK254" s="219"/>
      <c r="AYL254" s="219"/>
      <c r="AYM254" s="219"/>
      <c r="AYN254" s="219"/>
      <c r="AYO254" s="219"/>
      <c r="AYP254" s="219"/>
      <c r="AYQ254" s="219"/>
      <c r="AYR254" s="219"/>
      <c r="AYS254" s="219"/>
      <c r="AYT254" s="219"/>
      <c r="AYU254" s="219"/>
      <c r="AYV254" s="219"/>
      <c r="AYW254" s="219"/>
      <c r="AYX254" s="219"/>
      <c r="AYY254" s="219"/>
      <c r="AYZ254" s="219"/>
      <c r="AZA254" s="219"/>
      <c r="AZB254" s="219"/>
      <c r="AZC254" s="219"/>
      <c r="AZD254" s="219"/>
      <c r="AZE254" s="219"/>
      <c r="AZF254" s="219"/>
      <c r="AZG254" s="219"/>
      <c r="AZH254" s="219"/>
      <c r="AZI254" s="219"/>
      <c r="AZJ254" s="219"/>
      <c r="AZK254" s="219"/>
      <c r="AZL254" s="219"/>
      <c r="AZM254" s="219"/>
      <c r="AZN254" s="219"/>
      <c r="AZO254" s="219"/>
      <c r="AZP254" s="219"/>
      <c r="AZQ254" s="219"/>
      <c r="AZR254" s="219"/>
      <c r="AZS254" s="219"/>
      <c r="AZT254" s="219"/>
      <c r="AZU254" s="219"/>
      <c r="AZV254" s="219"/>
      <c r="AZW254" s="219"/>
      <c r="AZX254" s="219"/>
      <c r="AZY254" s="219"/>
      <c r="AZZ254" s="219"/>
      <c r="BAA254" s="219"/>
      <c r="BAB254" s="219"/>
      <c r="BAC254" s="219"/>
      <c r="BAD254" s="219"/>
      <c r="BAE254" s="219"/>
      <c r="BAF254" s="219"/>
      <c r="BAG254" s="219"/>
      <c r="BAH254" s="219"/>
      <c r="BAI254" s="219"/>
      <c r="BAJ254" s="219"/>
      <c r="BAK254" s="219"/>
      <c r="BAL254" s="219"/>
      <c r="BAM254" s="219"/>
      <c r="BAN254" s="219"/>
      <c r="BAO254" s="219"/>
      <c r="BAP254" s="219"/>
      <c r="BAQ254" s="219"/>
      <c r="BAR254" s="219"/>
      <c r="BAS254" s="219"/>
      <c r="BAT254" s="219"/>
      <c r="BAU254" s="219"/>
      <c r="BAV254" s="219"/>
      <c r="BAW254" s="219"/>
      <c r="BAX254" s="219"/>
      <c r="BAY254" s="219"/>
      <c r="BAZ254" s="219"/>
      <c r="BBA254" s="219"/>
      <c r="BBB254" s="219"/>
      <c r="BBC254" s="219"/>
      <c r="BBD254" s="219"/>
      <c r="BBE254" s="219"/>
      <c r="BBF254" s="219"/>
      <c r="BBG254" s="219"/>
      <c r="BBH254" s="219"/>
      <c r="BBI254" s="219"/>
      <c r="BBJ254" s="219"/>
      <c r="BBK254" s="219"/>
      <c r="BBL254" s="219"/>
      <c r="BBM254" s="219"/>
      <c r="BBN254" s="219"/>
      <c r="BBO254" s="219"/>
      <c r="BBP254" s="219"/>
      <c r="BBQ254" s="219"/>
      <c r="BBR254" s="219"/>
      <c r="BBS254" s="219"/>
      <c r="BBT254" s="219"/>
      <c r="BBU254" s="219"/>
      <c r="BBV254" s="219"/>
      <c r="BBW254" s="219"/>
      <c r="BBX254" s="219"/>
      <c r="BBY254" s="219"/>
      <c r="BBZ254" s="219"/>
      <c r="BCA254" s="219"/>
      <c r="BCB254" s="219"/>
      <c r="BCC254" s="219"/>
      <c r="BCD254" s="219"/>
      <c r="BCE254" s="219"/>
      <c r="BCF254" s="219"/>
      <c r="BCG254" s="219"/>
      <c r="BCH254" s="219"/>
      <c r="BCI254" s="219"/>
      <c r="BCJ254" s="219"/>
      <c r="BCK254" s="219"/>
      <c r="BCL254" s="219"/>
      <c r="BCM254" s="219"/>
      <c r="BCN254" s="219"/>
      <c r="BCO254" s="219"/>
      <c r="BCP254" s="219"/>
      <c r="BCQ254" s="219"/>
      <c r="BCR254" s="219"/>
      <c r="BCS254" s="219"/>
      <c r="BCT254" s="219"/>
      <c r="BCU254" s="219"/>
      <c r="BCV254" s="219"/>
      <c r="BCW254" s="219"/>
      <c r="BCX254" s="219"/>
      <c r="BCY254" s="219"/>
      <c r="BCZ254" s="219"/>
      <c r="BDA254" s="219"/>
      <c r="BDB254" s="219"/>
      <c r="BDC254" s="219"/>
      <c r="BDD254" s="219"/>
      <c r="BDE254" s="219"/>
      <c r="BDF254" s="219"/>
      <c r="BDG254" s="219"/>
      <c r="BDH254" s="219"/>
      <c r="BDI254" s="219"/>
      <c r="BDJ254" s="219"/>
      <c r="BDK254" s="219"/>
      <c r="BDL254" s="219"/>
      <c r="BDM254" s="219"/>
      <c r="BDN254" s="219"/>
      <c r="BDO254" s="219"/>
      <c r="BDP254" s="219"/>
      <c r="BDQ254" s="219"/>
      <c r="BDR254" s="219"/>
      <c r="BDS254" s="219"/>
      <c r="BDT254" s="219"/>
      <c r="BDU254" s="219"/>
      <c r="BDV254" s="219"/>
      <c r="BDW254" s="219"/>
      <c r="BDX254" s="219"/>
      <c r="BDY254" s="219"/>
      <c r="BDZ254" s="219"/>
      <c r="BEA254" s="219"/>
      <c r="BEB254" s="219"/>
      <c r="BEC254" s="219"/>
      <c r="BED254" s="219"/>
      <c r="BEE254" s="219"/>
      <c r="BEF254" s="219"/>
      <c r="BEG254" s="219"/>
      <c r="BEH254" s="219"/>
      <c r="BEI254" s="219"/>
      <c r="BEJ254" s="219"/>
      <c r="BEK254" s="219"/>
      <c r="BEL254" s="219"/>
      <c r="BEM254" s="219"/>
      <c r="BEN254" s="219"/>
      <c r="BEO254" s="219"/>
      <c r="BEP254" s="219"/>
      <c r="BEQ254" s="219"/>
      <c r="BER254" s="219"/>
      <c r="BES254" s="219"/>
      <c r="BET254" s="219"/>
      <c r="BEU254" s="219"/>
      <c r="BEV254" s="219"/>
      <c r="BEW254" s="219"/>
      <c r="BEX254" s="219"/>
      <c r="BEY254" s="219"/>
      <c r="BEZ254" s="219"/>
      <c r="BFA254" s="219"/>
      <c r="BFB254" s="219"/>
      <c r="BFC254" s="219"/>
      <c r="BFD254" s="219"/>
      <c r="BFE254" s="219"/>
      <c r="BFF254" s="219"/>
      <c r="BFG254" s="219"/>
      <c r="BFH254" s="219"/>
      <c r="BFI254" s="219"/>
      <c r="BFJ254" s="219"/>
      <c r="BFK254" s="219"/>
      <c r="BFL254" s="219"/>
      <c r="BFM254" s="219"/>
      <c r="BFN254" s="219"/>
      <c r="BFO254" s="219"/>
      <c r="BFP254" s="219"/>
      <c r="BFQ254" s="219"/>
      <c r="BFR254" s="219"/>
      <c r="BFS254" s="219"/>
      <c r="BFT254" s="219"/>
      <c r="BFU254" s="219"/>
      <c r="BFV254" s="219"/>
      <c r="BFW254" s="219"/>
      <c r="BFX254" s="219"/>
      <c r="BFY254" s="219"/>
      <c r="BFZ254" s="219"/>
      <c r="BGA254" s="219"/>
      <c r="BGB254" s="219"/>
      <c r="BGC254" s="219"/>
      <c r="BGD254" s="219"/>
      <c r="BGE254" s="219"/>
      <c r="BGF254" s="219"/>
      <c r="BGG254" s="219"/>
      <c r="BGH254" s="219"/>
      <c r="BGI254" s="219"/>
      <c r="BGJ254" s="219"/>
      <c r="BGK254" s="219"/>
      <c r="BGL254" s="219"/>
      <c r="BGM254" s="219"/>
      <c r="BGN254" s="219"/>
      <c r="BGO254" s="219"/>
      <c r="BGP254" s="219"/>
      <c r="BGQ254" s="219"/>
      <c r="BGR254" s="219"/>
      <c r="BGS254" s="219"/>
      <c r="BGT254" s="219"/>
      <c r="BGU254" s="219"/>
      <c r="BGV254" s="219"/>
      <c r="BGW254" s="219"/>
      <c r="BGX254" s="219"/>
      <c r="BGY254" s="219"/>
      <c r="BGZ254" s="219"/>
      <c r="BHA254" s="219"/>
      <c r="BHB254" s="219"/>
      <c r="BHC254" s="219"/>
      <c r="BHD254" s="219"/>
      <c r="BHE254" s="219"/>
      <c r="BHF254" s="219"/>
      <c r="BHG254" s="219"/>
      <c r="BHH254" s="219"/>
      <c r="BHI254" s="219"/>
      <c r="BHJ254" s="219"/>
      <c r="BHK254" s="219"/>
      <c r="BHL254" s="219"/>
      <c r="BHM254" s="219"/>
      <c r="BHN254" s="219"/>
      <c r="BHO254" s="219"/>
      <c r="BHP254" s="219"/>
      <c r="BHQ254" s="219"/>
      <c r="BHR254" s="219"/>
      <c r="BHS254" s="219"/>
      <c r="BHT254" s="219"/>
      <c r="BHU254" s="219"/>
      <c r="BHV254" s="219"/>
      <c r="BHW254" s="219"/>
      <c r="BHX254" s="219"/>
      <c r="BHY254" s="219"/>
      <c r="BHZ254" s="219"/>
      <c r="BIA254" s="219"/>
      <c r="BIB254" s="219"/>
      <c r="BIC254" s="219"/>
      <c r="BID254" s="219"/>
      <c r="BIE254" s="219"/>
      <c r="BIF254" s="219"/>
      <c r="BIG254" s="219"/>
      <c r="BIH254" s="219"/>
      <c r="BII254" s="219"/>
      <c r="BIJ254" s="219"/>
      <c r="BIK254" s="219"/>
      <c r="BIL254" s="219"/>
      <c r="BIM254" s="219"/>
      <c r="BIN254" s="219"/>
      <c r="BIO254" s="219"/>
      <c r="BIP254" s="219"/>
      <c r="BIQ254" s="219"/>
      <c r="BIR254" s="219"/>
      <c r="BIS254" s="219"/>
      <c r="BIT254" s="219"/>
      <c r="BIU254" s="219"/>
      <c r="BIV254" s="219"/>
      <c r="BIW254" s="219"/>
      <c r="BIX254" s="219"/>
      <c r="BIY254" s="219"/>
      <c r="BIZ254" s="219"/>
      <c r="BJA254" s="219"/>
      <c r="BJB254" s="219"/>
      <c r="BJC254" s="219"/>
      <c r="BJD254" s="219"/>
      <c r="BJE254" s="219"/>
      <c r="BJF254" s="219"/>
      <c r="BJG254" s="219"/>
      <c r="BJH254" s="219"/>
      <c r="BJI254" s="219"/>
      <c r="BJJ254" s="219"/>
      <c r="BJK254" s="219"/>
      <c r="BJL254" s="219"/>
      <c r="BJM254" s="219"/>
      <c r="BJN254" s="219"/>
      <c r="BJO254" s="219"/>
      <c r="BJP254" s="219"/>
      <c r="BJQ254" s="219"/>
      <c r="BJR254" s="219"/>
      <c r="BJS254" s="219"/>
      <c r="BJT254" s="219"/>
      <c r="BJU254" s="219"/>
      <c r="BJV254" s="219"/>
      <c r="BJW254" s="219"/>
      <c r="BJX254" s="219"/>
      <c r="BJY254" s="219"/>
      <c r="BJZ254" s="219"/>
      <c r="BKA254" s="219"/>
      <c r="BKB254" s="219"/>
      <c r="BKC254" s="219"/>
      <c r="BKD254" s="219"/>
      <c r="BKE254" s="219"/>
      <c r="BKF254" s="219"/>
      <c r="BKG254" s="219"/>
      <c r="BKH254" s="219"/>
      <c r="BKI254" s="219"/>
      <c r="BKJ254" s="219"/>
      <c r="BKK254" s="219"/>
      <c r="BKL254" s="219"/>
      <c r="BKM254" s="219"/>
      <c r="BKN254" s="219"/>
      <c r="BKO254" s="219"/>
      <c r="BKP254" s="219"/>
      <c r="BKQ254" s="219"/>
      <c r="BKR254" s="219"/>
      <c r="BKS254" s="219"/>
      <c r="BKT254" s="219"/>
      <c r="BKU254" s="219"/>
      <c r="BKV254" s="219"/>
      <c r="BKW254" s="219"/>
      <c r="BKX254" s="219"/>
      <c r="BKY254" s="219"/>
      <c r="BKZ254" s="219"/>
      <c r="BLA254" s="219"/>
      <c r="BLB254" s="219"/>
      <c r="BLC254" s="219"/>
      <c r="BLD254" s="219"/>
      <c r="BLE254" s="219"/>
      <c r="BLF254" s="219"/>
      <c r="BLG254" s="219"/>
      <c r="BLH254" s="219"/>
      <c r="BLI254" s="219"/>
      <c r="BLJ254" s="219"/>
      <c r="BLK254" s="219"/>
      <c r="BLL254" s="219"/>
      <c r="BLM254" s="219"/>
      <c r="BLN254" s="219"/>
      <c r="BLO254" s="219"/>
      <c r="BLP254" s="219"/>
      <c r="BLQ254" s="219"/>
      <c r="BLR254" s="219"/>
      <c r="BLS254" s="219"/>
      <c r="BLT254" s="219"/>
      <c r="BLU254" s="219"/>
      <c r="BLV254" s="219"/>
      <c r="BLW254" s="219"/>
      <c r="BLX254" s="219"/>
      <c r="BLY254" s="219"/>
      <c r="BLZ254" s="219"/>
      <c r="BMA254" s="219"/>
      <c r="BMB254" s="219"/>
      <c r="BMC254" s="219"/>
      <c r="BMD254" s="219"/>
      <c r="BME254" s="219"/>
      <c r="BMF254" s="219"/>
      <c r="BMG254" s="219"/>
      <c r="BMH254" s="219"/>
      <c r="BMI254" s="219"/>
      <c r="BMJ254" s="219"/>
      <c r="BMK254" s="219"/>
      <c r="BML254" s="219"/>
      <c r="BMM254" s="219"/>
      <c r="BMN254" s="219"/>
      <c r="BMO254" s="219"/>
      <c r="BMP254" s="219"/>
      <c r="BMQ254" s="219"/>
      <c r="BMR254" s="219"/>
      <c r="BMS254" s="219"/>
      <c r="BMT254" s="219"/>
      <c r="BMU254" s="219"/>
      <c r="BMV254" s="219"/>
      <c r="BMW254" s="219"/>
      <c r="BMX254" s="219"/>
      <c r="BMY254" s="219"/>
      <c r="BMZ254" s="219"/>
      <c r="BNA254" s="219"/>
      <c r="BNB254" s="219"/>
      <c r="BNC254" s="219"/>
      <c r="BND254" s="219"/>
      <c r="BNE254" s="219"/>
      <c r="BNF254" s="219"/>
      <c r="BNG254" s="219"/>
      <c r="BNH254" s="219"/>
      <c r="BNI254" s="219"/>
      <c r="BNJ254" s="219"/>
      <c r="BNK254" s="219"/>
      <c r="BNL254" s="219"/>
      <c r="BNM254" s="219"/>
      <c r="BNN254" s="219"/>
      <c r="BNO254" s="219"/>
      <c r="BNP254" s="219"/>
      <c r="BNQ254" s="219"/>
      <c r="BNR254" s="219"/>
      <c r="BNS254" s="219"/>
      <c r="BNT254" s="219"/>
      <c r="BNU254" s="219"/>
      <c r="BNV254" s="219"/>
      <c r="BNW254" s="219"/>
      <c r="BNX254" s="219"/>
      <c r="BNY254" s="219"/>
      <c r="BNZ254" s="219"/>
      <c r="BOA254" s="219"/>
      <c r="BOB254" s="219"/>
      <c r="BOC254" s="219"/>
      <c r="BOD254" s="219"/>
      <c r="BOE254" s="219"/>
      <c r="BOF254" s="219"/>
      <c r="BOG254" s="219"/>
      <c r="BOH254" s="219"/>
      <c r="BOI254" s="219"/>
      <c r="BOJ254" s="219"/>
      <c r="BOK254" s="219"/>
      <c r="BOL254" s="219"/>
      <c r="BOM254" s="219"/>
      <c r="BON254" s="219"/>
      <c r="BOO254" s="219"/>
      <c r="BOP254" s="219"/>
      <c r="BOQ254" s="219"/>
      <c r="BOR254" s="219"/>
      <c r="BOS254" s="219"/>
      <c r="BOT254" s="219"/>
      <c r="BOU254" s="219"/>
      <c r="BOV254" s="219"/>
      <c r="BOW254" s="219"/>
      <c r="BOX254" s="219"/>
      <c r="BOY254" s="219"/>
      <c r="BOZ254" s="219"/>
      <c r="BPA254" s="219"/>
      <c r="BPB254" s="219"/>
      <c r="BPC254" s="219"/>
      <c r="BPD254" s="219"/>
      <c r="BPE254" s="219"/>
      <c r="BPF254" s="219"/>
      <c r="BPG254" s="219"/>
      <c r="BPH254" s="219"/>
      <c r="BPI254" s="219"/>
      <c r="BPJ254" s="219"/>
      <c r="BPK254" s="219"/>
      <c r="BPL254" s="219"/>
      <c r="BPM254" s="219"/>
      <c r="BPN254" s="219"/>
      <c r="BPO254" s="219"/>
      <c r="BPP254" s="219"/>
      <c r="BPQ254" s="219"/>
      <c r="BPR254" s="219"/>
      <c r="BPS254" s="219"/>
      <c r="BPT254" s="219"/>
      <c r="BPU254" s="219"/>
      <c r="BPV254" s="219"/>
      <c r="BPW254" s="219"/>
      <c r="BPX254" s="219"/>
      <c r="BPY254" s="219"/>
      <c r="BPZ254" s="219"/>
      <c r="BQA254" s="219"/>
      <c r="BQB254" s="219"/>
      <c r="BQC254" s="219"/>
      <c r="BQD254" s="219"/>
      <c r="BQE254" s="219"/>
      <c r="BQF254" s="219"/>
      <c r="BQG254" s="219"/>
      <c r="BQH254" s="219"/>
      <c r="BQI254" s="219"/>
      <c r="BQJ254" s="219"/>
      <c r="BQK254" s="219"/>
      <c r="BQL254" s="219"/>
      <c r="BQM254" s="219"/>
      <c r="BQN254" s="219"/>
      <c r="BQO254" s="219"/>
      <c r="BQP254" s="219"/>
      <c r="BQQ254" s="219"/>
      <c r="BQR254" s="219"/>
      <c r="BQS254" s="219"/>
      <c r="BQT254" s="219"/>
      <c r="BQU254" s="219"/>
      <c r="BQV254" s="219"/>
      <c r="BQW254" s="219"/>
      <c r="BQX254" s="219"/>
      <c r="BQY254" s="219"/>
      <c r="BQZ254" s="219"/>
      <c r="BRA254" s="219"/>
      <c r="BRB254" s="219"/>
      <c r="BRC254" s="219"/>
      <c r="BRD254" s="219"/>
      <c r="BRE254" s="219"/>
      <c r="BRF254" s="219"/>
      <c r="BRG254" s="219"/>
      <c r="BRH254" s="219"/>
      <c r="BRI254" s="219"/>
      <c r="BRJ254" s="219"/>
      <c r="BRK254" s="219"/>
      <c r="BRL254" s="219"/>
      <c r="BRM254" s="219"/>
      <c r="BRN254" s="219"/>
      <c r="BRO254" s="219"/>
      <c r="BRP254" s="219"/>
      <c r="BRQ254" s="219"/>
      <c r="BRR254" s="219"/>
      <c r="BRS254" s="219"/>
      <c r="BRT254" s="219"/>
      <c r="BRU254" s="219"/>
      <c r="BRV254" s="219"/>
      <c r="BRW254" s="219"/>
      <c r="BRX254" s="219"/>
      <c r="BRY254" s="219"/>
      <c r="BRZ254" s="219"/>
      <c r="BSA254" s="219"/>
      <c r="BSB254" s="219"/>
      <c r="BSC254" s="219"/>
      <c r="BSD254" s="219"/>
      <c r="BSE254" s="219"/>
      <c r="BSF254" s="219"/>
      <c r="BSG254" s="219"/>
      <c r="BSH254" s="219"/>
      <c r="BSI254" s="219"/>
      <c r="BSJ254" s="219"/>
      <c r="BSK254" s="219"/>
      <c r="BSL254" s="219"/>
      <c r="BSM254" s="219"/>
      <c r="BSN254" s="219"/>
      <c r="BSO254" s="219"/>
      <c r="BSP254" s="219"/>
      <c r="BSQ254" s="219"/>
      <c r="BSR254" s="219"/>
      <c r="BSS254" s="219"/>
      <c r="BST254" s="219"/>
      <c r="BSU254" s="219"/>
      <c r="BSV254" s="219"/>
      <c r="BSW254" s="219"/>
      <c r="BSX254" s="219"/>
      <c r="BSY254" s="219"/>
      <c r="BSZ254" s="219"/>
      <c r="BTA254" s="219"/>
      <c r="BTB254" s="219"/>
      <c r="BTC254" s="219"/>
      <c r="BTD254" s="219"/>
      <c r="BTE254" s="219"/>
      <c r="BTF254" s="219"/>
      <c r="BTG254" s="219"/>
      <c r="BTH254" s="219"/>
      <c r="BTI254" s="219"/>
      <c r="BTJ254" s="219"/>
      <c r="BTK254" s="219"/>
      <c r="BTL254" s="219"/>
      <c r="BTM254" s="219"/>
      <c r="BTN254" s="219"/>
      <c r="BTO254" s="219"/>
      <c r="BTP254" s="219"/>
      <c r="BTQ254" s="219"/>
      <c r="BTR254" s="219"/>
      <c r="BTS254" s="219"/>
      <c r="BTT254" s="219"/>
      <c r="BTU254" s="219"/>
      <c r="BTV254" s="219"/>
      <c r="BTW254" s="219"/>
      <c r="BTX254" s="219"/>
      <c r="BTY254" s="219"/>
      <c r="BTZ254" s="219"/>
      <c r="BUA254" s="219"/>
      <c r="BUB254" s="219"/>
      <c r="BUC254" s="219"/>
      <c r="BUD254" s="219"/>
      <c r="BUE254" s="219"/>
      <c r="BUF254" s="219"/>
      <c r="BUG254" s="219"/>
      <c r="BUH254" s="219"/>
      <c r="BUI254" s="219"/>
      <c r="BUJ254" s="219"/>
      <c r="BUK254" s="219"/>
      <c r="BUL254" s="219"/>
      <c r="BUM254" s="219"/>
      <c r="BUN254" s="219"/>
      <c r="BUO254" s="219"/>
      <c r="BUP254" s="219"/>
      <c r="BUQ254" s="219"/>
      <c r="BUR254" s="219"/>
      <c r="BUS254" s="219"/>
      <c r="BUT254" s="219"/>
      <c r="BUU254" s="219"/>
      <c r="BUV254" s="219"/>
      <c r="BUW254" s="219"/>
      <c r="BUX254" s="219"/>
      <c r="BUY254" s="219"/>
      <c r="BUZ254" s="219"/>
      <c r="BVA254" s="219"/>
      <c r="BVB254" s="219"/>
      <c r="BVC254" s="219"/>
      <c r="BVD254" s="219"/>
      <c r="BVE254" s="219"/>
      <c r="BVF254" s="219"/>
      <c r="BVG254" s="219"/>
      <c r="BVH254" s="219"/>
      <c r="BVI254" s="219"/>
      <c r="BVJ254" s="219"/>
      <c r="BVK254" s="219"/>
      <c r="BVL254" s="219"/>
      <c r="BVM254" s="219"/>
      <c r="BVN254" s="219"/>
      <c r="BVO254" s="219"/>
      <c r="BVP254" s="219"/>
      <c r="BVQ254" s="219"/>
      <c r="BVR254" s="219"/>
      <c r="BVS254" s="219"/>
      <c r="BVT254" s="219"/>
      <c r="BVU254" s="219"/>
      <c r="BVV254" s="219"/>
      <c r="BVW254" s="219"/>
      <c r="BVX254" s="219"/>
      <c r="BVY254" s="219"/>
      <c r="BVZ254" s="219"/>
      <c r="BWA254" s="219"/>
      <c r="BWB254" s="219"/>
      <c r="BWC254" s="219"/>
      <c r="BWD254" s="219"/>
      <c r="BWE254" s="219"/>
      <c r="BWF254" s="219"/>
      <c r="BWG254" s="219"/>
      <c r="BWH254" s="219"/>
      <c r="BWI254" s="219"/>
      <c r="BWJ254" s="219"/>
      <c r="BWK254" s="219"/>
      <c r="BWL254" s="219"/>
      <c r="BWM254" s="219"/>
      <c r="BWN254" s="219"/>
      <c r="BWO254" s="219"/>
      <c r="BWP254" s="219"/>
      <c r="BWQ254" s="219"/>
      <c r="BWR254" s="219"/>
      <c r="BWS254" s="219"/>
      <c r="BWT254" s="219"/>
      <c r="BWU254" s="219"/>
      <c r="BWV254" s="219"/>
      <c r="BWW254" s="219"/>
      <c r="BWX254" s="219"/>
      <c r="BWY254" s="219"/>
      <c r="BWZ254" s="219"/>
      <c r="BXA254" s="219"/>
      <c r="BXB254" s="219"/>
      <c r="BXC254" s="219"/>
      <c r="BXD254" s="219"/>
      <c r="BXE254" s="219"/>
      <c r="BXF254" s="219"/>
      <c r="BXG254" s="219"/>
      <c r="BXH254" s="219"/>
      <c r="BXI254" s="219"/>
      <c r="BXJ254" s="219"/>
      <c r="BXK254" s="219"/>
      <c r="BXL254" s="219"/>
      <c r="BXM254" s="219"/>
      <c r="BXN254" s="219"/>
      <c r="BXO254" s="219"/>
      <c r="BXP254" s="219"/>
      <c r="BXQ254" s="219"/>
      <c r="BXR254" s="219"/>
      <c r="BXS254" s="219"/>
      <c r="BXT254" s="219"/>
      <c r="BXU254" s="219"/>
      <c r="BXV254" s="219"/>
      <c r="BXW254" s="219"/>
      <c r="BXX254" s="219"/>
      <c r="BXY254" s="219"/>
      <c r="BXZ254" s="219"/>
      <c r="BYA254" s="219"/>
      <c r="BYB254" s="219"/>
      <c r="BYC254" s="219"/>
      <c r="BYD254" s="219"/>
      <c r="BYE254" s="219"/>
      <c r="BYF254" s="219"/>
      <c r="BYG254" s="219"/>
      <c r="BYH254" s="219"/>
      <c r="BYI254" s="219"/>
      <c r="BYJ254" s="219"/>
      <c r="BYK254" s="219"/>
      <c r="BYL254" s="219"/>
      <c r="BYM254" s="219"/>
      <c r="BYN254" s="219"/>
      <c r="BYO254" s="219"/>
      <c r="BYP254" s="219"/>
      <c r="BYQ254" s="219"/>
      <c r="BYR254" s="219"/>
      <c r="BYS254" s="219"/>
      <c r="BYT254" s="219"/>
      <c r="BYU254" s="219"/>
      <c r="BYV254" s="219"/>
      <c r="BYW254" s="219"/>
      <c r="BYX254" s="219"/>
      <c r="BYY254" s="219"/>
      <c r="BYZ254" s="219"/>
      <c r="BZA254" s="219"/>
      <c r="BZB254" s="219"/>
      <c r="BZC254" s="219"/>
      <c r="BZD254" s="219"/>
      <c r="BZE254" s="219"/>
      <c r="BZF254" s="219"/>
      <c r="BZG254" s="219"/>
      <c r="BZH254" s="219"/>
      <c r="BZI254" s="219"/>
      <c r="BZJ254" s="219"/>
      <c r="BZK254" s="219"/>
      <c r="BZL254" s="219"/>
      <c r="BZM254" s="219"/>
      <c r="BZN254" s="219"/>
      <c r="BZO254" s="219"/>
      <c r="BZP254" s="219"/>
      <c r="BZQ254" s="219"/>
      <c r="BZR254" s="219"/>
      <c r="BZS254" s="219"/>
      <c r="BZT254" s="219"/>
      <c r="BZU254" s="219"/>
      <c r="BZV254" s="219"/>
      <c r="BZW254" s="219"/>
      <c r="BZX254" s="219"/>
      <c r="BZY254" s="219"/>
      <c r="BZZ254" s="219"/>
      <c r="CAA254" s="219"/>
      <c r="CAB254" s="219"/>
      <c r="CAC254" s="219"/>
      <c r="CAD254" s="219"/>
      <c r="CAE254" s="219"/>
      <c r="CAF254" s="219"/>
      <c r="CAG254" s="219"/>
      <c r="CAH254" s="219"/>
      <c r="CAI254" s="219"/>
      <c r="CAJ254" s="219"/>
      <c r="CAK254" s="219"/>
      <c r="CAL254" s="219"/>
      <c r="CAM254" s="219"/>
      <c r="CAN254" s="219"/>
      <c r="CAO254" s="219"/>
      <c r="CAP254" s="219"/>
      <c r="CAQ254" s="219"/>
      <c r="CAR254" s="219"/>
      <c r="CAS254" s="219"/>
      <c r="CAT254" s="219"/>
      <c r="CAU254" s="219"/>
      <c r="CAV254" s="219"/>
      <c r="CAW254" s="219"/>
      <c r="CAX254" s="219"/>
      <c r="CAY254" s="219"/>
      <c r="CAZ254" s="219"/>
      <c r="CBA254" s="219"/>
      <c r="CBB254" s="219"/>
      <c r="CBC254" s="219"/>
      <c r="CBD254" s="219"/>
      <c r="CBE254" s="219"/>
      <c r="CBF254" s="219"/>
      <c r="CBG254" s="219"/>
      <c r="CBH254" s="219"/>
      <c r="CBI254" s="219"/>
      <c r="CBJ254" s="219"/>
      <c r="CBK254" s="219"/>
      <c r="CBL254" s="219"/>
      <c r="CBM254" s="219"/>
      <c r="CBN254" s="219"/>
      <c r="CBO254" s="219"/>
      <c r="CBP254" s="219"/>
      <c r="CBQ254" s="219"/>
      <c r="CBR254" s="219"/>
      <c r="CBS254" s="219"/>
      <c r="CBT254" s="219"/>
      <c r="CBU254" s="219"/>
      <c r="CBV254" s="219"/>
      <c r="CBW254" s="219"/>
      <c r="CBX254" s="219"/>
      <c r="CBY254" s="219"/>
      <c r="CBZ254" s="219"/>
      <c r="CCA254" s="219"/>
      <c r="CCB254" s="219"/>
      <c r="CCC254" s="219"/>
      <c r="CCD254" s="219"/>
      <c r="CCE254" s="219"/>
      <c r="CCF254" s="219"/>
      <c r="CCG254" s="219"/>
      <c r="CCH254" s="219"/>
      <c r="CCI254" s="219"/>
      <c r="CCJ254" s="219"/>
      <c r="CCK254" s="219"/>
      <c r="CCL254" s="219"/>
      <c r="CCM254" s="219"/>
      <c r="CCN254" s="219"/>
      <c r="CCO254" s="219"/>
      <c r="CCP254" s="219"/>
      <c r="CCQ254" s="219"/>
      <c r="CCR254" s="219"/>
      <c r="CCS254" s="219"/>
      <c r="CCT254" s="219"/>
      <c r="CCU254" s="219"/>
      <c r="CCV254" s="219"/>
      <c r="CCW254" s="219"/>
      <c r="CCX254" s="219"/>
      <c r="CCY254" s="219"/>
      <c r="CCZ254" s="219"/>
      <c r="CDA254" s="219"/>
      <c r="CDB254" s="219"/>
      <c r="CDC254" s="219"/>
      <c r="CDD254" s="219"/>
      <c r="CDE254" s="219"/>
      <c r="CDF254" s="219"/>
      <c r="CDG254" s="219"/>
      <c r="CDH254" s="219"/>
      <c r="CDI254" s="219"/>
      <c r="CDJ254" s="219"/>
      <c r="CDK254" s="219"/>
      <c r="CDL254" s="219"/>
      <c r="CDM254" s="219"/>
      <c r="CDN254" s="219"/>
      <c r="CDO254" s="219"/>
      <c r="CDP254" s="219"/>
      <c r="CDQ254" s="219"/>
      <c r="CDR254" s="219"/>
      <c r="CDS254" s="219"/>
      <c r="CDT254" s="219"/>
      <c r="CDU254" s="219"/>
      <c r="CDV254" s="219"/>
      <c r="CDW254" s="219"/>
      <c r="CDX254" s="219"/>
      <c r="CDY254" s="219"/>
      <c r="CDZ254" s="219"/>
      <c r="CEA254" s="219"/>
      <c r="CEB254" s="219"/>
      <c r="CEC254" s="219"/>
      <c r="CED254" s="219"/>
      <c r="CEE254" s="219"/>
      <c r="CEF254" s="219"/>
      <c r="CEG254" s="219"/>
      <c r="CEH254" s="219"/>
      <c r="CEI254" s="219"/>
      <c r="CEJ254" s="219"/>
      <c r="CEK254" s="219"/>
      <c r="CEL254" s="219"/>
      <c r="CEM254" s="219"/>
      <c r="CEN254" s="219"/>
      <c r="CEO254" s="219"/>
      <c r="CEP254" s="219"/>
      <c r="CEQ254" s="219"/>
      <c r="CER254" s="219"/>
      <c r="CES254" s="219"/>
      <c r="CET254" s="219"/>
      <c r="CEU254" s="219"/>
      <c r="CEV254" s="219"/>
      <c r="CEW254" s="219"/>
      <c r="CEX254" s="219"/>
      <c r="CEY254" s="219"/>
      <c r="CEZ254" s="219"/>
      <c r="CFA254" s="219"/>
      <c r="CFB254" s="219"/>
      <c r="CFC254" s="219"/>
      <c r="CFD254" s="219"/>
      <c r="CFE254" s="219"/>
      <c r="CFF254" s="219"/>
      <c r="CFG254" s="219"/>
      <c r="CFH254" s="219"/>
      <c r="CFI254" s="219"/>
      <c r="CFJ254" s="219"/>
      <c r="CFK254" s="219"/>
      <c r="CFL254" s="219"/>
      <c r="CFM254" s="219"/>
      <c r="CFN254" s="219"/>
      <c r="CFO254" s="219"/>
      <c r="CFP254" s="219"/>
      <c r="CFQ254" s="219"/>
      <c r="CFR254" s="219"/>
      <c r="CFS254" s="219"/>
      <c r="CFT254" s="219"/>
      <c r="CFU254" s="219"/>
      <c r="CFV254" s="219"/>
      <c r="CFW254" s="219"/>
      <c r="CFX254" s="219"/>
      <c r="CFY254" s="219"/>
      <c r="CFZ254" s="219"/>
      <c r="CGA254" s="219"/>
      <c r="CGB254" s="219"/>
      <c r="CGC254" s="219"/>
      <c r="CGD254" s="219"/>
      <c r="CGE254" s="219"/>
      <c r="CGF254" s="219"/>
      <c r="CGG254" s="219"/>
      <c r="CGH254" s="219"/>
      <c r="CGI254" s="219"/>
      <c r="CGJ254" s="219"/>
      <c r="CGK254" s="219"/>
      <c r="CGL254" s="219"/>
      <c r="CGM254" s="219"/>
      <c r="CGN254" s="219"/>
      <c r="CGO254" s="219"/>
      <c r="CGP254" s="219"/>
      <c r="CGQ254" s="219"/>
      <c r="CGR254" s="219"/>
      <c r="CGS254" s="219"/>
      <c r="CGT254" s="219"/>
      <c r="CGU254" s="219"/>
      <c r="CGV254" s="219"/>
      <c r="CGW254" s="219"/>
      <c r="CGX254" s="219"/>
      <c r="CGY254" s="219"/>
      <c r="CGZ254" s="219"/>
      <c r="CHA254" s="219"/>
      <c r="CHB254" s="219"/>
      <c r="CHC254" s="219"/>
      <c r="CHD254" s="219"/>
      <c r="CHE254" s="219"/>
      <c r="CHF254" s="219"/>
      <c r="CHG254" s="219"/>
      <c r="CHH254" s="219"/>
      <c r="CHI254" s="219"/>
      <c r="CHJ254" s="219"/>
      <c r="CHK254" s="219"/>
      <c r="CHL254" s="219"/>
      <c r="CHM254" s="219"/>
      <c r="CHN254" s="219"/>
      <c r="CHO254" s="219"/>
      <c r="CHP254" s="219"/>
      <c r="CHQ254" s="219"/>
      <c r="CHR254" s="219"/>
      <c r="CHS254" s="219"/>
      <c r="CHT254" s="219"/>
      <c r="CHU254" s="219"/>
      <c r="CHV254" s="219"/>
      <c r="CHW254" s="219"/>
      <c r="CHX254" s="219"/>
      <c r="CHY254" s="219"/>
      <c r="CHZ254" s="219"/>
      <c r="CIA254" s="219"/>
      <c r="CIB254" s="219"/>
      <c r="CIC254" s="219"/>
      <c r="CID254" s="219"/>
      <c r="CIE254" s="219"/>
      <c r="CIF254" s="219"/>
      <c r="CIG254" s="219"/>
      <c r="CIH254" s="219"/>
      <c r="CII254" s="219"/>
      <c r="CIJ254" s="219"/>
      <c r="CIK254" s="219"/>
      <c r="CIL254" s="219"/>
      <c r="CIM254" s="219"/>
      <c r="CIN254" s="219"/>
      <c r="CIO254" s="219"/>
      <c r="CIP254" s="219"/>
      <c r="CIQ254" s="219"/>
      <c r="CIR254" s="219"/>
      <c r="CIS254" s="219"/>
      <c r="CIT254" s="219"/>
      <c r="CIU254" s="219"/>
      <c r="CIV254" s="219"/>
      <c r="CIW254" s="219"/>
      <c r="CIX254" s="219"/>
      <c r="CIY254" s="219"/>
      <c r="CIZ254" s="219"/>
      <c r="CJA254" s="219"/>
      <c r="CJB254" s="219"/>
      <c r="CJC254" s="219"/>
      <c r="CJD254" s="219"/>
      <c r="CJE254" s="219"/>
      <c r="CJF254" s="219"/>
      <c r="CJG254" s="219"/>
      <c r="CJH254" s="219"/>
      <c r="CJI254" s="219"/>
      <c r="CJJ254" s="219"/>
      <c r="CJK254" s="219"/>
      <c r="CJL254" s="219"/>
      <c r="CJM254" s="219"/>
      <c r="CJN254" s="219"/>
      <c r="CJO254" s="219"/>
      <c r="CJP254" s="219"/>
      <c r="CJQ254" s="219"/>
      <c r="CJR254" s="219"/>
      <c r="CJS254" s="219"/>
      <c r="CJT254" s="219"/>
      <c r="CJU254" s="219"/>
      <c r="CJV254" s="219"/>
      <c r="CJW254" s="219"/>
      <c r="CJX254" s="219"/>
      <c r="CJY254" s="219"/>
      <c r="CJZ254" s="219"/>
      <c r="CKA254" s="219"/>
      <c r="CKB254" s="219"/>
      <c r="CKC254" s="219"/>
      <c r="CKD254" s="219"/>
      <c r="CKE254" s="219"/>
      <c r="CKF254" s="219"/>
      <c r="CKG254" s="219"/>
      <c r="CKH254" s="219"/>
      <c r="CKI254" s="219"/>
      <c r="CKJ254" s="219"/>
      <c r="CKK254" s="219"/>
      <c r="CKL254" s="219"/>
      <c r="CKM254" s="219"/>
      <c r="CKN254" s="219"/>
      <c r="CKO254" s="219"/>
      <c r="CKP254" s="219"/>
      <c r="CKQ254" s="219"/>
      <c r="CKR254" s="219"/>
      <c r="CKS254" s="219"/>
      <c r="CKT254" s="219"/>
      <c r="CKU254" s="219"/>
      <c r="CKV254" s="219"/>
      <c r="CKW254" s="219"/>
      <c r="CKX254" s="219"/>
      <c r="CKY254" s="219"/>
      <c r="CKZ254" s="219"/>
      <c r="CLA254" s="219"/>
      <c r="CLB254" s="219"/>
      <c r="CLC254" s="219"/>
      <c r="CLD254" s="219"/>
      <c r="CLE254" s="219"/>
      <c r="CLF254" s="219"/>
      <c r="CLG254" s="219"/>
      <c r="CLH254" s="219"/>
      <c r="CLI254" s="219"/>
      <c r="CLJ254" s="219"/>
      <c r="CLK254" s="219"/>
      <c r="CLL254" s="219"/>
      <c r="CLM254" s="219"/>
      <c r="CLN254" s="219"/>
      <c r="CLO254" s="219"/>
      <c r="CLP254" s="219"/>
      <c r="CLQ254" s="219"/>
      <c r="CLR254" s="219"/>
      <c r="CLS254" s="219"/>
      <c r="CLT254" s="219"/>
      <c r="CLU254" s="219"/>
      <c r="CLV254" s="219"/>
      <c r="CLW254" s="219"/>
      <c r="CLX254" s="219"/>
      <c r="CLY254" s="219"/>
      <c r="CLZ254" s="219"/>
      <c r="CMA254" s="219"/>
      <c r="CMB254" s="219"/>
      <c r="CMC254" s="219"/>
      <c r="CMD254" s="219"/>
      <c r="CME254" s="219"/>
      <c r="CMF254" s="219"/>
      <c r="CMG254" s="219"/>
      <c r="CMH254" s="219"/>
      <c r="CMI254" s="219"/>
      <c r="CMJ254" s="219"/>
      <c r="CMK254" s="219"/>
      <c r="CML254" s="219"/>
      <c r="CMM254" s="219"/>
      <c r="CMN254" s="219"/>
      <c r="CMO254" s="219"/>
      <c r="CMP254" s="219"/>
      <c r="CMQ254" s="219"/>
      <c r="CMR254" s="219"/>
      <c r="CMS254" s="219"/>
      <c r="CMT254" s="219"/>
      <c r="CMU254" s="219"/>
      <c r="CMV254" s="219"/>
      <c r="CMW254" s="219"/>
      <c r="CMX254" s="219"/>
      <c r="CMY254" s="219"/>
      <c r="CMZ254" s="219"/>
      <c r="CNA254" s="219"/>
      <c r="CNB254" s="219"/>
      <c r="CNC254" s="219"/>
      <c r="CND254" s="219"/>
      <c r="CNE254" s="219"/>
      <c r="CNF254" s="219"/>
      <c r="CNG254" s="219"/>
      <c r="CNH254" s="219"/>
      <c r="CNI254" s="219"/>
      <c r="CNJ254" s="219"/>
      <c r="CNK254" s="219"/>
      <c r="CNL254" s="219"/>
      <c r="CNM254" s="219"/>
      <c r="CNN254" s="219"/>
      <c r="CNO254" s="219"/>
      <c r="CNP254" s="219"/>
      <c r="CNQ254" s="219"/>
      <c r="CNR254" s="219"/>
      <c r="CNS254" s="219"/>
      <c r="CNT254" s="219"/>
      <c r="CNU254" s="219"/>
      <c r="CNV254" s="219"/>
      <c r="CNW254" s="219"/>
      <c r="CNX254" s="219"/>
      <c r="CNY254" s="219"/>
      <c r="CNZ254" s="219"/>
      <c r="COA254" s="219"/>
      <c r="COB254" s="219"/>
      <c r="COC254" s="219"/>
      <c r="COD254" s="219"/>
      <c r="COE254" s="219"/>
      <c r="COF254" s="219"/>
      <c r="COG254" s="219"/>
      <c r="COH254" s="219"/>
      <c r="COI254" s="219"/>
      <c r="COJ254" s="219"/>
      <c r="COK254" s="219"/>
      <c r="COL254" s="219"/>
      <c r="COM254" s="219"/>
      <c r="CON254" s="219"/>
      <c r="COO254" s="219"/>
      <c r="COP254" s="219"/>
      <c r="COQ254" s="219"/>
      <c r="COR254" s="219"/>
      <c r="COS254" s="219"/>
      <c r="COT254" s="219"/>
      <c r="COU254" s="219"/>
      <c r="COV254" s="219"/>
      <c r="COW254" s="219"/>
      <c r="COX254" s="219"/>
      <c r="COY254" s="219"/>
      <c r="COZ254" s="219"/>
      <c r="CPA254" s="219"/>
      <c r="CPB254" s="219"/>
      <c r="CPC254" s="219"/>
      <c r="CPD254" s="219"/>
      <c r="CPE254" s="219"/>
      <c r="CPF254" s="219"/>
      <c r="CPG254" s="219"/>
      <c r="CPH254" s="219"/>
      <c r="CPI254" s="219"/>
      <c r="CPJ254" s="219"/>
      <c r="CPK254" s="219"/>
      <c r="CPL254" s="219"/>
      <c r="CPM254" s="219"/>
      <c r="CPN254" s="219"/>
      <c r="CPO254" s="219"/>
      <c r="CPP254" s="219"/>
      <c r="CPQ254" s="219"/>
      <c r="CPR254" s="219"/>
      <c r="CPS254" s="219"/>
      <c r="CPT254" s="219"/>
      <c r="CPU254" s="219"/>
      <c r="CPV254" s="219"/>
      <c r="CPW254" s="219"/>
      <c r="CPX254" s="219"/>
      <c r="CPY254" s="219"/>
      <c r="CPZ254" s="219"/>
      <c r="CQA254" s="219"/>
      <c r="CQB254" s="219"/>
      <c r="CQC254" s="219"/>
      <c r="CQD254" s="219"/>
      <c r="CQE254" s="219"/>
      <c r="CQF254" s="219"/>
      <c r="CQG254" s="219"/>
      <c r="CQH254" s="219"/>
      <c r="CQI254" s="219"/>
      <c r="CQJ254" s="219"/>
      <c r="CQK254" s="219"/>
      <c r="CQL254" s="219"/>
      <c r="CQM254" s="219"/>
      <c r="CQN254" s="219"/>
      <c r="CQO254" s="219"/>
      <c r="CQP254" s="219"/>
      <c r="CQQ254" s="219"/>
      <c r="CQR254" s="219"/>
      <c r="CQS254" s="219"/>
      <c r="CQT254" s="219"/>
      <c r="CQU254" s="219"/>
      <c r="CQV254" s="219"/>
      <c r="CQW254" s="219"/>
      <c r="CQX254" s="219"/>
      <c r="CQY254" s="219"/>
      <c r="CQZ254" s="219"/>
      <c r="CRA254" s="219"/>
      <c r="CRB254" s="219"/>
      <c r="CRC254" s="219"/>
      <c r="CRD254" s="219"/>
      <c r="CRE254" s="219"/>
      <c r="CRF254" s="219"/>
      <c r="CRG254" s="219"/>
      <c r="CRH254" s="219"/>
      <c r="CRI254" s="219"/>
      <c r="CRJ254" s="219"/>
      <c r="CRK254" s="219"/>
      <c r="CRL254" s="219"/>
      <c r="CRM254" s="219"/>
      <c r="CRN254" s="219"/>
      <c r="CRO254" s="219"/>
      <c r="CRP254" s="219"/>
      <c r="CRQ254" s="219"/>
      <c r="CRR254" s="219"/>
      <c r="CRS254" s="219"/>
      <c r="CRT254" s="219"/>
      <c r="CRU254" s="219"/>
      <c r="CRV254" s="219"/>
      <c r="CRW254" s="219"/>
      <c r="CRX254" s="219"/>
      <c r="CRY254" s="219"/>
      <c r="CRZ254" s="219"/>
      <c r="CSA254" s="219"/>
      <c r="CSB254" s="219"/>
      <c r="CSC254" s="219"/>
      <c r="CSD254" s="219"/>
      <c r="CSE254" s="219"/>
      <c r="CSF254" s="219"/>
      <c r="CSG254" s="219"/>
      <c r="CSH254" s="219"/>
      <c r="CSI254" s="219"/>
      <c r="CSJ254" s="219"/>
      <c r="CSK254" s="219"/>
      <c r="CSL254" s="219"/>
      <c r="CSM254" s="219"/>
      <c r="CSN254" s="219"/>
      <c r="CSO254" s="219"/>
      <c r="CSP254" s="219"/>
      <c r="CSQ254" s="219"/>
      <c r="CSR254" s="219"/>
      <c r="CSS254" s="219"/>
      <c r="CST254" s="219"/>
      <c r="CSU254" s="219"/>
      <c r="CSV254" s="219"/>
      <c r="CSW254" s="219"/>
      <c r="CSX254" s="219"/>
      <c r="CSY254" s="219"/>
      <c r="CSZ254" s="219"/>
      <c r="CTA254" s="219"/>
      <c r="CTB254" s="219"/>
      <c r="CTC254" s="219"/>
      <c r="CTD254" s="219"/>
      <c r="CTE254" s="219"/>
      <c r="CTF254" s="219"/>
      <c r="CTG254" s="219"/>
      <c r="CTH254" s="219"/>
      <c r="CTI254" s="219"/>
      <c r="CTJ254" s="219"/>
      <c r="CTK254" s="219"/>
      <c r="CTL254" s="219"/>
      <c r="CTM254" s="219"/>
      <c r="CTN254" s="219"/>
      <c r="CTO254" s="219"/>
      <c r="CTP254" s="219"/>
      <c r="CTQ254" s="219"/>
      <c r="CTR254" s="219"/>
      <c r="CTS254" s="219"/>
      <c r="CTT254" s="219"/>
      <c r="CTU254" s="219"/>
      <c r="CTV254" s="219"/>
      <c r="CTW254" s="219"/>
      <c r="CTX254" s="219"/>
      <c r="CTY254" s="219"/>
      <c r="CTZ254" s="219"/>
      <c r="CUA254" s="219"/>
      <c r="CUB254" s="219"/>
      <c r="CUC254" s="219"/>
      <c r="CUD254" s="219"/>
      <c r="CUE254" s="219"/>
      <c r="CUF254" s="219"/>
      <c r="CUG254" s="219"/>
      <c r="CUH254" s="219"/>
      <c r="CUI254" s="219"/>
      <c r="CUJ254" s="219"/>
      <c r="CUK254" s="219"/>
      <c r="CUL254" s="219"/>
      <c r="CUM254" s="219"/>
      <c r="CUN254" s="219"/>
      <c r="CUO254" s="219"/>
      <c r="CUP254" s="219"/>
      <c r="CUQ254" s="219"/>
      <c r="CUR254" s="219"/>
      <c r="CUS254" s="219"/>
      <c r="CUT254" s="219"/>
      <c r="CUU254" s="219"/>
      <c r="CUV254" s="219"/>
      <c r="CUW254" s="219"/>
      <c r="CUX254" s="219"/>
      <c r="CUY254" s="219"/>
      <c r="CUZ254" s="219"/>
      <c r="CVA254" s="219"/>
      <c r="CVB254" s="219"/>
      <c r="CVC254" s="219"/>
      <c r="CVD254" s="219"/>
      <c r="CVE254" s="219"/>
      <c r="CVF254" s="219"/>
      <c r="CVG254" s="219"/>
      <c r="CVH254" s="219"/>
      <c r="CVI254" s="219"/>
      <c r="CVJ254" s="219"/>
      <c r="CVK254" s="219"/>
      <c r="CVL254" s="219"/>
      <c r="CVM254" s="219"/>
      <c r="CVN254" s="219"/>
      <c r="CVO254" s="219"/>
      <c r="CVP254" s="219"/>
      <c r="CVQ254" s="219"/>
      <c r="CVR254" s="219"/>
      <c r="CVS254" s="219"/>
      <c r="CVT254" s="219"/>
      <c r="CVU254" s="219"/>
      <c r="CVV254" s="219"/>
      <c r="CVW254" s="219"/>
      <c r="CVX254" s="219"/>
      <c r="CVY254" s="219"/>
      <c r="CVZ254" s="219"/>
      <c r="CWA254" s="219"/>
      <c r="CWB254" s="219"/>
      <c r="CWC254" s="219"/>
      <c r="CWD254" s="219"/>
      <c r="CWE254" s="219"/>
      <c r="CWF254" s="219"/>
      <c r="CWG254" s="219"/>
      <c r="CWH254" s="219"/>
      <c r="CWI254" s="219"/>
      <c r="CWJ254" s="219"/>
      <c r="CWK254" s="219"/>
      <c r="CWL254" s="219"/>
      <c r="CWM254" s="219"/>
      <c r="CWN254" s="219"/>
      <c r="CWO254" s="219"/>
      <c r="CWP254" s="219"/>
      <c r="CWQ254" s="219"/>
      <c r="CWR254" s="219"/>
      <c r="CWS254" s="219"/>
      <c r="CWT254" s="219"/>
      <c r="CWU254" s="219"/>
      <c r="CWV254" s="219"/>
      <c r="CWW254" s="219"/>
      <c r="CWX254" s="219"/>
      <c r="CWY254" s="219"/>
      <c r="CWZ254" s="219"/>
      <c r="CXA254" s="219"/>
      <c r="CXB254" s="219"/>
      <c r="CXC254" s="219"/>
      <c r="CXD254" s="219"/>
      <c r="CXE254" s="219"/>
      <c r="CXF254" s="219"/>
      <c r="CXG254" s="219"/>
      <c r="CXH254" s="219"/>
      <c r="CXI254" s="219"/>
      <c r="CXJ254" s="219"/>
      <c r="CXK254" s="219"/>
      <c r="CXL254" s="219"/>
      <c r="CXM254" s="219"/>
      <c r="CXN254" s="219"/>
      <c r="CXO254" s="219"/>
      <c r="CXP254" s="219"/>
      <c r="CXQ254" s="219"/>
      <c r="CXR254" s="219"/>
      <c r="CXS254" s="219"/>
      <c r="CXT254" s="219"/>
      <c r="CXU254" s="219"/>
      <c r="CXV254" s="219"/>
      <c r="CXW254" s="219"/>
      <c r="CXX254" s="219"/>
      <c r="CXY254" s="219"/>
      <c r="CXZ254" s="219"/>
      <c r="CYA254" s="219"/>
      <c r="CYB254" s="219"/>
      <c r="CYC254" s="219"/>
      <c r="CYD254" s="219"/>
      <c r="CYE254" s="219"/>
      <c r="CYF254" s="219"/>
      <c r="CYG254" s="219"/>
      <c r="CYH254" s="219"/>
      <c r="CYI254" s="219"/>
      <c r="CYJ254" s="219"/>
      <c r="CYK254" s="219"/>
      <c r="CYL254" s="219"/>
      <c r="CYM254" s="219"/>
      <c r="CYN254" s="219"/>
      <c r="CYO254" s="219"/>
      <c r="CYP254" s="219"/>
      <c r="CYQ254" s="219"/>
      <c r="CYR254" s="219"/>
      <c r="CYS254" s="219"/>
      <c r="CYT254" s="219"/>
      <c r="CYU254" s="219"/>
      <c r="CYV254" s="219"/>
      <c r="CYW254" s="219"/>
      <c r="CYX254" s="219"/>
      <c r="CYY254" s="219"/>
      <c r="CYZ254" s="219"/>
      <c r="CZA254" s="219"/>
      <c r="CZB254" s="219"/>
      <c r="CZC254" s="219"/>
      <c r="CZD254" s="219"/>
      <c r="CZE254" s="219"/>
      <c r="CZF254" s="219"/>
      <c r="CZG254" s="219"/>
      <c r="CZH254" s="219"/>
      <c r="CZI254" s="219"/>
      <c r="CZJ254" s="219"/>
      <c r="CZK254" s="219"/>
      <c r="CZL254" s="219"/>
      <c r="CZM254" s="219"/>
      <c r="CZN254" s="219"/>
      <c r="CZO254" s="219"/>
      <c r="CZP254" s="219"/>
      <c r="CZQ254" s="219"/>
      <c r="CZR254" s="219"/>
      <c r="CZS254" s="219"/>
      <c r="CZT254" s="219"/>
      <c r="CZU254" s="219"/>
      <c r="CZV254" s="219"/>
      <c r="CZW254" s="219"/>
      <c r="CZX254" s="219"/>
      <c r="CZY254" s="219"/>
      <c r="CZZ254" s="219"/>
      <c r="DAA254" s="219"/>
      <c r="DAB254" s="219"/>
      <c r="DAC254" s="219"/>
      <c r="DAD254" s="219"/>
      <c r="DAE254" s="219"/>
      <c r="DAF254" s="219"/>
      <c r="DAG254" s="219"/>
      <c r="DAH254" s="219"/>
      <c r="DAI254" s="219"/>
      <c r="DAJ254" s="219"/>
      <c r="DAK254" s="219"/>
      <c r="DAL254" s="219"/>
      <c r="DAM254" s="219"/>
      <c r="DAN254" s="219"/>
      <c r="DAO254" s="219"/>
      <c r="DAP254" s="219"/>
      <c r="DAQ254" s="219"/>
      <c r="DAR254" s="219"/>
      <c r="DAS254" s="219"/>
      <c r="DAT254" s="219"/>
      <c r="DAU254" s="219"/>
      <c r="DAV254" s="219"/>
      <c r="DAW254" s="219"/>
      <c r="DAX254" s="219"/>
      <c r="DAY254" s="219"/>
      <c r="DAZ254" s="219"/>
      <c r="DBA254" s="219"/>
      <c r="DBB254" s="219"/>
      <c r="DBC254" s="219"/>
      <c r="DBD254" s="219"/>
      <c r="DBE254" s="219"/>
      <c r="DBF254" s="219"/>
      <c r="DBG254" s="219"/>
      <c r="DBH254" s="219"/>
      <c r="DBI254" s="219"/>
      <c r="DBJ254" s="219"/>
      <c r="DBK254" s="219"/>
      <c r="DBL254" s="219"/>
      <c r="DBM254" s="219"/>
      <c r="DBN254" s="219"/>
      <c r="DBO254" s="219"/>
      <c r="DBP254" s="219"/>
      <c r="DBQ254" s="219"/>
      <c r="DBR254" s="219"/>
      <c r="DBS254" s="219"/>
      <c r="DBT254" s="219"/>
      <c r="DBU254" s="219"/>
      <c r="DBV254" s="219"/>
      <c r="DBW254" s="219"/>
      <c r="DBX254" s="219"/>
      <c r="DBY254" s="219"/>
      <c r="DBZ254" s="219"/>
      <c r="DCA254" s="219"/>
      <c r="DCB254" s="219"/>
      <c r="DCC254" s="219"/>
      <c r="DCD254" s="219"/>
      <c r="DCE254" s="219"/>
      <c r="DCF254" s="219"/>
      <c r="DCG254" s="219"/>
      <c r="DCH254" s="219"/>
      <c r="DCI254" s="219"/>
      <c r="DCJ254" s="219"/>
      <c r="DCK254" s="219"/>
      <c r="DCL254" s="219"/>
      <c r="DCM254" s="219"/>
      <c r="DCN254" s="219"/>
      <c r="DCO254" s="219"/>
      <c r="DCP254" s="219"/>
      <c r="DCQ254" s="219"/>
      <c r="DCR254" s="219"/>
      <c r="DCS254" s="219"/>
      <c r="DCT254" s="219"/>
      <c r="DCU254" s="219"/>
      <c r="DCV254" s="219"/>
      <c r="DCW254" s="219"/>
      <c r="DCX254" s="219"/>
      <c r="DCY254" s="219"/>
      <c r="DCZ254" s="219"/>
      <c r="DDA254" s="219"/>
      <c r="DDB254" s="219"/>
      <c r="DDC254" s="219"/>
      <c r="DDD254" s="219"/>
      <c r="DDE254" s="219"/>
      <c r="DDF254" s="219"/>
      <c r="DDG254" s="219"/>
      <c r="DDH254" s="219"/>
      <c r="DDI254" s="219"/>
      <c r="DDJ254" s="219"/>
      <c r="DDK254" s="219"/>
      <c r="DDL254" s="219"/>
      <c r="DDM254" s="219"/>
      <c r="DDN254" s="219"/>
      <c r="DDO254" s="219"/>
      <c r="DDP254" s="219"/>
      <c r="DDQ254" s="219"/>
      <c r="DDR254" s="219"/>
      <c r="DDS254" s="219"/>
      <c r="DDT254" s="219"/>
      <c r="DDU254" s="219"/>
      <c r="DDV254" s="219"/>
      <c r="DDW254" s="219"/>
      <c r="DDX254" s="219"/>
      <c r="DDY254" s="219"/>
      <c r="DDZ254" s="219"/>
      <c r="DEA254" s="219"/>
      <c r="DEB254" s="219"/>
      <c r="DEC254" s="219"/>
      <c r="DED254" s="219"/>
      <c r="DEE254" s="219"/>
      <c r="DEF254" s="219"/>
      <c r="DEG254" s="219"/>
      <c r="DEH254" s="219"/>
      <c r="DEI254" s="219"/>
      <c r="DEJ254" s="219"/>
      <c r="DEK254" s="219"/>
      <c r="DEL254" s="219"/>
      <c r="DEM254" s="219"/>
      <c r="DEN254" s="219"/>
      <c r="DEO254" s="219"/>
      <c r="DEP254" s="219"/>
      <c r="DEQ254" s="219"/>
      <c r="DER254" s="219"/>
      <c r="DES254" s="219"/>
      <c r="DET254" s="219"/>
      <c r="DEU254" s="219"/>
      <c r="DEV254" s="219"/>
      <c r="DEW254" s="219"/>
      <c r="DEX254" s="219"/>
      <c r="DEY254" s="219"/>
      <c r="DEZ254" s="219"/>
      <c r="DFA254" s="219"/>
      <c r="DFB254" s="219"/>
      <c r="DFC254" s="219"/>
      <c r="DFD254" s="219"/>
      <c r="DFE254" s="219"/>
      <c r="DFF254" s="219"/>
      <c r="DFG254" s="219"/>
      <c r="DFH254" s="219"/>
      <c r="DFI254" s="219"/>
      <c r="DFJ254" s="219"/>
      <c r="DFK254" s="219"/>
      <c r="DFL254" s="219"/>
      <c r="DFM254" s="219"/>
      <c r="DFN254" s="219"/>
      <c r="DFO254" s="219"/>
      <c r="DFP254" s="219"/>
      <c r="DFQ254" s="219"/>
      <c r="DFR254" s="219"/>
      <c r="DFS254" s="219"/>
      <c r="DFT254" s="219"/>
      <c r="DFU254" s="219"/>
      <c r="DFV254" s="219"/>
      <c r="DFW254" s="219"/>
      <c r="DFX254" s="219"/>
      <c r="DFY254" s="219"/>
      <c r="DFZ254" s="219"/>
      <c r="DGA254" s="219"/>
      <c r="DGB254" s="219"/>
      <c r="DGC254" s="219"/>
      <c r="DGD254" s="219"/>
      <c r="DGE254" s="219"/>
      <c r="DGF254" s="219"/>
      <c r="DGG254" s="219"/>
      <c r="DGH254" s="219"/>
      <c r="DGI254" s="219"/>
      <c r="DGJ254" s="219"/>
      <c r="DGK254" s="219"/>
      <c r="DGL254" s="219"/>
      <c r="DGM254" s="219"/>
      <c r="DGN254" s="219"/>
      <c r="DGO254" s="219"/>
      <c r="DGP254" s="219"/>
      <c r="DGQ254" s="219"/>
      <c r="DGR254" s="219"/>
      <c r="DGS254" s="219"/>
      <c r="DGT254" s="219"/>
      <c r="DGU254" s="219"/>
      <c r="DGV254" s="219"/>
      <c r="DGW254" s="219"/>
      <c r="DGX254" s="219"/>
      <c r="DGY254" s="219"/>
      <c r="DGZ254" s="219"/>
      <c r="DHA254" s="219"/>
      <c r="DHB254" s="219"/>
      <c r="DHC254" s="219"/>
      <c r="DHD254" s="219"/>
      <c r="DHE254" s="219"/>
      <c r="DHF254" s="219"/>
      <c r="DHG254" s="219"/>
      <c r="DHH254" s="219"/>
      <c r="DHI254" s="219"/>
      <c r="DHJ254" s="219"/>
      <c r="DHK254" s="219"/>
      <c r="DHL254" s="219"/>
      <c r="DHM254" s="219"/>
      <c r="DHN254" s="219"/>
      <c r="DHO254" s="219"/>
      <c r="DHP254" s="219"/>
      <c r="DHQ254" s="219"/>
      <c r="DHR254" s="219"/>
      <c r="DHS254" s="219"/>
      <c r="DHT254" s="219"/>
      <c r="DHU254" s="219"/>
      <c r="DHV254" s="219"/>
      <c r="DHW254" s="219"/>
      <c r="DHX254" s="219"/>
      <c r="DHY254" s="219"/>
      <c r="DHZ254" s="219"/>
      <c r="DIA254" s="219"/>
      <c r="DIB254" s="219"/>
      <c r="DIC254" s="219"/>
      <c r="DID254" s="219"/>
      <c r="DIE254" s="219"/>
      <c r="DIF254" s="219"/>
      <c r="DIG254" s="219"/>
      <c r="DIH254" s="219"/>
      <c r="DII254" s="219"/>
      <c r="DIJ254" s="219"/>
      <c r="DIK254" s="219"/>
      <c r="DIL254" s="219"/>
      <c r="DIM254" s="219"/>
      <c r="DIN254" s="219"/>
      <c r="DIO254" s="219"/>
      <c r="DIP254" s="219"/>
      <c r="DIQ254" s="219"/>
      <c r="DIR254" s="219"/>
      <c r="DIS254" s="219"/>
      <c r="DIT254" s="219"/>
      <c r="DIU254" s="219"/>
      <c r="DIV254" s="219"/>
      <c r="DIW254" s="219"/>
      <c r="DIX254" s="219"/>
      <c r="DIY254" s="219"/>
      <c r="DIZ254" s="219"/>
      <c r="DJA254" s="219"/>
      <c r="DJB254" s="219"/>
      <c r="DJC254" s="219"/>
      <c r="DJD254" s="219"/>
      <c r="DJE254" s="219"/>
      <c r="DJF254" s="219"/>
      <c r="DJG254" s="219"/>
      <c r="DJH254" s="219"/>
      <c r="DJI254" s="219"/>
      <c r="DJJ254" s="219"/>
      <c r="DJK254" s="219"/>
      <c r="DJL254" s="219"/>
      <c r="DJM254" s="219"/>
      <c r="DJN254" s="219"/>
      <c r="DJO254" s="219"/>
      <c r="DJP254" s="219"/>
      <c r="DJQ254" s="219"/>
      <c r="DJR254" s="219"/>
      <c r="DJS254" s="219"/>
      <c r="DJT254" s="219"/>
      <c r="DJU254" s="219"/>
      <c r="DJV254" s="219"/>
      <c r="DJW254" s="219"/>
      <c r="DJX254" s="219"/>
      <c r="DJY254" s="219"/>
      <c r="DJZ254" s="219"/>
      <c r="DKA254" s="219"/>
      <c r="DKB254" s="219"/>
      <c r="DKC254" s="219"/>
      <c r="DKD254" s="219"/>
      <c r="DKE254" s="219"/>
      <c r="DKF254" s="219"/>
      <c r="DKG254" s="219"/>
      <c r="DKH254" s="219"/>
      <c r="DKI254" s="219"/>
      <c r="DKJ254" s="219"/>
      <c r="DKK254" s="219"/>
      <c r="DKL254" s="219"/>
      <c r="DKM254" s="219"/>
      <c r="DKN254" s="219"/>
      <c r="DKO254" s="219"/>
      <c r="DKP254" s="219"/>
      <c r="DKQ254" s="219"/>
      <c r="DKR254" s="219"/>
      <c r="DKS254" s="219"/>
      <c r="DKT254" s="219"/>
      <c r="DKU254" s="219"/>
      <c r="DKV254" s="219"/>
      <c r="DKW254" s="219"/>
      <c r="DKX254" s="219"/>
      <c r="DKY254" s="219"/>
      <c r="DKZ254" s="219"/>
      <c r="DLA254" s="219"/>
      <c r="DLB254" s="219"/>
      <c r="DLC254" s="219"/>
      <c r="DLD254" s="219"/>
      <c r="DLE254" s="219"/>
      <c r="DLF254" s="219"/>
      <c r="DLG254" s="219"/>
      <c r="DLH254" s="219"/>
      <c r="DLI254" s="219"/>
      <c r="DLJ254" s="219"/>
      <c r="DLK254" s="219"/>
      <c r="DLL254" s="219"/>
      <c r="DLM254" s="219"/>
      <c r="DLN254" s="219"/>
      <c r="DLO254" s="219"/>
      <c r="DLP254" s="219"/>
      <c r="DLQ254" s="219"/>
      <c r="DLR254" s="219"/>
      <c r="DLS254" s="219"/>
      <c r="DLT254" s="219"/>
      <c r="DLU254" s="219"/>
      <c r="DLV254" s="219"/>
      <c r="DLW254" s="219"/>
      <c r="DLX254" s="219"/>
      <c r="DLY254" s="219"/>
      <c r="DLZ254" s="219"/>
      <c r="DMA254" s="219"/>
      <c r="DMB254" s="219"/>
      <c r="DMC254" s="219"/>
      <c r="DMD254" s="219"/>
      <c r="DME254" s="219"/>
      <c r="DMF254" s="219"/>
      <c r="DMG254" s="219"/>
      <c r="DMH254" s="219"/>
      <c r="DMI254" s="219"/>
      <c r="DMJ254" s="219"/>
      <c r="DMK254" s="219"/>
      <c r="DML254" s="219"/>
      <c r="DMM254" s="219"/>
      <c r="DMN254" s="219"/>
      <c r="DMO254" s="219"/>
      <c r="DMP254" s="219"/>
      <c r="DMQ254" s="219"/>
      <c r="DMR254" s="219"/>
      <c r="DMS254" s="219"/>
      <c r="DMT254" s="219"/>
      <c r="DMU254" s="219"/>
      <c r="DMV254" s="219"/>
      <c r="DMW254" s="219"/>
      <c r="DMX254" s="219"/>
      <c r="DMY254" s="219"/>
      <c r="DMZ254" s="219"/>
      <c r="DNA254" s="219"/>
      <c r="DNB254" s="219"/>
      <c r="DNC254" s="219"/>
      <c r="DND254" s="219"/>
      <c r="DNE254" s="219"/>
      <c r="DNF254" s="219"/>
      <c r="DNG254" s="219"/>
      <c r="DNH254" s="219"/>
      <c r="DNI254" s="219"/>
      <c r="DNJ254" s="219"/>
      <c r="DNK254" s="219"/>
      <c r="DNL254" s="219"/>
      <c r="DNM254" s="219"/>
      <c r="DNN254" s="219"/>
      <c r="DNO254" s="219"/>
      <c r="DNP254" s="219"/>
      <c r="DNQ254" s="219"/>
      <c r="DNR254" s="219"/>
      <c r="DNS254" s="219"/>
      <c r="DNT254" s="219"/>
      <c r="DNU254" s="219"/>
      <c r="DNV254" s="219"/>
      <c r="DNW254" s="219"/>
      <c r="DNX254" s="219"/>
      <c r="DNY254" s="219"/>
      <c r="DNZ254" s="219"/>
      <c r="DOA254" s="219"/>
      <c r="DOB254" s="219"/>
      <c r="DOC254" s="219"/>
      <c r="DOD254" s="219"/>
      <c r="DOE254" s="219"/>
      <c r="DOF254" s="219"/>
      <c r="DOG254" s="219"/>
      <c r="DOH254" s="219"/>
      <c r="DOI254" s="219"/>
      <c r="DOJ254" s="219"/>
      <c r="DOK254" s="219"/>
      <c r="DOL254" s="219"/>
      <c r="DOM254" s="219"/>
      <c r="DON254" s="219"/>
      <c r="DOO254" s="219"/>
      <c r="DOP254" s="219"/>
      <c r="DOQ254" s="219"/>
      <c r="DOR254" s="219"/>
      <c r="DOS254" s="219"/>
      <c r="DOT254" s="219"/>
      <c r="DOU254" s="219"/>
      <c r="DOV254" s="219"/>
      <c r="DOW254" s="219"/>
      <c r="DOX254" s="219"/>
      <c r="DOY254" s="219"/>
      <c r="DOZ254" s="219"/>
      <c r="DPA254" s="219"/>
      <c r="DPB254" s="219"/>
      <c r="DPC254" s="219"/>
      <c r="DPD254" s="219"/>
      <c r="DPE254" s="219"/>
      <c r="DPF254" s="219"/>
      <c r="DPG254" s="219"/>
      <c r="DPH254" s="219"/>
      <c r="DPI254" s="219"/>
      <c r="DPJ254" s="219"/>
      <c r="DPK254" s="219"/>
      <c r="DPL254" s="219"/>
      <c r="DPM254" s="219"/>
      <c r="DPN254" s="219"/>
      <c r="DPO254" s="219"/>
      <c r="DPP254" s="219"/>
      <c r="DPQ254" s="219"/>
      <c r="DPR254" s="219"/>
      <c r="DPS254" s="219"/>
      <c r="DPT254" s="219"/>
      <c r="DPU254" s="219"/>
      <c r="DPV254" s="219"/>
      <c r="DPW254" s="219"/>
      <c r="DPX254" s="219"/>
      <c r="DPY254" s="219"/>
      <c r="DPZ254" s="219"/>
      <c r="DQA254" s="219"/>
      <c r="DQB254" s="219"/>
      <c r="DQC254" s="219"/>
      <c r="DQD254" s="219"/>
      <c r="DQE254" s="219"/>
      <c r="DQF254" s="219"/>
      <c r="DQG254" s="219"/>
      <c r="DQH254" s="219"/>
      <c r="DQI254" s="219"/>
      <c r="DQJ254" s="219"/>
      <c r="DQK254" s="219"/>
      <c r="DQL254" s="219"/>
      <c r="DQM254" s="219"/>
      <c r="DQN254" s="219"/>
      <c r="DQO254" s="219"/>
      <c r="DQP254" s="219"/>
      <c r="DQQ254" s="219"/>
      <c r="DQR254" s="219"/>
      <c r="DQS254" s="219"/>
      <c r="DQT254" s="219"/>
      <c r="DQU254" s="219"/>
      <c r="DQV254" s="219"/>
      <c r="DQW254" s="219"/>
      <c r="DQX254" s="219"/>
      <c r="DQY254" s="219"/>
      <c r="DQZ254" s="219"/>
      <c r="DRA254" s="219"/>
      <c r="DRB254" s="219"/>
      <c r="DRC254" s="219"/>
      <c r="DRD254" s="219"/>
      <c r="DRE254" s="219"/>
      <c r="DRF254" s="219"/>
      <c r="DRG254" s="219"/>
      <c r="DRH254" s="219"/>
      <c r="DRI254" s="219"/>
      <c r="DRJ254" s="219"/>
      <c r="DRK254" s="219"/>
      <c r="DRL254" s="219"/>
      <c r="DRM254" s="219"/>
      <c r="DRN254" s="219"/>
      <c r="DRO254" s="219"/>
      <c r="DRP254" s="219"/>
      <c r="DRQ254" s="219"/>
      <c r="DRR254" s="219"/>
      <c r="DRS254" s="219"/>
      <c r="DRT254" s="219"/>
      <c r="DRU254" s="219"/>
      <c r="DRV254" s="219"/>
      <c r="DRW254" s="219"/>
      <c r="DRX254" s="219"/>
      <c r="DRY254" s="219"/>
      <c r="DRZ254" s="219"/>
      <c r="DSA254" s="219"/>
      <c r="DSB254" s="219"/>
      <c r="DSC254" s="219"/>
      <c r="DSD254" s="219"/>
      <c r="DSE254" s="219"/>
      <c r="DSF254" s="219"/>
      <c r="DSG254" s="219"/>
      <c r="DSH254" s="219"/>
      <c r="DSI254" s="219"/>
      <c r="DSJ254" s="219"/>
      <c r="DSK254" s="219"/>
      <c r="DSL254" s="219"/>
      <c r="DSM254" s="219"/>
      <c r="DSN254" s="219"/>
      <c r="DSO254" s="219"/>
      <c r="DSP254" s="219"/>
      <c r="DSQ254" s="219"/>
      <c r="DSR254" s="219"/>
      <c r="DSS254" s="219"/>
      <c r="DST254" s="219"/>
      <c r="DSU254" s="219"/>
      <c r="DSV254" s="219"/>
      <c r="DSW254" s="219"/>
      <c r="DSX254" s="219"/>
      <c r="DSY254" s="219"/>
      <c r="DSZ254" s="219"/>
      <c r="DTA254" s="219"/>
      <c r="DTB254" s="219"/>
      <c r="DTC254" s="219"/>
      <c r="DTD254" s="219"/>
      <c r="DTE254" s="219"/>
      <c r="DTF254" s="219"/>
      <c r="DTG254" s="219"/>
      <c r="DTH254" s="219"/>
      <c r="DTI254" s="219"/>
      <c r="DTJ254" s="219"/>
      <c r="DTK254" s="219"/>
      <c r="DTL254" s="219"/>
      <c r="DTM254" s="219"/>
      <c r="DTN254" s="219"/>
      <c r="DTO254" s="219"/>
      <c r="DTP254" s="219"/>
      <c r="DTQ254" s="219"/>
      <c r="DTR254" s="219"/>
      <c r="DTS254" s="219"/>
      <c r="DTT254" s="219"/>
      <c r="DTU254" s="219"/>
      <c r="DTV254" s="219"/>
      <c r="DTW254" s="219"/>
      <c r="DTX254" s="219"/>
      <c r="DTY254" s="219"/>
      <c r="DTZ254" s="219"/>
      <c r="DUA254" s="219"/>
      <c r="DUB254" s="219"/>
      <c r="DUC254" s="219"/>
      <c r="DUD254" s="219"/>
      <c r="DUE254" s="219"/>
      <c r="DUF254" s="219"/>
      <c r="DUG254" s="219"/>
      <c r="DUH254" s="219"/>
      <c r="DUI254" s="219"/>
      <c r="DUJ254" s="219"/>
      <c r="DUK254" s="219"/>
      <c r="DUL254" s="219"/>
      <c r="DUM254" s="219"/>
      <c r="DUN254" s="219"/>
      <c r="DUO254" s="219"/>
      <c r="DUP254" s="219"/>
      <c r="DUQ254" s="219"/>
      <c r="DUR254" s="219"/>
      <c r="DUS254" s="219"/>
      <c r="DUT254" s="219"/>
      <c r="DUU254" s="219"/>
      <c r="DUV254" s="219"/>
      <c r="DUW254" s="219"/>
      <c r="DUX254" s="219"/>
      <c r="DUY254" s="219"/>
      <c r="DUZ254" s="219"/>
      <c r="DVA254" s="219"/>
      <c r="DVB254" s="219"/>
      <c r="DVC254" s="219"/>
      <c r="DVD254" s="219"/>
      <c r="DVE254" s="219"/>
      <c r="DVF254" s="219"/>
      <c r="DVG254" s="219"/>
      <c r="DVH254" s="219"/>
      <c r="DVI254" s="219"/>
      <c r="DVJ254" s="219"/>
      <c r="DVK254" s="219"/>
      <c r="DVL254" s="219"/>
      <c r="DVM254" s="219"/>
      <c r="DVN254" s="219"/>
      <c r="DVO254" s="219"/>
      <c r="DVP254" s="219"/>
      <c r="DVQ254" s="219"/>
      <c r="DVR254" s="219"/>
      <c r="DVS254" s="219"/>
      <c r="DVT254" s="219"/>
      <c r="DVU254" s="219"/>
      <c r="DVV254" s="219"/>
      <c r="DVW254" s="219"/>
      <c r="DVX254" s="219"/>
      <c r="DVY254" s="219"/>
      <c r="DVZ254" s="219"/>
      <c r="DWA254" s="219"/>
      <c r="DWB254" s="219"/>
      <c r="DWC254" s="219"/>
      <c r="DWD254" s="219"/>
      <c r="DWE254" s="219"/>
      <c r="DWF254" s="219"/>
      <c r="DWG254" s="219"/>
      <c r="DWH254" s="219"/>
      <c r="DWI254" s="219"/>
      <c r="DWJ254" s="219"/>
      <c r="DWK254" s="219"/>
      <c r="DWL254" s="219"/>
      <c r="DWM254" s="219"/>
      <c r="DWN254" s="219"/>
      <c r="DWO254" s="219"/>
      <c r="DWP254" s="219"/>
      <c r="DWQ254" s="219"/>
      <c r="DWR254" s="219"/>
      <c r="DWS254" s="219"/>
      <c r="DWT254" s="219"/>
      <c r="DWU254" s="219"/>
      <c r="DWV254" s="219"/>
      <c r="DWW254" s="219"/>
      <c r="DWX254" s="219"/>
      <c r="DWY254" s="219"/>
      <c r="DWZ254" s="219"/>
      <c r="DXA254" s="219"/>
      <c r="DXB254" s="219"/>
      <c r="DXC254" s="219"/>
      <c r="DXD254" s="219"/>
      <c r="DXE254" s="219"/>
      <c r="DXF254" s="219"/>
      <c r="DXG254" s="219"/>
      <c r="DXH254" s="219"/>
      <c r="DXI254" s="219"/>
      <c r="DXJ254" s="219"/>
      <c r="DXK254" s="219"/>
      <c r="DXL254" s="219"/>
      <c r="DXM254" s="219"/>
      <c r="DXN254" s="219"/>
      <c r="DXO254" s="219"/>
      <c r="DXP254" s="219"/>
      <c r="DXQ254" s="219"/>
      <c r="DXR254" s="219"/>
      <c r="DXS254" s="219"/>
      <c r="DXT254" s="219"/>
      <c r="DXU254" s="219"/>
      <c r="DXV254" s="219"/>
      <c r="DXW254" s="219"/>
      <c r="DXX254" s="219"/>
      <c r="DXY254" s="219"/>
      <c r="DXZ254" s="219"/>
      <c r="DYA254" s="219"/>
      <c r="DYB254" s="219"/>
      <c r="DYC254" s="219"/>
      <c r="DYD254" s="219"/>
      <c r="DYE254" s="219"/>
      <c r="DYF254" s="219"/>
      <c r="DYG254" s="219"/>
      <c r="DYH254" s="219"/>
      <c r="DYI254" s="219"/>
      <c r="DYJ254" s="219"/>
      <c r="DYK254" s="219"/>
      <c r="DYL254" s="219"/>
      <c r="DYM254" s="219"/>
      <c r="DYN254" s="219"/>
      <c r="DYO254" s="219"/>
      <c r="DYP254" s="219"/>
      <c r="DYQ254" s="219"/>
      <c r="DYR254" s="219"/>
      <c r="DYS254" s="219"/>
      <c r="DYT254" s="219"/>
      <c r="DYU254" s="219"/>
      <c r="DYV254" s="219"/>
      <c r="DYW254" s="219"/>
      <c r="DYX254" s="219"/>
      <c r="DYY254" s="219"/>
      <c r="DYZ254" s="219"/>
      <c r="DZA254" s="219"/>
      <c r="DZB254" s="219"/>
      <c r="DZC254" s="219"/>
      <c r="DZD254" s="219"/>
      <c r="DZE254" s="219"/>
      <c r="DZF254" s="219"/>
      <c r="DZG254" s="219"/>
      <c r="DZH254" s="219"/>
      <c r="DZI254" s="219"/>
      <c r="DZJ254" s="219"/>
      <c r="DZK254" s="219"/>
      <c r="DZL254" s="219"/>
      <c r="DZM254" s="219"/>
      <c r="DZN254" s="219"/>
      <c r="DZO254" s="219"/>
      <c r="DZP254" s="219"/>
      <c r="DZQ254" s="219"/>
      <c r="DZR254" s="219"/>
      <c r="DZS254" s="219"/>
      <c r="DZT254" s="219"/>
      <c r="DZU254" s="219"/>
      <c r="DZV254" s="219"/>
      <c r="DZW254" s="219"/>
      <c r="DZX254" s="219"/>
      <c r="DZY254" s="219"/>
      <c r="DZZ254" s="219"/>
      <c r="EAA254" s="219"/>
      <c r="EAB254" s="219"/>
      <c r="EAC254" s="219"/>
      <c r="EAD254" s="219"/>
      <c r="EAE254" s="219"/>
      <c r="EAF254" s="219"/>
      <c r="EAG254" s="219"/>
      <c r="EAH254" s="219"/>
      <c r="EAI254" s="219"/>
      <c r="EAJ254" s="219"/>
      <c r="EAK254" s="219"/>
      <c r="EAL254" s="219"/>
      <c r="EAM254" s="219"/>
      <c r="EAN254" s="219"/>
      <c r="EAO254" s="219"/>
      <c r="EAP254" s="219"/>
      <c r="EAQ254" s="219"/>
      <c r="EAR254" s="219"/>
      <c r="EAS254" s="219"/>
      <c r="EAT254" s="219"/>
      <c r="EAU254" s="219"/>
      <c r="EAV254" s="219"/>
      <c r="EAW254" s="219"/>
      <c r="EAX254" s="219"/>
      <c r="EAY254" s="219"/>
      <c r="EAZ254" s="219"/>
      <c r="EBA254" s="219"/>
      <c r="EBB254" s="219"/>
      <c r="EBC254" s="219"/>
      <c r="EBD254" s="219"/>
      <c r="EBE254" s="219"/>
      <c r="EBF254" s="219"/>
      <c r="EBG254" s="219"/>
      <c r="EBH254" s="219"/>
      <c r="EBI254" s="219"/>
      <c r="EBJ254" s="219"/>
      <c r="EBK254" s="219"/>
      <c r="EBL254" s="219"/>
      <c r="EBM254" s="219"/>
      <c r="EBN254" s="219"/>
      <c r="EBO254" s="219"/>
      <c r="EBP254" s="219"/>
      <c r="EBQ254" s="219"/>
      <c r="EBR254" s="219"/>
      <c r="EBS254" s="219"/>
      <c r="EBT254" s="219"/>
      <c r="EBU254" s="219"/>
      <c r="EBV254" s="219"/>
      <c r="EBW254" s="219"/>
      <c r="EBX254" s="219"/>
      <c r="EBY254" s="219"/>
      <c r="EBZ254" s="219"/>
      <c r="ECA254" s="219"/>
      <c r="ECB254" s="219"/>
      <c r="ECC254" s="219"/>
      <c r="ECD254" s="219"/>
      <c r="ECE254" s="219"/>
      <c r="ECF254" s="219"/>
      <c r="ECG254" s="219"/>
      <c r="ECH254" s="219"/>
      <c r="ECI254" s="219"/>
      <c r="ECJ254" s="219"/>
      <c r="ECK254" s="219"/>
      <c r="ECL254" s="219"/>
      <c r="ECM254" s="219"/>
      <c r="ECN254" s="219"/>
      <c r="ECO254" s="219"/>
      <c r="ECP254" s="219"/>
      <c r="ECQ254" s="219"/>
      <c r="ECR254" s="219"/>
      <c r="ECS254" s="219"/>
      <c r="ECT254" s="219"/>
      <c r="ECU254" s="219"/>
      <c r="ECV254" s="219"/>
      <c r="ECW254" s="219"/>
      <c r="ECX254" s="219"/>
      <c r="ECY254" s="219"/>
      <c r="ECZ254" s="219"/>
      <c r="EDA254" s="219"/>
      <c r="EDB254" s="219"/>
      <c r="EDC254" s="219"/>
      <c r="EDD254" s="219"/>
      <c r="EDE254" s="219"/>
      <c r="EDF254" s="219"/>
      <c r="EDG254" s="219"/>
      <c r="EDH254" s="219"/>
      <c r="EDI254" s="219"/>
      <c r="EDJ254" s="219"/>
      <c r="EDK254" s="219"/>
      <c r="EDL254" s="219"/>
      <c r="EDM254" s="219"/>
      <c r="EDN254" s="219"/>
      <c r="EDO254" s="219"/>
      <c r="EDP254" s="219"/>
      <c r="EDQ254" s="219"/>
      <c r="EDR254" s="219"/>
      <c r="EDS254" s="219"/>
      <c r="EDT254" s="219"/>
      <c r="EDU254" s="219"/>
      <c r="EDV254" s="219"/>
      <c r="EDW254" s="219"/>
      <c r="EDX254" s="219"/>
      <c r="EDY254" s="219"/>
      <c r="EDZ254" s="219"/>
      <c r="EEA254" s="219"/>
      <c r="EEB254" s="219"/>
      <c r="EEC254" s="219"/>
      <c r="EED254" s="219"/>
      <c r="EEE254" s="219"/>
      <c r="EEF254" s="219"/>
      <c r="EEG254" s="219"/>
      <c r="EEH254" s="219"/>
      <c r="EEI254" s="219"/>
      <c r="EEJ254" s="219"/>
      <c r="EEK254" s="219"/>
      <c r="EEL254" s="219"/>
      <c r="EEM254" s="219"/>
      <c r="EEN254" s="219"/>
      <c r="EEO254" s="219"/>
      <c r="EEP254" s="219"/>
      <c r="EEQ254" s="219"/>
      <c r="EER254" s="219"/>
      <c r="EES254" s="219"/>
      <c r="EET254" s="219"/>
      <c r="EEU254" s="219"/>
      <c r="EEV254" s="219"/>
      <c r="EEW254" s="219"/>
      <c r="EEX254" s="219"/>
      <c r="EEY254" s="219"/>
      <c r="EEZ254" s="219"/>
      <c r="EFA254" s="219"/>
      <c r="EFB254" s="219"/>
      <c r="EFC254" s="219"/>
      <c r="EFD254" s="219"/>
      <c r="EFE254" s="219"/>
      <c r="EFF254" s="219"/>
      <c r="EFG254" s="219"/>
      <c r="EFH254" s="219"/>
      <c r="EFI254" s="219"/>
      <c r="EFJ254" s="219"/>
      <c r="EFK254" s="219"/>
      <c r="EFL254" s="219"/>
      <c r="EFM254" s="219"/>
      <c r="EFN254" s="219"/>
      <c r="EFO254" s="219"/>
      <c r="EFP254" s="219"/>
      <c r="EFQ254" s="219"/>
      <c r="EFR254" s="219"/>
      <c r="EFS254" s="219"/>
      <c r="EFT254" s="219"/>
      <c r="EFU254" s="219"/>
      <c r="EFV254" s="219"/>
      <c r="EFW254" s="219"/>
      <c r="EFX254" s="219"/>
      <c r="EFY254" s="219"/>
      <c r="EFZ254" s="219"/>
      <c r="EGA254" s="219"/>
      <c r="EGB254" s="219"/>
      <c r="EGC254" s="219"/>
      <c r="EGD254" s="219"/>
      <c r="EGE254" s="219"/>
      <c r="EGF254" s="219"/>
      <c r="EGG254" s="219"/>
      <c r="EGH254" s="219"/>
      <c r="EGI254" s="219"/>
      <c r="EGJ254" s="219"/>
      <c r="EGK254" s="219"/>
      <c r="EGL254" s="219"/>
      <c r="EGM254" s="219"/>
      <c r="EGN254" s="219"/>
      <c r="EGO254" s="219"/>
      <c r="EGP254" s="219"/>
      <c r="EGQ254" s="219"/>
      <c r="EGR254" s="219"/>
      <c r="EGS254" s="219"/>
      <c r="EGT254" s="219"/>
      <c r="EGU254" s="219"/>
      <c r="EGV254" s="219"/>
      <c r="EGW254" s="219"/>
      <c r="EGX254" s="219"/>
      <c r="EGY254" s="219"/>
      <c r="EGZ254" s="219"/>
      <c r="EHA254" s="219"/>
      <c r="EHB254" s="219"/>
      <c r="EHC254" s="219"/>
      <c r="EHD254" s="219"/>
      <c r="EHE254" s="219"/>
      <c r="EHF254" s="219"/>
      <c r="EHG254" s="219"/>
      <c r="EHH254" s="219"/>
      <c r="EHI254" s="219"/>
      <c r="EHJ254" s="219"/>
      <c r="EHK254" s="219"/>
      <c r="EHL254" s="219"/>
      <c r="EHM254" s="219"/>
      <c r="EHN254" s="219"/>
      <c r="EHO254" s="219"/>
      <c r="EHP254" s="219"/>
      <c r="EHQ254" s="219"/>
      <c r="EHR254" s="219"/>
      <c r="EHS254" s="219"/>
      <c r="EHT254" s="219"/>
      <c r="EHU254" s="219"/>
      <c r="EHV254" s="219"/>
      <c r="EHW254" s="219"/>
      <c r="EHX254" s="219"/>
      <c r="EHY254" s="219"/>
      <c r="EHZ254" s="219"/>
      <c r="EIA254" s="219"/>
      <c r="EIB254" s="219"/>
      <c r="EIC254" s="219"/>
      <c r="EID254" s="219"/>
      <c r="EIE254" s="219"/>
      <c r="EIF254" s="219"/>
      <c r="EIG254" s="219"/>
      <c r="EIH254" s="219"/>
      <c r="EII254" s="219"/>
      <c r="EIJ254" s="219"/>
      <c r="EIK254" s="219"/>
      <c r="EIL254" s="219"/>
      <c r="EIM254" s="219"/>
      <c r="EIN254" s="219"/>
      <c r="EIO254" s="219"/>
      <c r="EIP254" s="219"/>
      <c r="EIQ254" s="219"/>
      <c r="EIR254" s="219"/>
      <c r="EIS254" s="219"/>
      <c r="EIT254" s="219"/>
      <c r="EIU254" s="219"/>
      <c r="EIV254" s="219"/>
      <c r="EIW254" s="219"/>
      <c r="EIX254" s="219"/>
      <c r="EIY254" s="219"/>
      <c r="EIZ254" s="219"/>
      <c r="EJA254" s="219"/>
      <c r="EJB254" s="219"/>
      <c r="EJC254" s="219"/>
      <c r="EJD254" s="219"/>
      <c r="EJE254" s="219"/>
      <c r="EJF254" s="219"/>
      <c r="EJG254" s="219"/>
      <c r="EJH254" s="219"/>
      <c r="EJI254" s="219"/>
      <c r="EJJ254" s="219"/>
      <c r="EJK254" s="219"/>
      <c r="EJL254" s="219"/>
      <c r="EJM254" s="219"/>
      <c r="EJN254" s="219"/>
      <c r="EJO254" s="219"/>
      <c r="EJP254" s="219"/>
      <c r="EJQ254" s="219"/>
      <c r="EJR254" s="219"/>
      <c r="EJS254" s="219"/>
      <c r="EJT254" s="219"/>
      <c r="EJU254" s="219"/>
      <c r="EJV254" s="219"/>
      <c r="EJW254" s="219"/>
      <c r="EJX254" s="219"/>
      <c r="EJY254" s="219"/>
      <c r="EJZ254" s="219"/>
      <c r="EKA254" s="219"/>
      <c r="EKB254" s="219"/>
      <c r="EKC254" s="219"/>
      <c r="EKD254" s="219"/>
      <c r="EKE254" s="219"/>
      <c r="EKF254" s="219"/>
      <c r="EKG254" s="219"/>
      <c r="EKH254" s="219"/>
      <c r="EKI254" s="219"/>
      <c r="EKJ254" s="219"/>
      <c r="EKK254" s="219"/>
      <c r="EKL254" s="219"/>
      <c r="EKM254" s="219"/>
      <c r="EKN254" s="219"/>
      <c r="EKO254" s="219"/>
      <c r="EKP254" s="219"/>
      <c r="EKQ254" s="219"/>
      <c r="EKR254" s="219"/>
      <c r="EKS254" s="219"/>
      <c r="EKT254" s="219"/>
      <c r="EKU254" s="219"/>
      <c r="EKV254" s="219"/>
      <c r="EKW254" s="219"/>
      <c r="EKX254" s="219"/>
      <c r="EKY254" s="219"/>
      <c r="EKZ254" s="219"/>
      <c r="ELA254" s="219"/>
      <c r="ELB254" s="219"/>
      <c r="ELC254" s="219"/>
      <c r="ELD254" s="219"/>
      <c r="ELE254" s="219"/>
      <c r="ELF254" s="219"/>
      <c r="ELG254" s="219"/>
      <c r="ELH254" s="219"/>
      <c r="ELI254" s="219"/>
      <c r="ELJ254" s="219"/>
      <c r="ELK254" s="219"/>
      <c r="ELL254" s="219"/>
      <c r="ELM254" s="219"/>
      <c r="ELN254" s="219"/>
      <c r="ELO254" s="219"/>
      <c r="ELP254" s="219"/>
      <c r="ELQ254" s="219"/>
      <c r="ELR254" s="219"/>
      <c r="ELS254" s="219"/>
      <c r="ELT254" s="219"/>
      <c r="ELU254" s="219"/>
      <c r="ELV254" s="219"/>
      <c r="ELW254" s="219"/>
      <c r="ELX254" s="219"/>
      <c r="ELY254" s="219"/>
      <c r="ELZ254" s="219"/>
      <c r="EMA254" s="219"/>
      <c r="EMB254" s="219"/>
      <c r="EMC254" s="219"/>
      <c r="EMD254" s="219"/>
      <c r="EME254" s="219"/>
      <c r="EMF254" s="219"/>
      <c r="EMG254" s="219"/>
      <c r="EMH254" s="219"/>
      <c r="EMI254" s="219"/>
      <c r="EMJ254" s="219"/>
      <c r="EMK254" s="219"/>
      <c r="EML254" s="219"/>
      <c r="EMM254" s="219"/>
      <c r="EMN254" s="219"/>
      <c r="EMO254" s="219"/>
      <c r="EMP254" s="219"/>
      <c r="EMQ254" s="219"/>
      <c r="EMR254" s="219"/>
      <c r="EMS254" s="219"/>
      <c r="EMT254" s="219"/>
      <c r="EMU254" s="219"/>
      <c r="EMV254" s="219"/>
      <c r="EMW254" s="219"/>
      <c r="EMX254" s="219"/>
      <c r="EMY254" s="219"/>
      <c r="EMZ254" s="219"/>
      <c r="ENA254" s="219"/>
      <c r="ENB254" s="219"/>
      <c r="ENC254" s="219"/>
      <c r="END254" s="219"/>
      <c r="ENE254" s="219"/>
      <c r="ENF254" s="219"/>
      <c r="ENG254" s="219"/>
      <c r="ENH254" s="219"/>
      <c r="ENI254" s="219"/>
      <c r="ENJ254" s="219"/>
      <c r="ENK254" s="219"/>
      <c r="ENL254" s="219"/>
      <c r="ENM254" s="219"/>
      <c r="ENN254" s="219"/>
      <c r="ENO254" s="219"/>
      <c r="ENP254" s="219"/>
      <c r="ENQ254" s="219"/>
      <c r="ENR254" s="219"/>
      <c r="ENS254" s="219"/>
      <c r="ENT254" s="219"/>
      <c r="ENU254" s="219"/>
      <c r="ENV254" s="219"/>
      <c r="ENW254" s="219"/>
      <c r="ENX254" s="219"/>
      <c r="ENY254" s="219"/>
      <c r="ENZ254" s="219"/>
      <c r="EOA254" s="219"/>
      <c r="EOB254" s="219"/>
      <c r="EOC254" s="219"/>
      <c r="EOD254" s="219"/>
      <c r="EOE254" s="219"/>
      <c r="EOF254" s="219"/>
      <c r="EOG254" s="219"/>
      <c r="EOH254" s="219"/>
      <c r="EOI254" s="219"/>
      <c r="EOJ254" s="219"/>
      <c r="EOK254" s="219"/>
      <c r="EOL254" s="219"/>
      <c r="EOM254" s="219"/>
      <c r="EON254" s="219"/>
      <c r="EOO254" s="219"/>
      <c r="EOP254" s="219"/>
      <c r="EOQ254" s="219"/>
      <c r="EOR254" s="219"/>
      <c r="EOS254" s="219"/>
      <c r="EOT254" s="219"/>
      <c r="EOU254" s="219"/>
      <c r="EOV254" s="219"/>
      <c r="EOW254" s="219"/>
      <c r="EOX254" s="219"/>
      <c r="EOY254" s="219"/>
      <c r="EOZ254" s="219"/>
      <c r="EPA254" s="219"/>
      <c r="EPB254" s="219"/>
      <c r="EPC254" s="219"/>
      <c r="EPD254" s="219"/>
      <c r="EPE254" s="219"/>
      <c r="EPF254" s="219"/>
      <c r="EPG254" s="219"/>
      <c r="EPH254" s="219"/>
      <c r="EPI254" s="219"/>
      <c r="EPJ254" s="219"/>
      <c r="EPK254" s="219"/>
      <c r="EPL254" s="219"/>
      <c r="EPM254" s="219"/>
      <c r="EPN254" s="219"/>
      <c r="EPO254" s="219"/>
      <c r="EPP254" s="219"/>
      <c r="EPQ254" s="219"/>
      <c r="EPR254" s="219"/>
      <c r="EPS254" s="219"/>
      <c r="EPT254" s="219"/>
      <c r="EPU254" s="219"/>
      <c r="EPV254" s="219"/>
      <c r="EPW254" s="219"/>
      <c r="EPX254" s="219"/>
      <c r="EPY254" s="219"/>
      <c r="EPZ254" s="219"/>
      <c r="EQA254" s="219"/>
      <c r="EQB254" s="219"/>
      <c r="EQC254" s="219"/>
      <c r="EQD254" s="219"/>
      <c r="EQE254" s="219"/>
      <c r="EQF254" s="219"/>
      <c r="EQG254" s="219"/>
      <c r="EQH254" s="219"/>
      <c r="EQI254" s="219"/>
      <c r="EQJ254" s="219"/>
      <c r="EQK254" s="219"/>
      <c r="EQL254" s="219"/>
      <c r="EQM254" s="219"/>
      <c r="EQN254" s="219"/>
      <c r="EQO254" s="219"/>
      <c r="EQP254" s="219"/>
      <c r="EQQ254" s="219"/>
      <c r="EQR254" s="219"/>
      <c r="EQS254" s="219"/>
      <c r="EQT254" s="219"/>
      <c r="EQU254" s="219"/>
      <c r="EQV254" s="219"/>
      <c r="EQW254" s="219"/>
      <c r="EQX254" s="219"/>
      <c r="EQY254" s="219"/>
      <c r="EQZ254" s="219"/>
      <c r="ERA254" s="219"/>
      <c r="ERB254" s="219"/>
      <c r="ERC254" s="219"/>
      <c r="ERD254" s="219"/>
      <c r="ERE254" s="219"/>
      <c r="ERF254" s="219"/>
      <c r="ERG254" s="219"/>
      <c r="ERH254" s="219"/>
      <c r="ERI254" s="219"/>
      <c r="ERJ254" s="219"/>
      <c r="ERK254" s="219"/>
      <c r="ERL254" s="219"/>
      <c r="ERM254" s="219"/>
      <c r="ERN254" s="219"/>
      <c r="ERO254" s="219"/>
      <c r="ERP254" s="219"/>
      <c r="ERQ254" s="219"/>
      <c r="ERR254" s="219"/>
      <c r="ERS254" s="219"/>
      <c r="ERT254" s="219"/>
      <c r="ERU254" s="219"/>
      <c r="ERV254" s="219"/>
      <c r="ERW254" s="219"/>
      <c r="ERX254" s="219"/>
      <c r="ERY254" s="219"/>
      <c r="ERZ254" s="219"/>
      <c r="ESA254" s="219"/>
      <c r="ESB254" s="219"/>
      <c r="ESC254" s="219"/>
      <c r="ESD254" s="219"/>
      <c r="ESE254" s="219"/>
      <c r="ESF254" s="219"/>
      <c r="ESG254" s="219"/>
      <c r="ESH254" s="219"/>
      <c r="ESI254" s="219"/>
      <c r="ESJ254" s="219"/>
      <c r="ESK254" s="219"/>
      <c r="ESL254" s="219"/>
      <c r="ESM254" s="219"/>
      <c r="ESN254" s="219"/>
      <c r="ESO254" s="219"/>
      <c r="ESP254" s="219"/>
      <c r="ESQ254" s="219"/>
      <c r="ESR254" s="219"/>
      <c r="ESS254" s="219"/>
      <c r="EST254" s="219"/>
      <c r="ESU254" s="219"/>
      <c r="ESV254" s="219"/>
      <c r="ESW254" s="219"/>
      <c r="ESX254" s="219"/>
      <c r="ESY254" s="219"/>
      <c r="ESZ254" s="219"/>
      <c r="ETA254" s="219"/>
      <c r="ETB254" s="219"/>
      <c r="ETC254" s="219"/>
      <c r="ETD254" s="219"/>
      <c r="ETE254" s="219"/>
      <c r="ETF254" s="219"/>
      <c r="ETG254" s="219"/>
      <c r="ETH254" s="219"/>
      <c r="ETI254" s="219"/>
      <c r="ETJ254" s="219"/>
      <c r="ETK254" s="219"/>
      <c r="ETL254" s="219"/>
      <c r="ETM254" s="219"/>
      <c r="ETN254" s="219"/>
      <c r="ETO254" s="219"/>
      <c r="ETP254" s="219"/>
      <c r="ETQ254" s="219"/>
      <c r="ETR254" s="219"/>
      <c r="ETS254" s="219"/>
      <c r="ETT254" s="219"/>
      <c r="ETU254" s="219"/>
      <c r="ETV254" s="219"/>
      <c r="ETW254" s="219"/>
      <c r="ETX254" s="219"/>
      <c r="ETY254" s="219"/>
      <c r="ETZ254" s="219"/>
      <c r="EUA254" s="219"/>
      <c r="EUB254" s="219"/>
      <c r="EUC254" s="219"/>
      <c r="EUD254" s="219"/>
      <c r="EUE254" s="219"/>
      <c r="EUF254" s="219"/>
      <c r="EUG254" s="219"/>
      <c r="EUH254" s="219"/>
      <c r="EUI254" s="219"/>
      <c r="EUJ254" s="219"/>
      <c r="EUK254" s="219"/>
      <c r="EUL254" s="219"/>
      <c r="EUM254" s="219"/>
      <c r="EUN254" s="219"/>
      <c r="EUO254" s="219"/>
      <c r="EUP254" s="219"/>
      <c r="EUQ254" s="219"/>
      <c r="EUR254" s="219"/>
      <c r="EUS254" s="219"/>
      <c r="EUT254" s="219"/>
      <c r="EUU254" s="219"/>
      <c r="EUV254" s="219"/>
      <c r="EUW254" s="219"/>
      <c r="EUX254" s="219"/>
      <c r="EUY254" s="219"/>
      <c r="EUZ254" s="219"/>
      <c r="EVA254" s="219"/>
      <c r="EVB254" s="219"/>
      <c r="EVC254" s="219"/>
      <c r="EVD254" s="219"/>
      <c r="EVE254" s="219"/>
      <c r="EVF254" s="219"/>
      <c r="EVG254" s="219"/>
      <c r="EVH254" s="219"/>
      <c r="EVI254" s="219"/>
      <c r="EVJ254" s="219"/>
      <c r="EVK254" s="219"/>
      <c r="EVL254" s="219"/>
      <c r="EVM254" s="219"/>
      <c r="EVN254" s="219"/>
      <c r="EVO254" s="219"/>
      <c r="EVP254" s="219"/>
      <c r="EVQ254" s="219"/>
      <c r="EVR254" s="219"/>
      <c r="EVS254" s="219"/>
      <c r="EVT254" s="219"/>
      <c r="EVU254" s="219"/>
      <c r="EVV254" s="219"/>
      <c r="EVW254" s="219"/>
      <c r="EVX254" s="219"/>
      <c r="EVY254" s="219"/>
      <c r="EVZ254" s="219"/>
      <c r="EWA254" s="219"/>
      <c r="EWB254" s="219"/>
      <c r="EWC254" s="219"/>
      <c r="EWD254" s="219"/>
      <c r="EWE254" s="219"/>
      <c r="EWF254" s="219"/>
      <c r="EWG254" s="219"/>
      <c r="EWH254" s="219"/>
      <c r="EWI254" s="219"/>
      <c r="EWJ254" s="219"/>
      <c r="EWK254" s="219"/>
      <c r="EWL254" s="219"/>
      <c r="EWM254" s="219"/>
      <c r="EWN254" s="219"/>
      <c r="EWO254" s="219"/>
      <c r="EWP254" s="219"/>
      <c r="EWQ254" s="219"/>
      <c r="EWR254" s="219"/>
      <c r="EWS254" s="219"/>
      <c r="EWT254" s="219"/>
      <c r="EWU254" s="219"/>
      <c r="EWV254" s="219"/>
      <c r="EWW254" s="219"/>
      <c r="EWX254" s="219"/>
      <c r="EWY254" s="219"/>
      <c r="EWZ254" s="219"/>
      <c r="EXA254" s="219"/>
      <c r="EXB254" s="219"/>
      <c r="EXC254" s="219"/>
      <c r="EXD254" s="219"/>
      <c r="EXE254" s="219"/>
      <c r="EXF254" s="219"/>
      <c r="EXG254" s="219"/>
      <c r="EXH254" s="219"/>
      <c r="EXI254" s="219"/>
      <c r="EXJ254" s="219"/>
      <c r="EXK254" s="219"/>
      <c r="EXL254" s="219"/>
      <c r="EXM254" s="219"/>
      <c r="EXN254" s="219"/>
      <c r="EXO254" s="219"/>
      <c r="EXP254" s="219"/>
      <c r="EXQ254" s="219"/>
      <c r="EXR254" s="219"/>
      <c r="EXS254" s="219"/>
      <c r="EXT254" s="219"/>
      <c r="EXU254" s="219"/>
      <c r="EXV254" s="219"/>
      <c r="EXW254" s="219"/>
      <c r="EXX254" s="219"/>
      <c r="EXY254" s="219"/>
      <c r="EXZ254" s="219"/>
      <c r="EYA254" s="219"/>
      <c r="EYB254" s="219"/>
      <c r="EYC254" s="219"/>
      <c r="EYD254" s="219"/>
      <c r="EYE254" s="219"/>
      <c r="EYF254" s="219"/>
      <c r="EYG254" s="219"/>
      <c r="EYH254" s="219"/>
      <c r="EYI254" s="219"/>
      <c r="EYJ254" s="219"/>
      <c r="EYK254" s="219"/>
      <c r="EYL254" s="219"/>
      <c r="EYM254" s="219"/>
      <c r="EYN254" s="219"/>
      <c r="EYO254" s="219"/>
      <c r="EYP254" s="219"/>
      <c r="EYQ254" s="219"/>
      <c r="EYR254" s="219"/>
      <c r="EYS254" s="219"/>
      <c r="EYT254" s="219"/>
      <c r="EYU254" s="219"/>
      <c r="EYV254" s="219"/>
      <c r="EYW254" s="219"/>
      <c r="EYX254" s="219"/>
      <c r="EYY254" s="219"/>
      <c r="EYZ254" s="219"/>
      <c r="EZA254" s="219"/>
      <c r="EZB254" s="219"/>
      <c r="EZC254" s="219"/>
      <c r="EZD254" s="219"/>
      <c r="EZE254" s="219"/>
      <c r="EZF254" s="219"/>
      <c r="EZG254" s="219"/>
      <c r="EZH254" s="219"/>
      <c r="EZI254" s="219"/>
      <c r="EZJ254" s="219"/>
      <c r="EZK254" s="219"/>
      <c r="EZL254" s="219"/>
      <c r="EZM254" s="219"/>
      <c r="EZN254" s="219"/>
      <c r="EZO254" s="219"/>
      <c r="EZP254" s="219"/>
      <c r="EZQ254" s="219"/>
      <c r="EZR254" s="219"/>
      <c r="EZS254" s="219"/>
      <c r="EZT254" s="219"/>
      <c r="EZU254" s="219"/>
      <c r="EZV254" s="219"/>
      <c r="EZW254" s="219"/>
      <c r="EZX254" s="219"/>
      <c r="EZY254" s="219"/>
      <c r="EZZ254" s="219"/>
      <c r="FAA254" s="219"/>
      <c r="FAB254" s="219"/>
      <c r="FAC254" s="219"/>
      <c r="FAD254" s="219"/>
      <c r="FAE254" s="219"/>
      <c r="FAF254" s="219"/>
      <c r="FAG254" s="219"/>
      <c r="FAH254" s="219"/>
      <c r="FAI254" s="219"/>
      <c r="FAJ254" s="219"/>
      <c r="FAK254" s="219"/>
      <c r="FAL254" s="219"/>
      <c r="FAM254" s="219"/>
      <c r="FAN254" s="219"/>
      <c r="FAO254" s="219"/>
      <c r="FAP254" s="219"/>
      <c r="FAQ254" s="219"/>
      <c r="FAR254" s="219"/>
      <c r="FAS254" s="219"/>
      <c r="FAT254" s="219"/>
      <c r="FAU254" s="219"/>
      <c r="FAV254" s="219"/>
      <c r="FAW254" s="219"/>
      <c r="FAX254" s="219"/>
      <c r="FAY254" s="219"/>
      <c r="FAZ254" s="219"/>
      <c r="FBA254" s="219"/>
      <c r="FBB254" s="219"/>
      <c r="FBC254" s="219"/>
      <c r="FBD254" s="219"/>
      <c r="FBE254" s="219"/>
      <c r="FBF254" s="219"/>
      <c r="FBG254" s="219"/>
      <c r="FBH254" s="219"/>
      <c r="FBI254" s="219"/>
      <c r="FBJ254" s="219"/>
      <c r="FBK254" s="219"/>
      <c r="FBL254" s="219"/>
      <c r="FBM254" s="219"/>
      <c r="FBN254" s="219"/>
      <c r="FBO254" s="219"/>
      <c r="FBP254" s="219"/>
      <c r="FBQ254" s="219"/>
      <c r="FBR254" s="219"/>
      <c r="FBS254" s="219"/>
      <c r="FBT254" s="219"/>
      <c r="FBU254" s="219"/>
      <c r="FBV254" s="219"/>
      <c r="FBW254" s="219"/>
      <c r="FBX254" s="219"/>
      <c r="FBY254" s="219"/>
      <c r="FBZ254" s="219"/>
      <c r="FCA254" s="219"/>
      <c r="FCB254" s="219"/>
      <c r="FCC254" s="219"/>
      <c r="FCD254" s="219"/>
      <c r="FCE254" s="219"/>
      <c r="FCF254" s="219"/>
      <c r="FCG254" s="219"/>
      <c r="FCH254" s="219"/>
      <c r="FCI254" s="219"/>
      <c r="FCJ254" s="219"/>
      <c r="FCK254" s="219"/>
      <c r="FCL254" s="219"/>
      <c r="FCM254" s="219"/>
      <c r="FCN254" s="219"/>
      <c r="FCO254" s="219"/>
      <c r="FCP254" s="219"/>
      <c r="FCQ254" s="219"/>
      <c r="FCR254" s="219"/>
      <c r="FCS254" s="219"/>
      <c r="FCT254" s="219"/>
      <c r="FCU254" s="219"/>
      <c r="FCV254" s="219"/>
      <c r="FCW254" s="219"/>
      <c r="FCX254" s="219"/>
      <c r="FCY254" s="219"/>
      <c r="FCZ254" s="219"/>
      <c r="FDA254" s="219"/>
      <c r="FDB254" s="219"/>
      <c r="FDC254" s="219"/>
      <c r="FDD254" s="219"/>
      <c r="FDE254" s="219"/>
      <c r="FDF254" s="219"/>
      <c r="FDG254" s="219"/>
      <c r="FDH254" s="219"/>
      <c r="FDI254" s="219"/>
      <c r="FDJ254" s="219"/>
      <c r="FDK254" s="219"/>
      <c r="FDL254" s="219"/>
      <c r="FDM254" s="219"/>
      <c r="FDN254" s="219"/>
      <c r="FDO254" s="219"/>
      <c r="FDP254" s="219"/>
      <c r="FDQ254" s="219"/>
      <c r="FDR254" s="219"/>
      <c r="FDS254" s="219"/>
      <c r="FDT254" s="219"/>
      <c r="FDU254" s="219"/>
      <c r="FDV254" s="219"/>
      <c r="FDW254" s="219"/>
      <c r="FDX254" s="219"/>
      <c r="FDY254" s="219"/>
      <c r="FDZ254" s="219"/>
      <c r="FEA254" s="219"/>
      <c r="FEB254" s="219"/>
      <c r="FEC254" s="219"/>
      <c r="FED254" s="219"/>
      <c r="FEE254" s="219"/>
      <c r="FEF254" s="219"/>
      <c r="FEG254" s="219"/>
      <c r="FEH254" s="219"/>
      <c r="FEI254" s="219"/>
      <c r="FEJ254" s="219"/>
      <c r="FEK254" s="219"/>
      <c r="FEL254" s="219"/>
      <c r="FEM254" s="219"/>
      <c r="FEN254" s="219"/>
      <c r="FEO254" s="219"/>
      <c r="FEP254" s="219"/>
      <c r="FEQ254" s="219"/>
      <c r="FER254" s="219"/>
      <c r="FES254" s="219"/>
      <c r="FET254" s="219"/>
      <c r="FEU254" s="219"/>
      <c r="FEV254" s="219"/>
      <c r="FEW254" s="219"/>
      <c r="FEX254" s="219"/>
      <c r="FEY254" s="219"/>
      <c r="FEZ254" s="219"/>
      <c r="FFA254" s="219"/>
      <c r="FFB254" s="219"/>
      <c r="FFC254" s="219"/>
      <c r="FFD254" s="219"/>
      <c r="FFE254" s="219"/>
      <c r="FFF254" s="219"/>
      <c r="FFG254" s="219"/>
      <c r="FFH254" s="219"/>
      <c r="FFI254" s="219"/>
      <c r="FFJ254" s="219"/>
      <c r="FFK254" s="219"/>
      <c r="FFL254" s="219"/>
      <c r="FFM254" s="219"/>
      <c r="FFN254" s="219"/>
      <c r="FFO254" s="219"/>
      <c r="FFP254" s="219"/>
      <c r="FFQ254" s="219"/>
      <c r="FFR254" s="219"/>
      <c r="FFS254" s="219"/>
      <c r="FFT254" s="219"/>
      <c r="FFU254" s="219"/>
      <c r="FFV254" s="219"/>
      <c r="FFW254" s="219"/>
      <c r="FFX254" s="219"/>
      <c r="FFY254" s="219"/>
      <c r="FFZ254" s="219"/>
      <c r="FGA254" s="219"/>
      <c r="FGB254" s="219"/>
      <c r="FGC254" s="219"/>
      <c r="FGD254" s="219"/>
      <c r="FGE254" s="219"/>
      <c r="FGF254" s="219"/>
      <c r="FGG254" s="219"/>
      <c r="FGH254" s="219"/>
      <c r="FGI254" s="219"/>
      <c r="FGJ254" s="219"/>
      <c r="FGK254" s="219"/>
      <c r="FGL254" s="219"/>
      <c r="FGM254" s="219"/>
      <c r="FGN254" s="219"/>
      <c r="FGO254" s="219"/>
      <c r="FGP254" s="219"/>
      <c r="FGQ254" s="219"/>
      <c r="FGR254" s="219"/>
      <c r="FGS254" s="219"/>
      <c r="FGT254" s="219"/>
      <c r="FGU254" s="219"/>
      <c r="FGV254" s="219"/>
      <c r="FGW254" s="219"/>
      <c r="FGX254" s="219"/>
      <c r="FGY254" s="219"/>
      <c r="FGZ254" s="219"/>
      <c r="FHA254" s="219"/>
      <c r="FHB254" s="219"/>
      <c r="FHC254" s="219"/>
      <c r="FHD254" s="219"/>
      <c r="FHE254" s="219"/>
      <c r="FHF254" s="219"/>
      <c r="FHG254" s="219"/>
      <c r="FHH254" s="219"/>
      <c r="FHI254" s="219"/>
      <c r="FHJ254" s="219"/>
      <c r="FHK254" s="219"/>
      <c r="FHL254" s="219"/>
      <c r="FHM254" s="219"/>
      <c r="FHN254" s="219"/>
      <c r="FHO254" s="219"/>
      <c r="FHP254" s="219"/>
      <c r="FHQ254" s="219"/>
      <c r="FHR254" s="219"/>
      <c r="FHS254" s="219"/>
      <c r="FHT254" s="219"/>
      <c r="FHU254" s="219"/>
      <c r="FHV254" s="219"/>
      <c r="FHW254" s="219"/>
      <c r="FHX254" s="219"/>
      <c r="FHY254" s="219"/>
      <c r="FHZ254" s="219"/>
      <c r="FIA254" s="219"/>
      <c r="FIB254" s="219"/>
      <c r="FIC254" s="219"/>
      <c r="FID254" s="219"/>
      <c r="FIE254" s="219"/>
      <c r="FIF254" s="219"/>
      <c r="FIG254" s="219"/>
      <c r="FIH254" s="219"/>
      <c r="FII254" s="219"/>
      <c r="FIJ254" s="219"/>
      <c r="FIK254" s="219"/>
      <c r="FIL254" s="219"/>
      <c r="FIM254" s="219"/>
      <c r="FIN254" s="219"/>
      <c r="FIO254" s="219"/>
      <c r="FIP254" s="219"/>
      <c r="FIQ254" s="219"/>
      <c r="FIR254" s="219"/>
      <c r="FIS254" s="219"/>
      <c r="FIT254" s="219"/>
      <c r="FIU254" s="219"/>
      <c r="FIV254" s="219"/>
      <c r="FIW254" s="219"/>
      <c r="FIX254" s="219"/>
      <c r="FIY254" s="219"/>
      <c r="FIZ254" s="219"/>
      <c r="FJA254" s="219"/>
      <c r="FJB254" s="219"/>
      <c r="FJC254" s="219"/>
      <c r="FJD254" s="219"/>
      <c r="FJE254" s="219"/>
      <c r="FJF254" s="219"/>
      <c r="FJG254" s="219"/>
      <c r="FJH254" s="219"/>
      <c r="FJI254" s="219"/>
      <c r="FJJ254" s="219"/>
      <c r="FJK254" s="219"/>
      <c r="FJL254" s="219"/>
      <c r="FJM254" s="219"/>
      <c r="FJN254" s="219"/>
      <c r="FJO254" s="219"/>
      <c r="FJP254" s="219"/>
      <c r="FJQ254" s="219"/>
      <c r="FJR254" s="219"/>
      <c r="FJS254" s="219"/>
      <c r="FJT254" s="219"/>
      <c r="FJU254" s="219"/>
      <c r="FJV254" s="219"/>
      <c r="FJW254" s="219"/>
      <c r="FJX254" s="219"/>
      <c r="FJY254" s="219"/>
      <c r="FJZ254" s="219"/>
      <c r="FKA254" s="219"/>
      <c r="FKB254" s="219"/>
      <c r="FKC254" s="219"/>
      <c r="FKD254" s="219"/>
      <c r="FKE254" s="219"/>
      <c r="FKF254" s="219"/>
      <c r="FKG254" s="219"/>
      <c r="FKH254" s="219"/>
      <c r="FKI254" s="219"/>
      <c r="FKJ254" s="219"/>
      <c r="FKK254" s="219"/>
      <c r="FKL254" s="219"/>
      <c r="FKM254" s="219"/>
      <c r="FKN254" s="219"/>
      <c r="FKO254" s="219"/>
      <c r="FKP254" s="219"/>
      <c r="FKQ254" s="219"/>
      <c r="FKR254" s="219"/>
      <c r="FKS254" s="219"/>
      <c r="FKT254" s="219"/>
      <c r="FKU254" s="219"/>
      <c r="FKV254" s="219"/>
      <c r="FKW254" s="219"/>
      <c r="FKX254" s="219"/>
      <c r="FKY254" s="219"/>
      <c r="FKZ254" s="219"/>
      <c r="FLA254" s="219"/>
      <c r="FLB254" s="219"/>
      <c r="FLC254" s="219"/>
      <c r="FLD254" s="219"/>
      <c r="FLE254" s="219"/>
      <c r="FLF254" s="219"/>
      <c r="FLG254" s="219"/>
      <c r="FLH254" s="219"/>
      <c r="FLI254" s="219"/>
      <c r="FLJ254" s="219"/>
      <c r="FLK254" s="219"/>
      <c r="FLL254" s="219"/>
      <c r="FLM254" s="219"/>
      <c r="FLN254" s="219"/>
      <c r="FLO254" s="219"/>
      <c r="FLP254" s="219"/>
      <c r="FLQ254" s="219"/>
      <c r="FLR254" s="219"/>
      <c r="FLS254" s="219"/>
      <c r="FLT254" s="219"/>
      <c r="FLU254" s="219"/>
      <c r="FLV254" s="219"/>
      <c r="FLW254" s="219"/>
      <c r="FLX254" s="219"/>
      <c r="FLY254" s="219"/>
      <c r="FLZ254" s="219"/>
      <c r="FMA254" s="219"/>
      <c r="FMB254" s="219"/>
      <c r="FMC254" s="219"/>
      <c r="FMD254" s="219"/>
      <c r="FME254" s="219"/>
      <c r="FMF254" s="219"/>
      <c r="FMG254" s="219"/>
      <c r="FMH254" s="219"/>
      <c r="FMI254" s="219"/>
      <c r="FMJ254" s="219"/>
      <c r="FMK254" s="219"/>
      <c r="FML254" s="219"/>
      <c r="FMM254" s="219"/>
      <c r="FMN254" s="219"/>
      <c r="FMO254" s="219"/>
      <c r="FMP254" s="219"/>
      <c r="FMQ254" s="219"/>
      <c r="FMR254" s="219"/>
      <c r="FMS254" s="219"/>
      <c r="FMT254" s="219"/>
      <c r="FMU254" s="219"/>
      <c r="FMV254" s="219"/>
      <c r="FMW254" s="219"/>
      <c r="FMX254" s="219"/>
      <c r="FMY254" s="219"/>
      <c r="FMZ254" s="219"/>
      <c r="FNA254" s="219"/>
      <c r="FNB254" s="219"/>
      <c r="FNC254" s="219"/>
      <c r="FND254" s="219"/>
      <c r="FNE254" s="219"/>
      <c r="FNF254" s="219"/>
      <c r="FNG254" s="219"/>
      <c r="FNH254" s="219"/>
      <c r="FNI254" s="219"/>
      <c r="FNJ254" s="219"/>
      <c r="FNK254" s="219"/>
      <c r="FNL254" s="219"/>
      <c r="FNM254" s="219"/>
      <c r="FNN254" s="219"/>
      <c r="FNO254" s="219"/>
      <c r="FNP254" s="219"/>
      <c r="FNQ254" s="219"/>
      <c r="FNR254" s="219"/>
      <c r="FNS254" s="219"/>
      <c r="FNT254" s="219"/>
      <c r="FNU254" s="219"/>
      <c r="FNV254" s="219"/>
      <c r="FNW254" s="219"/>
      <c r="FNX254" s="219"/>
      <c r="FNY254" s="219"/>
      <c r="FNZ254" s="219"/>
      <c r="FOA254" s="219"/>
      <c r="FOB254" s="219"/>
      <c r="FOC254" s="219"/>
      <c r="FOD254" s="219"/>
      <c r="FOE254" s="219"/>
      <c r="FOF254" s="219"/>
      <c r="FOG254" s="219"/>
      <c r="FOH254" s="219"/>
      <c r="FOI254" s="219"/>
      <c r="FOJ254" s="219"/>
      <c r="FOK254" s="219"/>
      <c r="FOL254" s="219"/>
      <c r="FOM254" s="219"/>
      <c r="FON254" s="219"/>
      <c r="FOO254" s="219"/>
      <c r="FOP254" s="219"/>
      <c r="FOQ254" s="219"/>
      <c r="FOR254" s="219"/>
      <c r="FOS254" s="219"/>
      <c r="FOT254" s="219"/>
      <c r="FOU254" s="219"/>
      <c r="FOV254" s="219"/>
      <c r="FOW254" s="219"/>
      <c r="FOX254" s="219"/>
      <c r="FOY254" s="219"/>
      <c r="FOZ254" s="219"/>
      <c r="FPA254" s="219"/>
      <c r="FPB254" s="219"/>
      <c r="FPC254" s="219"/>
      <c r="FPD254" s="219"/>
      <c r="FPE254" s="219"/>
      <c r="FPF254" s="219"/>
      <c r="FPG254" s="219"/>
      <c r="FPH254" s="219"/>
      <c r="FPI254" s="219"/>
      <c r="FPJ254" s="219"/>
      <c r="FPK254" s="219"/>
      <c r="FPL254" s="219"/>
      <c r="FPM254" s="219"/>
      <c r="FPN254" s="219"/>
      <c r="FPO254" s="219"/>
      <c r="FPP254" s="219"/>
      <c r="FPQ254" s="219"/>
      <c r="FPR254" s="219"/>
      <c r="FPS254" s="219"/>
      <c r="FPT254" s="219"/>
      <c r="FPU254" s="219"/>
      <c r="FPV254" s="219"/>
      <c r="FPW254" s="219"/>
      <c r="FPX254" s="219"/>
      <c r="FPY254" s="219"/>
      <c r="FPZ254" s="219"/>
      <c r="FQA254" s="219"/>
      <c r="FQB254" s="219"/>
      <c r="FQC254" s="219"/>
      <c r="FQD254" s="219"/>
      <c r="FQE254" s="219"/>
      <c r="FQF254" s="219"/>
      <c r="FQG254" s="219"/>
      <c r="FQH254" s="219"/>
      <c r="FQI254" s="219"/>
      <c r="FQJ254" s="219"/>
      <c r="FQK254" s="219"/>
      <c r="FQL254" s="219"/>
      <c r="FQM254" s="219"/>
      <c r="FQN254" s="219"/>
      <c r="FQO254" s="219"/>
      <c r="FQP254" s="219"/>
      <c r="FQQ254" s="219"/>
      <c r="FQR254" s="219"/>
      <c r="FQS254" s="219"/>
      <c r="FQT254" s="219"/>
      <c r="FQU254" s="219"/>
      <c r="FQV254" s="219"/>
      <c r="FQW254" s="219"/>
      <c r="FQX254" s="219"/>
      <c r="FQY254" s="219"/>
      <c r="FQZ254" s="219"/>
      <c r="FRA254" s="219"/>
      <c r="FRB254" s="219"/>
      <c r="FRC254" s="219"/>
      <c r="FRD254" s="219"/>
      <c r="FRE254" s="219"/>
      <c r="FRF254" s="219"/>
      <c r="FRG254" s="219"/>
      <c r="FRH254" s="219"/>
      <c r="FRI254" s="219"/>
      <c r="FRJ254" s="219"/>
      <c r="FRK254" s="219"/>
      <c r="FRL254" s="219"/>
      <c r="FRM254" s="219"/>
      <c r="FRN254" s="219"/>
      <c r="FRO254" s="219"/>
      <c r="FRP254" s="219"/>
      <c r="FRQ254" s="219"/>
      <c r="FRR254" s="219"/>
      <c r="FRS254" s="219"/>
      <c r="FRT254" s="219"/>
      <c r="FRU254" s="219"/>
      <c r="FRV254" s="219"/>
      <c r="FRW254" s="219"/>
      <c r="FRX254" s="219"/>
      <c r="FRY254" s="219"/>
      <c r="FRZ254" s="219"/>
      <c r="FSA254" s="219"/>
      <c r="FSB254" s="219"/>
      <c r="FSC254" s="219"/>
      <c r="FSD254" s="219"/>
      <c r="FSE254" s="219"/>
      <c r="FSF254" s="219"/>
      <c r="FSG254" s="219"/>
      <c r="FSH254" s="219"/>
      <c r="FSI254" s="219"/>
      <c r="FSJ254" s="219"/>
      <c r="FSK254" s="219"/>
      <c r="FSL254" s="219"/>
      <c r="FSM254" s="219"/>
      <c r="FSN254" s="219"/>
      <c r="FSO254" s="219"/>
      <c r="FSP254" s="219"/>
      <c r="FSQ254" s="219"/>
      <c r="FSR254" s="219"/>
      <c r="FSS254" s="219"/>
      <c r="FST254" s="219"/>
      <c r="FSU254" s="219"/>
      <c r="FSV254" s="219"/>
      <c r="FSW254" s="219"/>
      <c r="FSX254" s="219"/>
      <c r="FSY254" s="219"/>
      <c r="FSZ254" s="219"/>
      <c r="FTA254" s="219"/>
      <c r="FTB254" s="219"/>
      <c r="FTC254" s="219"/>
      <c r="FTD254" s="219"/>
      <c r="FTE254" s="219"/>
      <c r="FTF254" s="219"/>
      <c r="FTG254" s="219"/>
      <c r="FTH254" s="219"/>
      <c r="FTI254" s="219"/>
      <c r="FTJ254" s="219"/>
      <c r="FTK254" s="219"/>
      <c r="FTL254" s="219"/>
      <c r="FTM254" s="219"/>
      <c r="FTN254" s="219"/>
      <c r="FTO254" s="219"/>
      <c r="FTP254" s="219"/>
      <c r="FTQ254" s="219"/>
      <c r="FTR254" s="219"/>
      <c r="FTS254" s="219"/>
      <c r="FTT254" s="219"/>
      <c r="FTU254" s="219"/>
      <c r="FTV254" s="219"/>
      <c r="FTW254" s="219"/>
      <c r="FTX254" s="219"/>
      <c r="FTY254" s="219"/>
      <c r="FTZ254" s="219"/>
      <c r="FUA254" s="219"/>
      <c r="FUB254" s="219"/>
      <c r="FUC254" s="219"/>
      <c r="FUD254" s="219"/>
      <c r="FUE254" s="219"/>
      <c r="FUF254" s="219"/>
      <c r="FUG254" s="219"/>
      <c r="FUH254" s="219"/>
      <c r="FUI254" s="219"/>
      <c r="FUJ254" s="219"/>
      <c r="FUK254" s="219"/>
      <c r="FUL254" s="219"/>
      <c r="FUM254" s="219"/>
      <c r="FUN254" s="219"/>
      <c r="FUO254" s="219"/>
      <c r="FUP254" s="219"/>
      <c r="FUQ254" s="219"/>
      <c r="FUR254" s="219"/>
      <c r="FUS254" s="219"/>
      <c r="FUT254" s="219"/>
      <c r="FUU254" s="219"/>
      <c r="FUV254" s="219"/>
      <c r="FUW254" s="219"/>
      <c r="FUX254" s="219"/>
      <c r="FUY254" s="219"/>
      <c r="FUZ254" s="219"/>
      <c r="FVA254" s="219"/>
      <c r="FVB254" s="219"/>
      <c r="FVC254" s="219"/>
      <c r="FVD254" s="219"/>
      <c r="FVE254" s="219"/>
      <c r="FVF254" s="219"/>
      <c r="FVG254" s="219"/>
      <c r="FVH254" s="219"/>
      <c r="FVI254" s="219"/>
      <c r="FVJ254" s="219"/>
      <c r="FVK254" s="219"/>
      <c r="FVL254" s="219"/>
      <c r="FVM254" s="219"/>
      <c r="FVN254" s="219"/>
      <c r="FVO254" s="219"/>
      <c r="FVP254" s="219"/>
      <c r="FVQ254" s="219"/>
      <c r="FVR254" s="219"/>
      <c r="FVS254" s="219"/>
      <c r="FVT254" s="219"/>
      <c r="FVU254" s="219"/>
      <c r="FVV254" s="219"/>
      <c r="FVW254" s="219"/>
      <c r="FVX254" s="219"/>
      <c r="FVY254" s="219"/>
      <c r="FVZ254" s="219"/>
      <c r="FWA254" s="219"/>
      <c r="FWB254" s="219"/>
      <c r="FWC254" s="219"/>
      <c r="FWD254" s="219"/>
      <c r="FWE254" s="219"/>
      <c r="FWF254" s="219"/>
      <c r="FWG254" s="219"/>
      <c r="FWH254" s="219"/>
      <c r="FWI254" s="219"/>
      <c r="FWJ254" s="219"/>
      <c r="FWK254" s="219"/>
      <c r="FWL254" s="219"/>
      <c r="FWM254" s="219"/>
      <c r="FWN254" s="219"/>
      <c r="FWO254" s="219"/>
      <c r="FWP254" s="219"/>
      <c r="FWQ254" s="219"/>
      <c r="FWR254" s="219"/>
      <c r="FWS254" s="219"/>
      <c r="FWT254" s="219"/>
      <c r="FWU254" s="219"/>
      <c r="FWV254" s="219"/>
      <c r="FWW254" s="219"/>
      <c r="FWX254" s="219"/>
      <c r="FWY254" s="219"/>
      <c r="FWZ254" s="219"/>
      <c r="FXA254" s="219"/>
      <c r="FXB254" s="219"/>
      <c r="FXC254" s="219"/>
      <c r="FXD254" s="219"/>
      <c r="FXE254" s="219"/>
      <c r="FXF254" s="219"/>
      <c r="FXG254" s="219"/>
      <c r="FXH254" s="219"/>
      <c r="FXI254" s="219"/>
      <c r="FXJ254" s="219"/>
      <c r="FXK254" s="219"/>
      <c r="FXL254" s="219"/>
      <c r="FXM254" s="219"/>
      <c r="FXN254" s="219"/>
      <c r="FXO254" s="219"/>
      <c r="FXP254" s="219"/>
      <c r="FXQ254" s="219"/>
      <c r="FXR254" s="219"/>
      <c r="FXS254" s="219"/>
      <c r="FXT254" s="219"/>
      <c r="FXU254" s="219"/>
      <c r="FXV254" s="219"/>
      <c r="FXW254" s="219"/>
      <c r="FXX254" s="219"/>
      <c r="FXY254" s="219"/>
      <c r="FXZ254" s="219"/>
      <c r="FYA254" s="219"/>
      <c r="FYB254" s="219"/>
      <c r="FYC254" s="219"/>
      <c r="FYD254" s="219"/>
      <c r="FYE254" s="219"/>
      <c r="FYF254" s="219"/>
      <c r="FYG254" s="219"/>
      <c r="FYH254" s="219"/>
      <c r="FYI254" s="219"/>
      <c r="FYJ254" s="219"/>
      <c r="FYK254" s="219"/>
      <c r="FYL254" s="219"/>
      <c r="FYM254" s="219"/>
      <c r="FYN254" s="219"/>
      <c r="FYO254" s="219"/>
      <c r="FYP254" s="219"/>
      <c r="FYQ254" s="219"/>
      <c r="FYR254" s="219"/>
      <c r="FYS254" s="219"/>
      <c r="FYT254" s="219"/>
      <c r="FYU254" s="219"/>
      <c r="FYV254" s="219"/>
      <c r="FYW254" s="219"/>
      <c r="FYX254" s="219"/>
      <c r="FYY254" s="219"/>
      <c r="FYZ254" s="219"/>
      <c r="FZA254" s="219"/>
      <c r="FZB254" s="219"/>
      <c r="FZC254" s="219"/>
      <c r="FZD254" s="219"/>
      <c r="FZE254" s="219"/>
      <c r="FZF254" s="219"/>
      <c r="FZG254" s="219"/>
      <c r="FZH254" s="219"/>
      <c r="FZI254" s="219"/>
      <c r="FZJ254" s="219"/>
      <c r="FZK254" s="219"/>
      <c r="FZL254" s="219"/>
      <c r="FZM254" s="219"/>
      <c r="FZN254" s="219"/>
      <c r="FZO254" s="219"/>
      <c r="FZP254" s="219"/>
      <c r="FZQ254" s="219"/>
      <c r="FZR254" s="219"/>
      <c r="FZS254" s="219"/>
      <c r="FZT254" s="219"/>
      <c r="FZU254" s="219"/>
      <c r="FZV254" s="219"/>
      <c r="FZW254" s="219"/>
      <c r="FZX254" s="219"/>
      <c r="FZY254" s="219"/>
      <c r="FZZ254" s="219"/>
      <c r="GAA254" s="219"/>
      <c r="GAB254" s="219"/>
      <c r="GAC254" s="219"/>
      <c r="GAD254" s="219"/>
      <c r="GAE254" s="219"/>
      <c r="GAF254" s="219"/>
      <c r="GAG254" s="219"/>
      <c r="GAH254" s="219"/>
      <c r="GAI254" s="219"/>
      <c r="GAJ254" s="219"/>
      <c r="GAK254" s="219"/>
      <c r="GAL254" s="219"/>
      <c r="GAM254" s="219"/>
      <c r="GAN254" s="219"/>
      <c r="GAO254" s="219"/>
      <c r="GAP254" s="219"/>
      <c r="GAQ254" s="219"/>
      <c r="GAR254" s="219"/>
      <c r="GAS254" s="219"/>
      <c r="GAT254" s="219"/>
      <c r="GAU254" s="219"/>
      <c r="GAV254" s="219"/>
      <c r="GAW254" s="219"/>
      <c r="GAX254" s="219"/>
      <c r="GAY254" s="219"/>
      <c r="GAZ254" s="219"/>
      <c r="GBA254" s="219"/>
      <c r="GBB254" s="219"/>
      <c r="GBC254" s="219"/>
      <c r="GBD254" s="219"/>
      <c r="GBE254" s="219"/>
      <c r="GBF254" s="219"/>
      <c r="GBG254" s="219"/>
      <c r="GBH254" s="219"/>
      <c r="GBI254" s="219"/>
      <c r="GBJ254" s="219"/>
      <c r="GBK254" s="219"/>
      <c r="GBL254" s="219"/>
      <c r="GBM254" s="219"/>
      <c r="GBN254" s="219"/>
      <c r="GBO254" s="219"/>
      <c r="GBP254" s="219"/>
      <c r="GBQ254" s="219"/>
      <c r="GBR254" s="219"/>
      <c r="GBS254" s="219"/>
      <c r="GBT254" s="219"/>
      <c r="GBU254" s="219"/>
      <c r="GBV254" s="219"/>
      <c r="GBW254" s="219"/>
      <c r="GBX254" s="219"/>
      <c r="GBY254" s="219"/>
      <c r="GBZ254" s="219"/>
      <c r="GCA254" s="219"/>
      <c r="GCB254" s="219"/>
      <c r="GCC254" s="219"/>
      <c r="GCD254" s="219"/>
      <c r="GCE254" s="219"/>
      <c r="GCF254" s="219"/>
      <c r="GCG254" s="219"/>
      <c r="GCH254" s="219"/>
      <c r="GCI254" s="219"/>
      <c r="GCJ254" s="219"/>
      <c r="GCK254" s="219"/>
      <c r="GCL254" s="219"/>
      <c r="GCM254" s="219"/>
      <c r="GCN254" s="219"/>
      <c r="GCO254" s="219"/>
      <c r="GCP254" s="219"/>
      <c r="GCQ254" s="219"/>
      <c r="GCR254" s="219"/>
      <c r="GCS254" s="219"/>
      <c r="GCT254" s="219"/>
      <c r="GCU254" s="219"/>
      <c r="GCV254" s="219"/>
      <c r="GCW254" s="219"/>
      <c r="GCX254" s="219"/>
      <c r="GCY254" s="219"/>
      <c r="GCZ254" s="219"/>
      <c r="GDA254" s="219"/>
      <c r="GDB254" s="219"/>
      <c r="GDC254" s="219"/>
      <c r="GDD254" s="219"/>
      <c r="GDE254" s="219"/>
      <c r="GDF254" s="219"/>
      <c r="GDG254" s="219"/>
      <c r="GDH254" s="219"/>
      <c r="GDI254" s="219"/>
      <c r="GDJ254" s="219"/>
      <c r="GDK254" s="219"/>
      <c r="GDL254" s="219"/>
      <c r="GDM254" s="219"/>
      <c r="GDN254" s="219"/>
      <c r="GDO254" s="219"/>
      <c r="GDP254" s="219"/>
      <c r="GDQ254" s="219"/>
      <c r="GDR254" s="219"/>
      <c r="GDS254" s="219"/>
      <c r="GDT254" s="219"/>
      <c r="GDU254" s="219"/>
      <c r="GDV254" s="219"/>
      <c r="GDW254" s="219"/>
      <c r="GDX254" s="219"/>
      <c r="GDY254" s="219"/>
      <c r="GDZ254" s="219"/>
      <c r="GEA254" s="219"/>
      <c r="GEB254" s="219"/>
      <c r="GEC254" s="219"/>
      <c r="GED254" s="219"/>
      <c r="GEE254" s="219"/>
      <c r="GEF254" s="219"/>
      <c r="GEG254" s="219"/>
      <c r="GEH254" s="219"/>
      <c r="GEI254" s="219"/>
      <c r="GEJ254" s="219"/>
      <c r="GEK254" s="219"/>
      <c r="GEL254" s="219"/>
      <c r="GEM254" s="219"/>
      <c r="GEN254" s="219"/>
      <c r="GEO254" s="219"/>
      <c r="GEP254" s="219"/>
      <c r="GEQ254" s="219"/>
      <c r="GER254" s="219"/>
      <c r="GES254" s="219"/>
      <c r="GET254" s="219"/>
      <c r="GEU254" s="219"/>
      <c r="GEV254" s="219"/>
      <c r="GEW254" s="219"/>
      <c r="GEX254" s="219"/>
      <c r="GEY254" s="219"/>
      <c r="GEZ254" s="219"/>
      <c r="GFA254" s="219"/>
      <c r="GFB254" s="219"/>
      <c r="GFC254" s="219"/>
      <c r="GFD254" s="219"/>
      <c r="GFE254" s="219"/>
      <c r="GFF254" s="219"/>
      <c r="GFG254" s="219"/>
      <c r="GFH254" s="219"/>
      <c r="GFI254" s="219"/>
      <c r="GFJ254" s="219"/>
      <c r="GFK254" s="219"/>
      <c r="GFL254" s="219"/>
      <c r="GFM254" s="219"/>
      <c r="GFN254" s="219"/>
      <c r="GFO254" s="219"/>
      <c r="GFP254" s="219"/>
      <c r="GFQ254" s="219"/>
      <c r="GFR254" s="219"/>
      <c r="GFS254" s="219"/>
      <c r="GFT254" s="219"/>
      <c r="GFU254" s="219"/>
      <c r="GFV254" s="219"/>
      <c r="GFW254" s="219"/>
      <c r="GFX254" s="219"/>
      <c r="GFY254" s="219"/>
      <c r="GFZ254" s="219"/>
      <c r="GGA254" s="219"/>
      <c r="GGB254" s="219"/>
      <c r="GGC254" s="219"/>
      <c r="GGD254" s="219"/>
      <c r="GGE254" s="219"/>
      <c r="GGF254" s="219"/>
      <c r="GGG254" s="219"/>
      <c r="GGH254" s="219"/>
      <c r="GGI254" s="219"/>
      <c r="GGJ254" s="219"/>
      <c r="GGK254" s="219"/>
      <c r="GGL254" s="219"/>
      <c r="GGM254" s="219"/>
      <c r="GGN254" s="219"/>
      <c r="GGO254" s="219"/>
      <c r="GGP254" s="219"/>
      <c r="GGQ254" s="219"/>
      <c r="GGR254" s="219"/>
      <c r="GGS254" s="219"/>
      <c r="GGT254" s="219"/>
      <c r="GGU254" s="219"/>
      <c r="GGV254" s="219"/>
      <c r="GGW254" s="219"/>
      <c r="GGX254" s="219"/>
      <c r="GGY254" s="219"/>
      <c r="GGZ254" s="219"/>
      <c r="GHA254" s="219"/>
      <c r="GHB254" s="219"/>
      <c r="GHC254" s="219"/>
      <c r="GHD254" s="219"/>
      <c r="GHE254" s="219"/>
      <c r="GHF254" s="219"/>
      <c r="GHG254" s="219"/>
      <c r="GHH254" s="219"/>
      <c r="GHI254" s="219"/>
      <c r="GHJ254" s="219"/>
      <c r="GHK254" s="219"/>
      <c r="GHL254" s="219"/>
      <c r="GHM254" s="219"/>
      <c r="GHN254" s="219"/>
      <c r="GHO254" s="219"/>
      <c r="GHP254" s="219"/>
      <c r="GHQ254" s="219"/>
      <c r="GHR254" s="219"/>
      <c r="GHS254" s="219"/>
      <c r="GHT254" s="219"/>
      <c r="GHU254" s="219"/>
      <c r="GHV254" s="219"/>
      <c r="GHW254" s="219"/>
      <c r="GHX254" s="219"/>
      <c r="GHY254" s="219"/>
      <c r="GHZ254" s="219"/>
      <c r="GIA254" s="219"/>
      <c r="GIB254" s="219"/>
      <c r="GIC254" s="219"/>
      <c r="GID254" s="219"/>
      <c r="GIE254" s="219"/>
      <c r="GIF254" s="219"/>
      <c r="GIG254" s="219"/>
      <c r="GIH254" s="219"/>
      <c r="GII254" s="219"/>
      <c r="GIJ254" s="219"/>
      <c r="GIK254" s="219"/>
      <c r="GIL254" s="219"/>
      <c r="GIM254" s="219"/>
      <c r="GIN254" s="219"/>
      <c r="GIO254" s="219"/>
      <c r="GIP254" s="219"/>
      <c r="GIQ254" s="219"/>
      <c r="GIR254" s="219"/>
      <c r="GIS254" s="219"/>
      <c r="GIT254" s="219"/>
      <c r="GIU254" s="219"/>
      <c r="GIV254" s="219"/>
      <c r="GIW254" s="219"/>
      <c r="GIX254" s="219"/>
      <c r="GIY254" s="219"/>
      <c r="GIZ254" s="219"/>
      <c r="GJA254" s="219"/>
      <c r="GJB254" s="219"/>
      <c r="GJC254" s="219"/>
      <c r="GJD254" s="219"/>
      <c r="GJE254" s="219"/>
      <c r="GJF254" s="219"/>
      <c r="GJG254" s="219"/>
      <c r="GJH254" s="219"/>
      <c r="GJI254" s="219"/>
      <c r="GJJ254" s="219"/>
      <c r="GJK254" s="219"/>
      <c r="GJL254" s="219"/>
      <c r="GJM254" s="219"/>
      <c r="GJN254" s="219"/>
      <c r="GJO254" s="219"/>
      <c r="GJP254" s="219"/>
      <c r="GJQ254" s="219"/>
      <c r="GJR254" s="219"/>
      <c r="GJS254" s="219"/>
      <c r="GJT254" s="219"/>
      <c r="GJU254" s="219"/>
      <c r="GJV254" s="219"/>
      <c r="GJW254" s="219"/>
      <c r="GJX254" s="219"/>
      <c r="GJY254" s="219"/>
      <c r="GJZ254" s="219"/>
      <c r="GKA254" s="219"/>
      <c r="GKB254" s="219"/>
      <c r="GKC254" s="219"/>
      <c r="GKD254" s="219"/>
      <c r="GKE254" s="219"/>
      <c r="GKF254" s="219"/>
      <c r="GKG254" s="219"/>
      <c r="GKH254" s="219"/>
      <c r="GKI254" s="219"/>
      <c r="GKJ254" s="219"/>
      <c r="GKK254" s="219"/>
      <c r="GKL254" s="219"/>
      <c r="GKM254" s="219"/>
      <c r="GKN254" s="219"/>
      <c r="GKO254" s="219"/>
      <c r="GKP254" s="219"/>
      <c r="GKQ254" s="219"/>
      <c r="GKR254" s="219"/>
      <c r="GKS254" s="219"/>
      <c r="GKT254" s="219"/>
      <c r="GKU254" s="219"/>
      <c r="GKV254" s="219"/>
      <c r="GKW254" s="219"/>
      <c r="GKX254" s="219"/>
      <c r="GKY254" s="219"/>
      <c r="GKZ254" s="219"/>
      <c r="GLA254" s="219"/>
      <c r="GLB254" s="219"/>
      <c r="GLC254" s="219"/>
      <c r="GLD254" s="219"/>
      <c r="GLE254" s="219"/>
      <c r="GLF254" s="219"/>
      <c r="GLG254" s="219"/>
      <c r="GLH254" s="219"/>
      <c r="GLI254" s="219"/>
      <c r="GLJ254" s="219"/>
      <c r="GLK254" s="219"/>
      <c r="GLL254" s="219"/>
      <c r="GLM254" s="219"/>
      <c r="GLN254" s="219"/>
      <c r="GLO254" s="219"/>
      <c r="GLP254" s="219"/>
      <c r="GLQ254" s="219"/>
      <c r="GLR254" s="219"/>
      <c r="GLS254" s="219"/>
      <c r="GLT254" s="219"/>
      <c r="GLU254" s="219"/>
      <c r="GLV254" s="219"/>
      <c r="GLW254" s="219"/>
      <c r="GLX254" s="219"/>
      <c r="GLY254" s="219"/>
      <c r="GLZ254" s="219"/>
      <c r="GMA254" s="219"/>
      <c r="GMB254" s="219"/>
      <c r="GMC254" s="219"/>
      <c r="GMD254" s="219"/>
      <c r="GME254" s="219"/>
      <c r="GMF254" s="219"/>
      <c r="GMG254" s="219"/>
      <c r="GMH254" s="219"/>
      <c r="GMI254" s="219"/>
      <c r="GMJ254" s="219"/>
      <c r="GMK254" s="219"/>
      <c r="GML254" s="219"/>
      <c r="GMM254" s="219"/>
      <c r="GMN254" s="219"/>
      <c r="GMO254" s="219"/>
      <c r="GMP254" s="219"/>
      <c r="GMQ254" s="219"/>
      <c r="GMR254" s="219"/>
      <c r="GMS254" s="219"/>
      <c r="GMT254" s="219"/>
      <c r="GMU254" s="219"/>
      <c r="GMV254" s="219"/>
      <c r="GMW254" s="219"/>
      <c r="GMX254" s="219"/>
      <c r="GMY254" s="219"/>
      <c r="GMZ254" s="219"/>
      <c r="GNA254" s="219"/>
      <c r="GNB254" s="219"/>
      <c r="GNC254" s="219"/>
      <c r="GND254" s="219"/>
      <c r="GNE254" s="219"/>
      <c r="GNF254" s="219"/>
      <c r="GNG254" s="219"/>
      <c r="GNH254" s="219"/>
      <c r="GNI254" s="219"/>
      <c r="GNJ254" s="219"/>
      <c r="GNK254" s="219"/>
      <c r="GNL254" s="219"/>
      <c r="GNM254" s="219"/>
      <c r="GNN254" s="219"/>
      <c r="GNO254" s="219"/>
      <c r="GNP254" s="219"/>
      <c r="GNQ254" s="219"/>
      <c r="GNR254" s="219"/>
      <c r="GNS254" s="219"/>
      <c r="GNT254" s="219"/>
      <c r="GNU254" s="219"/>
      <c r="GNV254" s="219"/>
      <c r="GNW254" s="219"/>
      <c r="GNX254" s="219"/>
      <c r="GNY254" s="219"/>
      <c r="GNZ254" s="219"/>
      <c r="GOA254" s="219"/>
      <c r="GOB254" s="219"/>
      <c r="GOC254" s="219"/>
      <c r="GOD254" s="219"/>
      <c r="GOE254" s="219"/>
      <c r="GOF254" s="219"/>
      <c r="GOG254" s="219"/>
      <c r="GOH254" s="219"/>
      <c r="GOI254" s="219"/>
      <c r="GOJ254" s="219"/>
      <c r="GOK254" s="219"/>
      <c r="GOL254" s="219"/>
      <c r="GOM254" s="219"/>
      <c r="GON254" s="219"/>
      <c r="GOO254" s="219"/>
      <c r="GOP254" s="219"/>
      <c r="GOQ254" s="219"/>
      <c r="GOR254" s="219"/>
      <c r="GOS254" s="219"/>
      <c r="GOT254" s="219"/>
      <c r="GOU254" s="219"/>
      <c r="GOV254" s="219"/>
      <c r="GOW254" s="219"/>
      <c r="GOX254" s="219"/>
      <c r="GOY254" s="219"/>
      <c r="GOZ254" s="219"/>
      <c r="GPA254" s="219"/>
      <c r="GPB254" s="219"/>
      <c r="GPC254" s="219"/>
      <c r="GPD254" s="219"/>
      <c r="GPE254" s="219"/>
      <c r="GPF254" s="219"/>
      <c r="GPG254" s="219"/>
      <c r="GPH254" s="219"/>
      <c r="GPI254" s="219"/>
      <c r="GPJ254" s="219"/>
      <c r="GPK254" s="219"/>
      <c r="GPL254" s="219"/>
      <c r="GPM254" s="219"/>
      <c r="GPN254" s="219"/>
      <c r="GPO254" s="219"/>
      <c r="GPP254" s="219"/>
      <c r="GPQ254" s="219"/>
      <c r="GPR254" s="219"/>
      <c r="GPS254" s="219"/>
      <c r="GPT254" s="219"/>
      <c r="GPU254" s="219"/>
      <c r="GPV254" s="219"/>
      <c r="GPW254" s="219"/>
      <c r="GPX254" s="219"/>
      <c r="GPY254" s="219"/>
      <c r="GPZ254" s="219"/>
      <c r="GQA254" s="219"/>
      <c r="GQB254" s="219"/>
      <c r="GQC254" s="219"/>
      <c r="GQD254" s="219"/>
      <c r="GQE254" s="219"/>
      <c r="GQF254" s="219"/>
      <c r="GQG254" s="219"/>
      <c r="GQH254" s="219"/>
      <c r="GQI254" s="219"/>
      <c r="GQJ254" s="219"/>
      <c r="GQK254" s="219"/>
      <c r="GQL254" s="219"/>
      <c r="GQM254" s="219"/>
      <c r="GQN254" s="219"/>
      <c r="GQO254" s="219"/>
      <c r="GQP254" s="219"/>
      <c r="GQQ254" s="219"/>
      <c r="GQR254" s="219"/>
      <c r="GQS254" s="219"/>
      <c r="GQT254" s="219"/>
      <c r="GQU254" s="219"/>
      <c r="GQV254" s="219"/>
      <c r="GQW254" s="219"/>
      <c r="GQX254" s="219"/>
      <c r="GQY254" s="219"/>
      <c r="GQZ254" s="219"/>
      <c r="GRA254" s="219"/>
      <c r="GRB254" s="219"/>
      <c r="GRC254" s="219"/>
      <c r="GRD254" s="219"/>
      <c r="GRE254" s="219"/>
      <c r="GRF254" s="219"/>
      <c r="GRG254" s="219"/>
      <c r="GRH254" s="219"/>
      <c r="GRI254" s="219"/>
      <c r="GRJ254" s="219"/>
      <c r="GRK254" s="219"/>
      <c r="GRL254" s="219"/>
      <c r="GRM254" s="219"/>
      <c r="GRN254" s="219"/>
      <c r="GRO254" s="219"/>
      <c r="GRP254" s="219"/>
      <c r="GRQ254" s="219"/>
      <c r="GRR254" s="219"/>
      <c r="GRS254" s="219"/>
      <c r="GRT254" s="219"/>
      <c r="GRU254" s="219"/>
      <c r="GRV254" s="219"/>
      <c r="GRW254" s="219"/>
      <c r="GRX254" s="219"/>
      <c r="GRY254" s="219"/>
      <c r="GRZ254" s="219"/>
      <c r="GSA254" s="219"/>
      <c r="GSB254" s="219"/>
      <c r="GSC254" s="219"/>
      <c r="GSD254" s="219"/>
      <c r="GSE254" s="219"/>
      <c r="GSF254" s="219"/>
      <c r="GSG254" s="219"/>
      <c r="GSH254" s="219"/>
      <c r="GSI254" s="219"/>
      <c r="GSJ254" s="219"/>
      <c r="GSK254" s="219"/>
      <c r="GSL254" s="219"/>
      <c r="GSM254" s="219"/>
      <c r="GSN254" s="219"/>
      <c r="GSO254" s="219"/>
      <c r="GSP254" s="219"/>
      <c r="GSQ254" s="219"/>
      <c r="GSR254" s="219"/>
      <c r="GSS254" s="219"/>
      <c r="GST254" s="219"/>
      <c r="GSU254" s="219"/>
      <c r="GSV254" s="219"/>
      <c r="GSW254" s="219"/>
      <c r="GSX254" s="219"/>
      <c r="GSY254" s="219"/>
      <c r="GSZ254" s="219"/>
      <c r="GTA254" s="219"/>
      <c r="GTB254" s="219"/>
      <c r="GTC254" s="219"/>
      <c r="GTD254" s="219"/>
      <c r="GTE254" s="219"/>
      <c r="GTF254" s="219"/>
      <c r="GTG254" s="219"/>
      <c r="GTH254" s="219"/>
      <c r="GTI254" s="219"/>
      <c r="GTJ254" s="219"/>
      <c r="GTK254" s="219"/>
      <c r="GTL254" s="219"/>
      <c r="GTM254" s="219"/>
      <c r="GTN254" s="219"/>
      <c r="GTO254" s="219"/>
      <c r="GTP254" s="219"/>
      <c r="GTQ254" s="219"/>
      <c r="GTR254" s="219"/>
      <c r="GTS254" s="219"/>
      <c r="GTT254" s="219"/>
      <c r="GTU254" s="219"/>
      <c r="GTV254" s="219"/>
      <c r="GTW254" s="219"/>
      <c r="GTX254" s="219"/>
      <c r="GTY254" s="219"/>
      <c r="GTZ254" s="219"/>
      <c r="GUA254" s="219"/>
      <c r="GUB254" s="219"/>
      <c r="GUC254" s="219"/>
      <c r="GUD254" s="219"/>
      <c r="GUE254" s="219"/>
      <c r="GUF254" s="219"/>
      <c r="GUG254" s="219"/>
      <c r="GUH254" s="219"/>
      <c r="GUI254" s="219"/>
      <c r="GUJ254" s="219"/>
      <c r="GUK254" s="219"/>
      <c r="GUL254" s="219"/>
      <c r="GUM254" s="219"/>
      <c r="GUN254" s="219"/>
      <c r="GUO254" s="219"/>
      <c r="GUP254" s="219"/>
      <c r="GUQ254" s="219"/>
      <c r="GUR254" s="219"/>
      <c r="GUS254" s="219"/>
      <c r="GUT254" s="219"/>
      <c r="GUU254" s="219"/>
      <c r="GUV254" s="219"/>
      <c r="GUW254" s="219"/>
      <c r="GUX254" s="219"/>
      <c r="GUY254" s="219"/>
      <c r="GUZ254" s="219"/>
      <c r="GVA254" s="219"/>
      <c r="GVB254" s="219"/>
      <c r="GVC254" s="219"/>
      <c r="GVD254" s="219"/>
      <c r="GVE254" s="219"/>
      <c r="GVF254" s="219"/>
      <c r="GVG254" s="219"/>
      <c r="GVH254" s="219"/>
      <c r="GVI254" s="219"/>
      <c r="GVJ254" s="219"/>
      <c r="GVK254" s="219"/>
      <c r="GVL254" s="219"/>
      <c r="GVM254" s="219"/>
      <c r="GVN254" s="219"/>
      <c r="GVO254" s="219"/>
      <c r="GVP254" s="219"/>
      <c r="GVQ254" s="219"/>
      <c r="GVR254" s="219"/>
      <c r="GVS254" s="219"/>
      <c r="GVT254" s="219"/>
      <c r="GVU254" s="219"/>
      <c r="GVV254" s="219"/>
      <c r="GVW254" s="219"/>
      <c r="GVX254" s="219"/>
      <c r="GVY254" s="219"/>
      <c r="GVZ254" s="219"/>
      <c r="GWA254" s="219"/>
      <c r="GWB254" s="219"/>
      <c r="GWC254" s="219"/>
      <c r="GWD254" s="219"/>
      <c r="GWE254" s="219"/>
      <c r="GWF254" s="219"/>
      <c r="GWG254" s="219"/>
      <c r="GWH254" s="219"/>
      <c r="GWI254" s="219"/>
      <c r="GWJ254" s="219"/>
      <c r="GWK254" s="219"/>
      <c r="GWL254" s="219"/>
      <c r="GWM254" s="219"/>
      <c r="GWN254" s="219"/>
      <c r="GWO254" s="219"/>
      <c r="GWP254" s="219"/>
      <c r="GWQ254" s="219"/>
      <c r="GWR254" s="219"/>
      <c r="GWS254" s="219"/>
      <c r="GWT254" s="219"/>
      <c r="GWU254" s="219"/>
      <c r="GWV254" s="219"/>
      <c r="GWW254" s="219"/>
      <c r="GWX254" s="219"/>
      <c r="GWY254" s="219"/>
      <c r="GWZ254" s="219"/>
      <c r="GXA254" s="219"/>
      <c r="GXB254" s="219"/>
      <c r="GXC254" s="219"/>
      <c r="GXD254" s="219"/>
      <c r="GXE254" s="219"/>
      <c r="GXF254" s="219"/>
      <c r="GXG254" s="219"/>
      <c r="GXH254" s="219"/>
      <c r="GXI254" s="219"/>
      <c r="GXJ254" s="219"/>
      <c r="GXK254" s="219"/>
      <c r="GXL254" s="219"/>
      <c r="GXM254" s="219"/>
      <c r="GXN254" s="219"/>
      <c r="GXO254" s="219"/>
      <c r="GXP254" s="219"/>
      <c r="GXQ254" s="219"/>
      <c r="GXR254" s="219"/>
      <c r="GXS254" s="219"/>
      <c r="GXT254" s="219"/>
      <c r="GXU254" s="219"/>
      <c r="GXV254" s="219"/>
      <c r="GXW254" s="219"/>
      <c r="GXX254" s="219"/>
      <c r="GXY254" s="219"/>
      <c r="GXZ254" s="219"/>
      <c r="GYA254" s="219"/>
      <c r="GYB254" s="219"/>
      <c r="GYC254" s="219"/>
      <c r="GYD254" s="219"/>
      <c r="GYE254" s="219"/>
      <c r="GYF254" s="219"/>
      <c r="GYG254" s="219"/>
      <c r="GYH254" s="219"/>
      <c r="GYI254" s="219"/>
      <c r="GYJ254" s="219"/>
      <c r="GYK254" s="219"/>
      <c r="GYL254" s="219"/>
      <c r="GYM254" s="219"/>
      <c r="GYN254" s="219"/>
      <c r="GYO254" s="219"/>
      <c r="GYP254" s="219"/>
      <c r="GYQ254" s="219"/>
      <c r="GYR254" s="219"/>
      <c r="GYS254" s="219"/>
      <c r="GYT254" s="219"/>
      <c r="GYU254" s="219"/>
      <c r="GYV254" s="219"/>
      <c r="GYW254" s="219"/>
      <c r="GYX254" s="219"/>
      <c r="GYY254" s="219"/>
      <c r="GYZ254" s="219"/>
      <c r="GZA254" s="219"/>
      <c r="GZB254" s="219"/>
      <c r="GZC254" s="219"/>
      <c r="GZD254" s="219"/>
      <c r="GZE254" s="219"/>
      <c r="GZF254" s="219"/>
      <c r="GZG254" s="219"/>
      <c r="GZH254" s="219"/>
      <c r="GZI254" s="219"/>
      <c r="GZJ254" s="219"/>
      <c r="GZK254" s="219"/>
      <c r="GZL254" s="219"/>
      <c r="GZM254" s="219"/>
      <c r="GZN254" s="219"/>
      <c r="GZO254" s="219"/>
      <c r="GZP254" s="219"/>
      <c r="GZQ254" s="219"/>
      <c r="GZR254" s="219"/>
      <c r="GZS254" s="219"/>
      <c r="GZT254" s="219"/>
      <c r="GZU254" s="219"/>
      <c r="GZV254" s="219"/>
      <c r="GZW254" s="219"/>
      <c r="GZX254" s="219"/>
      <c r="GZY254" s="219"/>
      <c r="GZZ254" s="219"/>
      <c r="HAA254" s="219"/>
      <c r="HAB254" s="219"/>
      <c r="HAC254" s="219"/>
      <c r="HAD254" s="219"/>
      <c r="HAE254" s="219"/>
      <c r="HAF254" s="219"/>
      <c r="HAG254" s="219"/>
      <c r="HAH254" s="219"/>
      <c r="HAI254" s="219"/>
      <c r="HAJ254" s="219"/>
      <c r="HAK254" s="219"/>
      <c r="HAL254" s="219"/>
      <c r="HAM254" s="219"/>
      <c r="HAN254" s="219"/>
      <c r="HAO254" s="219"/>
      <c r="HAP254" s="219"/>
      <c r="HAQ254" s="219"/>
      <c r="HAR254" s="219"/>
      <c r="HAS254" s="219"/>
      <c r="HAT254" s="219"/>
      <c r="HAU254" s="219"/>
      <c r="HAV254" s="219"/>
      <c r="HAW254" s="219"/>
      <c r="HAX254" s="219"/>
      <c r="HAY254" s="219"/>
      <c r="HAZ254" s="219"/>
      <c r="HBA254" s="219"/>
      <c r="HBB254" s="219"/>
      <c r="HBC254" s="219"/>
      <c r="HBD254" s="219"/>
      <c r="HBE254" s="219"/>
      <c r="HBF254" s="219"/>
      <c r="HBG254" s="219"/>
      <c r="HBH254" s="219"/>
      <c r="HBI254" s="219"/>
      <c r="HBJ254" s="219"/>
      <c r="HBK254" s="219"/>
      <c r="HBL254" s="219"/>
      <c r="HBM254" s="219"/>
      <c r="HBN254" s="219"/>
      <c r="HBO254" s="219"/>
      <c r="HBP254" s="219"/>
      <c r="HBQ254" s="219"/>
      <c r="HBR254" s="219"/>
      <c r="HBS254" s="219"/>
      <c r="HBT254" s="219"/>
      <c r="HBU254" s="219"/>
      <c r="HBV254" s="219"/>
      <c r="HBW254" s="219"/>
      <c r="HBX254" s="219"/>
      <c r="HBY254" s="219"/>
      <c r="HBZ254" s="219"/>
      <c r="HCA254" s="219"/>
      <c r="HCB254" s="219"/>
      <c r="HCC254" s="219"/>
      <c r="HCD254" s="219"/>
      <c r="HCE254" s="219"/>
      <c r="HCF254" s="219"/>
      <c r="HCG254" s="219"/>
      <c r="HCH254" s="219"/>
      <c r="HCI254" s="219"/>
      <c r="HCJ254" s="219"/>
      <c r="HCK254" s="219"/>
      <c r="HCL254" s="219"/>
      <c r="HCM254" s="219"/>
      <c r="HCN254" s="219"/>
      <c r="HCO254" s="219"/>
      <c r="HCP254" s="219"/>
      <c r="HCQ254" s="219"/>
      <c r="HCR254" s="219"/>
      <c r="HCS254" s="219"/>
      <c r="HCT254" s="219"/>
      <c r="HCU254" s="219"/>
      <c r="HCV254" s="219"/>
      <c r="HCW254" s="219"/>
      <c r="HCX254" s="219"/>
      <c r="HCY254" s="219"/>
      <c r="HCZ254" s="219"/>
      <c r="HDA254" s="219"/>
      <c r="HDB254" s="219"/>
      <c r="HDC254" s="219"/>
      <c r="HDD254" s="219"/>
      <c r="HDE254" s="219"/>
      <c r="HDF254" s="219"/>
      <c r="HDG254" s="219"/>
      <c r="HDH254" s="219"/>
      <c r="HDI254" s="219"/>
      <c r="HDJ254" s="219"/>
      <c r="HDK254" s="219"/>
      <c r="HDL254" s="219"/>
      <c r="HDM254" s="219"/>
      <c r="HDN254" s="219"/>
      <c r="HDO254" s="219"/>
      <c r="HDP254" s="219"/>
      <c r="HDQ254" s="219"/>
      <c r="HDR254" s="219"/>
      <c r="HDS254" s="219"/>
      <c r="HDT254" s="219"/>
      <c r="HDU254" s="219"/>
      <c r="HDV254" s="219"/>
      <c r="HDW254" s="219"/>
      <c r="HDX254" s="219"/>
      <c r="HDY254" s="219"/>
      <c r="HDZ254" s="219"/>
      <c r="HEA254" s="219"/>
      <c r="HEB254" s="219"/>
      <c r="HEC254" s="219"/>
      <c r="HED254" s="219"/>
      <c r="HEE254" s="219"/>
      <c r="HEF254" s="219"/>
      <c r="HEG254" s="219"/>
      <c r="HEH254" s="219"/>
      <c r="HEI254" s="219"/>
      <c r="HEJ254" s="219"/>
      <c r="HEK254" s="219"/>
      <c r="HEL254" s="219"/>
      <c r="HEM254" s="219"/>
      <c r="HEN254" s="219"/>
      <c r="HEO254" s="219"/>
      <c r="HEP254" s="219"/>
      <c r="HEQ254" s="219"/>
      <c r="HER254" s="219"/>
      <c r="HES254" s="219"/>
      <c r="HET254" s="219"/>
      <c r="HEU254" s="219"/>
      <c r="HEV254" s="219"/>
      <c r="HEW254" s="219"/>
      <c r="HEX254" s="219"/>
      <c r="HEY254" s="219"/>
      <c r="HEZ254" s="219"/>
      <c r="HFA254" s="219"/>
      <c r="HFB254" s="219"/>
      <c r="HFC254" s="219"/>
      <c r="HFD254" s="219"/>
      <c r="HFE254" s="219"/>
      <c r="HFF254" s="219"/>
      <c r="HFG254" s="219"/>
      <c r="HFH254" s="219"/>
      <c r="HFI254" s="219"/>
      <c r="HFJ254" s="219"/>
      <c r="HFK254" s="219"/>
      <c r="HFL254" s="219"/>
      <c r="HFM254" s="219"/>
      <c r="HFN254" s="219"/>
      <c r="HFO254" s="219"/>
      <c r="HFP254" s="219"/>
      <c r="HFQ254" s="219"/>
      <c r="HFR254" s="219"/>
      <c r="HFS254" s="219"/>
      <c r="HFT254" s="219"/>
      <c r="HFU254" s="219"/>
      <c r="HFV254" s="219"/>
      <c r="HFW254" s="219"/>
      <c r="HFX254" s="219"/>
      <c r="HFY254" s="219"/>
      <c r="HFZ254" s="219"/>
      <c r="HGA254" s="219"/>
      <c r="HGB254" s="219"/>
      <c r="HGC254" s="219"/>
      <c r="HGD254" s="219"/>
      <c r="HGE254" s="219"/>
      <c r="HGF254" s="219"/>
      <c r="HGG254" s="219"/>
      <c r="HGH254" s="219"/>
      <c r="HGI254" s="219"/>
      <c r="HGJ254" s="219"/>
      <c r="HGK254" s="219"/>
      <c r="HGL254" s="219"/>
      <c r="HGM254" s="219"/>
      <c r="HGN254" s="219"/>
      <c r="HGO254" s="219"/>
      <c r="HGP254" s="219"/>
      <c r="HGQ254" s="219"/>
      <c r="HGR254" s="219"/>
      <c r="HGS254" s="219"/>
      <c r="HGT254" s="219"/>
      <c r="HGU254" s="219"/>
      <c r="HGV254" s="219"/>
      <c r="HGW254" s="219"/>
      <c r="HGX254" s="219"/>
      <c r="HGY254" s="219"/>
      <c r="HGZ254" s="219"/>
      <c r="HHA254" s="219"/>
      <c r="HHB254" s="219"/>
      <c r="HHC254" s="219"/>
      <c r="HHD254" s="219"/>
      <c r="HHE254" s="219"/>
      <c r="HHF254" s="219"/>
      <c r="HHG254" s="219"/>
      <c r="HHH254" s="219"/>
      <c r="HHI254" s="219"/>
      <c r="HHJ254" s="219"/>
      <c r="HHK254" s="219"/>
      <c r="HHL254" s="219"/>
      <c r="HHM254" s="219"/>
      <c r="HHN254" s="219"/>
      <c r="HHO254" s="219"/>
      <c r="HHP254" s="219"/>
      <c r="HHQ254" s="219"/>
      <c r="HHR254" s="219"/>
      <c r="HHS254" s="219"/>
      <c r="HHT254" s="219"/>
      <c r="HHU254" s="219"/>
      <c r="HHV254" s="219"/>
      <c r="HHW254" s="219"/>
      <c r="HHX254" s="219"/>
      <c r="HHY254" s="219"/>
      <c r="HHZ254" s="219"/>
      <c r="HIA254" s="219"/>
      <c r="HIB254" s="219"/>
      <c r="HIC254" s="219"/>
      <c r="HID254" s="219"/>
      <c r="HIE254" s="219"/>
      <c r="HIF254" s="219"/>
      <c r="HIG254" s="219"/>
      <c r="HIH254" s="219"/>
      <c r="HII254" s="219"/>
      <c r="HIJ254" s="219"/>
      <c r="HIK254" s="219"/>
      <c r="HIL254" s="219"/>
      <c r="HIM254" s="219"/>
      <c r="HIN254" s="219"/>
      <c r="HIO254" s="219"/>
      <c r="HIP254" s="219"/>
      <c r="HIQ254" s="219"/>
      <c r="HIR254" s="219"/>
      <c r="HIS254" s="219"/>
      <c r="HIT254" s="219"/>
      <c r="HIU254" s="219"/>
      <c r="HIV254" s="219"/>
      <c r="HIW254" s="219"/>
      <c r="HIX254" s="219"/>
      <c r="HIY254" s="219"/>
      <c r="HIZ254" s="219"/>
      <c r="HJA254" s="219"/>
      <c r="HJB254" s="219"/>
      <c r="HJC254" s="219"/>
      <c r="HJD254" s="219"/>
      <c r="HJE254" s="219"/>
      <c r="HJF254" s="219"/>
      <c r="HJG254" s="219"/>
      <c r="HJH254" s="219"/>
      <c r="HJI254" s="219"/>
      <c r="HJJ254" s="219"/>
      <c r="HJK254" s="219"/>
      <c r="HJL254" s="219"/>
      <c r="HJM254" s="219"/>
      <c r="HJN254" s="219"/>
      <c r="HJO254" s="219"/>
      <c r="HJP254" s="219"/>
      <c r="HJQ254" s="219"/>
      <c r="HJR254" s="219"/>
      <c r="HJS254" s="219"/>
      <c r="HJT254" s="219"/>
      <c r="HJU254" s="219"/>
      <c r="HJV254" s="219"/>
      <c r="HJW254" s="219"/>
      <c r="HJX254" s="219"/>
      <c r="HJY254" s="219"/>
      <c r="HJZ254" s="219"/>
      <c r="HKA254" s="219"/>
      <c r="HKB254" s="219"/>
      <c r="HKC254" s="219"/>
      <c r="HKD254" s="219"/>
      <c r="HKE254" s="219"/>
      <c r="HKF254" s="219"/>
      <c r="HKG254" s="219"/>
      <c r="HKH254" s="219"/>
      <c r="HKI254" s="219"/>
      <c r="HKJ254" s="219"/>
      <c r="HKK254" s="219"/>
      <c r="HKL254" s="219"/>
      <c r="HKM254" s="219"/>
      <c r="HKN254" s="219"/>
      <c r="HKO254" s="219"/>
      <c r="HKP254" s="219"/>
      <c r="HKQ254" s="219"/>
      <c r="HKR254" s="219"/>
      <c r="HKS254" s="219"/>
      <c r="HKT254" s="219"/>
      <c r="HKU254" s="219"/>
      <c r="HKV254" s="219"/>
      <c r="HKW254" s="219"/>
      <c r="HKX254" s="219"/>
      <c r="HKY254" s="219"/>
      <c r="HKZ254" s="219"/>
      <c r="HLA254" s="219"/>
      <c r="HLB254" s="219"/>
      <c r="HLC254" s="219"/>
      <c r="HLD254" s="219"/>
      <c r="HLE254" s="219"/>
      <c r="HLF254" s="219"/>
      <c r="HLG254" s="219"/>
      <c r="HLH254" s="219"/>
      <c r="HLI254" s="219"/>
      <c r="HLJ254" s="219"/>
      <c r="HLK254" s="219"/>
      <c r="HLL254" s="219"/>
      <c r="HLM254" s="219"/>
      <c r="HLN254" s="219"/>
      <c r="HLO254" s="219"/>
      <c r="HLP254" s="219"/>
      <c r="HLQ254" s="219"/>
      <c r="HLR254" s="219"/>
      <c r="HLS254" s="219"/>
      <c r="HLT254" s="219"/>
      <c r="HLU254" s="219"/>
      <c r="HLV254" s="219"/>
      <c r="HLW254" s="219"/>
      <c r="HLX254" s="219"/>
      <c r="HLY254" s="219"/>
      <c r="HLZ254" s="219"/>
      <c r="HMA254" s="219"/>
      <c r="HMB254" s="219"/>
      <c r="HMC254" s="219"/>
      <c r="HMD254" s="219"/>
      <c r="HME254" s="219"/>
      <c r="HMF254" s="219"/>
      <c r="HMG254" s="219"/>
      <c r="HMH254" s="219"/>
      <c r="HMI254" s="219"/>
      <c r="HMJ254" s="219"/>
      <c r="HMK254" s="219"/>
      <c r="HML254" s="219"/>
      <c r="HMM254" s="219"/>
      <c r="HMN254" s="219"/>
      <c r="HMO254" s="219"/>
      <c r="HMP254" s="219"/>
      <c r="HMQ254" s="219"/>
      <c r="HMR254" s="219"/>
      <c r="HMS254" s="219"/>
      <c r="HMT254" s="219"/>
      <c r="HMU254" s="219"/>
      <c r="HMV254" s="219"/>
      <c r="HMW254" s="219"/>
      <c r="HMX254" s="219"/>
      <c r="HMY254" s="219"/>
      <c r="HMZ254" s="219"/>
      <c r="HNA254" s="219"/>
      <c r="HNB254" s="219"/>
      <c r="HNC254" s="219"/>
      <c r="HND254" s="219"/>
      <c r="HNE254" s="219"/>
      <c r="HNF254" s="219"/>
      <c r="HNG254" s="219"/>
      <c r="HNH254" s="219"/>
      <c r="HNI254" s="219"/>
      <c r="HNJ254" s="219"/>
      <c r="HNK254" s="219"/>
      <c r="HNL254" s="219"/>
      <c r="HNM254" s="219"/>
      <c r="HNN254" s="219"/>
      <c r="HNO254" s="219"/>
      <c r="HNP254" s="219"/>
      <c r="HNQ254" s="219"/>
      <c r="HNR254" s="219"/>
      <c r="HNS254" s="219"/>
      <c r="HNT254" s="219"/>
      <c r="HNU254" s="219"/>
      <c r="HNV254" s="219"/>
      <c r="HNW254" s="219"/>
      <c r="HNX254" s="219"/>
      <c r="HNY254" s="219"/>
      <c r="HNZ254" s="219"/>
      <c r="HOA254" s="219"/>
      <c r="HOB254" s="219"/>
      <c r="HOC254" s="219"/>
      <c r="HOD254" s="219"/>
      <c r="HOE254" s="219"/>
      <c r="HOF254" s="219"/>
      <c r="HOG254" s="219"/>
      <c r="HOH254" s="219"/>
      <c r="HOI254" s="219"/>
      <c r="HOJ254" s="219"/>
      <c r="HOK254" s="219"/>
      <c r="HOL254" s="219"/>
      <c r="HOM254" s="219"/>
      <c r="HON254" s="219"/>
      <c r="HOO254" s="219"/>
      <c r="HOP254" s="219"/>
      <c r="HOQ254" s="219"/>
      <c r="HOR254" s="219"/>
      <c r="HOS254" s="219"/>
      <c r="HOT254" s="219"/>
      <c r="HOU254" s="219"/>
      <c r="HOV254" s="219"/>
      <c r="HOW254" s="219"/>
      <c r="HOX254" s="219"/>
      <c r="HOY254" s="219"/>
      <c r="HOZ254" s="219"/>
      <c r="HPA254" s="219"/>
      <c r="HPB254" s="219"/>
      <c r="HPC254" s="219"/>
      <c r="HPD254" s="219"/>
      <c r="HPE254" s="219"/>
      <c r="HPF254" s="219"/>
      <c r="HPG254" s="219"/>
      <c r="HPH254" s="219"/>
      <c r="HPI254" s="219"/>
      <c r="HPJ254" s="219"/>
      <c r="HPK254" s="219"/>
      <c r="HPL254" s="219"/>
      <c r="HPM254" s="219"/>
      <c r="HPN254" s="219"/>
      <c r="HPO254" s="219"/>
      <c r="HPP254" s="219"/>
      <c r="HPQ254" s="219"/>
      <c r="HPR254" s="219"/>
      <c r="HPS254" s="219"/>
      <c r="HPT254" s="219"/>
      <c r="HPU254" s="219"/>
      <c r="HPV254" s="219"/>
      <c r="HPW254" s="219"/>
      <c r="HPX254" s="219"/>
      <c r="HPY254" s="219"/>
      <c r="HPZ254" s="219"/>
      <c r="HQA254" s="219"/>
      <c r="HQB254" s="219"/>
      <c r="HQC254" s="219"/>
      <c r="HQD254" s="219"/>
      <c r="HQE254" s="219"/>
      <c r="HQF254" s="219"/>
      <c r="HQG254" s="219"/>
      <c r="HQH254" s="219"/>
      <c r="HQI254" s="219"/>
      <c r="HQJ254" s="219"/>
      <c r="HQK254" s="219"/>
      <c r="HQL254" s="219"/>
      <c r="HQM254" s="219"/>
      <c r="HQN254" s="219"/>
      <c r="HQO254" s="219"/>
      <c r="HQP254" s="219"/>
      <c r="HQQ254" s="219"/>
      <c r="HQR254" s="219"/>
      <c r="HQS254" s="219"/>
      <c r="HQT254" s="219"/>
      <c r="HQU254" s="219"/>
      <c r="HQV254" s="219"/>
      <c r="HQW254" s="219"/>
      <c r="HQX254" s="219"/>
      <c r="HQY254" s="219"/>
      <c r="HQZ254" s="219"/>
      <c r="HRA254" s="219"/>
      <c r="HRB254" s="219"/>
      <c r="HRC254" s="219"/>
      <c r="HRD254" s="219"/>
      <c r="HRE254" s="219"/>
      <c r="HRF254" s="219"/>
      <c r="HRG254" s="219"/>
      <c r="HRH254" s="219"/>
      <c r="HRI254" s="219"/>
      <c r="HRJ254" s="219"/>
      <c r="HRK254" s="219"/>
      <c r="HRL254" s="219"/>
      <c r="HRM254" s="219"/>
      <c r="HRN254" s="219"/>
      <c r="HRO254" s="219"/>
      <c r="HRP254" s="219"/>
      <c r="HRQ254" s="219"/>
      <c r="HRR254" s="219"/>
      <c r="HRS254" s="219"/>
      <c r="HRT254" s="219"/>
      <c r="HRU254" s="219"/>
      <c r="HRV254" s="219"/>
      <c r="HRW254" s="219"/>
      <c r="HRX254" s="219"/>
      <c r="HRY254" s="219"/>
      <c r="HRZ254" s="219"/>
      <c r="HSA254" s="219"/>
      <c r="HSB254" s="219"/>
      <c r="HSC254" s="219"/>
      <c r="HSD254" s="219"/>
      <c r="HSE254" s="219"/>
      <c r="HSF254" s="219"/>
      <c r="HSG254" s="219"/>
      <c r="HSH254" s="219"/>
      <c r="HSI254" s="219"/>
      <c r="HSJ254" s="219"/>
      <c r="HSK254" s="219"/>
      <c r="HSL254" s="219"/>
      <c r="HSM254" s="219"/>
      <c r="HSN254" s="219"/>
      <c r="HSO254" s="219"/>
      <c r="HSP254" s="219"/>
      <c r="HSQ254" s="219"/>
      <c r="HSR254" s="219"/>
      <c r="HSS254" s="219"/>
      <c r="HST254" s="219"/>
      <c r="HSU254" s="219"/>
      <c r="HSV254" s="219"/>
      <c r="HSW254" s="219"/>
      <c r="HSX254" s="219"/>
      <c r="HSY254" s="219"/>
      <c r="HSZ254" s="219"/>
      <c r="HTA254" s="219"/>
      <c r="HTB254" s="219"/>
      <c r="HTC254" s="219"/>
      <c r="HTD254" s="219"/>
      <c r="HTE254" s="219"/>
      <c r="HTF254" s="219"/>
      <c r="HTG254" s="219"/>
      <c r="HTH254" s="219"/>
      <c r="HTI254" s="219"/>
      <c r="HTJ254" s="219"/>
      <c r="HTK254" s="219"/>
      <c r="HTL254" s="219"/>
      <c r="HTM254" s="219"/>
      <c r="HTN254" s="219"/>
      <c r="HTO254" s="219"/>
      <c r="HTP254" s="219"/>
      <c r="HTQ254" s="219"/>
      <c r="HTR254" s="219"/>
      <c r="HTS254" s="219"/>
      <c r="HTT254" s="219"/>
      <c r="HTU254" s="219"/>
      <c r="HTV254" s="219"/>
      <c r="HTW254" s="219"/>
      <c r="HTX254" s="219"/>
      <c r="HTY254" s="219"/>
      <c r="HTZ254" s="219"/>
      <c r="HUA254" s="219"/>
      <c r="HUB254" s="219"/>
      <c r="HUC254" s="219"/>
      <c r="HUD254" s="219"/>
      <c r="HUE254" s="219"/>
      <c r="HUF254" s="219"/>
      <c r="HUG254" s="219"/>
      <c r="HUH254" s="219"/>
      <c r="HUI254" s="219"/>
      <c r="HUJ254" s="219"/>
      <c r="HUK254" s="219"/>
      <c r="HUL254" s="219"/>
      <c r="HUM254" s="219"/>
      <c r="HUN254" s="219"/>
      <c r="HUO254" s="219"/>
      <c r="HUP254" s="219"/>
      <c r="HUQ254" s="219"/>
      <c r="HUR254" s="219"/>
      <c r="HUS254" s="219"/>
      <c r="HUT254" s="219"/>
      <c r="HUU254" s="219"/>
      <c r="HUV254" s="219"/>
      <c r="HUW254" s="219"/>
      <c r="HUX254" s="219"/>
      <c r="HUY254" s="219"/>
      <c r="HUZ254" s="219"/>
      <c r="HVA254" s="219"/>
      <c r="HVB254" s="219"/>
      <c r="HVC254" s="219"/>
      <c r="HVD254" s="219"/>
      <c r="HVE254" s="219"/>
      <c r="HVF254" s="219"/>
      <c r="HVG254" s="219"/>
      <c r="HVH254" s="219"/>
      <c r="HVI254" s="219"/>
      <c r="HVJ254" s="219"/>
      <c r="HVK254" s="219"/>
      <c r="HVL254" s="219"/>
      <c r="HVM254" s="219"/>
      <c r="HVN254" s="219"/>
      <c r="HVO254" s="219"/>
      <c r="HVP254" s="219"/>
      <c r="HVQ254" s="219"/>
      <c r="HVR254" s="219"/>
      <c r="HVS254" s="219"/>
      <c r="HVT254" s="219"/>
      <c r="HVU254" s="219"/>
      <c r="HVV254" s="219"/>
      <c r="HVW254" s="219"/>
      <c r="HVX254" s="219"/>
      <c r="HVY254" s="219"/>
      <c r="HVZ254" s="219"/>
      <c r="HWA254" s="219"/>
      <c r="HWB254" s="219"/>
      <c r="HWC254" s="219"/>
      <c r="HWD254" s="219"/>
      <c r="HWE254" s="219"/>
      <c r="HWF254" s="219"/>
      <c r="HWG254" s="219"/>
      <c r="HWH254" s="219"/>
      <c r="HWI254" s="219"/>
      <c r="HWJ254" s="219"/>
      <c r="HWK254" s="219"/>
      <c r="HWL254" s="219"/>
      <c r="HWM254" s="219"/>
      <c r="HWN254" s="219"/>
      <c r="HWO254" s="219"/>
      <c r="HWP254" s="219"/>
      <c r="HWQ254" s="219"/>
      <c r="HWR254" s="219"/>
      <c r="HWS254" s="219"/>
      <c r="HWT254" s="219"/>
      <c r="HWU254" s="219"/>
      <c r="HWV254" s="219"/>
      <c r="HWW254" s="219"/>
      <c r="HWX254" s="219"/>
      <c r="HWY254" s="219"/>
      <c r="HWZ254" s="219"/>
      <c r="HXA254" s="219"/>
      <c r="HXB254" s="219"/>
      <c r="HXC254" s="219"/>
      <c r="HXD254" s="219"/>
      <c r="HXE254" s="219"/>
      <c r="HXF254" s="219"/>
      <c r="HXG254" s="219"/>
      <c r="HXH254" s="219"/>
      <c r="HXI254" s="219"/>
      <c r="HXJ254" s="219"/>
      <c r="HXK254" s="219"/>
      <c r="HXL254" s="219"/>
      <c r="HXM254" s="219"/>
      <c r="HXN254" s="219"/>
      <c r="HXO254" s="219"/>
      <c r="HXP254" s="219"/>
      <c r="HXQ254" s="219"/>
      <c r="HXR254" s="219"/>
      <c r="HXS254" s="219"/>
      <c r="HXT254" s="219"/>
      <c r="HXU254" s="219"/>
      <c r="HXV254" s="219"/>
      <c r="HXW254" s="219"/>
      <c r="HXX254" s="219"/>
      <c r="HXY254" s="219"/>
      <c r="HXZ254" s="219"/>
      <c r="HYA254" s="219"/>
      <c r="HYB254" s="219"/>
      <c r="HYC254" s="219"/>
      <c r="HYD254" s="219"/>
      <c r="HYE254" s="219"/>
      <c r="HYF254" s="219"/>
      <c r="HYG254" s="219"/>
      <c r="HYH254" s="219"/>
      <c r="HYI254" s="219"/>
      <c r="HYJ254" s="219"/>
      <c r="HYK254" s="219"/>
      <c r="HYL254" s="219"/>
      <c r="HYM254" s="219"/>
      <c r="HYN254" s="219"/>
      <c r="HYO254" s="219"/>
      <c r="HYP254" s="219"/>
      <c r="HYQ254" s="219"/>
      <c r="HYR254" s="219"/>
      <c r="HYS254" s="219"/>
      <c r="HYT254" s="219"/>
      <c r="HYU254" s="219"/>
      <c r="HYV254" s="219"/>
      <c r="HYW254" s="219"/>
      <c r="HYX254" s="219"/>
      <c r="HYY254" s="219"/>
      <c r="HYZ254" s="219"/>
      <c r="HZA254" s="219"/>
      <c r="HZB254" s="219"/>
      <c r="HZC254" s="219"/>
      <c r="HZD254" s="219"/>
      <c r="HZE254" s="219"/>
      <c r="HZF254" s="219"/>
      <c r="HZG254" s="219"/>
      <c r="HZH254" s="219"/>
      <c r="HZI254" s="219"/>
      <c r="HZJ254" s="219"/>
      <c r="HZK254" s="219"/>
      <c r="HZL254" s="219"/>
      <c r="HZM254" s="219"/>
      <c r="HZN254" s="219"/>
      <c r="HZO254" s="219"/>
      <c r="HZP254" s="219"/>
      <c r="HZQ254" s="219"/>
      <c r="HZR254" s="219"/>
      <c r="HZS254" s="219"/>
      <c r="HZT254" s="219"/>
      <c r="HZU254" s="219"/>
      <c r="HZV254" s="219"/>
      <c r="HZW254" s="219"/>
      <c r="HZX254" s="219"/>
      <c r="HZY254" s="219"/>
      <c r="HZZ254" s="219"/>
      <c r="IAA254" s="219"/>
      <c r="IAB254" s="219"/>
      <c r="IAC254" s="219"/>
      <c r="IAD254" s="219"/>
      <c r="IAE254" s="219"/>
      <c r="IAF254" s="219"/>
      <c r="IAG254" s="219"/>
      <c r="IAH254" s="219"/>
      <c r="IAI254" s="219"/>
      <c r="IAJ254" s="219"/>
      <c r="IAK254" s="219"/>
      <c r="IAL254" s="219"/>
      <c r="IAM254" s="219"/>
      <c r="IAN254" s="219"/>
      <c r="IAO254" s="219"/>
      <c r="IAP254" s="219"/>
      <c r="IAQ254" s="219"/>
      <c r="IAR254" s="219"/>
      <c r="IAS254" s="219"/>
      <c r="IAT254" s="219"/>
      <c r="IAU254" s="219"/>
      <c r="IAV254" s="219"/>
      <c r="IAW254" s="219"/>
      <c r="IAX254" s="219"/>
      <c r="IAY254" s="219"/>
      <c r="IAZ254" s="219"/>
      <c r="IBA254" s="219"/>
      <c r="IBB254" s="219"/>
      <c r="IBC254" s="219"/>
      <c r="IBD254" s="219"/>
      <c r="IBE254" s="219"/>
      <c r="IBF254" s="219"/>
      <c r="IBG254" s="219"/>
      <c r="IBH254" s="219"/>
      <c r="IBI254" s="219"/>
      <c r="IBJ254" s="219"/>
      <c r="IBK254" s="219"/>
      <c r="IBL254" s="219"/>
      <c r="IBM254" s="219"/>
      <c r="IBN254" s="219"/>
      <c r="IBO254" s="219"/>
      <c r="IBP254" s="219"/>
      <c r="IBQ254" s="219"/>
      <c r="IBR254" s="219"/>
      <c r="IBS254" s="219"/>
      <c r="IBT254" s="219"/>
      <c r="IBU254" s="219"/>
      <c r="IBV254" s="219"/>
      <c r="IBW254" s="219"/>
      <c r="IBX254" s="219"/>
      <c r="IBY254" s="219"/>
      <c r="IBZ254" s="219"/>
      <c r="ICA254" s="219"/>
      <c r="ICB254" s="219"/>
      <c r="ICC254" s="219"/>
      <c r="ICD254" s="219"/>
      <c r="ICE254" s="219"/>
      <c r="ICF254" s="219"/>
      <c r="ICG254" s="219"/>
      <c r="ICH254" s="219"/>
      <c r="ICI254" s="219"/>
      <c r="ICJ254" s="219"/>
      <c r="ICK254" s="219"/>
      <c r="ICL254" s="219"/>
      <c r="ICM254" s="219"/>
      <c r="ICN254" s="219"/>
      <c r="ICO254" s="219"/>
      <c r="ICP254" s="219"/>
      <c r="ICQ254" s="219"/>
      <c r="ICR254" s="219"/>
      <c r="ICS254" s="219"/>
      <c r="ICT254" s="219"/>
      <c r="ICU254" s="219"/>
      <c r="ICV254" s="219"/>
      <c r="ICW254" s="219"/>
      <c r="ICX254" s="219"/>
      <c r="ICY254" s="219"/>
      <c r="ICZ254" s="219"/>
      <c r="IDA254" s="219"/>
      <c r="IDB254" s="219"/>
      <c r="IDC254" s="219"/>
      <c r="IDD254" s="219"/>
      <c r="IDE254" s="219"/>
      <c r="IDF254" s="219"/>
      <c r="IDG254" s="219"/>
      <c r="IDH254" s="219"/>
      <c r="IDI254" s="219"/>
      <c r="IDJ254" s="219"/>
      <c r="IDK254" s="219"/>
      <c r="IDL254" s="219"/>
      <c r="IDM254" s="219"/>
      <c r="IDN254" s="219"/>
      <c r="IDO254" s="219"/>
      <c r="IDP254" s="219"/>
      <c r="IDQ254" s="219"/>
      <c r="IDR254" s="219"/>
      <c r="IDS254" s="219"/>
      <c r="IDT254" s="219"/>
      <c r="IDU254" s="219"/>
      <c r="IDV254" s="219"/>
      <c r="IDW254" s="219"/>
      <c r="IDX254" s="219"/>
      <c r="IDY254" s="219"/>
      <c r="IDZ254" s="219"/>
      <c r="IEA254" s="219"/>
      <c r="IEB254" s="219"/>
      <c r="IEC254" s="219"/>
      <c r="IED254" s="219"/>
      <c r="IEE254" s="219"/>
      <c r="IEF254" s="219"/>
      <c r="IEG254" s="219"/>
      <c r="IEH254" s="219"/>
      <c r="IEI254" s="219"/>
      <c r="IEJ254" s="219"/>
      <c r="IEK254" s="219"/>
      <c r="IEL254" s="219"/>
      <c r="IEM254" s="219"/>
      <c r="IEN254" s="219"/>
      <c r="IEO254" s="219"/>
      <c r="IEP254" s="219"/>
      <c r="IEQ254" s="219"/>
      <c r="IER254" s="219"/>
      <c r="IES254" s="219"/>
      <c r="IET254" s="219"/>
      <c r="IEU254" s="219"/>
      <c r="IEV254" s="219"/>
      <c r="IEW254" s="219"/>
      <c r="IEX254" s="219"/>
      <c r="IEY254" s="219"/>
      <c r="IEZ254" s="219"/>
      <c r="IFA254" s="219"/>
      <c r="IFB254" s="219"/>
      <c r="IFC254" s="219"/>
      <c r="IFD254" s="219"/>
      <c r="IFE254" s="219"/>
      <c r="IFF254" s="219"/>
      <c r="IFG254" s="219"/>
      <c r="IFH254" s="219"/>
      <c r="IFI254" s="219"/>
      <c r="IFJ254" s="219"/>
      <c r="IFK254" s="219"/>
      <c r="IFL254" s="219"/>
      <c r="IFM254" s="219"/>
      <c r="IFN254" s="219"/>
      <c r="IFO254" s="219"/>
      <c r="IFP254" s="219"/>
      <c r="IFQ254" s="219"/>
      <c r="IFR254" s="219"/>
      <c r="IFS254" s="219"/>
      <c r="IFT254" s="219"/>
      <c r="IFU254" s="219"/>
      <c r="IFV254" s="219"/>
      <c r="IFW254" s="219"/>
      <c r="IFX254" s="219"/>
      <c r="IFY254" s="219"/>
      <c r="IFZ254" s="219"/>
      <c r="IGA254" s="219"/>
      <c r="IGB254" s="219"/>
      <c r="IGC254" s="219"/>
      <c r="IGD254" s="219"/>
      <c r="IGE254" s="219"/>
      <c r="IGF254" s="219"/>
      <c r="IGG254" s="219"/>
      <c r="IGH254" s="219"/>
      <c r="IGI254" s="219"/>
      <c r="IGJ254" s="219"/>
      <c r="IGK254" s="219"/>
      <c r="IGL254" s="219"/>
      <c r="IGM254" s="219"/>
      <c r="IGN254" s="219"/>
      <c r="IGO254" s="219"/>
      <c r="IGP254" s="219"/>
      <c r="IGQ254" s="219"/>
      <c r="IGR254" s="219"/>
      <c r="IGS254" s="219"/>
      <c r="IGT254" s="219"/>
      <c r="IGU254" s="219"/>
      <c r="IGV254" s="219"/>
      <c r="IGW254" s="219"/>
      <c r="IGX254" s="219"/>
      <c r="IGY254" s="219"/>
      <c r="IGZ254" s="219"/>
      <c r="IHA254" s="219"/>
      <c r="IHB254" s="219"/>
      <c r="IHC254" s="219"/>
      <c r="IHD254" s="219"/>
      <c r="IHE254" s="219"/>
      <c r="IHF254" s="219"/>
      <c r="IHG254" s="219"/>
      <c r="IHH254" s="219"/>
      <c r="IHI254" s="219"/>
      <c r="IHJ254" s="219"/>
      <c r="IHK254" s="219"/>
      <c r="IHL254" s="219"/>
      <c r="IHM254" s="219"/>
      <c r="IHN254" s="219"/>
      <c r="IHO254" s="219"/>
      <c r="IHP254" s="219"/>
      <c r="IHQ254" s="219"/>
      <c r="IHR254" s="219"/>
      <c r="IHS254" s="219"/>
      <c r="IHT254" s="219"/>
      <c r="IHU254" s="219"/>
      <c r="IHV254" s="219"/>
      <c r="IHW254" s="219"/>
      <c r="IHX254" s="219"/>
      <c r="IHY254" s="219"/>
      <c r="IHZ254" s="219"/>
      <c r="IIA254" s="219"/>
      <c r="IIB254" s="219"/>
      <c r="IIC254" s="219"/>
      <c r="IID254" s="219"/>
      <c r="IIE254" s="219"/>
      <c r="IIF254" s="219"/>
      <c r="IIG254" s="219"/>
      <c r="IIH254" s="219"/>
      <c r="III254" s="219"/>
      <c r="IIJ254" s="219"/>
      <c r="IIK254" s="219"/>
      <c r="IIL254" s="219"/>
      <c r="IIM254" s="219"/>
      <c r="IIN254" s="219"/>
      <c r="IIO254" s="219"/>
      <c r="IIP254" s="219"/>
      <c r="IIQ254" s="219"/>
      <c r="IIR254" s="219"/>
      <c r="IIS254" s="219"/>
      <c r="IIT254" s="219"/>
      <c r="IIU254" s="219"/>
      <c r="IIV254" s="219"/>
      <c r="IIW254" s="219"/>
      <c r="IIX254" s="219"/>
      <c r="IIY254" s="219"/>
      <c r="IIZ254" s="219"/>
      <c r="IJA254" s="219"/>
      <c r="IJB254" s="219"/>
      <c r="IJC254" s="219"/>
      <c r="IJD254" s="219"/>
      <c r="IJE254" s="219"/>
      <c r="IJF254" s="219"/>
      <c r="IJG254" s="219"/>
      <c r="IJH254" s="219"/>
      <c r="IJI254" s="219"/>
      <c r="IJJ254" s="219"/>
      <c r="IJK254" s="219"/>
      <c r="IJL254" s="219"/>
      <c r="IJM254" s="219"/>
      <c r="IJN254" s="219"/>
      <c r="IJO254" s="219"/>
      <c r="IJP254" s="219"/>
      <c r="IJQ254" s="219"/>
      <c r="IJR254" s="219"/>
      <c r="IJS254" s="219"/>
      <c r="IJT254" s="219"/>
      <c r="IJU254" s="219"/>
      <c r="IJV254" s="219"/>
      <c r="IJW254" s="219"/>
      <c r="IJX254" s="219"/>
      <c r="IJY254" s="219"/>
      <c r="IJZ254" s="219"/>
      <c r="IKA254" s="219"/>
      <c r="IKB254" s="219"/>
      <c r="IKC254" s="219"/>
      <c r="IKD254" s="219"/>
      <c r="IKE254" s="219"/>
      <c r="IKF254" s="219"/>
      <c r="IKG254" s="219"/>
      <c r="IKH254" s="219"/>
      <c r="IKI254" s="219"/>
      <c r="IKJ254" s="219"/>
      <c r="IKK254" s="219"/>
      <c r="IKL254" s="219"/>
      <c r="IKM254" s="219"/>
      <c r="IKN254" s="219"/>
      <c r="IKO254" s="219"/>
      <c r="IKP254" s="219"/>
      <c r="IKQ254" s="219"/>
      <c r="IKR254" s="219"/>
      <c r="IKS254" s="219"/>
      <c r="IKT254" s="219"/>
      <c r="IKU254" s="219"/>
      <c r="IKV254" s="219"/>
      <c r="IKW254" s="219"/>
      <c r="IKX254" s="219"/>
      <c r="IKY254" s="219"/>
      <c r="IKZ254" s="219"/>
      <c r="ILA254" s="219"/>
      <c r="ILB254" s="219"/>
      <c r="ILC254" s="219"/>
      <c r="ILD254" s="219"/>
      <c r="ILE254" s="219"/>
      <c r="ILF254" s="219"/>
      <c r="ILG254" s="219"/>
      <c r="ILH254" s="219"/>
      <c r="ILI254" s="219"/>
      <c r="ILJ254" s="219"/>
      <c r="ILK254" s="219"/>
      <c r="ILL254" s="219"/>
      <c r="ILM254" s="219"/>
      <c r="ILN254" s="219"/>
      <c r="ILO254" s="219"/>
      <c r="ILP254" s="219"/>
      <c r="ILQ254" s="219"/>
      <c r="ILR254" s="219"/>
      <c r="ILS254" s="219"/>
      <c r="ILT254" s="219"/>
      <c r="ILU254" s="219"/>
      <c r="ILV254" s="219"/>
      <c r="ILW254" s="219"/>
      <c r="ILX254" s="219"/>
      <c r="ILY254" s="219"/>
      <c r="ILZ254" s="219"/>
      <c r="IMA254" s="219"/>
      <c r="IMB254" s="219"/>
      <c r="IMC254" s="219"/>
      <c r="IMD254" s="219"/>
      <c r="IME254" s="219"/>
      <c r="IMF254" s="219"/>
      <c r="IMG254" s="219"/>
      <c r="IMH254" s="219"/>
      <c r="IMI254" s="219"/>
      <c r="IMJ254" s="219"/>
      <c r="IMK254" s="219"/>
      <c r="IML254" s="219"/>
      <c r="IMM254" s="219"/>
      <c r="IMN254" s="219"/>
      <c r="IMO254" s="219"/>
      <c r="IMP254" s="219"/>
      <c r="IMQ254" s="219"/>
      <c r="IMR254" s="219"/>
      <c r="IMS254" s="219"/>
      <c r="IMT254" s="219"/>
      <c r="IMU254" s="219"/>
      <c r="IMV254" s="219"/>
      <c r="IMW254" s="219"/>
      <c r="IMX254" s="219"/>
      <c r="IMY254" s="219"/>
      <c r="IMZ254" s="219"/>
      <c r="INA254" s="219"/>
      <c r="INB254" s="219"/>
      <c r="INC254" s="219"/>
      <c r="IND254" s="219"/>
      <c r="INE254" s="219"/>
      <c r="INF254" s="219"/>
      <c r="ING254" s="219"/>
      <c r="INH254" s="219"/>
      <c r="INI254" s="219"/>
      <c r="INJ254" s="219"/>
      <c r="INK254" s="219"/>
      <c r="INL254" s="219"/>
      <c r="INM254" s="219"/>
      <c r="INN254" s="219"/>
      <c r="INO254" s="219"/>
      <c r="INP254" s="219"/>
      <c r="INQ254" s="219"/>
      <c r="INR254" s="219"/>
      <c r="INS254" s="219"/>
      <c r="INT254" s="219"/>
      <c r="INU254" s="219"/>
      <c r="INV254" s="219"/>
      <c r="INW254" s="219"/>
      <c r="INX254" s="219"/>
      <c r="INY254" s="219"/>
      <c r="INZ254" s="219"/>
      <c r="IOA254" s="219"/>
      <c r="IOB254" s="219"/>
      <c r="IOC254" s="219"/>
      <c r="IOD254" s="219"/>
      <c r="IOE254" s="219"/>
      <c r="IOF254" s="219"/>
      <c r="IOG254" s="219"/>
      <c r="IOH254" s="219"/>
      <c r="IOI254" s="219"/>
      <c r="IOJ254" s="219"/>
      <c r="IOK254" s="219"/>
      <c r="IOL254" s="219"/>
      <c r="IOM254" s="219"/>
      <c r="ION254" s="219"/>
      <c r="IOO254" s="219"/>
      <c r="IOP254" s="219"/>
      <c r="IOQ254" s="219"/>
      <c r="IOR254" s="219"/>
      <c r="IOS254" s="219"/>
      <c r="IOT254" s="219"/>
      <c r="IOU254" s="219"/>
      <c r="IOV254" s="219"/>
      <c r="IOW254" s="219"/>
      <c r="IOX254" s="219"/>
      <c r="IOY254" s="219"/>
      <c r="IOZ254" s="219"/>
      <c r="IPA254" s="219"/>
      <c r="IPB254" s="219"/>
      <c r="IPC254" s="219"/>
      <c r="IPD254" s="219"/>
      <c r="IPE254" s="219"/>
      <c r="IPF254" s="219"/>
      <c r="IPG254" s="219"/>
      <c r="IPH254" s="219"/>
      <c r="IPI254" s="219"/>
      <c r="IPJ254" s="219"/>
      <c r="IPK254" s="219"/>
      <c r="IPL254" s="219"/>
      <c r="IPM254" s="219"/>
      <c r="IPN254" s="219"/>
      <c r="IPO254" s="219"/>
      <c r="IPP254" s="219"/>
      <c r="IPQ254" s="219"/>
      <c r="IPR254" s="219"/>
      <c r="IPS254" s="219"/>
      <c r="IPT254" s="219"/>
      <c r="IPU254" s="219"/>
      <c r="IPV254" s="219"/>
      <c r="IPW254" s="219"/>
      <c r="IPX254" s="219"/>
      <c r="IPY254" s="219"/>
      <c r="IPZ254" s="219"/>
      <c r="IQA254" s="219"/>
      <c r="IQB254" s="219"/>
      <c r="IQC254" s="219"/>
      <c r="IQD254" s="219"/>
      <c r="IQE254" s="219"/>
      <c r="IQF254" s="219"/>
      <c r="IQG254" s="219"/>
      <c r="IQH254" s="219"/>
      <c r="IQI254" s="219"/>
      <c r="IQJ254" s="219"/>
      <c r="IQK254" s="219"/>
      <c r="IQL254" s="219"/>
      <c r="IQM254" s="219"/>
      <c r="IQN254" s="219"/>
      <c r="IQO254" s="219"/>
      <c r="IQP254" s="219"/>
      <c r="IQQ254" s="219"/>
      <c r="IQR254" s="219"/>
      <c r="IQS254" s="219"/>
      <c r="IQT254" s="219"/>
      <c r="IQU254" s="219"/>
      <c r="IQV254" s="219"/>
      <c r="IQW254" s="219"/>
      <c r="IQX254" s="219"/>
      <c r="IQY254" s="219"/>
      <c r="IQZ254" s="219"/>
      <c r="IRA254" s="219"/>
      <c r="IRB254" s="219"/>
      <c r="IRC254" s="219"/>
      <c r="IRD254" s="219"/>
      <c r="IRE254" s="219"/>
      <c r="IRF254" s="219"/>
      <c r="IRG254" s="219"/>
      <c r="IRH254" s="219"/>
      <c r="IRI254" s="219"/>
      <c r="IRJ254" s="219"/>
      <c r="IRK254" s="219"/>
      <c r="IRL254" s="219"/>
      <c r="IRM254" s="219"/>
      <c r="IRN254" s="219"/>
      <c r="IRO254" s="219"/>
      <c r="IRP254" s="219"/>
      <c r="IRQ254" s="219"/>
      <c r="IRR254" s="219"/>
      <c r="IRS254" s="219"/>
      <c r="IRT254" s="219"/>
      <c r="IRU254" s="219"/>
      <c r="IRV254" s="219"/>
      <c r="IRW254" s="219"/>
      <c r="IRX254" s="219"/>
      <c r="IRY254" s="219"/>
      <c r="IRZ254" s="219"/>
      <c r="ISA254" s="219"/>
      <c r="ISB254" s="219"/>
      <c r="ISC254" s="219"/>
      <c r="ISD254" s="219"/>
      <c r="ISE254" s="219"/>
      <c r="ISF254" s="219"/>
      <c r="ISG254" s="219"/>
      <c r="ISH254" s="219"/>
      <c r="ISI254" s="219"/>
      <c r="ISJ254" s="219"/>
      <c r="ISK254" s="219"/>
      <c r="ISL254" s="219"/>
      <c r="ISM254" s="219"/>
      <c r="ISN254" s="219"/>
      <c r="ISO254" s="219"/>
      <c r="ISP254" s="219"/>
      <c r="ISQ254" s="219"/>
      <c r="ISR254" s="219"/>
      <c r="ISS254" s="219"/>
      <c r="IST254" s="219"/>
      <c r="ISU254" s="219"/>
      <c r="ISV254" s="219"/>
      <c r="ISW254" s="219"/>
      <c r="ISX254" s="219"/>
      <c r="ISY254" s="219"/>
      <c r="ISZ254" s="219"/>
      <c r="ITA254" s="219"/>
      <c r="ITB254" s="219"/>
      <c r="ITC254" s="219"/>
      <c r="ITD254" s="219"/>
      <c r="ITE254" s="219"/>
      <c r="ITF254" s="219"/>
      <c r="ITG254" s="219"/>
      <c r="ITH254" s="219"/>
      <c r="ITI254" s="219"/>
      <c r="ITJ254" s="219"/>
      <c r="ITK254" s="219"/>
      <c r="ITL254" s="219"/>
      <c r="ITM254" s="219"/>
      <c r="ITN254" s="219"/>
      <c r="ITO254" s="219"/>
      <c r="ITP254" s="219"/>
      <c r="ITQ254" s="219"/>
      <c r="ITR254" s="219"/>
      <c r="ITS254" s="219"/>
      <c r="ITT254" s="219"/>
      <c r="ITU254" s="219"/>
      <c r="ITV254" s="219"/>
      <c r="ITW254" s="219"/>
      <c r="ITX254" s="219"/>
      <c r="ITY254" s="219"/>
      <c r="ITZ254" s="219"/>
      <c r="IUA254" s="219"/>
      <c r="IUB254" s="219"/>
      <c r="IUC254" s="219"/>
      <c r="IUD254" s="219"/>
      <c r="IUE254" s="219"/>
      <c r="IUF254" s="219"/>
      <c r="IUG254" s="219"/>
      <c r="IUH254" s="219"/>
      <c r="IUI254" s="219"/>
      <c r="IUJ254" s="219"/>
      <c r="IUK254" s="219"/>
      <c r="IUL254" s="219"/>
      <c r="IUM254" s="219"/>
      <c r="IUN254" s="219"/>
      <c r="IUO254" s="219"/>
      <c r="IUP254" s="219"/>
      <c r="IUQ254" s="219"/>
      <c r="IUR254" s="219"/>
      <c r="IUS254" s="219"/>
      <c r="IUT254" s="219"/>
      <c r="IUU254" s="219"/>
      <c r="IUV254" s="219"/>
      <c r="IUW254" s="219"/>
      <c r="IUX254" s="219"/>
      <c r="IUY254" s="219"/>
      <c r="IUZ254" s="219"/>
      <c r="IVA254" s="219"/>
      <c r="IVB254" s="219"/>
      <c r="IVC254" s="219"/>
      <c r="IVD254" s="219"/>
      <c r="IVE254" s="219"/>
      <c r="IVF254" s="219"/>
      <c r="IVG254" s="219"/>
      <c r="IVH254" s="219"/>
      <c r="IVI254" s="219"/>
      <c r="IVJ254" s="219"/>
      <c r="IVK254" s="219"/>
      <c r="IVL254" s="219"/>
      <c r="IVM254" s="219"/>
      <c r="IVN254" s="219"/>
      <c r="IVO254" s="219"/>
      <c r="IVP254" s="219"/>
      <c r="IVQ254" s="219"/>
      <c r="IVR254" s="219"/>
      <c r="IVS254" s="219"/>
      <c r="IVT254" s="219"/>
      <c r="IVU254" s="219"/>
      <c r="IVV254" s="219"/>
      <c r="IVW254" s="219"/>
      <c r="IVX254" s="219"/>
      <c r="IVY254" s="219"/>
      <c r="IVZ254" s="219"/>
      <c r="IWA254" s="219"/>
      <c r="IWB254" s="219"/>
      <c r="IWC254" s="219"/>
      <c r="IWD254" s="219"/>
      <c r="IWE254" s="219"/>
      <c r="IWF254" s="219"/>
      <c r="IWG254" s="219"/>
      <c r="IWH254" s="219"/>
      <c r="IWI254" s="219"/>
      <c r="IWJ254" s="219"/>
      <c r="IWK254" s="219"/>
      <c r="IWL254" s="219"/>
      <c r="IWM254" s="219"/>
      <c r="IWN254" s="219"/>
      <c r="IWO254" s="219"/>
      <c r="IWP254" s="219"/>
      <c r="IWQ254" s="219"/>
      <c r="IWR254" s="219"/>
      <c r="IWS254" s="219"/>
      <c r="IWT254" s="219"/>
      <c r="IWU254" s="219"/>
      <c r="IWV254" s="219"/>
      <c r="IWW254" s="219"/>
      <c r="IWX254" s="219"/>
      <c r="IWY254" s="219"/>
      <c r="IWZ254" s="219"/>
      <c r="IXA254" s="219"/>
      <c r="IXB254" s="219"/>
      <c r="IXC254" s="219"/>
      <c r="IXD254" s="219"/>
      <c r="IXE254" s="219"/>
      <c r="IXF254" s="219"/>
      <c r="IXG254" s="219"/>
      <c r="IXH254" s="219"/>
      <c r="IXI254" s="219"/>
      <c r="IXJ254" s="219"/>
      <c r="IXK254" s="219"/>
      <c r="IXL254" s="219"/>
      <c r="IXM254" s="219"/>
      <c r="IXN254" s="219"/>
      <c r="IXO254" s="219"/>
      <c r="IXP254" s="219"/>
      <c r="IXQ254" s="219"/>
      <c r="IXR254" s="219"/>
      <c r="IXS254" s="219"/>
      <c r="IXT254" s="219"/>
      <c r="IXU254" s="219"/>
      <c r="IXV254" s="219"/>
      <c r="IXW254" s="219"/>
      <c r="IXX254" s="219"/>
      <c r="IXY254" s="219"/>
      <c r="IXZ254" s="219"/>
      <c r="IYA254" s="219"/>
      <c r="IYB254" s="219"/>
      <c r="IYC254" s="219"/>
      <c r="IYD254" s="219"/>
      <c r="IYE254" s="219"/>
      <c r="IYF254" s="219"/>
      <c r="IYG254" s="219"/>
      <c r="IYH254" s="219"/>
      <c r="IYI254" s="219"/>
      <c r="IYJ254" s="219"/>
      <c r="IYK254" s="219"/>
      <c r="IYL254" s="219"/>
      <c r="IYM254" s="219"/>
      <c r="IYN254" s="219"/>
      <c r="IYO254" s="219"/>
      <c r="IYP254" s="219"/>
      <c r="IYQ254" s="219"/>
      <c r="IYR254" s="219"/>
      <c r="IYS254" s="219"/>
      <c r="IYT254" s="219"/>
      <c r="IYU254" s="219"/>
      <c r="IYV254" s="219"/>
      <c r="IYW254" s="219"/>
      <c r="IYX254" s="219"/>
      <c r="IYY254" s="219"/>
      <c r="IYZ254" s="219"/>
      <c r="IZA254" s="219"/>
      <c r="IZB254" s="219"/>
      <c r="IZC254" s="219"/>
      <c r="IZD254" s="219"/>
      <c r="IZE254" s="219"/>
      <c r="IZF254" s="219"/>
      <c r="IZG254" s="219"/>
      <c r="IZH254" s="219"/>
      <c r="IZI254" s="219"/>
      <c r="IZJ254" s="219"/>
      <c r="IZK254" s="219"/>
      <c r="IZL254" s="219"/>
      <c r="IZM254" s="219"/>
      <c r="IZN254" s="219"/>
      <c r="IZO254" s="219"/>
      <c r="IZP254" s="219"/>
      <c r="IZQ254" s="219"/>
      <c r="IZR254" s="219"/>
      <c r="IZS254" s="219"/>
      <c r="IZT254" s="219"/>
      <c r="IZU254" s="219"/>
      <c r="IZV254" s="219"/>
      <c r="IZW254" s="219"/>
      <c r="IZX254" s="219"/>
      <c r="IZY254" s="219"/>
      <c r="IZZ254" s="219"/>
      <c r="JAA254" s="219"/>
      <c r="JAB254" s="219"/>
      <c r="JAC254" s="219"/>
      <c r="JAD254" s="219"/>
      <c r="JAE254" s="219"/>
      <c r="JAF254" s="219"/>
      <c r="JAG254" s="219"/>
      <c r="JAH254" s="219"/>
      <c r="JAI254" s="219"/>
      <c r="JAJ254" s="219"/>
      <c r="JAK254" s="219"/>
      <c r="JAL254" s="219"/>
      <c r="JAM254" s="219"/>
      <c r="JAN254" s="219"/>
      <c r="JAO254" s="219"/>
      <c r="JAP254" s="219"/>
      <c r="JAQ254" s="219"/>
      <c r="JAR254" s="219"/>
      <c r="JAS254" s="219"/>
      <c r="JAT254" s="219"/>
      <c r="JAU254" s="219"/>
      <c r="JAV254" s="219"/>
      <c r="JAW254" s="219"/>
      <c r="JAX254" s="219"/>
      <c r="JAY254" s="219"/>
      <c r="JAZ254" s="219"/>
      <c r="JBA254" s="219"/>
      <c r="JBB254" s="219"/>
      <c r="JBC254" s="219"/>
      <c r="JBD254" s="219"/>
      <c r="JBE254" s="219"/>
      <c r="JBF254" s="219"/>
      <c r="JBG254" s="219"/>
      <c r="JBH254" s="219"/>
      <c r="JBI254" s="219"/>
      <c r="JBJ254" s="219"/>
      <c r="JBK254" s="219"/>
      <c r="JBL254" s="219"/>
      <c r="JBM254" s="219"/>
      <c r="JBN254" s="219"/>
      <c r="JBO254" s="219"/>
      <c r="JBP254" s="219"/>
      <c r="JBQ254" s="219"/>
      <c r="JBR254" s="219"/>
      <c r="JBS254" s="219"/>
      <c r="JBT254" s="219"/>
      <c r="JBU254" s="219"/>
      <c r="JBV254" s="219"/>
      <c r="JBW254" s="219"/>
      <c r="JBX254" s="219"/>
      <c r="JBY254" s="219"/>
      <c r="JBZ254" s="219"/>
      <c r="JCA254" s="219"/>
      <c r="JCB254" s="219"/>
      <c r="JCC254" s="219"/>
      <c r="JCD254" s="219"/>
      <c r="JCE254" s="219"/>
      <c r="JCF254" s="219"/>
      <c r="JCG254" s="219"/>
      <c r="JCH254" s="219"/>
      <c r="JCI254" s="219"/>
      <c r="JCJ254" s="219"/>
      <c r="JCK254" s="219"/>
      <c r="JCL254" s="219"/>
      <c r="JCM254" s="219"/>
      <c r="JCN254" s="219"/>
      <c r="JCO254" s="219"/>
      <c r="JCP254" s="219"/>
      <c r="JCQ254" s="219"/>
      <c r="JCR254" s="219"/>
      <c r="JCS254" s="219"/>
      <c r="JCT254" s="219"/>
      <c r="JCU254" s="219"/>
      <c r="JCV254" s="219"/>
      <c r="JCW254" s="219"/>
      <c r="JCX254" s="219"/>
      <c r="JCY254" s="219"/>
      <c r="JCZ254" s="219"/>
      <c r="JDA254" s="219"/>
      <c r="JDB254" s="219"/>
      <c r="JDC254" s="219"/>
      <c r="JDD254" s="219"/>
      <c r="JDE254" s="219"/>
      <c r="JDF254" s="219"/>
      <c r="JDG254" s="219"/>
      <c r="JDH254" s="219"/>
      <c r="JDI254" s="219"/>
      <c r="JDJ254" s="219"/>
      <c r="JDK254" s="219"/>
      <c r="JDL254" s="219"/>
      <c r="JDM254" s="219"/>
      <c r="JDN254" s="219"/>
      <c r="JDO254" s="219"/>
      <c r="JDP254" s="219"/>
      <c r="JDQ254" s="219"/>
      <c r="JDR254" s="219"/>
      <c r="JDS254" s="219"/>
      <c r="JDT254" s="219"/>
      <c r="JDU254" s="219"/>
      <c r="JDV254" s="219"/>
      <c r="JDW254" s="219"/>
      <c r="JDX254" s="219"/>
      <c r="JDY254" s="219"/>
      <c r="JDZ254" s="219"/>
      <c r="JEA254" s="219"/>
      <c r="JEB254" s="219"/>
      <c r="JEC254" s="219"/>
      <c r="JED254" s="219"/>
      <c r="JEE254" s="219"/>
      <c r="JEF254" s="219"/>
      <c r="JEG254" s="219"/>
      <c r="JEH254" s="219"/>
      <c r="JEI254" s="219"/>
      <c r="JEJ254" s="219"/>
      <c r="JEK254" s="219"/>
      <c r="JEL254" s="219"/>
      <c r="JEM254" s="219"/>
      <c r="JEN254" s="219"/>
      <c r="JEO254" s="219"/>
      <c r="JEP254" s="219"/>
      <c r="JEQ254" s="219"/>
      <c r="JER254" s="219"/>
      <c r="JES254" s="219"/>
      <c r="JET254" s="219"/>
      <c r="JEU254" s="219"/>
      <c r="JEV254" s="219"/>
      <c r="JEW254" s="219"/>
      <c r="JEX254" s="219"/>
      <c r="JEY254" s="219"/>
      <c r="JEZ254" s="219"/>
      <c r="JFA254" s="219"/>
      <c r="JFB254" s="219"/>
      <c r="JFC254" s="219"/>
      <c r="JFD254" s="219"/>
      <c r="JFE254" s="219"/>
      <c r="JFF254" s="219"/>
      <c r="JFG254" s="219"/>
      <c r="JFH254" s="219"/>
      <c r="JFI254" s="219"/>
      <c r="JFJ254" s="219"/>
      <c r="JFK254" s="219"/>
      <c r="JFL254" s="219"/>
      <c r="JFM254" s="219"/>
      <c r="JFN254" s="219"/>
      <c r="JFO254" s="219"/>
      <c r="JFP254" s="219"/>
      <c r="JFQ254" s="219"/>
      <c r="JFR254" s="219"/>
      <c r="JFS254" s="219"/>
      <c r="JFT254" s="219"/>
      <c r="JFU254" s="219"/>
      <c r="JFV254" s="219"/>
      <c r="JFW254" s="219"/>
      <c r="JFX254" s="219"/>
      <c r="JFY254" s="219"/>
      <c r="JFZ254" s="219"/>
      <c r="JGA254" s="219"/>
      <c r="JGB254" s="219"/>
      <c r="JGC254" s="219"/>
      <c r="JGD254" s="219"/>
      <c r="JGE254" s="219"/>
      <c r="JGF254" s="219"/>
      <c r="JGG254" s="219"/>
      <c r="JGH254" s="219"/>
      <c r="JGI254" s="219"/>
      <c r="JGJ254" s="219"/>
      <c r="JGK254" s="219"/>
      <c r="JGL254" s="219"/>
      <c r="JGM254" s="219"/>
      <c r="JGN254" s="219"/>
      <c r="JGO254" s="219"/>
      <c r="JGP254" s="219"/>
      <c r="JGQ254" s="219"/>
      <c r="JGR254" s="219"/>
      <c r="JGS254" s="219"/>
      <c r="JGT254" s="219"/>
      <c r="JGU254" s="219"/>
      <c r="JGV254" s="219"/>
      <c r="JGW254" s="219"/>
      <c r="JGX254" s="219"/>
      <c r="JGY254" s="219"/>
      <c r="JGZ254" s="219"/>
      <c r="JHA254" s="219"/>
      <c r="JHB254" s="219"/>
      <c r="JHC254" s="219"/>
      <c r="JHD254" s="219"/>
      <c r="JHE254" s="219"/>
      <c r="JHF254" s="219"/>
      <c r="JHG254" s="219"/>
      <c r="JHH254" s="219"/>
      <c r="JHI254" s="219"/>
      <c r="JHJ254" s="219"/>
      <c r="JHK254" s="219"/>
      <c r="JHL254" s="219"/>
      <c r="JHM254" s="219"/>
      <c r="JHN254" s="219"/>
      <c r="JHO254" s="219"/>
      <c r="JHP254" s="219"/>
      <c r="JHQ254" s="219"/>
      <c r="JHR254" s="219"/>
      <c r="JHS254" s="219"/>
      <c r="JHT254" s="219"/>
      <c r="JHU254" s="219"/>
      <c r="JHV254" s="219"/>
      <c r="JHW254" s="219"/>
      <c r="JHX254" s="219"/>
      <c r="JHY254" s="219"/>
      <c r="JHZ254" s="219"/>
      <c r="JIA254" s="219"/>
      <c r="JIB254" s="219"/>
      <c r="JIC254" s="219"/>
      <c r="JID254" s="219"/>
      <c r="JIE254" s="219"/>
      <c r="JIF254" s="219"/>
      <c r="JIG254" s="219"/>
      <c r="JIH254" s="219"/>
      <c r="JII254" s="219"/>
      <c r="JIJ254" s="219"/>
      <c r="JIK254" s="219"/>
      <c r="JIL254" s="219"/>
      <c r="JIM254" s="219"/>
      <c r="JIN254" s="219"/>
      <c r="JIO254" s="219"/>
      <c r="JIP254" s="219"/>
      <c r="JIQ254" s="219"/>
      <c r="JIR254" s="219"/>
      <c r="JIS254" s="219"/>
      <c r="JIT254" s="219"/>
      <c r="JIU254" s="219"/>
      <c r="JIV254" s="219"/>
      <c r="JIW254" s="219"/>
      <c r="JIX254" s="219"/>
      <c r="JIY254" s="219"/>
      <c r="JIZ254" s="219"/>
      <c r="JJA254" s="219"/>
      <c r="JJB254" s="219"/>
      <c r="JJC254" s="219"/>
      <c r="JJD254" s="219"/>
      <c r="JJE254" s="219"/>
      <c r="JJF254" s="219"/>
      <c r="JJG254" s="219"/>
      <c r="JJH254" s="219"/>
      <c r="JJI254" s="219"/>
      <c r="JJJ254" s="219"/>
      <c r="JJK254" s="219"/>
      <c r="JJL254" s="219"/>
      <c r="JJM254" s="219"/>
      <c r="JJN254" s="219"/>
      <c r="JJO254" s="219"/>
      <c r="JJP254" s="219"/>
      <c r="JJQ254" s="219"/>
      <c r="JJR254" s="219"/>
      <c r="JJS254" s="219"/>
      <c r="JJT254" s="219"/>
      <c r="JJU254" s="219"/>
      <c r="JJV254" s="219"/>
      <c r="JJW254" s="219"/>
      <c r="JJX254" s="219"/>
      <c r="JJY254" s="219"/>
      <c r="JJZ254" s="219"/>
      <c r="JKA254" s="219"/>
      <c r="JKB254" s="219"/>
      <c r="JKC254" s="219"/>
      <c r="JKD254" s="219"/>
      <c r="JKE254" s="219"/>
      <c r="JKF254" s="219"/>
      <c r="JKG254" s="219"/>
      <c r="JKH254" s="219"/>
      <c r="JKI254" s="219"/>
      <c r="JKJ254" s="219"/>
      <c r="JKK254" s="219"/>
      <c r="JKL254" s="219"/>
      <c r="JKM254" s="219"/>
      <c r="JKN254" s="219"/>
      <c r="JKO254" s="219"/>
      <c r="JKP254" s="219"/>
      <c r="JKQ254" s="219"/>
      <c r="JKR254" s="219"/>
      <c r="JKS254" s="219"/>
      <c r="JKT254" s="219"/>
      <c r="JKU254" s="219"/>
      <c r="JKV254" s="219"/>
      <c r="JKW254" s="219"/>
      <c r="JKX254" s="219"/>
      <c r="JKY254" s="219"/>
      <c r="JKZ254" s="219"/>
      <c r="JLA254" s="219"/>
      <c r="JLB254" s="219"/>
      <c r="JLC254" s="219"/>
      <c r="JLD254" s="219"/>
      <c r="JLE254" s="219"/>
      <c r="JLF254" s="219"/>
      <c r="JLG254" s="219"/>
      <c r="JLH254" s="219"/>
      <c r="JLI254" s="219"/>
      <c r="JLJ254" s="219"/>
      <c r="JLK254" s="219"/>
      <c r="JLL254" s="219"/>
      <c r="JLM254" s="219"/>
      <c r="JLN254" s="219"/>
      <c r="JLO254" s="219"/>
      <c r="JLP254" s="219"/>
      <c r="JLQ254" s="219"/>
      <c r="JLR254" s="219"/>
      <c r="JLS254" s="219"/>
      <c r="JLT254" s="219"/>
      <c r="JLU254" s="219"/>
      <c r="JLV254" s="219"/>
      <c r="JLW254" s="219"/>
      <c r="JLX254" s="219"/>
      <c r="JLY254" s="219"/>
      <c r="JLZ254" s="219"/>
      <c r="JMA254" s="219"/>
      <c r="JMB254" s="219"/>
      <c r="JMC254" s="219"/>
      <c r="JMD254" s="219"/>
      <c r="JME254" s="219"/>
      <c r="JMF254" s="219"/>
      <c r="JMG254" s="219"/>
      <c r="JMH254" s="219"/>
      <c r="JMI254" s="219"/>
      <c r="JMJ254" s="219"/>
      <c r="JMK254" s="219"/>
      <c r="JML254" s="219"/>
      <c r="JMM254" s="219"/>
      <c r="JMN254" s="219"/>
      <c r="JMO254" s="219"/>
      <c r="JMP254" s="219"/>
      <c r="JMQ254" s="219"/>
      <c r="JMR254" s="219"/>
      <c r="JMS254" s="219"/>
      <c r="JMT254" s="219"/>
      <c r="JMU254" s="219"/>
      <c r="JMV254" s="219"/>
      <c r="JMW254" s="219"/>
      <c r="JMX254" s="219"/>
      <c r="JMY254" s="219"/>
      <c r="JMZ254" s="219"/>
      <c r="JNA254" s="219"/>
      <c r="JNB254" s="219"/>
      <c r="JNC254" s="219"/>
      <c r="JND254" s="219"/>
      <c r="JNE254" s="219"/>
      <c r="JNF254" s="219"/>
      <c r="JNG254" s="219"/>
      <c r="JNH254" s="219"/>
      <c r="JNI254" s="219"/>
      <c r="JNJ254" s="219"/>
      <c r="JNK254" s="219"/>
      <c r="JNL254" s="219"/>
      <c r="JNM254" s="219"/>
      <c r="JNN254" s="219"/>
      <c r="JNO254" s="219"/>
      <c r="JNP254" s="219"/>
      <c r="JNQ254" s="219"/>
      <c r="JNR254" s="219"/>
      <c r="JNS254" s="219"/>
      <c r="JNT254" s="219"/>
      <c r="JNU254" s="219"/>
      <c r="JNV254" s="219"/>
      <c r="JNW254" s="219"/>
      <c r="JNX254" s="219"/>
      <c r="JNY254" s="219"/>
      <c r="JNZ254" s="219"/>
      <c r="JOA254" s="219"/>
      <c r="JOB254" s="219"/>
      <c r="JOC254" s="219"/>
      <c r="JOD254" s="219"/>
      <c r="JOE254" s="219"/>
      <c r="JOF254" s="219"/>
      <c r="JOG254" s="219"/>
      <c r="JOH254" s="219"/>
      <c r="JOI254" s="219"/>
      <c r="JOJ254" s="219"/>
      <c r="JOK254" s="219"/>
      <c r="JOL254" s="219"/>
      <c r="JOM254" s="219"/>
      <c r="JON254" s="219"/>
      <c r="JOO254" s="219"/>
      <c r="JOP254" s="219"/>
      <c r="JOQ254" s="219"/>
      <c r="JOR254" s="219"/>
      <c r="JOS254" s="219"/>
      <c r="JOT254" s="219"/>
      <c r="JOU254" s="219"/>
      <c r="JOV254" s="219"/>
      <c r="JOW254" s="219"/>
      <c r="JOX254" s="219"/>
      <c r="JOY254" s="219"/>
      <c r="JOZ254" s="219"/>
      <c r="JPA254" s="219"/>
      <c r="JPB254" s="219"/>
      <c r="JPC254" s="219"/>
      <c r="JPD254" s="219"/>
      <c r="JPE254" s="219"/>
      <c r="JPF254" s="219"/>
      <c r="JPG254" s="219"/>
      <c r="JPH254" s="219"/>
      <c r="JPI254" s="219"/>
      <c r="JPJ254" s="219"/>
      <c r="JPK254" s="219"/>
      <c r="JPL254" s="219"/>
      <c r="JPM254" s="219"/>
      <c r="JPN254" s="219"/>
      <c r="JPO254" s="219"/>
      <c r="JPP254" s="219"/>
      <c r="JPQ254" s="219"/>
      <c r="JPR254" s="219"/>
      <c r="JPS254" s="219"/>
      <c r="JPT254" s="219"/>
      <c r="JPU254" s="219"/>
      <c r="JPV254" s="219"/>
      <c r="JPW254" s="219"/>
      <c r="JPX254" s="219"/>
      <c r="JPY254" s="219"/>
      <c r="JPZ254" s="219"/>
      <c r="JQA254" s="219"/>
      <c r="JQB254" s="219"/>
      <c r="JQC254" s="219"/>
      <c r="JQD254" s="219"/>
      <c r="JQE254" s="219"/>
      <c r="JQF254" s="219"/>
      <c r="JQG254" s="219"/>
      <c r="JQH254" s="219"/>
      <c r="JQI254" s="219"/>
      <c r="JQJ254" s="219"/>
      <c r="JQK254" s="219"/>
      <c r="JQL254" s="219"/>
      <c r="JQM254" s="219"/>
      <c r="JQN254" s="219"/>
      <c r="JQO254" s="219"/>
      <c r="JQP254" s="219"/>
      <c r="JQQ254" s="219"/>
      <c r="JQR254" s="219"/>
      <c r="JQS254" s="219"/>
      <c r="JQT254" s="219"/>
      <c r="JQU254" s="219"/>
      <c r="JQV254" s="219"/>
      <c r="JQW254" s="219"/>
      <c r="JQX254" s="219"/>
      <c r="JQY254" s="219"/>
      <c r="JQZ254" s="219"/>
      <c r="JRA254" s="219"/>
      <c r="JRB254" s="219"/>
      <c r="JRC254" s="219"/>
      <c r="JRD254" s="219"/>
      <c r="JRE254" s="219"/>
      <c r="JRF254" s="219"/>
      <c r="JRG254" s="219"/>
      <c r="JRH254" s="219"/>
      <c r="JRI254" s="219"/>
      <c r="JRJ254" s="219"/>
      <c r="JRK254" s="219"/>
      <c r="JRL254" s="219"/>
      <c r="JRM254" s="219"/>
      <c r="JRN254" s="219"/>
      <c r="JRO254" s="219"/>
      <c r="JRP254" s="219"/>
      <c r="JRQ254" s="219"/>
      <c r="JRR254" s="219"/>
      <c r="JRS254" s="219"/>
      <c r="JRT254" s="219"/>
      <c r="JRU254" s="219"/>
      <c r="JRV254" s="219"/>
      <c r="JRW254" s="219"/>
      <c r="JRX254" s="219"/>
      <c r="JRY254" s="219"/>
      <c r="JRZ254" s="219"/>
      <c r="JSA254" s="219"/>
      <c r="JSB254" s="219"/>
      <c r="JSC254" s="219"/>
      <c r="JSD254" s="219"/>
      <c r="JSE254" s="219"/>
      <c r="JSF254" s="219"/>
      <c r="JSG254" s="219"/>
      <c r="JSH254" s="219"/>
      <c r="JSI254" s="219"/>
      <c r="JSJ254" s="219"/>
      <c r="JSK254" s="219"/>
      <c r="JSL254" s="219"/>
      <c r="JSM254" s="219"/>
      <c r="JSN254" s="219"/>
      <c r="JSO254" s="219"/>
      <c r="JSP254" s="219"/>
      <c r="JSQ254" s="219"/>
      <c r="JSR254" s="219"/>
      <c r="JSS254" s="219"/>
      <c r="JST254" s="219"/>
      <c r="JSU254" s="219"/>
      <c r="JSV254" s="219"/>
      <c r="JSW254" s="219"/>
      <c r="JSX254" s="219"/>
      <c r="JSY254" s="219"/>
      <c r="JSZ254" s="219"/>
      <c r="JTA254" s="219"/>
      <c r="JTB254" s="219"/>
      <c r="JTC254" s="219"/>
      <c r="JTD254" s="219"/>
      <c r="JTE254" s="219"/>
      <c r="JTF254" s="219"/>
      <c r="JTG254" s="219"/>
      <c r="JTH254" s="219"/>
      <c r="JTI254" s="219"/>
      <c r="JTJ254" s="219"/>
      <c r="JTK254" s="219"/>
      <c r="JTL254" s="219"/>
      <c r="JTM254" s="219"/>
      <c r="JTN254" s="219"/>
      <c r="JTO254" s="219"/>
      <c r="JTP254" s="219"/>
      <c r="JTQ254" s="219"/>
      <c r="JTR254" s="219"/>
      <c r="JTS254" s="219"/>
      <c r="JTT254" s="219"/>
      <c r="JTU254" s="219"/>
      <c r="JTV254" s="219"/>
      <c r="JTW254" s="219"/>
      <c r="JTX254" s="219"/>
      <c r="JTY254" s="219"/>
      <c r="JTZ254" s="219"/>
      <c r="JUA254" s="219"/>
      <c r="JUB254" s="219"/>
      <c r="JUC254" s="219"/>
      <c r="JUD254" s="219"/>
      <c r="JUE254" s="219"/>
      <c r="JUF254" s="219"/>
      <c r="JUG254" s="219"/>
      <c r="JUH254" s="219"/>
      <c r="JUI254" s="219"/>
      <c r="JUJ254" s="219"/>
      <c r="JUK254" s="219"/>
      <c r="JUL254" s="219"/>
      <c r="JUM254" s="219"/>
      <c r="JUN254" s="219"/>
      <c r="JUO254" s="219"/>
      <c r="JUP254" s="219"/>
      <c r="JUQ254" s="219"/>
      <c r="JUR254" s="219"/>
      <c r="JUS254" s="219"/>
      <c r="JUT254" s="219"/>
      <c r="JUU254" s="219"/>
      <c r="JUV254" s="219"/>
      <c r="JUW254" s="219"/>
      <c r="JUX254" s="219"/>
      <c r="JUY254" s="219"/>
      <c r="JUZ254" s="219"/>
      <c r="JVA254" s="219"/>
      <c r="JVB254" s="219"/>
      <c r="JVC254" s="219"/>
      <c r="JVD254" s="219"/>
      <c r="JVE254" s="219"/>
      <c r="JVF254" s="219"/>
      <c r="JVG254" s="219"/>
      <c r="JVH254" s="219"/>
      <c r="JVI254" s="219"/>
      <c r="JVJ254" s="219"/>
      <c r="JVK254" s="219"/>
      <c r="JVL254" s="219"/>
      <c r="JVM254" s="219"/>
      <c r="JVN254" s="219"/>
      <c r="JVO254" s="219"/>
      <c r="JVP254" s="219"/>
      <c r="JVQ254" s="219"/>
      <c r="JVR254" s="219"/>
      <c r="JVS254" s="219"/>
      <c r="JVT254" s="219"/>
      <c r="JVU254" s="219"/>
      <c r="JVV254" s="219"/>
      <c r="JVW254" s="219"/>
      <c r="JVX254" s="219"/>
      <c r="JVY254" s="219"/>
      <c r="JVZ254" s="219"/>
      <c r="JWA254" s="219"/>
      <c r="JWB254" s="219"/>
      <c r="JWC254" s="219"/>
      <c r="JWD254" s="219"/>
      <c r="JWE254" s="219"/>
      <c r="JWF254" s="219"/>
      <c r="JWG254" s="219"/>
      <c r="JWH254" s="219"/>
      <c r="JWI254" s="219"/>
      <c r="JWJ254" s="219"/>
      <c r="JWK254" s="219"/>
      <c r="JWL254" s="219"/>
      <c r="JWM254" s="219"/>
      <c r="JWN254" s="219"/>
      <c r="JWO254" s="219"/>
      <c r="JWP254" s="219"/>
      <c r="JWQ254" s="219"/>
      <c r="JWR254" s="219"/>
      <c r="JWS254" s="219"/>
      <c r="JWT254" s="219"/>
      <c r="JWU254" s="219"/>
      <c r="JWV254" s="219"/>
      <c r="JWW254" s="219"/>
      <c r="JWX254" s="219"/>
      <c r="JWY254" s="219"/>
      <c r="JWZ254" s="219"/>
      <c r="JXA254" s="219"/>
      <c r="JXB254" s="219"/>
      <c r="JXC254" s="219"/>
      <c r="JXD254" s="219"/>
      <c r="JXE254" s="219"/>
      <c r="JXF254" s="219"/>
      <c r="JXG254" s="219"/>
      <c r="JXH254" s="219"/>
      <c r="JXI254" s="219"/>
      <c r="JXJ254" s="219"/>
      <c r="JXK254" s="219"/>
      <c r="JXL254" s="219"/>
      <c r="JXM254" s="219"/>
      <c r="JXN254" s="219"/>
      <c r="JXO254" s="219"/>
      <c r="JXP254" s="219"/>
      <c r="JXQ254" s="219"/>
      <c r="JXR254" s="219"/>
      <c r="JXS254" s="219"/>
      <c r="JXT254" s="219"/>
      <c r="JXU254" s="219"/>
      <c r="JXV254" s="219"/>
      <c r="JXW254" s="219"/>
      <c r="JXX254" s="219"/>
      <c r="JXY254" s="219"/>
      <c r="JXZ254" s="219"/>
      <c r="JYA254" s="219"/>
      <c r="JYB254" s="219"/>
      <c r="JYC254" s="219"/>
      <c r="JYD254" s="219"/>
      <c r="JYE254" s="219"/>
      <c r="JYF254" s="219"/>
      <c r="JYG254" s="219"/>
      <c r="JYH254" s="219"/>
      <c r="JYI254" s="219"/>
      <c r="JYJ254" s="219"/>
      <c r="JYK254" s="219"/>
      <c r="JYL254" s="219"/>
      <c r="JYM254" s="219"/>
      <c r="JYN254" s="219"/>
      <c r="JYO254" s="219"/>
      <c r="JYP254" s="219"/>
      <c r="JYQ254" s="219"/>
      <c r="JYR254" s="219"/>
      <c r="JYS254" s="219"/>
      <c r="JYT254" s="219"/>
      <c r="JYU254" s="219"/>
      <c r="JYV254" s="219"/>
      <c r="JYW254" s="219"/>
      <c r="JYX254" s="219"/>
      <c r="JYY254" s="219"/>
      <c r="JYZ254" s="219"/>
      <c r="JZA254" s="219"/>
      <c r="JZB254" s="219"/>
      <c r="JZC254" s="219"/>
      <c r="JZD254" s="219"/>
      <c r="JZE254" s="219"/>
      <c r="JZF254" s="219"/>
      <c r="JZG254" s="219"/>
      <c r="JZH254" s="219"/>
      <c r="JZI254" s="219"/>
      <c r="JZJ254" s="219"/>
      <c r="JZK254" s="219"/>
      <c r="JZL254" s="219"/>
      <c r="JZM254" s="219"/>
      <c r="JZN254" s="219"/>
      <c r="JZO254" s="219"/>
      <c r="JZP254" s="219"/>
      <c r="JZQ254" s="219"/>
      <c r="JZR254" s="219"/>
      <c r="JZS254" s="219"/>
      <c r="JZT254" s="219"/>
      <c r="JZU254" s="219"/>
      <c r="JZV254" s="219"/>
      <c r="JZW254" s="219"/>
      <c r="JZX254" s="219"/>
      <c r="JZY254" s="219"/>
      <c r="JZZ254" s="219"/>
      <c r="KAA254" s="219"/>
      <c r="KAB254" s="219"/>
      <c r="KAC254" s="219"/>
      <c r="KAD254" s="219"/>
      <c r="KAE254" s="219"/>
      <c r="KAF254" s="219"/>
      <c r="KAG254" s="219"/>
      <c r="KAH254" s="219"/>
      <c r="KAI254" s="219"/>
      <c r="KAJ254" s="219"/>
      <c r="KAK254" s="219"/>
      <c r="KAL254" s="219"/>
      <c r="KAM254" s="219"/>
      <c r="KAN254" s="219"/>
      <c r="KAO254" s="219"/>
      <c r="KAP254" s="219"/>
      <c r="KAQ254" s="219"/>
      <c r="KAR254" s="219"/>
      <c r="KAS254" s="219"/>
      <c r="KAT254" s="219"/>
      <c r="KAU254" s="219"/>
      <c r="KAV254" s="219"/>
      <c r="KAW254" s="219"/>
      <c r="KAX254" s="219"/>
      <c r="KAY254" s="219"/>
      <c r="KAZ254" s="219"/>
      <c r="KBA254" s="219"/>
      <c r="KBB254" s="219"/>
      <c r="KBC254" s="219"/>
      <c r="KBD254" s="219"/>
      <c r="KBE254" s="219"/>
      <c r="KBF254" s="219"/>
      <c r="KBG254" s="219"/>
      <c r="KBH254" s="219"/>
      <c r="KBI254" s="219"/>
      <c r="KBJ254" s="219"/>
      <c r="KBK254" s="219"/>
      <c r="KBL254" s="219"/>
      <c r="KBM254" s="219"/>
      <c r="KBN254" s="219"/>
      <c r="KBO254" s="219"/>
      <c r="KBP254" s="219"/>
      <c r="KBQ254" s="219"/>
      <c r="KBR254" s="219"/>
      <c r="KBS254" s="219"/>
      <c r="KBT254" s="219"/>
      <c r="KBU254" s="219"/>
      <c r="KBV254" s="219"/>
      <c r="KBW254" s="219"/>
      <c r="KBX254" s="219"/>
      <c r="KBY254" s="219"/>
      <c r="KBZ254" s="219"/>
      <c r="KCA254" s="219"/>
      <c r="KCB254" s="219"/>
      <c r="KCC254" s="219"/>
      <c r="KCD254" s="219"/>
      <c r="KCE254" s="219"/>
      <c r="KCF254" s="219"/>
      <c r="KCG254" s="219"/>
      <c r="KCH254" s="219"/>
      <c r="KCI254" s="219"/>
      <c r="KCJ254" s="219"/>
      <c r="KCK254" s="219"/>
      <c r="KCL254" s="219"/>
      <c r="KCM254" s="219"/>
      <c r="KCN254" s="219"/>
      <c r="KCO254" s="219"/>
      <c r="KCP254" s="219"/>
      <c r="KCQ254" s="219"/>
      <c r="KCR254" s="219"/>
      <c r="KCS254" s="219"/>
      <c r="KCT254" s="219"/>
      <c r="KCU254" s="219"/>
      <c r="KCV254" s="219"/>
      <c r="KCW254" s="219"/>
      <c r="KCX254" s="219"/>
      <c r="KCY254" s="219"/>
      <c r="KCZ254" s="219"/>
      <c r="KDA254" s="219"/>
      <c r="KDB254" s="219"/>
      <c r="KDC254" s="219"/>
      <c r="KDD254" s="219"/>
      <c r="KDE254" s="219"/>
      <c r="KDF254" s="219"/>
      <c r="KDG254" s="219"/>
      <c r="KDH254" s="219"/>
      <c r="KDI254" s="219"/>
      <c r="KDJ254" s="219"/>
      <c r="KDK254" s="219"/>
      <c r="KDL254" s="219"/>
      <c r="KDM254" s="219"/>
      <c r="KDN254" s="219"/>
      <c r="KDO254" s="219"/>
      <c r="KDP254" s="219"/>
      <c r="KDQ254" s="219"/>
      <c r="KDR254" s="219"/>
      <c r="KDS254" s="219"/>
      <c r="KDT254" s="219"/>
      <c r="KDU254" s="219"/>
      <c r="KDV254" s="219"/>
      <c r="KDW254" s="219"/>
      <c r="KDX254" s="219"/>
      <c r="KDY254" s="219"/>
      <c r="KDZ254" s="219"/>
      <c r="KEA254" s="219"/>
      <c r="KEB254" s="219"/>
      <c r="KEC254" s="219"/>
      <c r="KED254" s="219"/>
      <c r="KEE254" s="219"/>
      <c r="KEF254" s="219"/>
      <c r="KEG254" s="219"/>
      <c r="KEH254" s="219"/>
      <c r="KEI254" s="219"/>
      <c r="KEJ254" s="219"/>
      <c r="KEK254" s="219"/>
      <c r="KEL254" s="219"/>
      <c r="KEM254" s="219"/>
      <c r="KEN254" s="219"/>
      <c r="KEO254" s="219"/>
      <c r="KEP254" s="219"/>
      <c r="KEQ254" s="219"/>
      <c r="KER254" s="219"/>
      <c r="KES254" s="219"/>
      <c r="KET254" s="219"/>
      <c r="KEU254" s="219"/>
      <c r="KEV254" s="219"/>
      <c r="KEW254" s="219"/>
      <c r="KEX254" s="219"/>
      <c r="KEY254" s="219"/>
      <c r="KEZ254" s="219"/>
      <c r="KFA254" s="219"/>
      <c r="KFB254" s="219"/>
      <c r="KFC254" s="219"/>
      <c r="KFD254" s="219"/>
      <c r="KFE254" s="219"/>
      <c r="KFF254" s="219"/>
      <c r="KFG254" s="219"/>
      <c r="KFH254" s="219"/>
      <c r="KFI254" s="219"/>
      <c r="KFJ254" s="219"/>
      <c r="KFK254" s="219"/>
      <c r="KFL254" s="219"/>
      <c r="KFM254" s="219"/>
      <c r="KFN254" s="219"/>
      <c r="KFO254" s="219"/>
      <c r="KFP254" s="219"/>
      <c r="KFQ254" s="219"/>
      <c r="KFR254" s="219"/>
      <c r="KFS254" s="219"/>
      <c r="KFT254" s="219"/>
      <c r="KFU254" s="219"/>
      <c r="KFV254" s="219"/>
      <c r="KFW254" s="219"/>
      <c r="KFX254" s="219"/>
      <c r="KFY254" s="219"/>
      <c r="KFZ254" s="219"/>
      <c r="KGA254" s="219"/>
      <c r="KGB254" s="219"/>
      <c r="KGC254" s="219"/>
      <c r="KGD254" s="219"/>
      <c r="KGE254" s="219"/>
      <c r="KGF254" s="219"/>
      <c r="KGG254" s="219"/>
      <c r="KGH254" s="219"/>
      <c r="KGI254" s="219"/>
      <c r="KGJ254" s="219"/>
      <c r="KGK254" s="219"/>
      <c r="KGL254" s="219"/>
      <c r="KGM254" s="219"/>
      <c r="KGN254" s="219"/>
      <c r="KGO254" s="219"/>
      <c r="KGP254" s="219"/>
      <c r="KGQ254" s="219"/>
      <c r="KGR254" s="219"/>
      <c r="KGS254" s="219"/>
      <c r="KGT254" s="219"/>
      <c r="KGU254" s="219"/>
      <c r="KGV254" s="219"/>
      <c r="KGW254" s="219"/>
      <c r="KGX254" s="219"/>
      <c r="KGY254" s="219"/>
      <c r="KGZ254" s="219"/>
      <c r="KHA254" s="219"/>
      <c r="KHB254" s="219"/>
      <c r="KHC254" s="219"/>
      <c r="KHD254" s="219"/>
      <c r="KHE254" s="219"/>
      <c r="KHF254" s="219"/>
      <c r="KHG254" s="219"/>
      <c r="KHH254" s="219"/>
      <c r="KHI254" s="219"/>
      <c r="KHJ254" s="219"/>
      <c r="KHK254" s="219"/>
      <c r="KHL254" s="219"/>
      <c r="KHM254" s="219"/>
      <c r="KHN254" s="219"/>
      <c r="KHO254" s="219"/>
      <c r="KHP254" s="219"/>
      <c r="KHQ254" s="219"/>
      <c r="KHR254" s="219"/>
      <c r="KHS254" s="219"/>
      <c r="KHT254" s="219"/>
      <c r="KHU254" s="219"/>
      <c r="KHV254" s="219"/>
      <c r="KHW254" s="219"/>
      <c r="KHX254" s="219"/>
      <c r="KHY254" s="219"/>
      <c r="KHZ254" s="219"/>
      <c r="KIA254" s="219"/>
      <c r="KIB254" s="219"/>
      <c r="KIC254" s="219"/>
      <c r="KID254" s="219"/>
      <c r="KIE254" s="219"/>
      <c r="KIF254" s="219"/>
      <c r="KIG254" s="219"/>
      <c r="KIH254" s="219"/>
      <c r="KII254" s="219"/>
      <c r="KIJ254" s="219"/>
      <c r="KIK254" s="219"/>
      <c r="KIL254" s="219"/>
      <c r="KIM254" s="219"/>
      <c r="KIN254" s="219"/>
      <c r="KIO254" s="219"/>
      <c r="KIP254" s="219"/>
      <c r="KIQ254" s="219"/>
      <c r="KIR254" s="219"/>
      <c r="KIS254" s="219"/>
      <c r="KIT254" s="219"/>
      <c r="KIU254" s="219"/>
      <c r="KIV254" s="219"/>
      <c r="KIW254" s="219"/>
      <c r="KIX254" s="219"/>
      <c r="KIY254" s="219"/>
      <c r="KIZ254" s="219"/>
      <c r="KJA254" s="219"/>
      <c r="KJB254" s="219"/>
      <c r="KJC254" s="219"/>
      <c r="KJD254" s="219"/>
      <c r="KJE254" s="219"/>
      <c r="KJF254" s="219"/>
      <c r="KJG254" s="219"/>
      <c r="KJH254" s="219"/>
      <c r="KJI254" s="219"/>
      <c r="KJJ254" s="219"/>
      <c r="KJK254" s="219"/>
      <c r="KJL254" s="219"/>
      <c r="KJM254" s="219"/>
      <c r="KJN254" s="219"/>
      <c r="KJO254" s="219"/>
      <c r="KJP254" s="219"/>
      <c r="KJQ254" s="219"/>
      <c r="KJR254" s="219"/>
      <c r="KJS254" s="219"/>
      <c r="KJT254" s="219"/>
      <c r="KJU254" s="219"/>
      <c r="KJV254" s="219"/>
      <c r="KJW254" s="219"/>
      <c r="KJX254" s="219"/>
      <c r="KJY254" s="219"/>
      <c r="KJZ254" s="219"/>
      <c r="KKA254" s="219"/>
      <c r="KKB254" s="219"/>
      <c r="KKC254" s="219"/>
      <c r="KKD254" s="219"/>
      <c r="KKE254" s="219"/>
      <c r="KKF254" s="219"/>
      <c r="KKG254" s="219"/>
      <c r="KKH254" s="219"/>
      <c r="KKI254" s="219"/>
      <c r="KKJ254" s="219"/>
      <c r="KKK254" s="219"/>
      <c r="KKL254" s="219"/>
      <c r="KKM254" s="219"/>
      <c r="KKN254" s="219"/>
      <c r="KKO254" s="219"/>
      <c r="KKP254" s="219"/>
      <c r="KKQ254" s="219"/>
      <c r="KKR254" s="219"/>
      <c r="KKS254" s="219"/>
      <c r="KKT254" s="219"/>
      <c r="KKU254" s="219"/>
      <c r="KKV254" s="219"/>
      <c r="KKW254" s="219"/>
      <c r="KKX254" s="219"/>
      <c r="KKY254" s="219"/>
      <c r="KKZ254" s="219"/>
      <c r="KLA254" s="219"/>
      <c r="KLB254" s="219"/>
      <c r="KLC254" s="219"/>
      <c r="KLD254" s="219"/>
      <c r="KLE254" s="219"/>
      <c r="KLF254" s="219"/>
      <c r="KLG254" s="219"/>
      <c r="KLH254" s="219"/>
      <c r="KLI254" s="219"/>
      <c r="KLJ254" s="219"/>
      <c r="KLK254" s="219"/>
      <c r="KLL254" s="219"/>
      <c r="KLM254" s="219"/>
      <c r="KLN254" s="219"/>
      <c r="KLO254" s="219"/>
      <c r="KLP254" s="219"/>
      <c r="KLQ254" s="219"/>
      <c r="KLR254" s="219"/>
      <c r="KLS254" s="219"/>
      <c r="KLT254" s="219"/>
      <c r="KLU254" s="219"/>
      <c r="KLV254" s="219"/>
      <c r="KLW254" s="219"/>
      <c r="KLX254" s="219"/>
      <c r="KLY254" s="219"/>
      <c r="KLZ254" s="219"/>
      <c r="KMA254" s="219"/>
      <c r="KMB254" s="219"/>
      <c r="KMC254" s="219"/>
      <c r="KMD254" s="219"/>
      <c r="KME254" s="219"/>
      <c r="KMF254" s="219"/>
      <c r="KMG254" s="219"/>
      <c r="KMH254" s="219"/>
      <c r="KMI254" s="219"/>
      <c r="KMJ254" s="219"/>
      <c r="KMK254" s="219"/>
      <c r="KML254" s="219"/>
      <c r="KMM254" s="219"/>
      <c r="KMN254" s="219"/>
      <c r="KMO254" s="219"/>
      <c r="KMP254" s="219"/>
      <c r="KMQ254" s="219"/>
      <c r="KMR254" s="219"/>
      <c r="KMS254" s="219"/>
      <c r="KMT254" s="219"/>
      <c r="KMU254" s="219"/>
      <c r="KMV254" s="219"/>
      <c r="KMW254" s="219"/>
      <c r="KMX254" s="219"/>
      <c r="KMY254" s="219"/>
      <c r="KMZ254" s="219"/>
      <c r="KNA254" s="219"/>
      <c r="KNB254" s="219"/>
      <c r="KNC254" s="219"/>
      <c r="KND254" s="219"/>
      <c r="KNE254" s="219"/>
      <c r="KNF254" s="219"/>
      <c r="KNG254" s="219"/>
      <c r="KNH254" s="219"/>
      <c r="KNI254" s="219"/>
      <c r="KNJ254" s="219"/>
      <c r="KNK254" s="219"/>
      <c r="KNL254" s="219"/>
      <c r="KNM254" s="219"/>
      <c r="KNN254" s="219"/>
      <c r="KNO254" s="219"/>
      <c r="KNP254" s="219"/>
      <c r="KNQ254" s="219"/>
      <c r="KNR254" s="219"/>
      <c r="KNS254" s="219"/>
      <c r="KNT254" s="219"/>
      <c r="KNU254" s="219"/>
      <c r="KNV254" s="219"/>
      <c r="KNW254" s="219"/>
      <c r="KNX254" s="219"/>
      <c r="KNY254" s="219"/>
      <c r="KNZ254" s="219"/>
      <c r="KOA254" s="219"/>
      <c r="KOB254" s="219"/>
      <c r="KOC254" s="219"/>
      <c r="KOD254" s="219"/>
      <c r="KOE254" s="219"/>
      <c r="KOF254" s="219"/>
      <c r="KOG254" s="219"/>
      <c r="KOH254" s="219"/>
      <c r="KOI254" s="219"/>
      <c r="KOJ254" s="219"/>
      <c r="KOK254" s="219"/>
      <c r="KOL254" s="219"/>
      <c r="KOM254" s="219"/>
      <c r="KON254" s="219"/>
      <c r="KOO254" s="219"/>
      <c r="KOP254" s="219"/>
      <c r="KOQ254" s="219"/>
      <c r="KOR254" s="219"/>
      <c r="KOS254" s="219"/>
      <c r="KOT254" s="219"/>
      <c r="KOU254" s="219"/>
      <c r="KOV254" s="219"/>
      <c r="KOW254" s="219"/>
      <c r="KOX254" s="219"/>
      <c r="KOY254" s="219"/>
      <c r="KOZ254" s="219"/>
      <c r="KPA254" s="219"/>
      <c r="KPB254" s="219"/>
      <c r="KPC254" s="219"/>
      <c r="KPD254" s="219"/>
      <c r="KPE254" s="219"/>
      <c r="KPF254" s="219"/>
      <c r="KPG254" s="219"/>
      <c r="KPH254" s="219"/>
      <c r="KPI254" s="219"/>
      <c r="KPJ254" s="219"/>
      <c r="KPK254" s="219"/>
      <c r="KPL254" s="219"/>
      <c r="KPM254" s="219"/>
      <c r="KPN254" s="219"/>
      <c r="KPO254" s="219"/>
      <c r="KPP254" s="219"/>
      <c r="KPQ254" s="219"/>
      <c r="KPR254" s="219"/>
      <c r="KPS254" s="219"/>
      <c r="KPT254" s="219"/>
      <c r="KPU254" s="219"/>
      <c r="KPV254" s="219"/>
      <c r="KPW254" s="219"/>
      <c r="KPX254" s="219"/>
      <c r="KPY254" s="219"/>
      <c r="KPZ254" s="219"/>
      <c r="KQA254" s="219"/>
      <c r="KQB254" s="219"/>
      <c r="KQC254" s="219"/>
      <c r="KQD254" s="219"/>
      <c r="KQE254" s="219"/>
      <c r="KQF254" s="219"/>
      <c r="KQG254" s="219"/>
      <c r="KQH254" s="219"/>
      <c r="KQI254" s="219"/>
      <c r="KQJ254" s="219"/>
      <c r="KQK254" s="219"/>
      <c r="KQL254" s="219"/>
      <c r="KQM254" s="219"/>
      <c r="KQN254" s="219"/>
      <c r="KQO254" s="219"/>
      <c r="KQP254" s="219"/>
      <c r="KQQ254" s="219"/>
      <c r="KQR254" s="219"/>
      <c r="KQS254" s="219"/>
      <c r="KQT254" s="219"/>
      <c r="KQU254" s="219"/>
      <c r="KQV254" s="219"/>
      <c r="KQW254" s="219"/>
      <c r="KQX254" s="219"/>
      <c r="KQY254" s="219"/>
      <c r="KQZ254" s="219"/>
      <c r="KRA254" s="219"/>
      <c r="KRB254" s="219"/>
      <c r="KRC254" s="219"/>
      <c r="KRD254" s="219"/>
      <c r="KRE254" s="219"/>
      <c r="KRF254" s="219"/>
      <c r="KRG254" s="219"/>
      <c r="KRH254" s="219"/>
      <c r="KRI254" s="219"/>
      <c r="KRJ254" s="219"/>
      <c r="KRK254" s="219"/>
      <c r="KRL254" s="219"/>
      <c r="KRM254" s="219"/>
      <c r="KRN254" s="219"/>
      <c r="KRO254" s="219"/>
      <c r="KRP254" s="219"/>
      <c r="KRQ254" s="219"/>
      <c r="KRR254" s="219"/>
      <c r="KRS254" s="219"/>
      <c r="KRT254" s="219"/>
      <c r="KRU254" s="219"/>
      <c r="KRV254" s="219"/>
      <c r="KRW254" s="219"/>
      <c r="KRX254" s="219"/>
      <c r="KRY254" s="219"/>
      <c r="KRZ254" s="219"/>
      <c r="KSA254" s="219"/>
      <c r="KSB254" s="219"/>
      <c r="KSC254" s="219"/>
      <c r="KSD254" s="219"/>
      <c r="KSE254" s="219"/>
      <c r="KSF254" s="219"/>
      <c r="KSG254" s="219"/>
      <c r="KSH254" s="219"/>
      <c r="KSI254" s="219"/>
      <c r="KSJ254" s="219"/>
      <c r="KSK254" s="219"/>
      <c r="KSL254" s="219"/>
      <c r="KSM254" s="219"/>
      <c r="KSN254" s="219"/>
      <c r="KSO254" s="219"/>
      <c r="KSP254" s="219"/>
      <c r="KSQ254" s="219"/>
      <c r="KSR254" s="219"/>
      <c r="KSS254" s="219"/>
      <c r="KST254" s="219"/>
      <c r="KSU254" s="219"/>
      <c r="KSV254" s="219"/>
      <c r="KSW254" s="219"/>
      <c r="KSX254" s="219"/>
      <c r="KSY254" s="219"/>
      <c r="KSZ254" s="219"/>
      <c r="KTA254" s="219"/>
      <c r="KTB254" s="219"/>
      <c r="KTC254" s="219"/>
      <c r="KTD254" s="219"/>
      <c r="KTE254" s="219"/>
      <c r="KTF254" s="219"/>
      <c r="KTG254" s="219"/>
      <c r="KTH254" s="219"/>
      <c r="KTI254" s="219"/>
      <c r="KTJ254" s="219"/>
      <c r="KTK254" s="219"/>
      <c r="KTL254" s="219"/>
      <c r="KTM254" s="219"/>
      <c r="KTN254" s="219"/>
      <c r="KTO254" s="219"/>
      <c r="KTP254" s="219"/>
      <c r="KTQ254" s="219"/>
      <c r="KTR254" s="219"/>
      <c r="KTS254" s="219"/>
      <c r="KTT254" s="219"/>
      <c r="KTU254" s="219"/>
      <c r="KTV254" s="219"/>
      <c r="KTW254" s="219"/>
      <c r="KTX254" s="219"/>
      <c r="KTY254" s="219"/>
      <c r="KTZ254" s="219"/>
      <c r="KUA254" s="219"/>
      <c r="KUB254" s="219"/>
      <c r="KUC254" s="219"/>
      <c r="KUD254" s="219"/>
      <c r="KUE254" s="219"/>
      <c r="KUF254" s="219"/>
      <c r="KUG254" s="219"/>
      <c r="KUH254" s="219"/>
      <c r="KUI254" s="219"/>
      <c r="KUJ254" s="219"/>
      <c r="KUK254" s="219"/>
      <c r="KUL254" s="219"/>
      <c r="KUM254" s="219"/>
      <c r="KUN254" s="219"/>
      <c r="KUO254" s="219"/>
      <c r="KUP254" s="219"/>
      <c r="KUQ254" s="219"/>
      <c r="KUR254" s="219"/>
      <c r="KUS254" s="219"/>
      <c r="KUT254" s="219"/>
      <c r="KUU254" s="219"/>
      <c r="KUV254" s="219"/>
      <c r="KUW254" s="219"/>
      <c r="KUX254" s="219"/>
      <c r="KUY254" s="219"/>
      <c r="KUZ254" s="219"/>
      <c r="KVA254" s="219"/>
      <c r="KVB254" s="219"/>
      <c r="KVC254" s="219"/>
      <c r="KVD254" s="219"/>
      <c r="KVE254" s="219"/>
      <c r="KVF254" s="219"/>
      <c r="KVG254" s="219"/>
      <c r="KVH254" s="219"/>
      <c r="KVI254" s="219"/>
      <c r="KVJ254" s="219"/>
      <c r="KVK254" s="219"/>
      <c r="KVL254" s="219"/>
      <c r="KVM254" s="219"/>
      <c r="KVN254" s="219"/>
      <c r="KVO254" s="219"/>
      <c r="KVP254" s="219"/>
      <c r="KVQ254" s="219"/>
      <c r="KVR254" s="219"/>
      <c r="KVS254" s="219"/>
      <c r="KVT254" s="219"/>
      <c r="KVU254" s="219"/>
      <c r="KVV254" s="219"/>
      <c r="KVW254" s="219"/>
      <c r="KVX254" s="219"/>
      <c r="KVY254" s="219"/>
      <c r="KVZ254" s="219"/>
      <c r="KWA254" s="219"/>
      <c r="KWB254" s="219"/>
      <c r="KWC254" s="219"/>
      <c r="KWD254" s="219"/>
      <c r="KWE254" s="219"/>
      <c r="KWF254" s="219"/>
      <c r="KWG254" s="219"/>
      <c r="KWH254" s="219"/>
      <c r="KWI254" s="219"/>
      <c r="KWJ254" s="219"/>
      <c r="KWK254" s="219"/>
      <c r="KWL254" s="219"/>
      <c r="KWM254" s="219"/>
      <c r="KWN254" s="219"/>
      <c r="KWO254" s="219"/>
      <c r="KWP254" s="219"/>
      <c r="KWQ254" s="219"/>
      <c r="KWR254" s="219"/>
      <c r="KWS254" s="219"/>
      <c r="KWT254" s="219"/>
      <c r="KWU254" s="219"/>
      <c r="KWV254" s="219"/>
      <c r="KWW254" s="219"/>
      <c r="KWX254" s="219"/>
      <c r="KWY254" s="219"/>
      <c r="KWZ254" s="219"/>
      <c r="KXA254" s="219"/>
      <c r="KXB254" s="219"/>
      <c r="KXC254" s="219"/>
      <c r="KXD254" s="219"/>
      <c r="KXE254" s="219"/>
      <c r="KXF254" s="219"/>
      <c r="KXG254" s="219"/>
      <c r="KXH254" s="219"/>
      <c r="KXI254" s="219"/>
      <c r="KXJ254" s="219"/>
      <c r="KXK254" s="219"/>
      <c r="KXL254" s="219"/>
      <c r="KXM254" s="219"/>
      <c r="KXN254" s="219"/>
      <c r="KXO254" s="219"/>
      <c r="KXP254" s="219"/>
      <c r="KXQ254" s="219"/>
      <c r="KXR254" s="219"/>
      <c r="KXS254" s="219"/>
      <c r="KXT254" s="219"/>
      <c r="KXU254" s="219"/>
      <c r="KXV254" s="219"/>
      <c r="KXW254" s="219"/>
      <c r="KXX254" s="219"/>
      <c r="KXY254" s="219"/>
      <c r="KXZ254" s="219"/>
      <c r="KYA254" s="219"/>
      <c r="KYB254" s="219"/>
      <c r="KYC254" s="219"/>
      <c r="KYD254" s="219"/>
      <c r="KYE254" s="219"/>
      <c r="KYF254" s="219"/>
      <c r="KYG254" s="219"/>
      <c r="KYH254" s="219"/>
      <c r="KYI254" s="219"/>
      <c r="KYJ254" s="219"/>
      <c r="KYK254" s="219"/>
      <c r="KYL254" s="219"/>
      <c r="KYM254" s="219"/>
      <c r="KYN254" s="219"/>
      <c r="KYO254" s="219"/>
      <c r="KYP254" s="219"/>
      <c r="KYQ254" s="219"/>
      <c r="KYR254" s="219"/>
      <c r="KYS254" s="219"/>
      <c r="KYT254" s="219"/>
      <c r="KYU254" s="219"/>
      <c r="KYV254" s="219"/>
      <c r="KYW254" s="219"/>
      <c r="KYX254" s="219"/>
      <c r="KYY254" s="219"/>
      <c r="KYZ254" s="219"/>
      <c r="KZA254" s="219"/>
      <c r="KZB254" s="219"/>
      <c r="KZC254" s="219"/>
      <c r="KZD254" s="219"/>
      <c r="KZE254" s="219"/>
      <c r="KZF254" s="219"/>
      <c r="KZG254" s="219"/>
      <c r="KZH254" s="219"/>
      <c r="KZI254" s="219"/>
      <c r="KZJ254" s="219"/>
      <c r="KZK254" s="219"/>
      <c r="KZL254" s="219"/>
      <c r="KZM254" s="219"/>
      <c r="KZN254" s="219"/>
      <c r="KZO254" s="219"/>
      <c r="KZP254" s="219"/>
      <c r="KZQ254" s="219"/>
      <c r="KZR254" s="219"/>
      <c r="KZS254" s="219"/>
      <c r="KZT254" s="219"/>
      <c r="KZU254" s="219"/>
      <c r="KZV254" s="219"/>
      <c r="KZW254" s="219"/>
      <c r="KZX254" s="219"/>
      <c r="KZY254" s="219"/>
      <c r="KZZ254" s="219"/>
      <c r="LAA254" s="219"/>
      <c r="LAB254" s="219"/>
      <c r="LAC254" s="219"/>
      <c r="LAD254" s="219"/>
      <c r="LAE254" s="219"/>
      <c r="LAF254" s="219"/>
      <c r="LAG254" s="219"/>
      <c r="LAH254" s="219"/>
      <c r="LAI254" s="219"/>
      <c r="LAJ254" s="219"/>
      <c r="LAK254" s="219"/>
      <c r="LAL254" s="219"/>
      <c r="LAM254" s="219"/>
      <c r="LAN254" s="219"/>
      <c r="LAO254" s="219"/>
      <c r="LAP254" s="219"/>
      <c r="LAQ254" s="219"/>
      <c r="LAR254" s="219"/>
      <c r="LAS254" s="219"/>
      <c r="LAT254" s="219"/>
      <c r="LAU254" s="219"/>
      <c r="LAV254" s="219"/>
      <c r="LAW254" s="219"/>
      <c r="LAX254" s="219"/>
      <c r="LAY254" s="219"/>
      <c r="LAZ254" s="219"/>
      <c r="LBA254" s="219"/>
      <c r="LBB254" s="219"/>
      <c r="LBC254" s="219"/>
      <c r="LBD254" s="219"/>
      <c r="LBE254" s="219"/>
      <c r="LBF254" s="219"/>
      <c r="LBG254" s="219"/>
      <c r="LBH254" s="219"/>
      <c r="LBI254" s="219"/>
      <c r="LBJ254" s="219"/>
      <c r="LBK254" s="219"/>
      <c r="LBL254" s="219"/>
      <c r="LBM254" s="219"/>
      <c r="LBN254" s="219"/>
      <c r="LBO254" s="219"/>
      <c r="LBP254" s="219"/>
      <c r="LBQ254" s="219"/>
      <c r="LBR254" s="219"/>
      <c r="LBS254" s="219"/>
      <c r="LBT254" s="219"/>
      <c r="LBU254" s="219"/>
      <c r="LBV254" s="219"/>
      <c r="LBW254" s="219"/>
      <c r="LBX254" s="219"/>
      <c r="LBY254" s="219"/>
      <c r="LBZ254" s="219"/>
      <c r="LCA254" s="219"/>
      <c r="LCB254" s="219"/>
      <c r="LCC254" s="219"/>
      <c r="LCD254" s="219"/>
      <c r="LCE254" s="219"/>
      <c r="LCF254" s="219"/>
      <c r="LCG254" s="219"/>
      <c r="LCH254" s="219"/>
      <c r="LCI254" s="219"/>
      <c r="LCJ254" s="219"/>
      <c r="LCK254" s="219"/>
      <c r="LCL254" s="219"/>
      <c r="LCM254" s="219"/>
      <c r="LCN254" s="219"/>
      <c r="LCO254" s="219"/>
      <c r="LCP254" s="219"/>
      <c r="LCQ254" s="219"/>
      <c r="LCR254" s="219"/>
      <c r="LCS254" s="219"/>
      <c r="LCT254" s="219"/>
      <c r="LCU254" s="219"/>
      <c r="LCV254" s="219"/>
      <c r="LCW254" s="219"/>
      <c r="LCX254" s="219"/>
      <c r="LCY254" s="219"/>
      <c r="LCZ254" s="219"/>
      <c r="LDA254" s="219"/>
      <c r="LDB254" s="219"/>
      <c r="LDC254" s="219"/>
      <c r="LDD254" s="219"/>
      <c r="LDE254" s="219"/>
      <c r="LDF254" s="219"/>
      <c r="LDG254" s="219"/>
      <c r="LDH254" s="219"/>
      <c r="LDI254" s="219"/>
      <c r="LDJ254" s="219"/>
      <c r="LDK254" s="219"/>
      <c r="LDL254" s="219"/>
      <c r="LDM254" s="219"/>
      <c r="LDN254" s="219"/>
      <c r="LDO254" s="219"/>
      <c r="LDP254" s="219"/>
      <c r="LDQ254" s="219"/>
      <c r="LDR254" s="219"/>
      <c r="LDS254" s="219"/>
      <c r="LDT254" s="219"/>
      <c r="LDU254" s="219"/>
      <c r="LDV254" s="219"/>
      <c r="LDW254" s="219"/>
      <c r="LDX254" s="219"/>
      <c r="LDY254" s="219"/>
      <c r="LDZ254" s="219"/>
      <c r="LEA254" s="219"/>
      <c r="LEB254" s="219"/>
      <c r="LEC254" s="219"/>
      <c r="LED254" s="219"/>
      <c r="LEE254" s="219"/>
      <c r="LEF254" s="219"/>
      <c r="LEG254" s="219"/>
      <c r="LEH254" s="219"/>
      <c r="LEI254" s="219"/>
      <c r="LEJ254" s="219"/>
      <c r="LEK254" s="219"/>
      <c r="LEL254" s="219"/>
      <c r="LEM254" s="219"/>
      <c r="LEN254" s="219"/>
      <c r="LEO254" s="219"/>
      <c r="LEP254" s="219"/>
      <c r="LEQ254" s="219"/>
      <c r="LER254" s="219"/>
      <c r="LES254" s="219"/>
      <c r="LET254" s="219"/>
      <c r="LEU254" s="219"/>
      <c r="LEV254" s="219"/>
      <c r="LEW254" s="219"/>
      <c r="LEX254" s="219"/>
      <c r="LEY254" s="219"/>
      <c r="LEZ254" s="219"/>
      <c r="LFA254" s="219"/>
      <c r="LFB254" s="219"/>
      <c r="LFC254" s="219"/>
      <c r="LFD254" s="219"/>
      <c r="LFE254" s="219"/>
      <c r="LFF254" s="219"/>
      <c r="LFG254" s="219"/>
      <c r="LFH254" s="219"/>
      <c r="LFI254" s="219"/>
      <c r="LFJ254" s="219"/>
      <c r="LFK254" s="219"/>
      <c r="LFL254" s="219"/>
      <c r="LFM254" s="219"/>
      <c r="LFN254" s="219"/>
      <c r="LFO254" s="219"/>
      <c r="LFP254" s="219"/>
      <c r="LFQ254" s="219"/>
      <c r="LFR254" s="219"/>
      <c r="LFS254" s="219"/>
      <c r="LFT254" s="219"/>
      <c r="LFU254" s="219"/>
      <c r="LFV254" s="219"/>
      <c r="LFW254" s="219"/>
      <c r="LFX254" s="219"/>
      <c r="LFY254" s="219"/>
      <c r="LFZ254" s="219"/>
      <c r="LGA254" s="219"/>
      <c r="LGB254" s="219"/>
      <c r="LGC254" s="219"/>
      <c r="LGD254" s="219"/>
      <c r="LGE254" s="219"/>
      <c r="LGF254" s="219"/>
      <c r="LGG254" s="219"/>
      <c r="LGH254" s="219"/>
      <c r="LGI254" s="219"/>
      <c r="LGJ254" s="219"/>
      <c r="LGK254" s="219"/>
      <c r="LGL254" s="219"/>
      <c r="LGM254" s="219"/>
      <c r="LGN254" s="219"/>
      <c r="LGO254" s="219"/>
      <c r="LGP254" s="219"/>
      <c r="LGQ254" s="219"/>
      <c r="LGR254" s="219"/>
      <c r="LGS254" s="219"/>
      <c r="LGT254" s="219"/>
      <c r="LGU254" s="219"/>
      <c r="LGV254" s="219"/>
      <c r="LGW254" s="219"/>
      <c r="LGX254" s="219"/>
      <c r="LGY254" s="219"/>
      <c r="LGZ254" s="219"/>
      <c r="LHA254" s="219"/>
      <c r="LHB254" s="219"/>
      <c r="LHC254" s="219"/>
      <c r="LHD254" s="219"/>
      <c r="LHE254" s="219"/>
      <c r="LHF254" s="219"/>
      <c r="LHG254" s="219"/>
      <c r="LHH254" s="219"/>
      <c r="LHI254" s="219"/>
      <c r="LHJ254" s="219"/>
      <c r="LHK254" s="219"/>
      <c r="LHL254" s="219"/>
      <c r="LHM254" s="219"/>
      <c r="LHN254" s="219"/>
      <c r="LHO254" s="219"/>
      <c r="LHP254" s="219"/>
      <c r="LHQ254" s="219"/>
      <c r="LHR254" s="219"/>
      <c r="LHS254" s="219"/>
      <c r="LHT254" s="219"/>
      <c r="LHU254" s="219"/>
      <c r="LHV254" s="219"/>
      <c r="LHW254" s="219"/>
      <c r="LHX254" s="219"/>
      <c r="LHY254" s="219"/>
      <c r="LHZ254" s="219"/>
      <c r="LIA254" s="219"/>
      <c r="LIB254" s="219"/>
      <c r="LIC254" s="219"/>
      <c r="LID254" s="219"/>
      <c r="LIE254" s="219"/>
      <c r="LIF254" s="219"/>
      <c r="LIG254" s="219"/>
      <c r="LIH254" s="219"/>
      <c r="LII254" s="219"/>
      <c r="LIJ254" s="219"/>
      <c r="LIK254" s="219"/>
      <c r="LIL254" s="219"/>
      <c r="LIM254" s="219"/>
      <c r="LIN254" s="219"/>
      <c r="LIO254" s="219"/>
      <c r="LIP254" s="219"/>
      <c r="LIQ254" s="219"/>
      <c r="LIR254" s="219"/>
      <c r="LIS254" s="219"/>
      <c r="LIT254" s="219"/>
      <c r="LIU254" s="219"/>
      <c r="LIV254" s="219"/>
      <c r="LIW254" s="219"/>
      <c r="LIX254" s="219"/>
      <c r="LIY254" s="219"/>
      <c r="LIZ254" s="219"/>
      <c r="LJA254" s="219"/>
      <c r="LJB254" s="219"/>
      <c r="LJC254" s="219"/>
      <c r="LJD254" s="219"/>
      <c r="LJE254" s="219"/>
      <c r="LJF254" s="219"/>
      <c r="LJG254" s="219"/>
      <c r="LJH254" s="219"/>
      <c r="LJI254" s="219"/>
      <c r="LJJ254" s="219"/>
      <c r="LJK254" s="219"/>
      <c r="LJL254" s="219"/>
      <c r="LJM254" s="219"/>
      <c r="LJN254" s="219"/>
      <c r="LJO254" s="219"/>
      <c r="LJP254" s="219"/>
      <c r="LJQ254" s="219"/>
      <c r="LJR254" s="219"/>
      <c r="LJS254" s="219"/>
      <c r="LJT254" s="219"/>
      <c r="LJU254" s="219"/>
      <c r="LJV254" s="219"/>
      <c r="LJW254" s="219"/>
      <c r="LJX254" s="219"/>
      <c r="LJY254" s="219"/>
      <c r="LJZ254" s="219"/>
      <c r="LKA254" s="219"/>
      <c r="LKB254" s="219"/>
      <c r="LKC254" s="219"/>
      <c r="LKD254" s="219"/>
      <c r="LKE254" s="219"/>
      <c r="LKF254" s="219"/>
      <c r="LKG254" s="219"/>
      <c r="LKH254" s="219"/>
      <c r="LKI254" s="219"/>
      <c r="LKJ254" s="219"/>
      <c r="LKK254" s="219"/>
      <c r="LKL254" s="219"/>
      <c r="LKM254" s="219"/>
      <c r="LKN254" s="219"/>
      <c r="LKO254" s="219"/>
      <c r="LKP254" s="219"/>
      <c r="LKQ254" s="219"/>
      <c r="LKR254" s="219"/>
      <c r="LKS254" s="219"/>
      <c r="LKT254" s="219"/>
      <c r="LKU254" s="219"/>
      <c r="LKV254" s="219"/>
      <c r="LKW254" s="219"/>
      <c r="LKX254" s="219"/>
      <c r="LKY254" s="219"/>
      <c r="LKZ254" s="219"/>
      <c r="LLA254" s="219"/>
      <c r="LLB254" s="219"/>
      <c r="LLC254" s="219"/>
      <c r="LLD254" s="219"/>
      <c r="LLE254" s="219"/>
      <c r="LLF254" s="219"/>
      <c r="LLG254" s="219"/>
      <c r="LLH254" s="219"/>
      <c r="LLI254" s="219"/>
      <c r="LLJ254" s="219"/>
      <c r="LLK254" s="219"/>
      <c r="LLL254" s="219"/>
      <c r="LLM254" s="219"/>
      <c r="LLN254" s="219"/>
      <c r="LLO254" s="219"/>
      <c r="LLP254" s="219"/>
      <c r="LLQ254" s="219"/>
      <c r="LLR254" s="219"/>
      <c r="LLS254" s="219"/>
      <c r="LLT254" s="219"/>
      <c r="LLU254" s="219"/>
      <c r="LLV254" s="219"/>
      <c r="LLW254" s="219"/>
      <c r="LLX254" s="219"/>
      <c r="LLY254" s="219"/>
      <c r="LLZ254" s="219"/>
      <c r="LMA254" s="219"/>
      <c r="LMB254" s="219"/>
      <c r="LMC254" s="219"/>
      <c r="LMD254" s="219"/>
      <c r="LME254" s="219"/>
      <c r="LMF254" s="219"/>
      <c r="LMG254" s="219"/>
      <c r="LMH254" s="219"/>
      <c r="LMI254" s="219"/>
      <c r="LMJ254" s="219"/>
      <c r="LMK254" s="219"/>
      <c r="LML254" s="219"/>
      <c r="LMM254" s="219"/>
      <c r="LMN254" s="219"/>
      <c r="LMO254" s="219"/>
      <c r="LMP254" s="219"/>
      <c r="LMQ254" s="219"/>
      <c r="LMR254" s="219"/>
      <c r="LMS254" s="219"/>
      <c r="LMT254" s="219"/>
      <c r="LMU254" s="219"/>
      <c r="LMV254" s="219"/>
      <c r="LMW254" s="219"/>
      <c r="LMX254" s="219"/>
      <c r="LMY254" s="219"/>
      <c r="LMZ254" s="219"/>
      <c r="LNA254" s="219"/>
      <c r="LNB254" s="219"/>
      <c r="LNC254" s="219"/>
      <c r="LND254" s="219"/>
      <c r="LNE254" s="219"/>
      <c r="LNF254" s="219"/>
      <c r="LNG254" s="219"/>
      <c r="LNH254" s="219"/>
      <c r="LNI254" s="219"/>
      <c r="LNJ254" s="219"/>
      <c r="LNK254" s="219"/>
      <c r="LNL254" s="219"/>
      <c r="LNM254" s="219"/>
      <c r="LNN254" s="219"/>
      <c r="LNO254" s="219"/>
      <c r="LNP254" s="219"/>
      <c r="LNQ254" s="219"/>
      <c r="LNR254" s="219"/>
      <c r="LNS254" s="219"/>
      <c r="LNT254" s="219"/>
      <c r="LNU254" s="219"/>
      <c r="LNV254" s="219"/>
      <c r="LNW254" s="219"/>
      <c r="LNX254" s="219"/>
      <c r="LNY254" s="219"/>
      <c r="LNZ254" s="219"/>
      <c r="LOA254" s="219"/>
      <c r="LOB254" s="219"/>
      <c r="LOC254" s="219"/>
      <c r="LOD254" s="219"/>
      <c r="LOE254" s="219"/>
      <c r="LOF254" s="219"/>
      <c r="LOG254" s="219"/>
      <c r="LOH254" s="219"/>
      <c r="LOI254" s="219"/>
      <c r="LOJ254" s="219"/>
      <c r="LOK254" s="219"/>
      <c r="LOL254" s="219"/>
      <c r="LOM254" s="219"/>
      <c r="LON254" s="219"/>
      <c r="LOO254" s="219"/>
      <c r="LOP254" s="219"/>
      <c r="LOQ254" s="219"/>
      <c r="LOR254" s="219"/>
      <c r="LOS254" s="219"/>
      <c r="LOT254" s="219"/>
      <c r="LOU254" s="219"/>
      <c r="LOV254" s="219"/>
      <c r="LOW254" s="219"/>
      <c r="LOX254" s="219"/>
      <c r="LOY254" s="219"/>
      <c r="LOZ254" s="219"/>
      <c r="LPA254" s="219"/>
      <c r="LPB254" s="219"/>
      <c r="LPC254" s="219"/>
      <c r="LPD254" s="219"/>
      <c r="LPE254" s="219"/>
      <c r="LPF254" s="219"/>
      <c r="LPG254" s="219"/>
      <c r="LPH254" s="219"/>
      <c r="LPI254" s="219"/>
      <c r="LPJ254" s="219"/>
      <c r="LPK254" s="219"/>
      <c r="LPL254" s="219"/>
      <c r="LPM254" s="219"/>
      <c r="LPN254" s="219"/>
      <c r="LPO254" s="219"/>
      <c r="LPP254" s="219"/>
      <c r="LPQ254" s="219"/>
      <c r="LPR254" s="219"/>
      <c r="LPS254" s="219"/>
      <c r="LPT254" s="219"/>
      <c r="LPU254" s="219"/>
      <c r="LPV254" s="219"/>
      <c r="LPW254" s="219"/>
      <c r="LPX254" s="219"/>
      <c r="LPY254" s="219"/>
      <c r="LPZ254" s="219"/>
      <c r="LQA254" s="219"/>
      <c r="LQB254" s="219"/>
      <c r="LQC254" s="219"/>
      <c r="LQD254" s="219"/>
      <c r="LQE254" s="219"/>
      <c r="LQF254" s="219"/>
      <c r="LQG254" s="219"/>
      <c r="LQH254" s="219"/>
      <c r="LQI254" s="219"/>
      <c r="LQJ254" s="219"/>
      <c r="LQK254" s="219"/>
      <c r="LQL254" s="219"/>
      <c r="LQM254" s="219"/>
      <c r="LQN254" s="219"/>
      <c r="LQO254" s="219"/>
      <c r="LQP254" s="219"/>
      <c r="LQQ254" s="219"/>
      <c r="LQR254" s="219"/>
      <c r="LQS254" s="219"/>
      <c r="LQT254" s="219"/>
      <c r="LQU254" s="219"/>
      <c r="LQV254" s="219"/>
      <c r="LQW254" s="219"/>
      <c r="LQX254" s="219"/>
      <c r="LQY254" s="219"/>
      <c r="LQZ254" s="219"/>
      <c r="LRA254" s="219"/>
      <c r="LRB254" s="219"/>
      <c r="LRC254" s="219"/>
      <c r="LRD254" s="219"/>
      <c r="LRE254" s="219"/>
      <c r="LRF254" s="219"/>
      <c r="LRG254" s="219"/>
      <c r="LRH254" s="219"/>
      <c r="LRI254" s="219"/>
      <c r="LRJ254" s="219"/>
      <c r="LRK254" s="219"/>
      <c r="LRL254" s="219"/>
      <c r="LRM254" s="219"/>
      <c r="LRN254" s="219"/>
      <c r="LRO254" s="219"/>
      <c r="LRP254" s="219"/>
      <c r="LRQ254" s="219"/>
      <c r="LRR254" s="219"/>
      <c r="LRS254" s="219"/>
      <c r="LRT254" s="219"/>
      <c r="LRU254" s="219"/>
      <c r="LRV254" s="219"/>
      <c r="LRW254" s="219"/>
      <c r="LRX254" s="219"/>
      <c r="LRY254" s="219"/>
      <c r="LRZ254" s="219"/>
      <c r="LSA254" s="219"/>
      <c r="LSB254" s="219"/>
      <c r="LSC254" s="219"/>
      <c r="LSD254" s="219"/>
      <c r="LSE254" s="219"/>
      <c r="LSF254" s="219"/>
      <c r="LSG254" s="219"/>
      <c r="LSH254" s="219"/>
      <c r="LSI254" s="219"/>
      <c r="LSJ254" s="219"/>
      <c r="LSK254" s="219"/>
      <c r="LSL254" s="219"/>
      <c r="LSM254" s="219"/>
      <c r="LSN254" s="219"/>
      <c r="LSO254" s="219"/>
      <c r="LSP254" s="219"/>
      <c r="LSQ254" s="219"/>
      <c r="LSR254" s="219"/>
      <c r="LSS254" s="219"/>
      <c r="LST254" s="219"/>
      <c r="LSU254" s="219"/>
      <c r="LSV254" s="219"/>
      <c r="LSW254" s="219"/>
      <c r="LSX254" s="219"/>
      <c r="LSY254" s="219"/>
      <c r="LSZ254" s="219"/>
      <c r="LTA254" s="219"/>
      <c r="LTB254" s="219"/>
      <c r="LTC254" s="219"/>
      <c r="LTD254" s="219"/>
      <c r="LTE254" s="219"/>
      <c r="LTF254" s="219"/>
      <c r="LTG254" s="219"/>
      <c r="LTH254" s="219"/>
      <c r="LTI254" s="219"/>
      <c r="LTJ254" s="219"/>
      <c r="LTK254" s="219"/>
      <c r="LTL254" s="219"/>
      <c r="LTM254" s="219"/>
      <c r="LTN254" s="219"/>
      <c r="LTO254" s="219"/>
      <c r="LTP254" s="219"/>
      <c r="LTQ254" s="219"/>
      <c r="LTR254" s="219"/>
      <c r="LTS254" s="219"/>
      <c r="LTT254" s="219"/>
      <c r="LTU254" s="219"/>
      <c r="LTV254" s="219"/>
      <c r="LTW254" s="219"/>
      <c r="LTX254" s="219"/>
      <c r="LTY254" s="219"/>
      <c r="LTZ254" s="219"/>
      <c r="LUA254" s="219"/>
      <c r="LUB254" s="219"/>
      <c r="LUC254" s="219"/>
      <c r="LUD254" s="219"/>
      <c r="LUE254" s="219"/>
      <c r="LUF254" s="219"/>
      <c r="LUG254" s="219"/>
      <c r="LUH254" s="219"/>
      <c r="LUI254" s="219"/>
      <c r="LUJ254" s="219"/>
      <c r="LUK254" s="219"/>
      <c r="LUL254" s="219"/>
      <c r="LUM254" s="219"/>
      <c r="LUN254" s="219"/>
      <c r="LUO254" s="219"/>
      <c r="LUP254" s="219"/>
      <c r="LUQ254" s="219"/>
      <c r="LUR254" s="219"/>
      <c r="LUS254" s="219"/>
      <c r="LUT254" s="219"/>
      <c r="LUU254" s="219"/>
      <c r="LUV254" s="219"/>
      <c r="LUW254" s="219"/>
      <c r="LUX254" s="219"/>
      <c r="LUY254" s="219"/>
      <c r="LUZ254" s="219"/>
      <c r="LVA254" s="219"/>
      <c r="LVB254" s="219"/>
      <c r="LVC254" s="219"/>
      <c r="LVD254" s="219"/>
      <c r="LVE254" s="219"/>
      <c r="LVF254" s="219"/>
      <c r="LVG254" s="219"/>
      <c r="LVH254" s="219"/>
      <c r="LVI254" s="219"/>
      <c r="LVJ254" s="219"/>
      <c r="LVK254" s="219"/>
      <c r="LVL254" s="219"/>
      <c r="LVM254" s="219"/>
      <c r="LVN254" s="219"/>
      <c r="LVO254" s="219"/>
      <c r="LVP254" s="219"/>
      <c r="LVQ254" s="219"/>
      <c r="LVR254" s="219"/>
      <c r="LVS254" s="219"/>
      <c r="LVT254" s="219"/>
      <c r="LVU254" s="219"/>
      <c r="LVV254" s="219"/>
      <c r="LVW254" s="219"/>
      <c r="LVX254" s="219"/>
      <c r="LVY254" s="219"/>
      <c r="LVZ254" s="219"/>
      <c r="LWA254" s="219"/>
      <c r="LWB254" s="219"/>
      <c r="LWC254" s="219"/>
      <c r="LWD254" s="219"/>
      <c r="LWE254" s="219"/>
      <c r="LWF254" s="219"/>
      <c r="LWG254" s="219"/>
      <c r="LWH254" s="219"/>
      <c r="LWI254" s="219"/>
      <c r="LWJ254" s="219"/>
      <c r="LWK254" s="219"/>
      <c r="LWL254" s="219"/>
      <c r="LWM254" s="219"/>
      <c r="LWN254" s="219"/>
      <c r="LWO254" s="219"/>
      <c r="LWP254" s="219"/>
      <c r="LWQ254" s="219"/>
      <c r="LWR254" s="219"/>
      <c r="LWS254" s="219"/>
      <c r="LWT254" s="219"/>
      <c r="LWU254" s="219"/>
      <c r="LWV254" s="219"/>
      <c r="LWW254" s="219"/>
      <c r="LWX254" s="219"/>
      <c r="LWY254" s="219"/>
      <c r="LWZ254" s="219"/>
      <c r="LXA254" s="219"/>
      <c r="LXB254" s="219"/>
      <c r="LXC254" s="219"/>
      <c r="LXD254" s="219"/>
      <c r="LXE254" s="219"/>
      <c r="LXF254" s="219"/>
      <c r="LXG254" s="219"/>
      <c r="LXH254" s="219"/>
      <c r="LXI254" s="219"/>
      <c r="LXJ254" s="219"/>
      <c r="LXK254" s="219"/>
      <c r="LXL254" s="219"/>
      <c r="LXM254" s="219"/>
      <c r="LXN254" s="219"/>
      <c r="LXO254" s="219"/>
      <c r="LXP254" s="219"/>
      <c r="LXQ254" s="219"/>
      <c r="LXR254" s="219"/>
      <c r="LXS254" s="219"/>
      <c r="LXT254" s="219"/>
      <c r="LXU254" s="219"/>
      <c r="LXV254" s="219"/>
      <c r="LXW254" s="219"/>
      <c r="LXX254" s="219"/>
      <c r="LXY254" s="219"/>
      <c r="LXZ254" s="219"/>
      <c r="LYA254" s="219"/>
      <c r="LYB254" s="219"/>
      <c r="LYC254" s="219"/>
      <c r="LYD254" s="219"/>
      <c r="LYE254" s="219"/>
      <c r="LYF254" s="219"/>
      <c r="LYG254" s="219"/>
      <c r="LYH254" s="219"/>
      <c r="LYI254" s="219"/>
      <c r="LYJ254" s="219"/>
      <c r="LYK254" s="219"/>
      <c r="LYL254" s="219"/>
      <c r="LYM254" s="219"/>
      <c r="LYN254" s="219"/>
      <c r="LYO254" s="219"/>
      <c r="LYP254" s="219"/>
      <c r="LYQ254" s="219"/>
      <c r="LYR254" s="219"/>
      <c r="LYS254" s="219"/>
      <c r="LYT254" s="219"/>
      <c r="LYU254" s="219"/>
      <c r="LYV254" s="219"/>
      <c r="LYW254" s="219"/>
      <c r="LYX254" s="219"/>
      <c r="LYY254" s="219"/>
      <c r="LYZ254" s="219"/>
      <c r="LZA254" s="219"/>
      <c r="LZB254" s="219"/>
      <c r="LZC254" s="219"/>
      <c r="LZD254" s="219"/>
      <c r="LZE254" s="219"/>
      <c r="LZF254" s="219"/>
      <c r="LZG254" s="219"/>
      <c r="LZH254" s="219"/>
      <c r="LZI254" s="219"/>
      <c r="LZJ254" s="219"/>
      <c r="LZK254" s="219"/>
      <c r="LZL254" s="219"/>
      <c r="LZM254" s="219"/>
      <c r="LZN254" s="219"/>
      <c r="LZO254" s="219"/>
      <c r="LZP254" s="219"/>
      <c r="LZQ254" s="219"/>
      <c r="LZR254" s="219"/>
      <c r="LZS254" s="219"/>
      <c r="LZT254" s="219"/>
      <c r="LZU254" s="219"/>
      <c r="LZV254" s="219"/>
      <c r="LZW254" s="219"/>
      <c r="LZX254" s="219"/>
      <c r="LZY254" s="219"/>
      <c r="LZZ254" s="219"/>
      <c r="MAA254" s="219"/>
      <c r="MAB254" s="219"/>
      <c r="MAC254" s="219"/>
      <c r="MAD254" s="219"/>
      <c r="MAE254" s="219"/>
      <c r="MAF254" s="219"/>
      <c r="MAG254" s="219"/>
      <c r="MAH254" s="219"/>
      <c r="MAI254" s="219"/>
      <c r="MAJ254" s="219"/>
      <c r="MAK254" s="219"/>
      <c r="MAL254" s="219"/>
      <c r="MAM254" s="219"/>
      <c r="MAN254" s="219"/>
      <c r="MAO254" s="219"/>
      <c r="MAP254" s="219"/>
      <c r="MAQ254" s="219"/>
      <c r="MAR254" s="219"/>
      <c r="MAS254" s="219"/>
      <c r="MAT254" s="219"/>
      <c r="MAU254" s="219"/>
      <c r="MAV254" s="219"/>
      <c r="MAW254" s="219"/>
      <c r="MAX254" s="219"/>
      <c r="MAY254" s="219"/>
      <c r="MAZ254" s="219"/>
      <c r="MBA254" s="219"/>
      <c r="MBB254" s="219"/>
      <c r="MBC254" s="219"/>
      <c r="MBD254" s="219"/>
      <c r="MBE254" s="219"/>
      <c r="MBF254" s="219"/>
      <c r="MBG254" s="219"/>
      <c r="MBH254" s="219"/>
      <c r="MBI254" s="219"/>
      <c r="MBJ254" s="219"/>
      <c r="MBK254" s="219"/>
      <c r="MBL254" s="219"/>
      <c r="MBM254" s="219"/>
      <c r="MBN254" s="219"/>
      <c r="MBO254" s="219"/>
      <c r="MBP254" s="219"/>
      <c r="MBQ254" s="219"/>
      <c r="MBR254" s="219"/>
      <c r="MBS254" s="219"/>
      <c r="MBT254" s="219"/>
      <c r="MBU254" s="219"/>
      <c r="MBV254" s="219"/>
      <c r="MBW254" s="219"/>
      <c r="MBX254" s="219"/>
      <c r="MBY254" s="219"/>
      <c r="MBZ254" s="219"/>
      <c r="MCA254" s="219"/>
      <c r="MCB254" s="219"/>
      <c r="MCC254" s="219"/>
      <c r="MCD254" s="219"/>
      <c r="MCE254" s="219"/>
      <c r="MCF254" s="219"/>
      <c r="MCG254" s="219"/>
      <c r="MCH254" s="219"/>
      <c r="MCI254" s="219"/>
      <c r="MCJ254" s="219"/>
      <c r="MCK254" s="219"/>
      <c r="MCL254" s="219"/>
      <c r="MCM254" s="219"/>
      <c r="MCN254" s="219"/>
      <c r="MCO254" s="219"/>
      <c r="MCP254" s="219"/>
      <c r="MCQ254" s="219"/>
      <c r="MCR254" s="219"/>
      <c r="MCS254" s="219"/>
      <c r="MCT254" s="219"/>
      <c r="MCU254" s="219"/>
      <c r="MCV254" s="219"/>
      <c r="MCW254" s="219"/>
      <c r="MCX254" s="219"/>
      <c r="MCY254" s="219"/>
      <c r="MCZ254" s="219"/>
      <c r="MDA254" s="219"/>
      <c r="MDB254" s="219"/>
      <c r="MDC254" s="219"/>
      <c r="MDD254" s="219"/>
      <c r="MDE254" s="219"/>
      <c r="MDF254" s="219"/>
      <c r="MDG254" s="219"/>
      <c r="MDH254" s="219"/>
      <c r="MDI254" s="219"/>
      <c r="MDJ254" s="219"/>
      <c r="MDK254" s="219"/>
      <c r="MDL254" s="219"/>
      <c r="MDM254" s="219"/>
      <c r="MDN254" s="219"/>
      <c r="MDO254" s="219"/>
      <c r="MDP254" s="219"/>
      <c r="MDQ254" s="219"/>
      <c r="MDR254" s="219"/>
      <c r="MDS254" s="219"/>
      <c r="MDT254" s="219"/>
      <c r="MDU254" s="219"/>
      <c r="MDV254" s="219"/>
      <c r="MDW254" s="219"/>
      <c r="MDX254" s="219"/>
      <c r="MDY254" s="219"/>
      <c r="MDZ254" s="219"/>
      <c r="MEA254" s="219"/>
      <c r="MEB254" s="219"/>
      <c r="MEC254" s="219"/>
      <c r="MED254" s="219"/>
      <c r="MEE254" s="219"/>
      <c r="MEF254" s="219"/>
      <c r="MEG254" s="219"/>
      <c r="MEH254" s="219"/>
      <c r="MEI254" s="219"/>
      <c r="MEJ254" s="219"/>
      <c r="MEK254" s="219"/>
      <c r="MEL254" s="219"/>
      <c r="MEM254" s="219"/>
      <c r="MEN254" s="219"/>
      <c r="MEO254" s="219"/>
      <c r="MEP254" s="219"/>
      <c r="MEQ254" s="219"/>
      <c r="MER254" s="219"/>
      <c r="MES254" s="219"/>
      <c r="MET254" s="219"/>
      <c r="MEU254" s="219"/>
      <c r="MEV254" s="219"/>
      <c r="MEW254" s="219"/>
      <c r="MEX254" s="219"/>
      <c r="MEY254" s="219"/>
      <c r="MEZ254" s="219"/>
      <c r="MFA254" s="219"/>
      <c r="MFB254" s="219"/>
      <c r="MFC254" s="219"/>
      <c r="MFD254" s="219"/>
      <c r="MFE254" s="219"/>
      <c r="MFF254" s="219"/>
      <c r="MFG254" s="219"/>
      <c r="MFH254" s="219"/>
      <c r="MFI254" s="219"/>
      <c r="MFJ254" s="219"/>
      <c r="MFK254" s="219"/>
      <c r="MFL254" s="219"/>
      <c r="MFM254" s="219"/>
      <c r="MFN254" s="219"/>
      <c r="MFO254" s="219"/>
      <c r="MFP254" s="219"/>
      <c r="MFQ254" s="219"/>
      <c r="MFR254" s="219"/>
      <c r="MFS254" s="219"/>
      <c r="MFT254" s="219"/>
      <c r="MFU254" s="219"/>
      <c r="MFV254" s="219"/>
      <c r="MFW254" s="219"/>
      <c r="MFX254" s="219"/>
      <c r="MFY254" s="219"/>
      <c r="MFZ254" s="219"/>
      <c r="MGA254" s="219"/>
      <c r="MGB254" s="219"/>
      <c r="MGC254" s="219"/>
      <c r="MGD254" s="219"/>
      <c r="MGE254" s="219"/>
      <c r="MGF254" s="219"/>
      <c r="MGG254" s="219"/>
      <c r="MGH254" s="219"/>
      <c r="MGI254" s="219"/>
      <c r="MGJ254" s="219"/>
      <c r="MGK254" s="219"/>
      <c r="MGL254" s="219"/>
      <c r="MGM254" s="219"/>
      <c r="MGN254" s="219"/>
      <c r="MGO254" s="219"/>
      <c r="MGP254" s="219"/>
      <c r="MGQ254" s="219"/>
      <c r="MGR254" s="219"/>
      <c r="MGS254" s="219"/>
      <c r="MGT254" s="219"/>
      <c r="MGU254" s="219"/>
      <c r="MGV254" s="219"/>
      <c r="MGW254" s="219"/>
      <c r="MGX254" s="219"/>
      <c r="MGY254" s="219"/>
      <c r="MGZ254" s="219"/>
      <c r="MHA254" s="219"/>
      <c r="MHB254" s="219"/>
      <c r="MHC254" s="219"/>
      <c r="MHD254" s="219"/>
      <c r="MHE254" s="219"/>
      <c r="MHF254" s="219"/>
      <c r="MHG254" s="219"/>
      <c r="MHH254" s="219"/>
      <c r="MHI254" s="219"/>
      <c r="MHJ254" s="219"/>
      <c r="MHK254" s="219"/>
      <c r="MHL254" s="219"/>
      <c r="MHM254" s="219"/>
      <c r="MHN254" s="219"/>
      <c r="MHO254" s="219"/>
      <c r="MHP254" s="219"/>
      <c r="MHQ254" s="219"/>
      <c r="MHR254" s="219"/>
      <c r="MHS254" s="219"/>
      <c r="MHT254" s="219"/>
      <c r="MHU254" s="219"/>
      <c r="MHV254" s="219"/>
      <c r="MHW254" s="219"/>
      <c r="MHX254" s="219"/>
      <c r="MHY254" s="219"/>
      <c r="MHZ254" s="219"/>
      <c r="MIA254" s="219"/>
      <c r="MIB254" s="219"/>
      <c r="MIC254" s="219"/>
      <c r="MID254" s="219"/>
      <c r="MIE254" s="219"/>
      <c r="MIF254" s="219"/>
      <c r="MIG254" s="219"/>
      <c r="MIH254" s="219"/>
      <c r="MII254" s="219"/>
      <c r="MIJ254" s="219"/>
      <c r="MIK254" s="219"/>
      <c r="MIL254" s="219"/>
      <c r="MIM254" s="219"/>
      <c r="MIN254" s="219"/>
      <c r="MIO254" s="219"/>
      <c r="MIP254" s="219"/>
      <c r="MIQ254" s="219"/>
      <c r="MIR254" s="219"/>
      <c r="MIS254" s="219"/>
      <c r="MIT254" s="219"/>
      <c r="MIU254" s="219"/>
      <c r="MIV254" s="219"/>
      <c r="MIW254" s="219"/>
      <c r="MIX254" s="219"/>
      <c r="MIY254" s="219"/>
      <c r="MIZ254" s="219"/>
      <c r="MJA254" s="219"/>
      <c r="MJB254" s="219"/>
      <c r="MJC254" s="219"/>
      <c r="MJD254" s="219"/>
      <c r="MJE254" s="219"/>
      <c r="MJF254" s="219"/>
      <c r="MJG254" s="219"/>
      <c r="MJH254" s="219"/>
      <c r="MJI254" s="219"/>
      <c r="MJJ254" s="219"/>
      <c r="MJK254" s="219"/>
      <c r="MJL254" s="219"/>
      <c r="MJM254" s="219"/>
      <c r="MJN254" s="219"/>
      <c r="MJO254" s="219"/>
      <c r="MJP254" s="219"/>
      <c r="MJQ254" s="219"/>
      <c r="MJR254" s="219"/>
      <c r="MJS254" s="219"/>
      <c r="MJT254" s="219"/>
      <c r="MJU254" s="219"/>
      <c r="MJV254" s="219"/>
      <c r="MJW254" s="219"/>
      <c r="MJX254" s="219"/>
      <c r="MJY254" s="219"/>
      <c r="MJZ254" s="219"/>
      <c r="MKA254" s="219"/>
      <c r="MKB254" s="219"/>
      <c r="MKC254" s="219"/>
      <c r="MKD254" s="219"/>
      <c r="MKE254" s="219"/>
      <c r="MKF254" s="219"/>
      <c r="MKG254" s="219"/>
      <c r="MKH254" s="219"/>
      <c r="MKI254" s="219"/>
      <c r="MKJ254" s="219"/>
      <c r="MKK254" s="219"/>
      <c r="MKL254" s="219"/>
      <c r="MKM254" s="219"/>
      <c r="MKN254" s="219"/>
      <c r="MKO254" s="219"/>
      <c r="MKP254" s="219"/>
      <c r="MKQ254" s="219"/>
      <c r="MKR254" s="219"/>
      <c r="MKS254" s="219"/>
      <c r="MKT254" s="219"/>
      <c r="MKU254" s="219"/>
      <c r="MKV254" s="219"/>
      <c r="MKW254" s="219"/>
      <c r="MKX254" s="219"/>
      <c r="MKY254" s="219"/>
      <c r="MKZ254" s="219"/>
      <c r="MLA254" s="219"/>
      <c r="MLB254" s="219"/>
      <c r="MLC254" s="219"/>
      <c r="MLD254" s="219"/>
      <c r="MLE254" s="219"/>
      <c r="MLF254" s="219"/>
      <c r="MLG254" s="219"/>
      <c r="MLH254" s="219"/>
      <c r="MLI254" s="219"/>
      <c r="MLJ254" s="219"/>
      <c r="MLK254" s="219"/>
      <c r="MLL254" s="219"/>
      <c r="MLM254" s="219"/>
      <c r="MLN254" s="219"/>
      <c r="MLO254" s="219"/>
      <c r="MLP254" s="219"/>
      <c r="MLQ254" s="219"/>
      <c r="MLR254" s="219"/>
      <c r="MLS254" s="219"/>
      <c r="MLT254" s="219"/>
      <c r="MLU254" s="219"/>
      <c r="MLV254" s="219"/>
      <c r="MLW254" s="219"/>
      <c r="MLX254" s="219"/>
      <c r="MLY254" s="219"/>
      <c r="MLZ254" s="219"/>
      <c r="MMA254" s="219"/>
      <c r="MMB254" s="219"/>
      <c r="MMC254" s="219"/>
      <c r="MMD254" s="219"/>
      <c r="MME254" s="219"/>
      <c r="MMF254" s="219"/>
      <c r="MMG254" s="219"/>
      <c r="MMH254" s="219"/>
      <c r="MMI254" s="219"/>
      <c r="MMJ254" s="219"/>
      <c r="MMK254" s="219"/>
      <c r="MML254" s="219"/>
      <c r="MMM254" s="219"/>
      <c r="MMN254" s="219"/>
      <c r="MMO254" s="219"/>
      <c r="MMP254" s="219"/>
      <c r="MMQ254" s="219"/>
      <c r="MMR254" s="219"/>
      <c r="MMS254" s="219"/>
      <c r="MMT254" s="219"/>
      <c r="MMU254" s="219"/>
      <c r="MMV254" s="219"/>
      <c r="MMW254" s="219"/>
      <c r="MMX254" s="219"/>
      <c r="MMY254" s="219"/>
      <c r="MMZ254" s="219"/>
      <c r="MNA254" s="219"/>
      <c r="MNB254" s="219"/>
      <c r="MNC254" s="219"/>
      <c r="MND254" s="219"/>
      <c r="MNE254" s="219"/>
      <c r="MNF254" s="219"/>
      <c r="MNG254" s="219"/>
      <c r="MNH254" s="219"/>
      <c r="MNI254" s="219"/>
      <c r="MNJ254" s="219"/>
      <c r="MNK254" s="219"/>
      <c r="MNL254" s="219"/>
      <c r="MNM254" s="219"/>
      <c r="MNN254" s="219"/>
      <c r="MNO254" s="219"/>
      <c r="MNP254" s="219"/>
      <c r="MNQ254" s="219"/>
      <c r="MNR254" s="219"/>
      <c r="MNS254" s="219"/>
      <c r="MNT254" s="219"/>
      <c r="MNU254" s="219"/>
      <c r="MNV254" s="219"/>
      <c r="MNW254" s="219"/>
      <c r="MNX254" s="219"/>
      <c r="MNY254" s="219"/>
      <c r="MNZ254" s="219"/>
      <c r="MOA254" s="219"/>
      <c r="MOB254" s="219"/>
      <c r="MOC254" s="219"/>
      <c r="MOD254" s="219"/>
      <c r="MOE254" s="219"/>
      <c r="MOF254" s="219"/>
      <c r="MOG254" s="219"/>
      <c r="MOH254" s="219"/>
      <c r="MOI254" s="219"/>
      <c r="MOJ254" s="219"/>
      <c r="MOK254" s="219"/>
      <c r="MOL254" s="219"/>
      <c r="MOM254" s="219"/>
      <c r="MON254" s="219"/>
      <c r="MOO254" s="219"/>
      <c r="MOP254" s="219"/>
      <c r="MOQ254" s="219"/>
      <c r="MOR254" s="219"/>
      <c r="MOS254" s="219"/>
      <c r="MOT254" s="219"/>
      <c r="MOU254" s="219"/>
      <c r="MOV254" s="219"/>
      <c r="MOW254" s="219"/>
      <c r="MOX254" s="219"/>
      <c r="MOY254" s="219"/>
      <c r="MOZ254" s="219"/>
      <c r="MPA254" s="219"/>
      <c r="MPB254" s="219"/>
      <c r="MPC254" s="219"/>
      <c r="MPD254" s="219"/>
      <c r="MPE254" s="219"/>
      <c r="MPF254" s="219"/>
      <c r="MPG254" s="219"/>
      <c r="MPH254" s="219"/>
      <c r="MPI254" s="219"/>
      <c r="MPJ254" s="219"/>
      <c r="MPK254" s="219"/>
      <c r="MPL254" s="219"/>
      <c r="MPM254" s="219"/>
      <c r="MPN254" s="219"/>
      <c r="MPO254" s="219"/>
      <c r="MPP254" s="219"/>
      <c r="MPQ254" s="219"/>
      <c r="MPR254" s="219"/>
      <c r="MPS254" s="219"/>
      <c r="MPT254" s="219"/>
      <c r="MPU254" s="219"/>
      <c r="MPV254" s="219"/>
      <c r="MPW254" s="219"/>
      <c r="MPX254" s="219"/>
      <c r="MPY254" s="219"/>
      <c r="MPZ254" s="219"/>
      <c r="MQA254" s="219"/>
      <c r="MQB254" s="219"/>
      <c r="MQC254" s="219"/>
      <c r="MQD254" s="219"/>
      <c r="MQE254" s="219"/>
      <c r="MQF254" s="219"/>
      <c r="MQG254" s="219"/>
      <c r="MQH254" s="219"/>
      <c r="MQI254" s="219"/>
      <c r="MQJ254" s="219"/>
      <c r="MQK254" s="219"/>
      <c r="MQL254" s="219"/>
      <c r="MQM254" s="219"/>
      <c r="MQN254" s="219"/>
      <c r="MQO254" s="219"/>
      <c r="MQP254" s="219"/>
      <c r="MQQ254" s="219"/>
      <c r="MQR254" s="219"/>
      <c r="MQS254" s="219"/>
      <c r="MQT254" s="219"/>
      <c r="MQU254" s="219"/>
      <c r="MQV254" s="219"/>
      <c r="MQW254" s="219"/>
      <c r="MQX254" s="219"/>
      <c r="MQY254" s="219"/>
      <c r="MQZ254" s="219"/>
      <c r="MRA254" s="219"/>
      <c r="MRB254" s="219"/>
      <c r="MRC254" s="219"/>
      <c r="MRD254" s="219"/>
      <c r="MRE254" s="219"/>
      <c r="MRF254" s="219"/>
      <c r="MRG254" s="219"/>
      <c r="MRH254" s="219"/>
      <c r="MRI254" s="219"/>
      <c r="MRJ254" s="219"/>
      <c r="MRK254" s="219"/>
      <c r="MRL254" s="219"/>
      <c r="MRM254" s="219"/>
      <c r="MRN254" s="219"/>
      <c r="MRO254" s="219"/>
      <c r="MRP254" s="219"/>
      <c r="MRQ254" s="219"/>
      <c r="MRR254" s="219"/>
      <c r="MRS254" s="219"/>
      <c r="MRT254" s="219"/>
      <c r="MRU254" s="219"/>
      <c r="MRV254" s="219"/>
      <c r="MRW254" s="219"/>
      <c r="MRX254" s="219"/>
      <c r="MRY254" s="219"/>
      <c r="MRZ254" s="219"/>
      <c r="MSA254" s="219"/>
      <c r="MSB254" s="219"/>
      <c r="MSC254" s="219"/>
      <c r="MSD254" s="219"/>
      <c r="MSE254" s="219"/>
      <c r="MSF254" s="219"/>
      <c r="MSG254" s="219"/>
      <c r="MSH254" s="219"/>
      <c r="MSI254" s="219"/>
      <c r="MSJ254" s="219"/>
      <c r="MSK254" s="219"/>
      <c r="MSL254" s="219"/>
      <c r="MSM254" s="219"/>
      <c r="MSN254" s="219"/>
      <c r="MSO254" s="219"/>
      <c r="MSP254" s="219"/>
      <c r="MSQ254" s="219"/>
      <c r="MSR254" s="219"/>
      <c r="MSS254" s="219"/>
      <c r="MST254" s="219"/>
      <c r="MSU254" s="219"/>
      <c r="MSV254" s="219"/>
      <c r="MSW254" s="219"/>
      <c r="MSX254" s="219"/>
      <c r="MSY254" s="219"/>
      <c r="MSZ254" s="219"/>
      <c r="MTA254" s="219"/>
      <c r="MTB254" s="219"/>
      <c r="MTC254" s="219"/>
      <c r="MTD254" s="219"/>
      <c r="MTE254" s="219"/>
      <c r="MTF254" s="219"/>
      <c r="MTG254" s="219"/>
      <c r="MTH254" s="219"/>
      <c r="MTI254" s="219"/>
      <c r="MTJ254" s="219"/>
      <c r="MTK254" s="219"/>
      <c r="MTL254" s="219"/>
      <c r="MTM254" s="219"/>
      <c r="MTN254" s="219"/>
      <c r="MTO254" s="219"/>
      <c r="MTP254" s="219"/>
      <c r="MTQ254" s="219"/>
      <c r="MTR254" s="219"/>
      <c r="MTS254" s="219"/>
      <c r="MTT254" s="219"/>
      <c r="MTU254" s="219"/>
      <c r="MTV254" s="219"/>
      <c r="MTW254" s="219"/>
      <c r="MTX254" s="219"/>
      <c r="MTY254" s="219"/>
      <c r="MTZ254" s="219"/>
      <c r="MUA254" s="219"/>
      <c r="MUB254" s="219"/>
      <c r="MUC254" s="219"/>
      <c r="MUD254" s="219"/>
      <c r="MUE254" s="219"/>
      <c r="MUF254" s="219"/>
      <c r="MUG254" s="219"/>
      <c r="MUH254" s="219"/>
      <c r="MUI254" s="219"/>
      <c r="MUJ254" s="219"/>
      <c r="MUK254" s="219"/>
      <c r="MUL254" s="219"/>
      <c r="MUM254" s="219"/>
      <c r="MUN254" s="219"/>
      <c r="MUO254" s="219"/>
      <c r="MUP254" s="219"/>
      <c r="MUQ254" s="219"/>
      <c r="MUR254" s="219"/>
      <c r="MUS254" s="219"/>
      <c r="MUT254" s="219"/>
      <c r="MUU254" s="219"/>
      <c r="MUV254" s="219"/>
      <c r="MUW254" s="219"/>
      <c r="MUX254" s="219"/>
      <c r="MUY254" s="219"/>
      <c r="MUZ254" s="219"/>
      <c r="MVA254" s="219"/>
      <c r="MVB254" s="219"/>
      <c r="MVC254" s="219"/>
      <c r="MVD254" s="219"/>
      <c r="MVE254" s="219"/>
      <c r="MVF254" s="219"/>
      <c r="MVG254" s="219"/>
      <c r="MVH254" s="219"/>
      <c r="MVI254" s="219"/>
      <c r="MVJ254" s="219"/>
      <c r="MVK254" s="219"/>
      <c r="MVL254" s="219"/>
      <c r="MVM254" s="219"/>
      <c r="MVN254" s="219"/>
      <c r="MVO254" s="219"/>
      <c r="MVP254" s="219"/>
      <c r="MVQ254" s="219"/>
      <c r="MVR254" s="219"/>
      <c r="MVS254" s="219"/>
      <c r="MVT254" s="219"/>
      <c r="MVU254" s="219"/>
      <c r="MVV254" s="219"/>
      <c r="MVW254" s="219"/>
      <c r="MVX254" s="219"/>
      <c r="MVY254" s="219"/>
      <c r="MVZ254" s="219"/>
      <c r="MWA254" s="219"/>
      <c r="MWB254" s="219"/>
      <c r="MWC254" s="219"/>
      <c r="MWD254" s="219"/>
      <c r="MWE254" s="219"/>
      <c r="MWF254" s="219"/>
      <c r="MWG254" s="219"/>
      <c r="MWH254" s="219"/>
      <c r="MWI254" s="219"/>
      <c r="MWJ254" s="219"/>
      <c r="MWK254" s="219"/>
      <c r="MWL254" s="219"/>
      <c r="MWM254" s="219"/>
      <c r="MWN254" s="219"/>
      <c r="MWO254" s="219"/>
      <c r="MWP254" s="219"/>
      <c r="MWQ254" s="219"/>
      <c r="MWR254" s="219"/>
      <c r="MWS254" s="219"/>
      <c r="MWT254" s="219"/>
      <c r="MWU254" s="219"/>
      <c r="MWV254" s="219"/>
      <c r="MWW254" s="219"/>
      <c r="MWX254" s="219"/>
      <c r="MWY254" s="219"/>
      <c r="MWZ254" s="219"/>
      <c r="MXA254" s="219"/>
      <c r="MXB254" s="219"/>
      <c r="MXC254" s="219"/>
      <c r="MXD254" s="219"/>
      <c r="MXE254" s="219"/>
      <c r="MXF254" s="219"/>
      <c r="MXG254" s="219"/>
      <c r="MXH254" s="219"/>
      <c r="MXI254" s="219"/>
      <c r="MXJ254" s="219"/>
      <c r="MXK254" s="219"/>
      <c r="MXL254" s="219"/>
      <c r="MXM254" s="219"/>
      <c r="MXN254" s="219"/>
      <c r="MXO254" s="219"/>
      <c r="MXP254" s="219"/>
      <c r="MXQ254" s="219"/>
      <c r="MXR254" s="219"/>
      <c r="MXS254" s="219"/>
      <c r="MXT254" s="219"/>
      <c r="MXU254" s="219"/>
      <c r="MXV254" s="219"/>
      <c r="MXW254" s="219"/>
      <c r="MXX254" s="219"/>
      <c r="MXY254" s="219"/>
      <c r="MXZ254" s="219"/>
      <c r="MYA254" s="219"/>
      <c r="MYB254" s="219"/>
      <c r="MYC254" s="219"/>
      <c r="MYD254" s="219"/>
      <c r="MYE254" s="219"/>
      <c r="MYF254" s="219"/>
      <c r="MYG254" s="219"/>
      <c r="MYH254" s="219"/>
      <c r="MYI254" s="219"/>
      <c r="MYJ254" s="219"/>
      <c r="MYK254" s="219"/>
      <c r="MYL254" s="219"/>
      <c r="MYM254" s="219"/>
      <c r="MYN254" s="219"/>
      <c r="MYO254" s="219"/>
      <c r="MYP254" s="219"/>
      <c r="MYQ254" s="219"/>
      <c r="MYR254" s="219"/>
      <c r="MYS254" s="219"/>
      <c r="MYT254" s="219"/>
      <c r="MYU254" s="219"/>
      <c r="MYV254" s="219"/>
      <c r="MYW254" s="219"/>
      <c r="MYX254" s="219"/>
      <c r="MYY254" s="219"/>
      <c r="MYZ254" s="219"/>
      <c r="MZA254" s="219"/>
      <c r="MZB254" s="219"/>
      <c r="MZC254" s="219"/>
      <c r="MZD254" s="219"/>
      <c r="MZE254" s="219"/>
      <c r="MZF254" s="219"/>
      <c r="MZG254" s="219"/>
      <c r="MZH254" s="219"/>
      <c r="MZI254" s="219"/>
      <c r="MZJ254" s="219"/>
      <c r="MZK254" s="219"/>
      <c r="MZL254" s="219"/>
      <c r="MZM254" s="219"/>
      <c r="MZN254" s="219"/>
      <c r="MZO254" s="219"/>
      <c r="MZP254" s="219"/>
      <c r="MZQ254" s="219"/>
      <c r="MZR254" s="219"/>
      <c r="MZS254" s="219"/>
      <c r="MZT254" s="219"/>
      <c r="MZU254" s="219"/>
      <c r="MZV254" s="219"/>
      <c r="MZW254" s="219"/>
      <c r="MZX254" s="219"/>
      <c r="MZY254" s="219"/>
      <c r="MZZ254" s="219"/>
      <c r="NAA254" s="219"/>
      <c r="NAB254" s="219"/>
      <c r="NAC254" s="219"/>
      <c r="NAD254" s="219"/>
      <c r="NAE254" s="219"/>
      <c r="NAF254" s="219"/>
      <c r="NAG254" s="219"/>
      <c r="NAH254" s="219"/>
      <c r="NAI254" s="219"/>
      <c r="NAJ254" s="219"/>
      <c r="NAK254" s="219"/>
      <c r="NAL254" s="219"/>
      <c r="NAM254" s="219"/>
      <c r="NAN254" s="219"/>
      <c r="NAO254" s="219"/>
      <c r="NAP254" s="219"/>
      <c r="NAQ254" s="219"/>
      <c r="NAR254" s="219"/>
      <c r="NAS254" s="219"/>
      <c r="NAT254" s="219"/>
      <c r="NAU254" s="219"/>
      <c r="NAV254" s="219"/>
      <c r="NAW254" s="219"/>
      <c r="NAX254" s="219"/>
      <c r="NAY254" s="219"/>
      <c r="NAZ254" s="219"/>
      <c r="NBA254" s="219"/>
      <c r="NBB254" s="219"/>
      <c r="NBC254" s="219"/>
      <c r="NBD254" s="219"/>
      <c r="NBE254" s="219"/>
      <c r="NBF254" s="219"/>
      <c r="NBG254" s="219"/>
      <c r="NBH254" s="219"/>
      <c r="NBI254" s="219"/>
      <c r="NBJ254" s="219"/>
      <c r="NBK254" s="219"/>
      <c r="NBL254" s="219"/>
      <c r="NBM254" s="219"/>
      <c r="NBN254" s="219"/>
      <c r="NBO254" s="219"/>
      <c r="NBP254" s="219"/>
      <c r="NBQ254" s="219"/>
      <c r="NBR254" s="219"/>
      <c r="NBS254" s="219"/>
      <c r="NBT254" s="219"/>
      <c r="NBU254" s="219"/>
      <c r="NBV254" s="219"/>
      <c r="NBW254" s="219"/>
      <c r="NBX254" s="219"/>
      <c r="NBY254" s="219"/>
      <c r="NBZ254" s="219"/>
      <c r="NCA254" s="219"/>
      <c r="NCB254" s="219"/>
      <c r="NCC254" s="219"/>
      <c r="NCD254" s="219"/>
      <c r="NCE254" s="219"/>
      <c r="NCF254" s="219"/>
      <c r="NCG254" s="219"/>
      <c r="NCH254" s="219"/>
      <c r="NCI254" s="219"/>
      <c r="NCJ254" s="219"/>
      <c r="NCK254" s="219"/>
      <c r="NCL254" s="219"/>
      <c r="NCM254" s="219"/>
      <c r="NCN254" s="219"/>
      <c r="NCO254" s="219"/>
      <c r="NCP254" s="219"/>
      <c r="NCQ254" s="219"/>
      <c r="NCR254" s="219"/>
      <c r="NCS254" s="219"/>
      <c r="NCT254" s="219"/>
      <c r="NCU254" s="219"/>
      <c r="NCV254" s="219"/>
      <c r="NCW254" s="219"/>
      <c r="NCX254" s="219"/>
      <c r="NCY254" s="219"/>
      <c r="NCZ254" s="219"/>
      <c r="NDA254" s="219"/>
      <c r="NDB254" s="219"/>
      <c r="NDC254" s="219"/>
      <c r="NDD254" s="219"/>
      <c r="NDE254" s="219"/>
      <c r="NDF254" s="219"/>
      <c r="NDG254" s="219"/>
      <c r="NDH254" s="219"/>
      <c r="NDI254" s="219"/>
      <c r="NDJ254" s="219"/>
      <c r="NDK254" s="219"/>
      <c r="NDL254" s="219"/>
      <c r="NDM254" s="219"/>
      <c r="NDN254" s="219"/>
      <c r="NDO254" s="219"/>
      <c r="NDP254" s="219"/>
      <c r="NDQ254" s="219"/>
      <c r="NDR254" s="219"/>
      <c r="NDS254" s="219"/>
      <c r="NDT254" s="219"/>
      <c r="NDU254" s="219"/>
      <c r="NDV254" s="219"/>
      <c r="NDW254" s="219"/>
      <c r="NDX254" s="219"/>
      <c r="NDY254" s="219"/>
      <c r="NDZ254" s="219"/>
      <c r="NEA254" s="219"/>
      <c r="NEB254" s="219"/>
      <c r="NEC254" s="219"/>
      <c r="NED254" s="219"/>
      <c r="NEE254" s="219"/>
      <c r="NEF254" s="219"/>
      <c r="NEG254" s="219"/>
      <c r="NEH254" s="219"/>
      <c r="NEI254" s="219"/>
      <c r="NEJ254" s="219"/>
      <c r="NEK254" s="219"/>
      <c r="NEL254" s="219"/>
      <c r="NEM254" s="219"/>
      <c r="NEN254" s="219"/>
      <c r="NEO254" s="219"/>
      <c r="NEP254" s="219"/>
      <c r="NEQ254" s="219"/>
      <c r="NER254" s="219"/>
      <c r="NES254" s="219"/>
      <c r="NET254" s="219"/>
      <c r="NEU254" s="219"/>
      <c r="NEV254" s="219"/>
      <c r="NEW254" s="219"/>
      <c r="NEX254" s="219"/>
      <c r="NEY254" s="219"/>
      <c r="NEZ254" s="219"/>
      <c r="NFA254" s="219"/>
      <c r="NFB254" s="219"/>
      <c r="NFC254" s="219"/>
      <c r="NFD254" s="219"/>
      <c r="NFE254" s="219"/>
      <c r="NFF254" s="219"/>
      <c r="NFG254" s="219"/>
      <c r="NFH254" s="219"/>
      <c r="NFI254" s="219"/>
      <c r="NFJ254" s="219"/>
      <c r="NFK254" s="219"/>
      <c r="NFL254" s="219"/>
      <c r="NFM254" s="219"/>
      <c r="NFN254" s="219"/>
      <c r="NFO254" s="219"/>
      <c r="NFP254" s="219"/>
      <c r="NFQ254" s="219"/>
      <c r="NFR254" s="219"/>
      <c r="NFS254" s="219"/>
      <c r="NFT254" s="219"/>
      <c r="NFU254" s="219"/>
      <c r="NFV254" s="219"/>
      <c r="NFW254" s="219"/>
      <c r="NFX254" s="219"/>
      <c r="NFY254" s="219"/>
      <c r="NFZ254" s="219"/>
      <c r="NGA254" s="219"/>
      <c r="NGB254" s="219"/>
      <c r="NGC254" s="219"/>
      <c r="NGD254" s="219"/>
      <c r="NGE254" s="219"/>
      <c r="NGF254" s="219"/>
      <c r="NGG254" s="219"/>
      <c r="NGH254" s="219"/>
      <c r="NGI254" s="219"/>
      <c r="NGJ254" s="219"/>
      <c r="NGK254" s="219"/>
      <c r="NGL254" s="219"/>
      <c r="NGM254" s="219"/>
      <c r="NGN254" s="219"/>
      <c r="NGO254" s="219"/>
      <c r="NGP254" s="219"/>
      <c r="NGQ254" s="219"/>
      <c r="NGR254" s="219"/>
      <c r="NGS254" s="219"/>
      <c r="NGT254" s="219"/>
      <c r="NGU254" s="219"/>
      <c r="NGV254" s="219"/>
      <c r="NGW254" s="219"/>
      <c r="NGX254" s="219"/>
      <c r="NGY254" s="219"/>
      <c r="NGZ254" s="219"/>
      <c r="NHA254" s="219"/>
      <c r="NHB254" s="219"/>
      <c r="NHC254" s="219"/>
      <c r="NHD254" s="219"/>
      <c r="NHE254" s="219"/>
      <c r="NHF254" s="219"/>
      <c r="NHG254" s="219"/>
      <c r="NHH254" s="219"/>
      <c r="NHI254" s="219"/>
      <c r="NHJ254" s="219"/>
      <c r="NHK254" s="219"/>
      <c r="NHL254" s="219"/>
      <c r="NHM254" s="219"/>
      <c r="NHN254" s="219"/>
      <c r="NHO254" s="219"/>
      <c r="NHP254" s="219"/>
      <c r="NHQ254" s="219"/>
      <c r="NHR254" s="219"/>
      <c r="NHS254" s="219"/>
      <c r="NHT254" s="219"/>
      <c r="NHU254" s="219"/>
      <c r="NHV254" s="219"/>
      <c r="NHW254" s="219"/>
      <c r="NHX254" s="219"/>
      <c r="NHY254" s="219"/>
      <c r="NHZ254" s="219"/>
      <c r="NIA254" s="219"/>
      <c r="NIB254" s="219"/>
      <c r="NIC254" s="219"/>
      <c r="NID254" s="219"/>
      <c r="NIE254" s="219"/>
      <c r="NIF254" s="219"/>
      <c r="NIG254" s="219"/>
      <c r="NIH254" s="219"/>
      <c r="NII254" s="219"/>
      <c r="NIJ254" s="219"/>
      <c r="NIK254" s="219"/>
      <c r="NIL254" s="219"/>
      <c r="NIM254" s="219"/>
      <c r="NIN254" s="219"/>
      <c r="NIO254" s="219"/>
      <c r="NIP254" s="219"/>
      <c r="NIQ254" s="219"/>
      <c r="NIR254" s="219"/>
      <c r="NIS254" s="219"/>
      <c r="NIT254" s="219"/>
      <c r="NIU254" s="219"/>
      <c r="NIV254" s="219"/>
      <c r="NIW254" s="219"/>
      <c r="NIX254" s="219"/>
      <c r="NIY254" s="219"/>
      <c r="NIZ254" s="219"/>
      <c r="NJA254" s="219"/>
      <c r="NJB254" s="219"/>
      <c r="NJC254" s="219"/>
      <c r="NJD254" s="219"/>
      <c r="NJE254" s="219"/>
      <c r="NJF254" s="219"/>
      <c r="NJG254" s="219"/>
      <c r="NJH254" s="219"/>
      <c r="NJI254" s="219"/>
      <c r="NJJ254" s="219"/>
      <c r="NJK254" s="219"/>
      <c r="NJL254" s="219"/>
      <c r="NJM254" s="219"/>
      <c r="NJN254" s="219"/>
      <c r="NJO254" s="219"/>
      <c r="NJP254" s="219"/>
      <c r="NJQ254" s="219"/>
      <c r="NJR254" s="219"/>
      <c r="NJS254" s="219"/>
      <c r="NJT254" s="219"/>
      <c r="NJU254" s="219"/>
      <c r="NJV254" s="219"/>
      <c r="NJW254" s="219"/>
      <c r="NJX254" s="219"/>
      <c r="NJY254" s="219"/>
      <c r="NJZ254" s="219"/>
      <c r="NKA254" s="219"/>
      <c r="NKB254" s="219"/>
      <c r="NKC254" s="219"/>
      <c r="NKD254" s="219"/>
      <c r="NKE254" s="219"/>
      <c r="NKF254" s="219"/>
      <c r="NKG254" s="219"/>
      <c r="NKH254" s="219"/>
      <c r="NKI254" s="219"/>
      <c r="NKJ254" s="219"/>
      <c r="NKK254" s="219"/>
      <c r="NKL254" s="219"/>
      <c r="NKM254" s="219"/>
      <c r="NKN254" s="219"/>
      <c r="NKO254" s="219"/>
      <c r="NKP254" s="219"/>
      <c r="NKQ254" s="219"/>
      <c r="NKR254" s="219"/>
      <c r="NKS254" s="219"/>
      <c r="NKT254" s="219"/>
      <c r="NKU254" s="219"/>
      <c r="NKV254" s="219"/>
      <c r="NKW254" s="219"/>
      <c r="NKX254" s="219"/>
      <c r="NKY254" s="219"/>
      <c r="NKZ254" s="219"/>
      <c r="NLA254" s="219"/>
      <c r="NLB254" s="219"/>
      <c r="NLC254" s="219"/>
      <c r="NLD254" s="219"/>
      <c r="NLE254" s="219"/>
      <c r="NLF254" s="219"/>
      <c r="NLG254" s="219"/>
      <c r="NLH254" s="219"/>
      <c r="NLI254" s="219"/>
      <c r="NLJ254" s="219"/>
      <c r="NLK254" s="219"/>
      <c r="NLL254" s="219"/>
      <c r="NLM254" s="219"/>
      <c r="NLN254" s="219"/>
      <c r="NLO254" s="219"/>
      <c r="NLP254" s="219"/>
      <c r="NLQ254" s="219"/>
      <c r="NLR254" s="219"/>
      <c r="NLS254" s="219"/>
      <c r="NLT254" s="219"/>
      <c r="NLU254" s="219"/>
      <c r="NLV254" s="219"/>
      <c r="NLW254" s="219"/>
      <c r="NLX254" s="219"/>
      <c r="NLY254" s="219"/>
      <c r="NLZ254" s="219"/>
      <c r="NMA254" s="219"/>
      <c r="NMB254" s="219"/>
      <c r="NMC254" s="219"/>
      <c r="NMD254" s="219"/>
      <c r="NME254" s="219"/>
      <c r="NMF254" s="219"/>
      <c r="NMG254" s="219"/>
      <c r="NMH254" s="219"/>
      <c r="NMI254" s="219"/>
      <c r="NMJ254" s="219"/>
      <c r="NMK254" s="219"/>
      <c r="NML254" s="219"/>
      <c r="NMM254" s="219"/>
      <c r="NMN254" s="219"/>
      <c r="NMO254" s="219"/>
      <c r="NMP254" s="219"/>
      <c r="NMQ254" s="219"/>
      <c r="NMR254" s="219"/>
      <c r="NMS254" s="219"/>
      <c r="NMT254" s="219"/>
      <c r="NMU254" s="219"/>
      <c r="NMV254" s="219"/>
      <c r="NMW254" s="219"/>
      <c r="NMX254" s="219"/>
      <c r="NMY254" s="219"/>
      <c r="NMZ254" s="219"/>
      <c r="NNA254" s="219"/>
      <c r="NNB254" s="219"/>
      <c r="NNC254" s="219"/>
      <c r="NND254" s="219"/>
      <c r="NNE254" s="219"/>
      <c r="NNF254" s="219"/>
      <c r="NNG254" s="219"/>
      <c r="NNH254" s="219"/>
      <c r="NNI254" s="219"/>
      <c r="NNJ254" s="219"/>
      <c r="NNK254" s="219"/>
      <c r="NNL254" s="219"/>
      <c r="NNM254" s="219"/>
      <c r="NNN254" s="219"/>
      <c r="NNO254" s="219"/>
      <c r="NNP254" s="219"/>
      <c r="NNQ254" s="219"/>
      <c r="NNR254" s="219"/>
      <c r="NNS254" s="219"/>
      <c r="NNT254" s="219"/>
      <c r="NNU254" s="219"/>
      <c r="NNV254" s="219"/>
      <c r="NNW254" s="219"/>
      <c r="NNX254" s="219"/>
      <c r="NNY254" s="219"/>
      <c r="NNZ254" s="219"/>
      <c r="NOA254" s="219"/>
      <c r="NOB254" s="219"/>
      <c r="NOC254" s="219"/>
      <c r="NOD254" s="219"/>
      <c r="NOE254" s="219"/>
      <c r="NOF254" s="219"/>
      <c r="NOG254" s="219"/>
      <c r="NOH254" s="219"/>
      <c r="NOI254" s="219"/>
      <c r="NOJ254" s="219"/>
      <c r="NOK254" s="219"/>
      <c r="NOL254" s="219"/>
      <c r="NOM254" s="219"/>
      <c r="NON254" s="219"/>
      <c r="NOO254" s="219"/>
      <c r="NOP254" s="219"/>
      <c r="NOQ254" s="219"/>
      <c r="NOR254" s="219"/>
      <c r="NOS254" s="219"/>
      <c r="NOT254" s="219"/>
      <c r="NOU254" s="219"/>
      <c r="NOV254" s="219"/>
      <c r="NOW254" s="219"/>
      <c r="NOX254" s="219"/>
      <c r="NOY254" s="219"/>
      <c r="NOZ254" s="219"/>
      <c r="NPA254" s="219"/>
      <c r="NPB254" s="219"/>
      <c r="NPC254" s="219"/>
      <c r="NPD254" s="219"/>
      <c r="NPE254" s="219"/>
      <c r="NPF254" s="219"/>
      <c r="NPG254" s="219"/>
      <c r="NPH254" s="219"/>
      <c r="NPI254" s="219"/>
      <c r="NPJ254" s="219"/>
      <c r="NPK254" s="219"/>
      <c r="NPL254" s="219"/>
      <c r="NPM254" s="219"/>
      <c r="NPN254" s="219"/>
      <c r="NPO254" s="219"/>
      <c r="NPP254" s="219"/>
      <c r="NPQ254" s="219"/>
      <c r="NPR254" s="219"/>
      <c r="NPS254" s="219"/>
      <c r="NPT254" s="219"/>
      <c r="NPU254" s="219"/>
      <c r="NPV254" s="219"/>
      <c r="NPW254" s="219"/>
      <c r="NPX254" s="219"/>
      <c r="NPY254" s="219"/>
      <c r="NPZ254" s="219"/>
      <c r="NQA254" s="219"/>
      <c r="NQB254" s="219"/>
      <c r="NQC254" s="219"/>
      <c r="NQD254" s="219"/>
      <c r="NQE254" s="219"/>
      <c r="NQF254" s="219"/>
      <c r="NQG254" s="219"/>
      <c r="NQH254" s="219"/>
      <c r="NQI254" s="219"/>
      <c r="NQJ254" s="219"/>
      <c r="NQK254" s="219"/>
      <c r="NQL254" s="219"/>
      <c r="NQM254" s="219"/>
      <c r="NQN254" s="219"/>
      <c r="NQO254" s="219"/>
      <c r="NQP254" s="219"/>
      <c r="NQQ254" s="219"/>
      <c r="NQR254" s="219"/>
      <c r="NQS254" s="219"/>
      <c r="NQT254" s="219"/>
      <c r="NQU254" s="219"/>
      <c r="NQV254" s="219"/>
      <c r="NQW254" s="219"/>
      <c r="NQX254" s="219"/>
      <c r="NQY254" s="219"/>
      <c r="NQZ254" s="219"/>
      <c r="NRA254" s="219"/>
      <c r="NRB254" s="219"/>
      <c r="NRC254" s="219"/>
      <c r="NRD254" s="219"/>
      <c r="NRE254" s="219"/>
      <c r="NRF254" s="219"/>
      <c r="NRG254" s="219"/>
      <c r="NRH254" s="219"/>
      <c r="NRI254" s="219"/>
      <c r="NRJ254" s="219"/>
      <c r="NRK254" s="219"/>
      <c r="NRL254" s="219"/>
      <c r="NRM254" s="219"/>
      <c r="NRN254" s="219"/>
      <c r="NRO254" s="219"/>
      <c r="NRP254" s="219"/>
      <c r="NRQ254" s="219"/>
      <c r="NRR254" s="219"/>
      <c r="NRS254" s="219"/>
      <c r="NRT254" s="219"/>
      <c r="NRU254" s="219"/>
      <c r="NRV254" s="219"/>
      <c r="NRW254" s="219"/>
      <c r="NRX254" s="219"/>
      <c r="NRY254" s="219"/>
      <c r="NRZ254" s="219"/>
      <c r="NSA254" s="219"/>
      <c r="NSB254" s="219"/>
      <c r="NSC254" s="219"/>
      <c r="NSD254" s="219"/>
      <c r="NSE254" s="219"/>
      <c r="NSF254" s="219"/>
      <c r="NSG254" s="219"/>
      <c r="NSH254" s="219"/>
      <c r="NSI254" s="219"/>
      <c r="NSJ254" s="219"/>
      <c r="NSK254" s="219"/>
      <c r="NSL254" s="219"/>
      <c r="NSM254" s="219"/>
      <c r="NSN254" s="219"/>
      <c r="NSO254" s="219"/>
      <c r="NSP254" s="219"/>
      <c r="NSQ254" s="219"/>
      <c r="NSR254" s="219"/>
      <c r="NSS254" s="219"/>
      <c r="NST254" s="219"/>
      <c r="NSU254" s="219"/>
      <c r="NSV254" s="219"/>
      <c r="NSW254" s="219"/>
      <c r="NSX254" s="219"/>
      <c r="NSY254" s="219"/>
      <c r="NSZ254" s="219"/>
      <c r="NTA254" s="219"/>
      <c r="NTB254" s="219"/>
      <c r="NTC254" s="219"/>
      <c r="NTD254" s="219"/>
      <c r="NTE254" s="219"/>
      <c r="NTF254" s="219"/>
      <c r="NTG254" s="219"/>
      <c r="NTH254" s="219"/>
      <c r="NTI254" s="219"/>
      <c r="NTJ254" s="219"/>
      <c r="NTK254" s="219"/>
      <c r="NTL254" s="219"/>
      <c r="NTM254" s="219"/>
      <c r="NTN254" s="219"/>
      <c r="NTO254" s="219"/>
      <c r="NTP254" s="219"/>
      <c r="NTQ254" s="219"/>
      <c r="NTR254" s="219"/>
      <c r="NTS254" s="219"/>
      <c r="NTT254" s="219"/>
      <c r="NTU254" s="219"/>
      <c r="NTV254" s="219"/>
      <c r="NTW254" s="219"/>
      <c r="NTX254" s="219"/>
      <c r="NTY254" s="219"/>
      <c r="NTZ254" s="219"/>
      <c r="NUA254" s="219"/>
      <c r="NUB254" s="219"/>
      <c r="NUC254" s="219"/>
      <c r="NUD254" s="219"/>
      <c r="NUE254" s="219"/>
      <c r="NUF254" s="219"/>
      <c r="NUG254" s="219"/>
      <c r="NUH254" s="219"/>
      <c r="NUI254" s="219"/>
      <c r="NUJ254" s="219"/>
      <c r="NUK254" s="219"/>
      <c r="NUL254" s="219"/>
      <c r="NUM254" s="219"/>
      <c r="NUN254" s="219"/>
      <c r="NUO254" s="219"/>
      <c r="NUP254" s="219"/>
      <c r="NUQ254" s="219"/>
      <c r="NUR254" s="219"/>
      <c r="NUS254" s="219"/>
      <c r="NUT254" s="219"/>
      <c r="NUU254" s="219"/>
      <c r="NUV254" s="219"/>
      <c r="NUW254" s="219"/>
      <c r="NUX254" s="219"/>
      <c r="NUY254" s="219"/>
      <c r="NUZ254" s="219"/>
      <c r="NVA254" s="219"/>
      <c r="NVB254" s="219"/>
      <c r="NVC254" s="219"/>
      <c r="NVD254" s="219"/>
      <c r="NVE254" s="219"/>
      <c r="NVF254" s="219"/>
      <c r="NVG254" s="219"/>
      <c r="NVH254" s="219"/>
      <c r="NVI254" s="219"/>
      <c r="NVJ254" s="219"/>
      <c r="NVK254" s="219"/>
      <c r="NVL254" s="219"/>
      <c r="NVM254" s="219"/>
      <c r="NVN254" s="219"/>
      <c r="NVO254" s="219"/>
      <c r="NVP254" s="219"/>
      <c r="NVQ254" s="219"/>
      <c r="NVR254" s="219"/>
      <c r="NVS254" s="219"/>
      <c r="NVT254" s="219"/>
      <c r="NVU254" s="219"/>
      <c r="NVV254" s="219"/>
      <c r="NVW254" s="219"/>
      <c r="NVX254" s="219"/>
      <c r="NVY254" s="219"/>
      <c r="NVZ254" s="219"/>
      <c r="NWA254" s="219"/>
      <c r="NWB254" s="219"/>
      <c r="NWC254" s="219"/>
      <c r="NWD254" s="219"/>
      <c r="NWE254" s="219"/>
      <c r="NWF254" s="219"/>
      <c r="NWG254" s="219"/>
      <c r="NWH254" s="219"/>
      <c r="NWI254" s="219"/>
      <c r="NWJ254" s="219"/>
      <c r="NWK254" s="219"/>
      <c r="NWL254" s="219"/>
      <c r="NWM254" s="219"/>
      <c r="NWN254" s="219"/>
      <c r="NWO254" s="219"/>
      <c r="NWP254" s="219"/>
      <c r="NWQ254" s="219"/>
      <c r="NWR254" s="219"/>
      <c r="NWS254" s="219"/>
      <c r="NWT254" s="219"/>
      <c r="NWU254" s="219"/>
      <c r="NWV254" s="219"/>
      <c r="NWW254" s="219"/>
      <c r="NWX254" s="219"/>
      <c r="NWY254" s="219"/>
      <c r="NWZ254" s="219"/>
      <c r="NXA254" s="219"/>
      <c r="NXB254" s="219"/>
      <c r="NXC254" s="219"/>
      <c r="NXD254" s="219"/>
      <c r="NXE254" s="219"/>
      <c r="NXF254" s="219"/>
      <c r="NXG254" s="219"/>
      <c r="NXH254" s="219"/>
      <c r="NXI254" s="219"/>
      <c r="NXJ254" s="219"/>
      <c r="NXK254" s="219"/>
      <c r="NXL254" s="219"/>
      <c r="NXM254" s="219"/>
      <c r="NXN254" s="219"/>
      <c r="NXO254" s="219"/>
      <c r="NXP254" s="219"/>
      <c r="NXQ254" s="219"/>
      <c r="NXR254" s="219"/>
      <c r="NXS254" s="219"/>
      <c r="NXT254" s="219"/>
      <c r="NXU254" s="219"/>
      <c r="NXV254" s="219"/>
      <c r="NXW254" s="219"/>
      <c r="NXX254" s="219"/>
      <c r="NXY254" s="219"/>
      <c r="NXZ254" s="219"/>
      <c r="NYA254" s="219"/>
      <c r="NYB254" s="219"/>
      <c r="NYC254" s="219"/>
      <c r="NYD254" s="219"/>
      <c r="NYE254" s="219"/>
      <c r="NYF254" s="219"/>
      <c r="NYG254" s="219"/>
      <c r="NYH254" s="219"/>
      <c r="NYI254" s="219"/>
      <c r="NYJ254" s="219"/>
      <c r="NYK254" s="219"/>
      <c r="NYL254" s="219"/>
      <c r="NYM254" s="219"/>
      <c r="NYN254" s="219"/>
      <c r="NYO254" s="219"/>
      <c r="NYP254" s="219"/>
      <c r="NYQ254" s="219"/>
      <c r="NYR254" s="219"/>
      <c r="NYS254" s="219"/>
      <c r="NYT254" s="219"/>
      <c r="NYU254" s="219"/>
      <c r="NYV254" s="219"/>
      <c r="NYW254" s="219"/>
      <c r="NYX254" s="219"/>
      <c r="NYY254" s="219"/>
      <c r="NYZ254" s="219"/>
      <c r="NZA254" s="219"/>
      <c r="NZB254" s="219"/>
      <c r="NZC254" s="219"/>
      <c r="NZD254" s="219"/>
      <c r="NZE254" s="219"/>
      <c r="NZF254" s="219"/>
      <c r="NZG254" s="219"/>
      <c r="NZH254" s="219"/>
      <c r="NZI254" s="219"/>
      <c r="NZJ254" s="219"/>
      <c r="NZK254" s="219"/>
      <c r="NZL254" s="219"/>
      <c r="NZM254" s="219"/>
      <c r="NZN254" s="219"/>
      <c r="NZO254" s="219"/>
      <c r="NZP254" s="219"/>
      <c r="NZQ254" s="219"/>
      <c r="NZR254" s="219"/>
      <c r="NZS254" s="219"/>
      <c r="NZT254" s="219"/>
      <c r="NZU254" s="219"/>
      <c r="NZV254" s="219"/>
      <c r="NZW254" s="219"/>
      <c r="NZX254" s="219"/>
      <c r="NZY254" s="219"/>
      <c r="NZZ254" s="219"/>
      <c r="OAA254" s="219"/>
      <c r="OAB254" s="219"/>
      <c r="OAC254" s="219"/>
      <c r="OAD254" s="219"/>
      <c r="OAE254" s="219"/>
      <c r="OAF254" s="219"/>
      <c r="OAG254" s="219"/>
      <c r="OAH254" s="219"/>
      <c r="OAI254" s="219"/>
      <c r="OAJ254" s="219"/>
      <c r="OAK254" s="219"/>
      <c r="OAL254" s="219"/>
      <c r="OAM254" s="219"/>
      <c r="OAN254" s="219"/>
      <c r="OAO254" s="219"/>
      <c r="OAP254" s="219"/>
      <c r="OAQ254" s="219"/>
      <c r="OAR254" s="219"/>
      <c r="OAS254" s="219"/>
      <c r="OAT254" s="219"/>
      <c r="OAU254" s="219"/>
      <c r="OAV254" s="219"/>
      <c r="OAW254" s="219"/>
      <c r="OAX254" s="219"/>
      <c r="OAY254" s="219"/>
      <c r="OAZ254" s="219"/>
      <c r="OBA254" s="219"/>
      <c r="OBB254" s="219"/>
      <c r="OBC254" s="219"/>
      <c r="OBD254" s="219"/>
      <c r="OBE254" s="219"/>
      <c r="OBF254" s="219"/>
      <c r="OBG254" s="219"/>
      <c r="OBH254" s="219"/>
      <c r="OBI254" s="219"/>
      <c r="OBJ254" s="219"/>
      <c r="OBK254" s="219"/>
      <c r="OBL254" s="219"/>
      <c r="OBM254" s="219"/>
      <c r="OBN254" s="219"/>
      <c r="OBO254" s="219"/>
      <c r="OBP254" s="219"/>
      <c r="OBQ254" s="219"/>
      <c r="OBR254" s="219"/>
      <c r="OBS254" s="219"/>
      <c r="OBT254" s="219"/>
      <c r="OBU254" s="219"/>
      <c r="OBV254" s="219"/>
      <c r="OBW254" s="219"/>
      <c r="OBX254" s="219"/>
      <c r="OBY254" s="219"/>
      <c r="OBZ254" s="219"/>
      <c r="OCA254" s="219"/>
      <c r="OCB254" s="219"/>
      <c r="OCC254" s="219"/>
      <c r="OCD254" s="219"/>
      <c r="OCE254" s="219"/>
      <c r="OCF254" s="219"/>
      <c r="OCG254" s="219"/>
      <c r="OCH254" s="219"/>
      <c r="OCI254" s="219"/>
      <c r="OCJ254" s="219"/>
      <c r="OCK254" s="219"/>
      <c r="OCL254" s="219"/>
      <c r="OCM254" s="219"/>
      <c r="OCN254" s="219"/>
      <c r="OCO254" s="219"/>
      <c r="OCP254" s="219"/>
      <c r="OCQ254" s="219"/>
      <c r="OCR254" s="219"/>
      <c r="OCS254" s="219"/>
      <c r="OCT254" s="219"/>
      <c r="OCU254" s="219"/>
      <c r="OCV254" s="219"/>
      <c r="OCW254" s="219"/>
      <c r="OCX254" s="219"/>
      <c r="OCY254" s="219"/>
      <c r="OCZ254" s="219"/>
      <c r="ODA254" s="219"/>
      <c r="ODB254" s="219"/>
      <c r="ODC254" s="219"/>
      <c r="ODD254" s="219"/>
      <c r="ODE254" s="219"/>
      <c r="ODF254" s="219"/>
      <c r="ODG254" s="219"/>
      <c r="ODH254" s="219"/>
      <c r="ODI254" s="219"/>
      <c r="ODJ254" s="219"/>
      <c r="ODK254" s="219"/>
      <c r="ODL254" s="219"/>
      <c r="ODM254" s="219"/>
      <c r="ODN254" s="219"/>
      <c r="ODO254" s="219"/>
      <c r="ODP254" s="219"/>
      <c r="ODQ254" s="219"/>
      <c r="ODR254" s="219"/>
      <c r="ODS254" s="219"/>
      <c r="ODT254" s="219"/>
      <c r="ODU254" s="219"/>
      <c r="ODV254" s="219"/>
      <c r="ODW254" s="219"/>
      <c r="ODX254" s="219"/>
      <c r="ODY254" s="219"/>
      <c r="ODZ254" s="219"/>
      <c r="OEA254" s="219"/>
      <c r="OEB254" s="219"/>
      <c r="OEC254" s="219"/>
      <c r="OED254" s="219"/>
      <c r="OEE254" s="219"/>
      <c r="OEF254" s="219"/>
      <c r="OEG254" s="219"/>
      <c r="OEH254" s="219"/>
      <c r="OEI254" s="219"/>
      <c r="OEJ254" s="219"/>
      <c r="OEK254" s="219"/>
      <c r="OEL254" s="219"/>
      <c r="OEM254" s="219"/>
      <c r="OEN254" s="219"/>
      <c r="OEO254" s="219"/>
      <c r="OEP254" s="219"/>
      <c r="OEQ254" s="219"/>
      <c r="OER254" s="219"/>
      <c r="OES254" s="219"/>
      <c r="OET254" s="219"/>
      <c r="OEU254" s="219"/>
      <c r="OEV254" s="219"/>
      <c r="OEW254" s="219"/>
      <c r="OEX254" s="219"/>
      <c r="OEY254" s="219"/>
      <c r="OEZ254" s="219"/>
      <c r="OFA254" s="219"/>
      <c r="OFB254" s="219"/>
      <c r="OFC254" s="219"/>
      <c r="OFD254" s="219"/>
      <c r="OFE254" s="219"/>
      <c r="OFF254" s="219"/>
      <c r="OFG254" s="219"/>
      <c r="OFH254" s="219"/>
      <c r="OFI254" s="219"/>
      <c r="OFJ254" s="219"/>
      <c r="OFK254" s="219"/>
      <c r="OFL254" s="219"/>
      <c r="OFM254" s="219"/>
      <c r="OFN254" s="219"/>
      <c r="OFO254" s="219"/>
      <c r="OFP254" s="219"/>
      <c r="OFQ254" s="219"/>
      <c r="OFR254" s="219"/>
      <c r="OFS254" s="219"/>
      <c r="OFT254" s="219"/>
      <c r="OFU254" s="219"/>
      <c r="OFV254" s="219"/>
      <c r="OFW254" s="219"/>
      <c r="OFX254" s="219"/>
      <c r="OFY254" s="219"/>
      <c r="OFZ254" s="219"/>
      <c r="OGA254" s="219"/>
      <c r="OGB254" s="219"/>
      <c r="OGC254" s="219"/>
      <c r="OGD254" s="219"/>
      <c r="OGE254" s="219"/>
      <c r="OGF254" s="219"/>
      <c r="OGG254" s="219"/>
      <c r="OGH254" s="219"/>
      <c r="OGI254" s="219"/>
      <c r="OGJ254" s="219"/>
      <c r="OGK254" s="219"/>
      <c r="OGL254" s="219"/>
      <c r="OGM254" s="219"/>
      <c r="OGN254" s="219"/>
      <c r="OGO254" s="219"/>
      <c r="OGP254" s="219"/>
      <c r="OGQ254" s="219"/>
      <c r="OGR254" s="219"/>
      <c r="OGS254" s="219"/>
      <c r="OGT254" s="219"/>
      <c r="OGU254" s="219"/>
      <c r="OGV254" s="219"/>
      <c r="OGW254" s="219"/>
      <c r="OGX254" s="219"/>
      <c r="OGY254" s="219"/>
      <c r="OGZ254" s="219"/>
      <c r="OHA254" s="219"/>
      <c r="OHB254" s="219"/>
      <c r="OHC254" s="219"/>
      <c r="OHD254" s="219"/>
      <c r="OHE254" s="219"/>
      <c r="OHF254" s="219"/>
      <c r="OHG254" s="219"/>
      <c r="OHH254" s="219"/>
      <c r="OHI254" s="219"/>
      <c r="OHJ254" s="219"/>
      <c r="OHK254" s="219"/>
      <c r="OHL254" s="219"/>
      <c r="OHM254" s="219"/>
      <c r="OHN254" s="219"/>
      <c r="OHO254" s="219"/>
      <c r="OHP254" s="219"/>
      <c r="OHQ254" s="219"/>
      <c r="OHR254" s="219"/>
      <c r="OHS254" s="219"/>
      <c r="OHT254" s="219"/>
      <c r="OHU254" s="219"/>
      <c r="OHV254" s="219"/>
      <c r="OHW254" s="219"/>
      <c r="OHX254" s="219"/>
      <c r="OHY254" s="219"/>
      <c r="OHZ254" s="219"/>
      <c r="OIA254" s="219"/>
      <c r="OIB254" s="219"/>
      <c r="OIC254" s="219"/>
      <c r="OID254" s="219"/>
      <c r="OIE254" s="219"/>
      <c r="OIF254" s="219"/>
      <c r="OIG254" s="219"/>
      <c r="OIH254" s="219"/>
      <c r="OII254" s="219"/>
      <c r="OIJ254" s="219"/>
      <c r="OIK254" s="219"/>
      <c r="OIL254" s="219"/>
      <c r="OIM254" s="219"/>
      <c r="OIN254" s="219"/>
      <c r="OIO254" s="219"/>
      <c r="OIP254" s="219"/>
      <c r="OIQ254" s="219"/>
      <c r="OIR254" s="219"/>
      <c r="OIS254" s="219"/>
      <c r="OIT254" s="219"/>
      <c r="OIU254" s="219"/>
      <c r="OIV254" s="219"/>
      <c r="OIW254" s="219"/>
      <c r="OIX254" s="219"/>
      <c r="OIY254" s="219"/>
      <c r="OIZ254" s="219"/>
      <c r="OJA254" s="219"/>
      <c r="OJB254" s="219"/>
      <c r="OJC254" s="219"/>
      <c r="OJD254" s="219"/>
      <c r="OJE254" s="219"/>
      <c r="OJF254" s="219"/>
      <c r="OJG254" s="219"/>
      <c r="OJH254" s="219"/>
      <c r="OJI254" s="219"/>
      <c r="OJJ254" s="219"/>
      <c r="OJK254" s="219"/>
      <c r="OJL254" s="219"/>
      <c r="OJM254" s="219"/>
      <c r="OJN254" s="219"/>
      <c r="OJO254" s="219"/>
      <c r="OJP254" s="219"/>
      <c r="OJQ254" s="219"/>
      <c r="OJR254" s="219"/>
      <c r="OJS254" s="219"/>
      <c r="OJT254" s="219"/>
      <c r="OJU254" s="219"/>
      <c r="OJV254" s="219"/>
      <c r="OJW254" s="219"/>
      <c r="OJX254" s="219"/>
      <c r="OJY254" s="219"/>
      <c r="OJZ254" s="219"/>
      <c r="OKA254" s="219"/>
      <c r="OKB254" s="219"/>
      <c r="OKC254" s="219"/>
      <c r="OKD254" s="219"/>
      <c r="OKE254" s="219"/>
      <c r="OKF254" s="219"/>
      <c r="OKG254" s="219"/>
      <c r="OKH254" s="219"/>
      <c r="OKI254" s="219"/>
      <c r="OKJ254" s="219"/>
      <c r="OKK254" s="219"/>
      <c r="OKL254" s="219"/>
      <c r="OKM254" s="219"/>
      <c r="OKN254" s="219"/>
      <c r="OKO254" s="219"/>
      <c r="OKP254" s="219"/>
      <c r="OKQ254" s="219"/>
      <c r="OKR254" s="219"/>
      <c r="OKS254" s="219"/>
      <c r="OKT254" s="219"/>
      <c r="OKU254" s="219"/>
      <c r="OKV254" s="219"/>
      <c r="OKW254" s="219"/>
      <c r="OKX254" s="219"/>
      <c r="OKY254" s="219"/>
      <c r="OKZ254" s="219"/>
      <c r="OLA254" s="219"/>
      <c r="OLB254" s="219"/>
      <c r="OLC254" s="219"/>
      <c r="OLD254" s="219"/>
      <c r="OLE254" s="219"/>
      <c r="OLF254" s="219"/>
      <c r="OLG254" s="219"/>
      <c r="OLH254" s="219"/>
      <c r="OLI254" s="219"/>
      <c r="OLJ254" s="219"/>
      <c r="OLK254" s="219"/>
      <c r="OLL254" s="219"/>
      <c r="OLM254" s="219"/>
      <c r="OLN254" s="219"/>
      <c r="OLO254" s="219"/>
      <c r="OLP254" s="219"/>
      <c r="OLQ254" s="219"/>
      <c r="OLR254" s="219"/>
      <c r="OLS254" s="219"/>
      <c r="OLT254" s="219"/>
      <c r="OLU254" s="219"/>
      <c r="OLV254" s="219"/>
      <c r="OLW254" s="219"/>
      <c r="OLX254" s="219"/>
      <c r="OLY254" s="219"/>
      <c r="OLZ254" s="219"/>
      <c r="OMA254" s="219"/>
      <c r="OMB254" s="219"/>
      <c r="OMC254" s="219"/>
      <c r="OMD254" s="219"/>
      <c r="OME254" s="219"/>
      <c r="OMF254" s="219"/>
      <c r="OMG254" s="219"/>
      <c r="OMH254" s="219"/>
      <c r="OMI254" s="219"/>
      <c r="OMJ254" s="219"/>
      <c r="OMK254" s="219"/>
      <c r="OML254" s="219"/>
      <c r="OMM254" s="219"/>
      <c r="OMN254" s="219"/>
      <c r="OMO254" s="219"/>
      <c r="OMP254" s="219"/>
      <c r="OMQ254" s="219"/>
      <c r="OMR254" s="219"/>
      <c r="OMS254" s="219"/>
      <c r="OMT254" s="219"/>
      <c r="OMU254" s="219"/>
      <c r="OMV254" s="219"/>
      <c r="OMW254" s="219"/>
      <c r="OMX254" s="219"/>
      <c r="OMY254" s="219"/>
      <c r="OMZ254" s="219"/>
      <c r="ONA254" s="219"/>
      <c r="ONB254" s="219"/>
      <c r="ONC254" s="219"/>
      <c r="OND254" s="219"/>
      <c r="ONE254" s="219"/>
      <c r="ONF254" s="219"/>
      <c r="ONG254" s="219"/>
      <c r="ONH254" s="219"/>
      <c r="ONI254" s="219"/>
      <c r="ONJ254" s="219"/>
      <c r="ONK254" s="219"/>
      <c r="ONL254" s="219"/>
      <c r="ONM254" s="219"/>
      <c r="ONN254" s="219"/>
      <c r="ONO254" s="219"/>
      <c r="ONP254" s="219"/>
      <c r="ONQ254" s="219"/>
      <c r="ONR254" s="219"/>
      <c r="ONS254" s="219"/>
      <c r="ONT254" s="219"/>
      <c r="ONU254" s="219"/>
      <c r="ONV254" s="219"/>
      <c r="ONW254" s="219"/>
      <c r="ONX254" s="219"/>
      <c r="ONY254" s="219"/>
      <c r="ONZ254" s="219"/>
      <c r="OOA254" s="219"/>
      <c r="OOB254" s="219"/>
      <c r="OOC254" s="219"/>
      <c r="OOD254" s="219"/>
      <c r="OOE254" s="219"/>
      <c r="OOF254" s="219"/>
      <c r="OOG254" s="219"/>
      <c r="OOH254" s="219"/>
      <c r="OOI254" s="219"/>
      <c r="OOJ254" s="219"/>
      <c r="OOK254" s="219"/>
      <c r="OOL254" s="219"/>
      <c r="OOM254" s="219"/>
      <c r="OON254" s="219"/>
      <c r="OOO254" s="219"/>
      <c r="OOP254" s="219"/>
      <c r="OOQ254" s="219"/>
      <c r="OOR254" s="219"/>
      <c r="OOS254" s="219"/>
      <c r="OOT254" s="219"/>
      <c r="OOU254" s="219"/>
      <c r="OOV254" s="219"/>
      <c r="OOW254" s="219"/>
      <c r="OOX254" s="219"/>
      <c r="OOY254" s="219"/>
      <c r="OOZ254" s="219"/>
      <c r="OPA254" s="219"/>
      <c r="OPB254" s="219"/>
      <c r="OPC254" s="219"/>
      <c r="OPD254" s="219"/>
      <c r="OPE254" s="219"/>
      <c r="OPF254" s="219"/>
      <c r="OPG254" s="219"/>
      <c r="OPH254" s="219"/>
      <c r="OPI254" s="219"/>
      <c r="OPJ254" s="219"/>
      <c r="OPK254" s="219"/>
      <c r="OPL254" s="219"/>
      <c r="OPM254" s="219"/>
      <c r="OPN254" s="219"/>
      <c r="OPO254" s="219"/>
      <c r="OPP254" s="219"/>
      <c r="OPQ254" s="219"/>
      <c r="OPR254" s="219"/>
      <c r="OPS254" s="219"/>
      <c r="OPT254" s="219"/>
      <c r="OPU254" s="219"/>
      <c r="OPV254" s="219"/>
      <c r="OPW254" s="219"/>
      <c r="OPX254" s="219"/>
      <c r="OPY254" s="219"/>
      <c r="OPZ254" s="219"/>
      <c r="OQA254" s="219"/>
      <c r="OQB254" s="219"/>
      <c r="OQC254" s="219"/>
      <c r="OQD254" s="219"/>
      <c r="OQE254" s="219"/>
      <c r="OQF254" s="219"/>
      <c r="OQG254" s="219"/>
      <c r="OQH254" s="219"/>
      <c r="OQI254" s="219"/>
      <c r="OQJ254" s="219"/>
      <c r="OQK254" s="219"/>
      <c r="OQL254" s="219"/>
      <c r="OQM254" s="219"/>
      <c r="OQN254" s="219"/>
      <c r="OQO254" s="219"/>
      <c r="OQP254" s="219"/>
      <c r="OQQ254" s="219"/>
      <c r="OQR254" s="219"/>
      <c r="OQS254" s="219"/>
      <c r="OQT254" s="219"/>
      <c r="OQU254" s="219"/>
      <c r="OQV254" s="219"/>
      <c r="OQW254" s="219"/>
      <c r="OQX254" s="219"/>
      <c r="OQY254" s="219"/>
      <c r="OQZ254" s="219"/>
      <c r="ORA254" s="219"/>
      <c r="ORB254" s="219"/>
      <c r="ORC254" s="219"/>
      <c r="ORD254" s="219"/>
      <c r="ORE254" s="219"/>
      <c r="ORF254" s="219"/>
      <c r="ORG254" s="219"/>
      <c r="ORH254" s="219"/>
      <c r="ORI254" s="219"/>
      <c r="ORJ254" s="219"/>
      <c r="ORK254" s="219"/>
      <c r="ORL254" s="219"/>
      <c r="ORM254" s="219"/>
      <c r="ORN254" s="219"/>
      <c r="ORO254" s="219"/>
      <c r="ORP254" s="219"/>
      <c r="ORQ254" s="219"/>
      <c r="ORR254" s="219"/>
      <c r="ORS254" s="219"/>
      <c r="ORT254" s="219"/>
      <c r="ORU254" s="219"/>
      <c r="ORV254" s="219"/>
      <c r="ORW254" s="219"/>
      <c r="ORX254" s="219"/>
      <c r="ORY254" s="219"/>
      <c r="ORZ254" s="219"/>
      <c r="OSA254" s="219"/>
      <c r="OSB254" s="219"/>
      <c r="OSC254" s="219"/>
      <c r="OSD254" s="219"/>
      <c r="OSE254" s="219"/>
      <c r="OSF254" s="219"/>
      <c r="OSG254" s="219"/>
      <c r="OSH254" s="219"/>
      <c r="OSI254" s="219"/>
      <c r="OSJ254" s="219"/>
      <c r="OSK254" s="219"/>
      <c r="OSL254" s="219"/>
      <c r="OSM254" s="219"/>
      <c r="OSN254" s="219"/>
      <c r="OSO254" s="219"/>
      <c r="OSP254" s="219"/>
      <c r="OSQ254" s="219"/>
      <c r="OSR254" s="219"/>
      <c r="OSS254" s="219"/>
      <c r="OST254" s="219"/>
      <c r="OSU254" s="219"/>
      <c r="OSV254" s="219"/>
      <c r="OSW254" s="219"/>
      <c r="OSX254" s="219"/>
      <c r="OSY254" s="219"/>
      <c r="OSZ254" s="219"/>
      <c r="OTA254" s="219"/>
      <c r="OTB254" s="219"/>
      <c r="OTC254" s="219"/>
      <c r="OTD254" s="219"/>
      <c r="OTE254" s="219"/>
      <c r="OTF254" s="219"/>
      <c r="OTG254" s="219"/>
      <c r="OTH254" s="219"/>
      <c r="OTI254" s="219"/>
      <c r="OTJ254" s="219"/>
      <c r="OTK254" s="219"/>
      <c r="OTL254" s="219"/>
      <c r="OTM254" s="219"/>
      <c r="OTN254" s="219"/>
      <c r="OTO254" s="219"/>
      <c r="OTP254" s="219"/>
      <c r="OTQ254" s="219"/>
      <c r="OTR254" s="219"/>
      <c r="OTS254" s="219"/>
      <c r="OTT254" s="219"/>
      <c r="OTU254" s="219"/>
      <c r="OTV254" s="219"/>
      <c r="OTW254" s="219"/>
      <c r="OTX254" s="219"/>
      <c r="OTY254" s="219"/>
      <c r="OTZ254" s="219"/>
      <c r="OUA254" s="219"/>
      <c r="OUB254" s="219"/>
      <c r="OUC254" s="219"/>
      <c r="OUD254" s="219"/>
      <c r="OUE254" s="219"/>
      <c r="OUF254" s="219"/>
      <c r="OUG254" s="219"/>
      <c r="OUH254" s="219"/>
      <c r="OUI254" s="219"/>
      <c r="OUJ254" s="219"/>
      <c r="OUK254" s="219"/>
      <c r="OUL254" s="219"/>
      <c r="OUM254" s="219"/>
      <c r="OUN254" s="219"/>
      <c r="OUO254" s="219"/>
      <c r="OUP254" s="219"/>
      <c r="OUQ254" s="219"/>
      <c r="OUR254" s="219"/>
      <c r="OUS254" s="219"/>
      <c r="OUT254" s="219"/>
      <c r="OUU254" s="219"/>
      <c r="OUV254" s="219"/>
      <c r="OUW254" s="219"/>
      <c r="OUX254" s="219"/>
      <c r="OUY254" s="219"/>
      <c r="OUZ254" s="219"/>
      <c r="OVA254" s="219"/>
      <c r="OVB254" s="219"/>
      <c r="OVC254" s="219"/>
      <c r="OVD254" s="219"/>
      <c r="OVE254" s="219"/>
      <c r="OVF254" s="219"/>
      <c r="OVG254" s="219"/>
      <c r="OVH254" s="219"/>
      <c r="OVI254" s="219"/>
      <c r="OVJ254" s="219"/>
      <c r="OVK254" s="219"/>
      <c r="OVL254" s="219"/>
      <c r="OVM254" s="219"/>
      <c r="OVN254" s="219"/>
      <c r="OVO254" s="219"/>
      <c r="OVP254" s="219"/>
      <c r="OVQ254" s="219"/>
      <c r="OVR254" s="219"/>
      <c r="OVS254" s="219"/>
      <c r="OVT254" s="219"/>
      <c r="OVU254" s="219"/>
      <c r="OVV254" s="219"/>
      <c r="OVW254" s="219"/>
      <c r="OVX254" s="219"/>
      <c r="OVY254" s="219"/>
      <c r="OVZ254" s="219"/>
      <c r="OWA254" s="219"/>
      <c r="OWB254" s="219"/>
      <c r="OWC254" s="219"/>
      <c r="OWD254" s="219"/>
      <c r="OWE254" s="219"/>
      <c r="OWF254" s="219"/>
      <c r="OWG254" s="219"/>
      <c r="OWH254" s="219"/>
      <c r="OWI254" s="219"/>
      <c r="OWJ254" s="219"/>
      <c r="OWK254" s="219"/>
      <c r="OWL254" s="219"/>
      <c r="OWM254" s="219"/>
      <c r="OWN254" s="219"/>
      <c r="OWO254" s="219"/>
      <c r="OWP254" s="219"/>
      <c r="OWQ254" s="219"/>
      <c r="OWR254" s="219"/>
      <c r="OWS254" s="219"/>
      <c r="OWT254" s="219"/>
      <c r="OWU254" s="219"/>
      <c r="OWV254" s="219"/>
      <c r="OWW254" s="219"/>
      <c r="OWX254" s="219"/>
      <c r="OWY254" s="219"/>
      <c r="OWZ254" s="219"/>
      <c r="OXA254" s="219"/>
      <c r="OXB254" s="219"/>
      <c r="OXC254" s="219"/>
      <c r="OXD254" s="219"/>
      <c r="OXE254" s="219"/>
      <c r="OXF254" s="219"/>
      <c r="OXG254" s="219"/>
      <c r="OXH254" s="219"/>
      <c r="OXI254" s="219"/>
      <c r="OXJ254" s="219"/>
      <c r="OXK254" s="219"/>
      <c r="OXL254" s="219"/>
      <c r="OXM254" s="219"/>
      <c r="OXN254" s="219"/>
      <c r="OXO254" s="219"/>
      <c r="OXP254" s="219"/>
      <c r="OXQ254" s="219"/>
      <c r="OXR254" s="219"/>
      <c r="OXS254" s="219"/>
      <c r="OXT254" s="219"/>
      <c r="OXU254" s="219"/>
      <c r="OXV254" s="219"/>
      <c r="OXW254" s="219"/>
      <c r="OXX254" s="219"/>
      <c r="OXY254" s="219"/>
      <c r="OXZ254" s="219"/>
      <c r="OYA254" s="219"/>
      <c r="OYB254" s="219"/>
      <c r="OYC254" s="219"/>
      <c r="OYD254" s="219"/>
      <c r="OYE254" s="219"/>
      <c r="OYF254" s="219"/>
      <c r="OYG254" s="219"/>
      <c r="OYH254" s="219"/>
      <c r="OYI254" s="219"/>
      <c r="OYJ254" s="219"/>
      <c r="OYK254" s="219"/>
      <c r="OYL254" s="219"/>
      <c r="OYM254" s="219"/>
      <c r="OYN254" s="219"/>
      <c r="OYO254" s="219"/>
      <c r="OYP254" s="219"/>
      <c r="OYQ254" s="219"/>
      <c r="OYR254" s="219"/>
      <c r="OYS254" s="219"/>
      <c r="OYT254" s="219"/>
      <c r="OYU254" s="219"/>
      <c r="OYV254" s="219"/>
      <c r="OYW254" s="219"/>
      <c r="OYX254" s="219"/>
      <c r="OYY254" s="219"/>
      <c r="OYZ254" s="219"/>
      <c r="OZA254" s="219"/>
      <c r="OZB254" s="219"/>
      <c r="OZC254" s="219"/>
      <c r="OZD254" s="219"/>
      <c r="OZE254" s="219"/>
      <c r="OZF254" s="219"/>
      <c r="OZG254" s="219"/>
      <c r="OZH254" s="219"/>
      <c r="OZI254" s="219"/>
      <c r="OZJ254" s="219"/>
      <c r="OZK254" s="219"/>
      <c r="OZL254" s="219"/>
      <c r="OZM254" s="219"/>
      <c r="OZN254" s="219"/>
      <c r="OZO254" s="219"/>
      <c r="OZP254" s="219"/>
      <c r="OZQ254" s="219"/>
      <c r="OZR254" s="219"/>
      <c r="OZS254" s="219"/>
      <c r="OZT254" s="219"/>
      <c r="OZU254" s="219"/>
      <c r="OZV254" s="219"/>
      <c r="OZW254" s="219"/>
      <c r="OZX254" s="219"/>
      <c r="OZY254" s="219"/>
      <c r="OZZ254" s="219"/>
      <c r="PAA254" s="219"/>
      <c r="PAB254" s="219"/>
      <c r="PAC254" s="219"/>
      <c r="PAD254" s="219"/>
      <c r="PAE254" s="219"/>
      <c r="PAF254" s="219"/>
      <c r="PAG254" s="219"/>
      <c r="PAH254" s="219"/>
      <c r="PAI254" s="219"/>
      <c r="PAJ254" s="219"/>
      <c r="PAK254" s="219"/>
      <c r="PAL254" s="219"/>
      <c r="PAM254" s="219"/>
      <c r="PAN254" s="219"/>
      <c r="PAO254" s="219"/>
      <c r="PAP254" s="219"/>
      <c r="PAQ254" s="219"/>
      <c r="PAR254" s="219"/>
      <c r="PAS254" s="219"/>
      <c r="PAT254" s="219"/>
      <c r="PAU254" s="219"/>
      <c r="PAV254" s="219"/>
      <c r="PAW254" s="219"/>
      <c r="PAX254" s="219"/>
      <c r="PAY254" s="219"/>
      <c r="PAZ254" s="219"/>
      <c r="PBA254" s="219"/>
      <c r="PBB254" s="219"/>
      <c r="PBC254" s="219"/>
      <c r="PBD254" s="219"/>
      <c r="PBE254" s="219"/>
      <c r="PBF254" s="219"/>
      <c r="PBG254" s="219"/>
      <c r="PBH254" s="219"/>
      <c r="PBI254" s="219"/>
      <c r="PBJ254" s="219"/>
      <c r="PBK254" s="219"/>
      <c r="PBL254" s="219"/>
      <c r="PBM254" s="219"/>
      <c r="PBN254" s="219"/>
      <c r="PBO254" s="219"/>
      <c r="PBP254" s="219"/>
      <c r="PBQ254" s="219"/>
      <c r="PBR254" s="219"/>
      <c r="PBS254" s="219"/>
      <c r="PBT254" s="219"/>
      <c r="PBU254" s="219"/>
      <c r="PBV254" s="219"/>
      <c r="PBW254" s="219"/>
      <c r="PBX254" s="219"/>
      <c r="PBY254" s="219"/>
      <c r="PBZ254" s="219"/>
      <c r="PCA254" s="219"/>
      <c r="PCB254" s="219"/>
      <c r="PCC254" s="219"/>
      <c r="PCD254" s="219"/>
      <c r="PCE254" s="219"/>
      <c r="PCF254" s="219"/>
      <c r="PCG254" s="219"/>
      <c r="PCH254" s="219"/>
      <c r="PCI254" s="219"/>
      <c r="PCJ254" s="219"/>
      <c r="PCK254" s="219"/>
      <c r="PCL254" s="219"/>
      <c r="PCM254" s="219"/>
      <c r="PCN254" s="219"/>
      <c r="PCO254" s="219"/>
      <c r="PCP254" s="219"/>
      <c r="PCQ254" s="219"/>
      <c r="PCR254" s="219"/>
      <c r="PCS254" s="219"/>
      <c r="PCT254" s="219"/>
      <c r="PCU254" s="219"/>
      <c r="PCV254" s="219"/>
      <c r="PCW254" s="219"/>
      <c r="PCX254" s="219"/>
      <c r="PCY254" s="219"/>
      <c r="PCZ254" s="219"/>
      <c r="PDA254" s="219"/>
      <c r="PDB254" s="219"/>
      <c r="PDC254" s="219"/>
      <c r="PDD254" s="219"/>
      <c r="PDE254" s="219"/>
      <c r="PDF254" s="219"/>
      <c r="PDG254" s="219"/>
      <c r="PDH254" s="219"/>
      <c r="PDI254" s="219"/>
      <c r="PDJ254" s="219"/>
      <c r="PDK254" s="219"/>
      <c r="PDL254" s="219"/>
      <c r="PDM254" s="219"/>
      <c r="PDN254" s="219"/>
      <c r="PDO254" s="219"/>
      <c r="PDP254" s="219"/>
      <c r="PDQ254" s="219"/>
      <c r="PDR254" s="219"/>
      <c r="PDS254" s="219"/>
      <c r="PDT254" s="219"/>
      <c r="PDU254" s="219"/>
      <c r="PDV254" s="219"/>
      <c r="PDW254" s="219"/>
      <c r="PDX254" s="219"/>
      <c r="PDY254" s="219"/>
      <c r="PDZ254" s="219"/>
      <c r="PEA254" s="219"/>
      <c r="PEB254" s="219"/>
      <c r="PEC254" s="219"/>
      <c r="PED254" s="219"/>
      <c r="PEE254" s="219"/>
      <c r="PEF254" s="219"/>
      <c r="PEG254" s="219"/>
      <c r="PEH254" s="219"/>
      <c r="PEI254" s="219"/>
      <c r="PEJ254" s="219"/>
      <c r="PEK254" s="219"/>
      <c r="PEL254" s="219"/>
      <c r="PEM254" s="219"/>
      <c r="PEN254" s="219"/>
      <c r="PEO254" s="219"/>
      <c r="PEP254" s="219"/>
      <c r="PEQ254" s="219"/>
      <c r="PER254" s="219"/>
      <c r="PES254" s="219"/>
      <c r="PET254" s="219"/>
      <c r="PEU254" s="219"/>
      <c r="PEV254" s="219"/>
      <c r="PEW254" s="219"/>
      <c r="PEX254" s="219"/>
      <c r="PEY254" s="219"/>
      <c r="PEZ254" s="219"/>
      <c r="PFA254" s="219"/>
      <c r="PFB254" s="219"/>
      <c r="PFC254" s="219"/>
      <c r="PFD254" s="219"/>
      <c r="PFE254" s="219"/>
      <c r="PFF254" s="219"/>
      <c r="PFG254" s="219"/>
      <c r="PFH254" s="219"/>
      <c r="PFI254" s="219"/>
      <c r="PFJ254" s="219"/>
      <c r="PFK254" s="219"/>
      <c r="PFL254" s="219"/>
      <c r="PFM254" s="219"/>
      <c r="PFN254" s="219"/>
      <c r="PFO254" s="219"/>
      <c r="PFP254" s="219"/>
      <c r="PFQ254" s="219"/>
      <c r="PFR254" s="219"/>
      <c r="PFS254" s="219"/>
      <c r="PFT254" s="219"/>
      <c r="PFU254" s="219"/>
      <c r="PFV254" s="219"/>
      <c r="PFW254" s="219"/>
      <c r="PFX254" s="219"/>
      <c r="PFY254" s="219"/>
      <c r="PFZ254" s="219"/>
      <c r="PGA254" s="219"/>
      <c r="PGB254" s="219"/>
      <c r="PGC254" s="219"/>
      <c r="PGD254" s="219"/>
      <c r="PGE254" s="219"/>
      <c r="PGF254" s="219"/>
      <c r="PGG254" s="219"/>
      <c r="PGH254" s="219"/>
      <c r="PGI254" s="219"/>
      <c r="PGJ254" s="219"/>
      <c r="PGK254" s="219"/>
      <c r="PGL254" s="219"/>
      <c r="PGM254" s="219"/>
      <c r="PGN254" s="219"/>
      <c r="PGO254" s="219"/>
      <c r="PGP254" s="219"/>
      <c r="PGQ254" s="219"/>
      <c r="PGR254" s="219"/>
      <c r="PGS254" s="219"/>
      <c r="PGT254" s="219"/>
      <c r="PGU254" s="219"/>
      <c r="PGV254" s="219"/>
      <c r="PGW254" s="219"/>
      <c r="PGX254" s="219"/>
      <c r="PGY254" s="219"/>
      <c r="PGZ254" s="219"/>
      <c r="PHA254" s="219"/>
      <c r="PHB254" s="219"/>
      <c r="PHC254" s="219"/>
      <c r="PHD254" s="219"/>
      <c r="PHE254" s="219"/>
      <c r="PHF254" s="219"/>
      <c r="PHG254" s="219"/>
      <c r="PHH254" s="219"/>
      <c r="PHI254" s="219"/>
      <c r="PHJ254" s="219"/>
      <c r="PHK254" s="219"/>
      <c r="PHL254" s="219"/>
      <c r="PHM254" s="219"/>
      <c r="PHN254" s="219"/>
      <c r="PHO254" s="219"/>
      <c r="PHP254" s="219"/>
      <c r="PHQ254" s="219"/>
      <c r="PHR254" s="219"/>
      <c r="PHS254" s="219"/>
      <c r="PHT254" s="219"/>
      <c r="PHU254" s="219"/>
      <c r="PHV254" s="219"/>
      <c r="PHW254" s="219"/>
      <c r="PHX254" s="219"/>
      <c r="PHY254" s="219"/>
      <c r="PHZ254" s="219"/>
      <c r="PIA254" s="219"/>
      <c r="PIB254" s="219"/>
      <c r="PIC254" s="219"/>
      <c r="PID254" s="219"/>
      <c r="PIE254" s="219"/>
      <c r="PIF254" s="219"/>
      <c r="PIG254" s="219"/>
      <c r="PIH254" s="219"/>
      <c r="PII254" s="219"/>
      <c r="PIJ254" s="219"/>
      <c r="PIK254" s="219"/>
      <c r="PIL254" s="219"/>
      <c r="PIM254" s="219"/>
      <c r="PIN254" s="219"/>
      <c r="PIO254" s="219"/>
      <c r="PIP254" s="219"/>
      <c r="PIQ254" s="219"/>
      <c r="PIR254" s="219"/>
      <c r="PIS254" s="219"/>
      <c r="PIT254" s="219"/>
      <c r="PIU254" s="219"/>
      <c r="PIV254" s="219"/>
      <c r="PIW254" s="219"/>
      <c r="PIX254" s="219"/>
      <c r="PIY254" s="219"/>
      <c r="PIZ254" s="219"/>
      <c r="PJA254" s="219"/>
      <c r="PJB254" s="219"/>
      <c r="PJC254" s="219"/>
      <c r="PJD254" s="219"/>
      <c r="PJE254" s="219"/>
      <c r="PJF254" s="219"/>
      <c r="PJG254" s="219"/>
      <c r="PJH254" s="219"/>
      <c r="PJI254" s="219"/>
      <c r="PJJ254" s="219"/>
      <c r="PJK254" s="219"/>
      <c r="PJL254" s="219"/>
      <c r="PJM254" s="219"/>
      <c r="PJN254" s="219"/>
      <c r="PJO254" s="219"/>
      <c r="PJP254" s="219"/>
      <c r="PJQ254" s="219"/>
      <c r="PJR254" s="219"/>
      <c r="PJS254" s="219"/>
      <c r="PJT254" s="219"/>
      <c r="PJU254" s="219"/>
      <c r="PJV254" s="219"/>
      <c r="PJW254" s="219"/>
      <c r="PJX254" s="219"/>
      <c r="PJY254" s="219"/>
      <c r="PJZ254" s="219"/>
      <c r="PKA254" s="219"/>
      <c r="PKB254" s="219"/>
      <c r="PKC254" s="219"/>
      <c r="PKD254" s="219"/>
      <c r="PKE254" s="219"/>
      <c r="PKF254" s="219"/>
      <c r="PKG254" s="219"/>
      <c r="PKH254" s="219"/>
      <c r="PKI254" s="219"/>
      <c r="PKJ254" s="219"/>
      <c r="PKK254" s="219"/>
      <c r="PKL254" s="219"/>
      <c r="PKM254" s="219"/>
      <c r="PKN254" s="219"/>
      <c r="PKO254" s="219"/>
      <c r="PKP254" s="219"/>
      <c r="PKQ254" s="219"/>
      <c r="PKR254" s="219"/>
      <c r="PKS254" s="219"/>
      <c r="PKT254" s="219"/>
      <c r="PKU254" s="219"/>
      <c r="PKV254" s="219"/>
      <c r="PKW254" s="219"/>
      <c r="PKX254" s="219"/>
      <c r="PKY254" s="219"/>
      <c r="PKZ254" s="219"/>
      <c r="PLA254" s="219"/>
      <c r="PLB254" s="219"/>
      <c r="PLC254" s="219"/>
      <c r="PLD254" s="219"/>
      <c r="PLE254" s="219"/>
      <c r="PLF254" s="219"/>
      <c r="PLG254" s="219"/>
      <c r="PLH254" s="219"/>
      <c r="PLI254" s="219"/>
      <c r="PLJ254" s="219"/>
      <c r="PLK254" s="219"/>
      <c r="PLL254" s="219"/>
      <c r="PLM254" s="219"/>
      <c r="PLN254" s="219"/>
      <c r="PLO254" s="219"/>
      <c r="PLP254" s="219"/>
      <c r="PLQ254" s="219"/>
      <c r="PLR254" s="219"/>
      <c r="PLS254" s="219"/>
      <c r="PLT254" s="219"/>
      <c r="PLU254" s="219"/>
      <c r="PLV254" s="219"/>
      <c r="PLW254" s="219"/>
      <c r="PLX254" s="219"/>
      <c r="PLY254" s="219"/>
      <c r="PLZ254" s="219"/>
      <c r="PMA254" s="219"/>
      <c r="PMB254" s="219"/>
      <c r="PMC254" s="219"/>
      <c r="PMD254" s="219"/>
      <c r="PME254" s="219"/>
      <c r="PMF254" s="219"/>
      <c r="PMG254" s="219"/>
      <c r="PMH254" s="219"/>
      <c r="PMI254" s="219"/>
      <c r="PMJ254" s="219"/>
      <c r="PMK254" s="219"/>
      <c r="PML254" s="219"/>
      <c r="PMM254" s="219"/>
      <c r="PMN254" s="219"/>
      <c r="PMO254" s="219"/>
      <c r="PMP254" s="219"/>
      <c r="PMQ254" s="219"/>
      <c r="PMR254" s="219"/>
      <c r="PMS254" s="219"/>
      <c r="PMT254" s="219"/>
      <c r="PMU254" s="219"/>
      <c r="PMV254" s="219"/>
      <c r="PMW254" s="219"/>
      <c r="PMX254" s="219"/>
      <c r="PMY254" s="219"/>
      <c r="PMZ254" s="219"/>
      <c r="PNA254" s="219"/>
      <c r="PNB254" s="219"/>
      <c r="PNC254" s="219"/>
      <c r="PND254" s="219"/>
      <c r="PNE254" s="219"/>
      <c r="PNF254" s="219"/>
      <c r="PNG254" s="219"/>
      <c r="PNH254" s="219"/>
      <c r="PNI254" s="219"/>
      <c r="PNJ254" s="219"/>
      <c r="PNK254" s="219"/>
      <c r="PNL254" s="219"/>
      <c r="PNM254" s="219"/>
      <c r="PNN254" s="219"/>
      <c r="PNO254" s="219"/>
      <c r="PNP254" s="219"/>
      <c r="PNQ254" s="219"/>
      <c r="PNR254" s="219"/>
      <c r="PNS254" s="219"/>
      <c r="PNT254" s="219"/>
      <c r="PNU254" s="219"/>
      <c r="PNV254" s="219"/>
      <c r="PNW254" s="219"/>
      <c r="PNX254" s="219"/>
      <c r="PNY254" s="219"/>
      <c r="PNZ254" s="219"/>
      <c r="POA254" s="219"/>
      <c r="POB254" s="219"/>
      <c r="POC254" s="219"/>
      <c r="POD254" s="219"/>
      <c r="POE254" s="219"/>
      <c r="POF254" s="219"/>
      <c r="POG254" s="219"/>
      <c r="POH254" s="219"/>
      <c r="POI254" s="219"/>
      <c r="POJ254" s="219"/>
      <c r="POK254" s="219"/>
      <c r="POL254" s="219"/>
      <c r="POM254" s="219"/>
      <c r="PON254" s="219"/>
      <c r="POO254" s="219"/>
      <c r="POP254" s="219"/>
      <c r="POQ254" s="219"/>
      <c r="POR254" s="219"/>
      <c r="POS254" s="219"/>
      <c r="POT254" s="219"/>
      <c r="POU254" s="219"/>
      <c r="POV254" s="219"/>
      <c r="POW254" s="219"/>
      <c r="POX254" s="219"/>
      <c r="POY254" s="219"/>
      <c r="POZ254" s="219"/>
      <c r="PPA254" s="219"/>
      <c r="PPB254" s="219"/>
      <c r="PPC254" s="219"/>
      <c r="PPD254" s="219"/>
      <c r="PPE254" s="219"/>
      <c r="PPF254" s="219"/>
      <c r="PPG254" s="219"/>
      <c r="PPH254" s="219"/>
      <c r="PPI254" s="219"/>
      <c r="PPJ254" s="219"/>
      <c r="PPK254" s="219"/>
      <c r="PPL254" s="219"/>
      <c r="PPM254" s="219"/>
      <c r="PPN254" s="219"/>
      <c r="PPO254" s="219"/>
      <c r="PPP254" s="219"/>
      <c r="PPQ254" s="219"/>
      <c r="PPR254" s="219"/>
      <c r="PPS254" s="219"/>
      <c r="PPT254" s="219"/>
      <c r="PPU254" s="219"/>
      <c r="PPV254" s="219"/>
      <c r="PPW254" s="219"/>
      <c r="PPX254" s="219"/>
      <c r="PPY254" s="219"/>
      <c r="PPZ254" s="219"/>
      <c r="PQA254" s="219"/>
      <c r="PQB254" s="219"/>
      <c r="PQC254" s="219"/>
      <c r="PQD254" s="219"/>
      <c r="PQE254" s="219"/>
      <c r="PQF254" s="219"/>
      <c r="PQG254" s="219"/>
      <c r="PQH254" s="219"/>
      <c r="PQI254" s="219"/>
      <c r="PQJ254" s="219"/>
      <c r="PQK254" s="219"/>
      <c r="PQL254" s="219"/>
      <c r="PQM254" s="219"/>
      <c r="PQN254" s="219"/>
      <c r="PQO254" s="219"/>
      <c r="PQP254" s="219"/>
      <c r="PQQ254" s="219"/>
      <c r="PQR254" s="219"/>
      <c r="PQS254" s="219"/>
      <c r="PQT254" s="219"/>
      <c r="PQU254" s="219"/>
      <c r="PQV254" s="219"/>
      <c r="PQW254" s="219"/>
      <c r="PQX254" s="219"/>
      <c r="PQY254" s="219"/>
      <c r="PQZ254" s="219"/>
      <c r="PRA254" s="219"/>
      <c r="PRB254" s="219"/>
      <c r="PRC254" s="219"/>
      <c r="PRD254" s="219"/>
      <c r="PRE254" s="219"/>
      <c r="PRF254" s="219"/>
      <c r="PRG254" s="219"/>
      <c r="PRH254" s="219"/>
      <c r="PRI254" s="219"/>
      <c r="PRJ254" s="219"/>
      <c r="PRK254" s="219"/>
      <c r="PRL254" s="219"/>
      <c r="PRM254" s="219"/>
      <c r="PRN254" s="219"/>
      <c r="PRO254" s="219"/>
      <c r="PRP254" s="219"/>
      <c r="PRQ254" s="219"/>
      <c r="PRR254" s="219"/>
      <c r="PRS254" s="219"/>
      <c r="PRT254" s="219"/>
      <c r="PRU254" s="219"/>
      <c r="PRV254" s="219"/>
      <c r="PRW254" s="219"/>
      <c r="PRX254" s="219"/>
      <c r="PRY254" s="219"/>
      <c r="PRZ254" s="219"/>
      <c r="PSA254" s="219"/>
      <c r="PSB254" s="219"/>
      <c r="PSC254" s="219"/>
      <c r="PSD254" s="219"/>
      <c r="PSE254" s="219"/>
      <c r="PSF254" s="219"/>
      <c r="PSG254" s="219"/>
      <c r="PSH254" s="219"/>
      <c r="PSI254" s="219"/>
      <c r="PSJ254" s="219"/>
      <c r="PSK254" s="219"/>
      <c r="PSL254" s="219"/>
      <c r="PSM254" s="219"/>
      <c r="PSN254" s="219"/>
      <c r="PSO254" s="219"/>
      <c r="PSP254" s="219"/>
      <c r="PSQ254" s="219"/>
      <c r="PSR254" s="219"/>
      <c r="PSS254" s="219"/>
      <c r="PST254" s="219"/>
      <c r="PSU254" s="219"/>
      <c r="PSV254" s="219"/>
      <c r="PSW254" s="219"/>
      <c r="PSX254" s="219"/>
      <c r="PSY254" s="219"/>
      <c r="PSZ254" s="219"/>
      <c r="PTA254" s="219"/>
      <c r="PTB254" s="219"/>
      <c r="PTC254" s="219"/>
      <c r="PTD254" s="219"/>
      <c r="PTE254" s="219"/>
      <c r="PTF254" s="219"/>
      <c r="PTG254" s="219"/>
      <c r="PTH254" s="219"/>
      <c r="PTI254" s="219"/>
      <c r="PTJ254" s="219"/>
      <c r="PTK254" s="219"/>
      <c r="PTL254" s="219"/>
      <c r="PTM254" s="219"/>
      <c r="PTN254" s="219"/>
      <c r="PTO254" s="219"/>
      <c r="PTP254" s="219"/>
      <c r="PTQ254" s="219"/>
      <c r="PTR254" s="219"/>
      <c r="PTS254" s="219"/>
      <c r="PTT254" s="219"/>
      <c r="PTU254" s="219"/>
      <c r="PTV254" s="219"/>
      <c r="PTW254" s="219"/>
      <c r="PTX254" s="219"/>
      <c r="PTY254" s="219"/>
      <c r="PTZ254" s="219"/>
      <c r="PUA254" s="219"/>
      <c r="PUB254" s="219"/>
      <c r="PUC254" s="219"/>
      <c r="PUD254" s="219"/>
      <c r="PUE254" s="219"/>
      <c r="PUF254" s="219"/>
      <c r="PUG254" s="219"/>
      <c r="PUH254" s="219"/>
      <c r="PUI254" s="219"/>
      <c r="PUJ254" s="219"/>
      <c r="PUK254" s="219"/>
      <c r="PUL254" s="219"/>
      <c r="PUM254" s="219"/>
      <c r="PUN254" s="219"/>
      <c r="PUO254" s="219"/>
      <c r="PUP254" s="219"/>
      <c r="PUQ254" s="219"/>
      <c r="PUR254" s="219"/>
      <c r="PUS254" s="219"/>
      <c r="PUT254" s="219"/>
      <c r="PUU254" s="219"/>
      <c r="PUV254" s="219"/>
      <c r="PUW254" s="219"/>
      <c r="PUX254" s="219"/>
      <c r="PUY254" s="219"/>
      <c r="PUZ254" s="219"/>
      <c r="PVA254" s="219"/>
      <c r="PVB254" s="219"/>
      <c r="PVC254" s="219"/>
      <c r="PVD254" s="219"/>
      <c r="PVE254" s="219"/>
      <c r="PVF254" s="219"/>
      <c r="PVG254" s="219"/>
      <c r="PVH254" s="219"/>
      <c r="PVI254" s="219"/>
      <c r="PVJ254" s="219"/>
      <c r="PVK254" s="219"/>
      <c r="PVL254" s="219"/>
      <c r="PVM254" s="219"/>
      <c r="PVN254" s="219"/>
      <c r="PVO254" s="219"/>
      <c r="PVP254" s="219"/>
      <c r="PVQ254" s="219"/>
      <c r="PVR254" s="219"/>
      <c r="PVS254" s="219"/>
      <c r="PVT254" s="219"/>
      <c r="PVU254" s="219"/>
      <c r="PVV254" s="219"/>
      <c r="PVW254" s="219"/>
      <c r="PVX254" s="219"/>
      <c r="PVY254" s="219"/>
      <c r="PVZ254" s="219"/>
      <c r="PWA254" s="219"/>
      <c r="PWB254" s="219"/>
      <c r="PWC254" s="219"/>
      <c r="PWD254" s="219"/>
      <c r="PWE254" s="219"/>
      <c r="PWF254" s="219"/>
      <c r="PWG254" s="219"/>
      <c r="PWH254" s="219"/>
      <c r="PWI254" s="219"/>
      <c r="PWJ254" s="219"/>
      <c r="PWK254" s="219"/>
      <c r="PWL254" s="219"/>
      <c r="PWM254" s="219"/>
      <c r="PWN254" s="219"/>
      <c r="PWO254" s="219"/>
      <c r="PWP254" s="219"/>
      <c r="PWQ254" s="219"/>
      <c r="PWR254" s="219"/>
      <c r="PWS254" s="219"/>
      <c r="PWT254" s="219"/>
      <c r="PWU254" s="219"/>
      <c r="PWV254" s="219"/>
      <c r="PWW254" s="219"/>
      <c r="PWX254" s="219"/>
      <c r="PWY254" s="219"/>
      <c r="PWZ254" s="219"/>
      <c r="PXA254" s="219"/>
      <c r="PXB254" s="219"/>
      <c r="PXC254" s="219"/>
      <c r="PXD254" s="219"/>
      <c r="PXE254" s="219"/>
      <c r="PXF254" s="219"/>
      <c r="PXG254" s="219"/>
      <c r="PXH254" s="219"/>
      <c r="PXI254" s="219"/>
      <c r="PXJ254" s="219"/>
      <c r="PXK254" s="219"/>
      <c r="PXL254" s="219"/>
      <c r="PXM254" s="219"/>
      <c r="PXN254" s="219"/>
      <c r="PXO254" s="219"/>
      <c r="PXP254" s="219"/>
      <c r="PXQ254" s="219"/>
      <c r="PXR254" s="219"/>
      <c r="PXS254" s="219"/>
      <c r="PXT254" s="219"/>
      <c r="PXU254" s="219"/>
      <c r="PXV254" s="219"/>
      <c r="PXW254" s="219"/>
      <c r="PXX254" s="219"/>
      <c r="PXY254" s="219"/>
      <c r="PXZ254" s="219"/>
      <c r="PYA254" s="219"/>
      <c r="PYB254" s="219"/>
      <c r="PYC254" s="219"/>
      <c r="PYD254" s="219"/>
      <c r="PYE254" s="219"/>
      <c r="PYF254" s="219"/>
      <c r="PYG254" s="219"/>
      <c r="PYH254" s="219"/>
      <c r="PYI254" s="219"/>
      <c r="PYJ254" s="219"/>
      <c r="PYK254" s="219"/>
      <c r="PYL254" s="219"/>
      <c r="PYM254" s="219"/>
      <c r="PYN254" s="219"/>
      <c r="PYO254" s="219"/>
      <c r="PYP254" s="219"/>
      <c r="PYQ254" s="219"/>
      <c r="PYR254" s="219"/>
      <c r="PYS254" s="219"/>
      <c r="PYT254" s="219"/>
      <c r="PYU254" s="219"/>
      <c r="PYV254" s="219"/>
      <c r="PYW254" s="219"/>
      <c r="PYX254" s="219"/>
      <c r="PYY254" s="219"/>
      <c r="PYZ254" s="219"/>
      <c r="PZA254" s="219"/>
      <c r="PZB254" s="219"/>
      <c r="PZC254" s="219"/>
      <c r="PZD254" s="219"/>
      <c r="PZE254" s="219"/>
      <c r="PZF254" s="219"/>
      <c r="PZG254" s="219"/>
      <c r="PZH254" s="219"/>
      <c r="PZI254" s="219"/>
      <c r="PZJ254" s="219"/>
      <c r="PZK254" s="219"/>
      <c r="PZL254" s="219"/>
      <c r="PZM254" s="219"/>
      <c r="PZN254" s="219"/>
      <c r="PZO254" s="219"/>
      <c r="PZP254" s="219"/>
      <c r="PZQ254" s="219"/>
      <c r="PZR254" s="219"/>
      <c r="PZS254" s="219"/>
      <c r="PZT254" s="219"/>
      <c r="PZU254" s="219"/>
      <c r="PZV254" s="219"/>
      <c r="PZW254" s="219"/>
      <c r="PZX254" s="219"/>
      <c r="PZY254" s="219"/>
      <c r="PZZ254" s="219"/>
      <c r="QAA254" s="219"/>
      <c r="QAB254" s="219"/>
      <c r="QAC254" s="219"/>
      <c r="QAD254" s="219"/>
      <c r="QAE254" s="219"/>
      <c r="QAF254" s="219"/>
      <c r="QAG254" s="219"/>
      <c r="QAH254" s="219"/>
      <c r="QAI254" s="219"/>
      <c r="QAJ254" s="219"/>
      <c r="QAK254" s="219"/>
      <c r="QAL254" s="219"/>
      <c r="QAM254" s="219"/>
      <c r="QAN254" s="219"/>
      <c r="QAO254" s="219"/>
      <c r="QAP254" s="219"/>
      <c r="QAQ254" s="219"/>
      <c r="QAR254" s="219"/>
      <c r="QAS254" s="219"/>
      <c r="QAT254" s="219"/>
      <c r="QAU254" s="219"/>
      <c r="QAV254" s="219"/>
      <c r="QAW254" s="219"/>
      <c r="QAX254" s="219"/>
      <c r="QAY254" s="219"/>
      <c r="QAZ254" s="219"/>
      <c r="QBA254" s="219"/>
      <c r="QBB254" s="219"/>
      <c r="QBC254" s="219"/>
      <c r="QBD254" s="219"/>
      <c r="QBE254" s="219"/>
      <c r="QBF254" s="219"/>
      <c r="QBG254" s="219"/>
      <c r="QBH254" s="219"/>
      <c r="QBI254" s="219"/>
      <c r="QBJ254" s="219"/>
      <c r="QBK254" s="219"/>
      <c r="QBL254" s="219"/>
      <c r="QBM254" s="219"/>
      <c r="QBN254" s="219"/>
      <c r="QBO254" s="219"/>
      <c r="QBP254" s="219"/>
      <c r="QBQ254" s="219"/>
      <c r="QBR254" s="219"/>
      <c r="QBS254" s="219"/>
      <c r="QBT254" s="219"/>
      <c r="QBU254" s="219"/>
      <c r="QBV254" s="219"/>
      <c r="QBW254" s="219"/>
      <c r="QBX254" s="219"/>
      <c r="QBY254" s="219"/>
      <c r="QBZ254" s="219"/>
      <c r="QCA254" s="219"/>
      <c r="QCB254" s="219"/>
      <c r="QCC254" s="219"/>
      <c r="QCD254" s="219"/>
      <c r="QCE254" s="219"/>
      <c r="QCF254" s="219"/>
      <c r="QCG254" s="219"/>
      <c r="QCH254" s="219"/>
      <c r="QCI254" s="219"/>
      <c r="QCJ254" s="219"/>
      <c r="QCK254" s="219"/>
      <c r="QCL254" s="219"/>
      <c r="QCM254" s="219"/>
      <c r="QCN254" s="219"/>
      <c r="QCO254" s="219"/>
      <c r="QCP254" s="219"/>
      <c r="QCQ254" s="219"/>
      <c r="QCR254" s="219"/>
      <c r="QCS254" s="219"/>
      <c r="QCT254" s="219"/>
      <c r="QCU254" s="219"/>
      <c r="QCV254" s="219"/>
      <c r="QCW254" s="219"/>
      <c r="QCX254" s="219"/>
      <c r="QCY254" s="219"/>
      <c r="QCZ254" s="219"/>
      <c r="QDA254" s="219"/>
      <c r="QDB254" s="219"/>
      <c r="QDC254" s="219"/>
      <c r="QDD254" s="219"/>
      <c r="QDE254" s="219"/>
      <c r="QDF254" s="219"/>
      <c r="QDG254" s="219"/>
      <c r="QDH254" s="219"/>
      <c r="QDI254" s="219"/>
      <c r="QDJ254" s="219"/>
      <c r="QDK254" s="219"/>
      <c r="QDL254" s="219"/>
      <c r="QDM254" s="219"/>
      <c r="QDN254" s="219"/>
      <c r="QDO254" s="219"/>
      <c r="QDP254" s="219"/>
      <c r="QDQ254" s="219"/>
      <c r="QDR254" s="219"/>
      <c r="QDS254" s="219"/>
      <c r="QDT254" s="219"/>
      <c r="QDU254" s="219"/>
      <c r="QDV254" s="219"/>
      <c r="QDW254" s="219"/>
      <c r="QDX254" s="219"/>
      <c r="QDY254" s="219"/>
      <c r="QDZ254" s="219"/>
      <c r="QEA254" s="219"/>
      <c r="QEB254" s="219"/>
      <c r="QEC254" s="219"/>
      <c r="QED254" s="219"/>
      <c r="QEE254" s="219"/>
      <c r="QEF254" s="219"/>
      <c r="QEG254" s="219"/>
      <c r="QEH254" s="219"/>
      <c r="QEI254" s="219"/>
      <c r="QEJ254" s="219"/>
      <c r="QEK254" s="219"/>
      <c r="QEL254" s="219"/>
      <c r="QEM254" s="219"/>
      <c r="QEN254" s="219"/>
      <c r="QEO254" s="219"/>
      <c r="QEP254" s="219"/>
      <c r="QEQ254" s="219"/>
      <c r="QER254" s="219"/>
      <c r="QES254" s="219"/>
      <c r="QET254" s="219"/>
      <c r="QEU254" s="219"/>
      <c r="QEV254" s="219"/>
      <c r="QEW254" s="219"/>
      <c r="QEX254" s="219"/>
      <c r="QEY254" s="219"/>
      <c r="QEZ254" s="219"/>
      <c r="QFA254" s="219"/>
      <c r="QFB254" s="219"/>
      <c r="QFC254" s="219"/>
      <c r="QFD254" s="219"/>
      <c r="QFE254" s="219"/>
      <c r="QFF254" s="219"/>
      <c r="QFG254" s="219"/>
      <c r="QFH254" s="219"/>
      <c r="QFI254" s="219"/>
      <c r="QFJ254" s="219"/>
      <c r="QFK254" s="219"/>
      <c r="QFL254" s="219"/>
      <c r="QFM254" s="219"/>
      <c r="QFN254" s="219"/>
      <c r="QFO254" s="219"/>
      <c r="QFP254" s="219"/>
      <c r="QFQ254" s="219"/>
      <c r="QFR254" s="219"/>
      <c r="QFS254" s="219"/>
      <c r="QFT254" s="219"/>
      <c r="QFU254" s="219"/>
      <c r="QFV254" s="219"/>
      <c r="QFW254" s="219"/>
      <c r="QFX254" s="219"/>
      <c r="QFY254" s="219"/>
      <c r="QFZ254" s="219"/>
      <c r="QGA254" s="219"/>
      <c r="QGB254" s="219"/>
      <c r="QGC254" s="219"/>
      <c r="QGD254" s="219"/>
      <c r="QGE254" s="219"/>
      <c r="QGF254" s="219"/>
      <c r="QGG254" s="219"/>
      <c r="QGH254" s="219"/>
      <c r="QGI254" s="219"/>
      <c r="QGJ254" s="219"/>
      <c r="QGK254" s="219"/>
      <c r="QGL254" s="219"/>
      <c r="QGM254" s="219"/>
      <c r="QGN254" s="219"/>
      <c r="QGO254" s="219"/>
      <c r="QGP254" s="219"/>
      <c r="QGQ254" s="219"/>
      <c r="QGR254" s="219"/>
      <c r="QGS254" s="219"/>
      <c r="QGT254" s="219"/>
      <c r="QGU254" s="219"/>
      <c r="QGV254" s="219"/>
      <c r="QGW254" s="219"/>
      <c r="QGX254" s="219"/>
      <c r="QGY254" s="219"/>
      <c r="QGZ254" s="219"/>
      <c r="QHA254" s="219"/>
      <c r="QHB254" s="219"/>
      <c r="QHC254" s="219"/>
      <c r="QHD254" s="219"/>
      <c r="QHE254" s="219"/>
      <c r="QHF254" s="219"/>
      <c r="QHG254" s="219"/>
      <c r="QHH254" s="219"/>
      <c r="QHI254" s="219"/>
      <c r="QHJ254" s="219"/>
      <c r="QHK254" s="219"/>
      <c r="QHL254" s="219"/>
      <c r="QHM254" s="219"/>
      <c r="QHN254" s="219"/>
      <c r="QHO254" s="219"/>
      <c r="QHP254" s="219"/>
      <c r="QHQ254" s="219"/>
      <c r="QHR254" s="219"/>
      <c r="QHS254" s="219"/>
      <c r="QHT254" s="219"/>
      <c r="QHU254" s="219"/>
      <c r="QHV254" s="219"/>
      <c r="QHW254" s="219"/>
      <c r="QHX254" s="219"/>
      <c r="QHY254" s="219"/>
      <c r="QHZ254" s="219"/>
      <c r="QIA254" s="219"/>
      <c r="QIB254" s="219"/>
      <c r="QIC254" s="219"/>
      <c r="QID254" s="219"/>
      <c r="QIE254" s="219"/>
      <c r="QIF254" s="219"/>
      <c r="QIG254" s="219"/>
      <c r="QIH254" s="219"/>
      <c r="QII254" s="219"/>
      <c r="QIJ254" s="219"/>
      <c r="QIK254" s="219"/>
      <c r="QIL254" s="219"/>
      <c r="QIM254" s="219"/>
      <c r="QIN254" s="219"/>
      <c r="QIO254" s="219"/>
      <c r="QIP254" s="219"/>
      <c r="QIQ254" s="219"/>
      <c r="QIR254" s="219"/>
      <c r="QIS254" s="219"/>
      <c r="QIT254" s="219"/>
      <c r="QIU254" s="219"/>
      <c r="QIV254" s="219"/>
      <c r="QIW254" s="219"/>
      <c r="QIX254" s="219"/>
      <c r="QIY254" s="219"/>
      <c r="QIZ254" s="219"/>
      <c r="QJA254" s="219"/>
      <c r="QJB254" s="219"/>
      <c r="QJC254" s="219"/>
      <c r="QJD254" s="219"/>
      <c r="QJE254" s="219"/>
      <c r="QJF254" s="219"/>
      <c r="QJG254" s="219"/>
      <c r="QJH254" s="219"/>
      <c r="QJI254" s="219"/>
      <c r="QJJ254" s="219"/>
      <c r="QJK254" s="219"/>
      <c r="QJL254" s="219"/>
      <c r="QJM254" s="219"/>
      <c r="QJN254" s="219"/>
      <c r="QJO254" s="219"/>
      <c r="QJP254" s="219"/>
      <c r="QJQ254" s="219"/>
      <c r="QJR254" s="219"/>
      <c r="QJS254" s="219"/>
      <c r="QJT254" s="219"/>
      <c r="QJU254" s="219"/>
      <c r="QJV254" s="219"/>
      <c r="QJW254" s="219"/>
      <c r="QJX254" s="219"/>
      <c r="QJY254" s="219"/>
      <c r="QJZ254" s="219"/>
      <c r="QKA254" s="219"/>
      <c r="QKB254" s="219"/>
      <c r="QKC254" s="219"/>
      <c r="QKD254" s="219"/>
      <c r="QKE254" s="219"/>
      <c r="QKF254" s="219"/>
      <c r="QKG254" s="219"/>
      <c r="QKH254" s="219"/>
      <c r="QKI254" s="219"/>
      <c r="QKJ254" s="219"/>
      <c r="QKK254" s="219"/>
      <c r="QKL254" s="219"/>
      <c r="QKM254" s="219"/>
      <c r="QKN254" s="219"/>
      <c r="QKO254" s="219"/>
      <c r="QKP254" s="219"/>
      <c r="QKQ254" s="219"/>
      <c r="QKR254" s="219"/>
      <c r="QKS254" s="219"/>
      <c r="QKT254" s="219"/>
      <c r="QKU254" s="219"/>
      <c r="QKV254" s="219"/>
      <c r="QKW254" s="219"/>
      <c r="QKX254" s="219"/>
      <c r="QKY254" s="219"/>
      <c r="QKZ254" s="219"/>
      <c r="QLA254" s="219"/>
      <c r="QLB254" s="219"/>
      <c r="QLC254" s="219"/>
      <c r="QLD254" s="219"/>
      <c r="QLE254" s="219"/>
      <c r="QLF254" s="219"/>
      <c r="QLG254" s="219"/>
      <c r="QLH254" s="219"/>
      <c r="QLI254" s="219"/>
      <c r="QLJ254" s="219"/>
      <c r="QLK254" s="219"/>
      <c r="QLL254" s="219"/>
      <c r="QLM254" s="219"/>
      <c r="QLN254" s="219"/>
      <c r="QLO254" s="219"/>
      <c r="QLP254" s="219"/>
      <c r="QLQ254" s="219"/>
      <c r="QLR254" s="219"/>
      <c r="QLS254" s="219"/>
      <c r="QLT254" s="219"/>
      <c r="QLU254" s="219"/>
      <c r="QLV254" s="219"/>
      <c r="QLW254" s="219"/>
      <c r="QLX254" s="219"/>
      <c r="QLY254" s="219"/>
      <c r="QLZ254" s="219"/>
      <c r="QMA254" s="219"/>
      <c r="QMB254" s="219"/>
      <c r="QMC254" s="219"/>
      <c r="QMD254" s="219"/>
      <c r="QME254" s="219"/>
      <c r="QMF254" s="219"/>
      <c r="QMG254" s="219"/>
      <c r="QMH254" s="219"/>
      <c r="QMI254" s="219"/>
      <c r="QMJ254" s="219"/>
      <c r="QMK254" s="219"/>
      <c r="QML254" s="219"/>
      <c r="QMM254" s="219"/>
      <c r="QMN254" s="219"/>
      <c r="QMO254" s="219"/>
      <c r="QMP254" s="219"/>
      <c r="QMQ254" s="219"/>
      <c r="QMR254" s="219"/>
      <c r="QMS254" s="219"/>
      <c r="QMT254" s="219"/>
      <c r="QMU254" s="219"/>
      <c r="QMV254" s="219"/>
      <c r="QMW254" s="219"/>
      <c r="QMX254" s="219"/>
      <c r="QMY254" s="219"/>
      <c r="QMZ254" s="219"/>
      <c r="QNA254" s="219"/>
      <c r="QNB254" s="219"/>
      <c r="QNC254" s="219"/>
      <c r="QND254" s="219"/>
      <c r="QNE254" s="219"/>
      <c r="QNF254" s="219"/>
      <c r="QNG254" s="219"/>
      <c r="QNH254" s="219"/>
      <c r="QNI254" s="219"/>
      <c r="QNJ254" s="219"/>
      <c r="QNK254" s="219"/>
      <c r="QNL254" s="219"/>
      <c r="QNM254" s="219"/>
      <c r="QNN254" s="219"/>
      <c r="QNO254" s="219"/>
      <c r="QNP254" s="219"/>
      <c r="QNQ254" s="219"/>
      <c r="QNR254" s="219"/>
      <c r="QNS254" s="219"/>
      <c r="QNT254" s="219"/>
      <c r="QNU254" s="219"/>
      <c r="QNV254" s="219"/>
      <c r="QNW254" s="219"/>
      <c r="QNX254" s="219"/>
      <c r="QNY254" s="219"/>
      <c r="QNZ254" s="219"/>
      <c r="QOA254" s="219"/>
      <c r="QOB254" s="219"/>
      <c r="QOC254" s="219"/>
      <c r="QOD254" s="219"/>
      <c r="QOE254" s="219"/>
      <c r="QOF254" s="219"/>
      <c r="QOG254" s="219"/>
      <c r="QOH254" s="219"/>
      <c r="QOI254" s="219"/>
      <c r="QOJ254" s="219"/>
      <c r="QOK254" s="219"/>
      <c r="QOL254" s="219"/>
      <c r="QOM254" s="219"/>
      <c r="QON254" s="219"/>
      <c r="QOO254" s="219"/>
      <c r="QOP254" s="219"/>
      <c r="QOQ254" s="219"/>
      <c r="QOR254" s="219"/>
      <c r="QOS254" s="219"/>
      <c r="QOT254" s="219"/>
      <c r="QOU254" s="219"/>
      <c r="QOV254" s="219"/>
      <c r="QOW254" s="219"/>
      <c r="QOX254" s="219"/>
      <c r="QOY254" s="219"/>
      <c r="QOZ254" s="219"/>
      <c r="QPA254" s="219"/>
      <c r="QPB254" s="219"/>
      <c r="QPC254" s="219"/>
      <c r="QPD254" s="219"/>
      <c r="QPE254" s="219"/>
      <c r="QPF254" s="219"/>
      <c r="QPG254" s="219"/>
      <c r="QPH254" s="219"/>
      <c r="QPI254" s="219"/>
      <c r="QPJ254" s="219"/>
      <c r="QPK254" s="219"/>
      <c r="QPL254" s="219"/>
      <c r="QPM254" s="219"/>
      <c r="QPN254" s="219"/>
      <c r="QPO254" s="219"/>
      <c r="QPP254" s="219"/>
      <c r="QPQ254" s="219"/>
      <c r="QPR254" s="219"/>
      <c r="QPS254" s="219"/>
      <c r="QPT254" s="219"/>
      <c r="QPU254" s="219"/>
      <c r="QPV254" s="219"/>
      <c r="QPW254" s="219"/>
      <c r="QPX254" s="219"/>
      <c r="QPY254" s="219"/>
      <c r="QPZ254" s="219"/>
      <c r="QQA254" s="219"/>
      <c r="QQB254" s="219"/>
      <c r="QQC254" s="219"/>
      <c r="QQD254" s="219"/>
      <c r="QQE254" s="219"/>
      <c r="QQF254" s="219"/>
      <c r="QQG254" s="219"/>
      <c r="QQH254" s="219"/>
      <c r="QQI254" s="219"/>
      <c r="QQJ254" s="219"/>
      <c r="QQK254" s="219"/>
      <c r="QQL254" s="219"/>
      <c r="QQM254" s="219"/>
      <c r="QQN254" s="219"/>
      <c r="QQO254" s="219"/>
      <c r="QQP254" s="219"/>
      <c r="QQQ254" s="219"/>
      <c r="QQR254" s="219"/>
      <c r="QQS254" s="219"/>
      <c r="QQT254" s="219"/>
      <c r="QQU254" s="219"/>
      <c r="QQV254" s="219"/>
      <c r="QQW254" s="219"/>
      <c r="QQX254" s="219"/>
      <c r="QQY254" s="219"/>
      <c r="QQZ254" s="219"/>
      <c r="QRA254" s="219"/>
      <c r="QRB254" s="219"/>
      <c r="QRC254" s="219"/>
      <c r="QRD254" s="219"/>
      <c r="QRE254" s="219"/>
      <c r="QRF254" s="219"/>
      <c r="QRG254" s="219"/>
      <c r="QRH254" s="219"/>
      <c r="QRI254" s="219"/>
      <c r="QRJ254" s="219"/>
      <c r="QRK254" s="219"/>
      <c r="QRL254" s="219"/>
      <c r="QRM254" s="219"/>
      <c r="QRN254" s="219"/>
      <c r="QRO254" s="219"/>
      <c r="QRP254" s="219"/>
      <c r="QRQ254" s="219"/>
      <c r="QRR254" s="219"/>
      <c r="QRS254" s="219"/>
      <c r="QRT254" s="219"/>
      <c r="QRU254" s="219"/>
      <c r="QRV254" s="219"/>
      <c r="QRW254" s="219"/>
      <c r="QRX254" s="219"/>
      <c r="QRY254" s="219"/>
      <c r="QRZ254" s="219"/>
      <c r="QSA254" s="219"/>
      <c r="QSB254" s="219"/>
      <c r="QSC254" s="219"/>
      <c r="QSD254" s="219"/>
      <c r="QSE254" s="219"/>
      <c r="QSF254" s="219"/>
      <c r="QSG254" s="219"/>
      <c r="QSH254" s="219"/>
      <c r="QSI254" s="219"/>
      <c r="QSJ254" s="219"/>
      <c r="QSK254" s="219"/>
      <c r="QSL254" s="219"/>
      <c r="QSM254" s="219"/>
      <c r="QSN254" s="219"/>
      <c r="QSO254" s="219"/>
      <c r="QSP254" s="219"/>
      <c r="QSQ254" s="219"/>
      <c r="QSR254" s="219"/>
      <c r="QSS254" s="219"/>
      <c r="QST254" s="219"/>
      <c r="QSU254" s="219"/>
      <c r="QSV254" s="219"/>
      <c r="QSW254" s="219"/>
      <c r="QSX254" s="219"/>
      <c r="QSY254" s="219"/>
      <c r="QSZ254" s="219"/>
      <c r="QTA254" s="219"/>
      <c r="QTB254" s="219"/>
      <c r="QTC254" s="219"/>
      <c r="QTD254" s="219"/>
      <c r="QTE254" s="219"/>
      <c r="QTF254" s="219"/>
      <c r="QTG254" s="219"/>
      <c r="QTH254" s="219"/>
      <c r="QTI254" s="219"/>
      <c r="QTJ254" s="219"/>
      <c r="QTK254" s="219"/>
      <c r="QTL254" s="219"/>
      <c r="QTM254" s="219"/>
      <c r="QTN254" s="219"/>
      <c r="QTO254" s="219"/>
      <c r="QTP254" s="219"/>
      <c r="QTQ254" s="219"/>
      <c r="QTR254" s="219"/>
      <c r="QTS254" s="219"/>
      <c r="QTT254" s="219"/>
      <c r="QTU254" s="219"/>
      <c r="QTV254" s="219"/>
      <c r="QTW254" s="219"/>
      <c r="QTX254" s="219"/>
      <c r="QTY254" s="219"/>
      <c r="QTZ254" s="219"/>
      <c r="QUA254" s="219"/>
      <c r="QUB254" s="219"/>
      <c r="QUC254" s="219"/>
      <c r="QUD254" s="219"/>
      <c r="QUE254" s="219"/>
      <c r="QUF254" s="219"/>
      <c r="QUG254" s="219"/>
      <c r="QUH254" s="219"/>
      <c r="QUI254" s="219"/>
      <c r="QUJ254" s="219"/>
      <c r="QUK254" s="219"/>
      <c r="QUL254" s="219"/>
      <c r="QUM254" s="219"/>
      <c r="QUN254" s="219"/>
      <c r="QUO254" s="219"/>
      <c r="QUP254" s="219"/>
      <c r="QUQ254" s="219"/>
      <c r="QUR254" s="219"/>
      <c r="QUS254" s="219"/>
      <c r="QUT254" s="219"/>
      <c r="QUU254" s="219"/>
      <c r="QUV254" s="219"/>
      <c r="QUW254" s="219"/>
      <c r="QUX254" s="219"/>
      <c r="QUY254" s="219"/>
      <c r="QUZ254" s="219"/>
      <c r="QVA254" s="219"/>
      <c r="QVB254" s="219"/>
      <c r="QVC254" s="219"/>
      <c r="QVD254" s="219"/>
      <c r="QVE254" s="219"/>
      <c r="QVF254" s="219"/>
      <c r="QVG254" s="219"/>
      <c r="QVH254" s="219"/>
      <c r="QVI254" s="219"/>
      <c r="QVJ254" s="219"/>
      <c r="QVK254" s="219"/>
      <c r="QVL254" s="219"/>
      <c r="QVM254" s="219"/>
      <c r="QVN254" s="219"/>
      <c r="QVO254" s="219"/>
      <c r="QVP254" s="219"/>
      <c r="QVQ254" s="219"/>
      <c r="QVR254" s="219"/>
      <c r="QVS254" s="219"/>
      <c r="QVT254" s="219"/>
      <c r="QVU254" s="219"/>
      <c r="QVV254" s="219"/>
      <c r="QVW254" s="219"/>
      <c r="QVX254" s="219"/>
      <c r="QVY254" s="219"/>
      <c r="QVZ254" s="219"/>
      <c r="QWA254" s="219"/>
      <c r="QWB254" s="219"/>
      <c r="QWC254" s="219"/>
      <c r="QWD254" s="219"/>
      <c r="QWE254" s="219"/>
      <c r="QWF254" s="219"/>
      <c r="QWG254" s="219"/>
      <c r="QWH254" s="219"/>
      <c r="QWI254" s="219"/>
      <c r="QWJ254" s="219"/>
      <c r="QWK254" s="219"/>
      <c r="QWL254" s="219"/>
      <c r="QWM254" s="219"/>
      <c r="QWN254" s="219"/>
      <c r="QWO254" s="219"/>
      <c r="QWP254" s="219"/>
      <c r="QWQ254" s="219"/>
      <c r="QWR254" s="219"/>
      <c r="QWS254" s="219"/>
      <c r="QWT254" s="219"/>
      <c r="QWU254" s="219"/>
      <c r="QWV254" s="219"/>
      <c r="QWW254" s="219"/>
      <c r="QWX254" s="219"/>
      <c r="QWY254" s="219"/>
      <c r="QWZ254" s="219"/>
      <c r="QXA254" s="219"/>
      <c r="QXB254" s="219"/>
      <c r="QXC254" s="219"/>
      <c r="QXD254" s="219"/>
      <c r="QXE254" s="219"/>
      <c r="QXF254" s="219"/>
      <c r="QXG254" s="219"/>
      <c r="QXH254" s="219"/>
      <c r="QXI254" s="219"/>
      <c r="QXJ254" s="219"/>
      <c r="QXK254" s="219"/>
      <c r="QXL254" s="219"/>
      <c r="QXM254" s="219"/>
      <c r="QXN254" s="219"/>
      <c r="QXO254" s="219"/>
      <c r="QXP254" s="219"/>
      <c r="QXQ254" s="219"/>
      <c r="QXR254" s="219"/>
      <c r="QXS254" s="219"/>
      <c r="QXT254" s="219"/>
      <c r="QXU254" s="219"/>
      <c r="QXV254" s="219"/>
      <c r="QXW254" s="219"/>
      <c r="QXX254" s="219"/>
      <c r="QXY254" s="219"/>
      <c r="QXZ254" s="219"/>
      <c r="QYA254" s="219"/>
      <c r="QYB254" s="219"/>
      <c r="QYC254" s="219"/>
      <c r="QYD254" s="219"/>
      <c r="QYE254" s="219"/>
      <c r="QYF254" s="219"/>
      <c r="QYG254" s="219"/>
      <c r="QYH254" s="219"/>
      <c r="QYI254" s="219"/>
      <c r="QYJ254" s="219"/>
      <c r="QYK254" s="219"/>
      <c r="QYL254" s="219"/>
      <c r="QYM254" s="219"/>
      <c r="QYN254" s="219"/>
      <c r="QYO254" s="219"/>
      <c r="QYP254" s="219"/>
      <c r="QYQ254" s="219"/>
      <c r="QYR254" s="219"/>
      <c r="QYS254" s="219"/>
      <c r="QYT254" s="219"/>
      <c r="QYU254" s="219"/>
      <c r="QYV254" s="219"/>
      <c r="QYW254" s="219"/>
      <c r="QYX254" s="219"/>
      <c r="QYY254" s="219"/>
      <c r="QYZ254" s="219"/>
      <c r="QZA254" s="219"/>
      <c r="QZB254" s="219"/>
      <c r="QZC254" s="219"/>
      <c r="QZD254" s="219"/>
      <c r="QZE254" s="219"/>
      <c r="QZF254" s="219"/>
      <c r="QZG254" s="219"/>
      <c r="QZH254" s="219"/>
      <c r="QZI254" s="219"/>
      <c r="QZJ254" s="219"/>
      <c r="QZK254" s="219"/>
      <c r="QZL254" s="219"/>
      <c r="QZM254" s="219"/>
      <c r="QZN254" s="219"/>
      <c r="QZO254" s="219"/>
      <c r="QZP254" s="219"/>
      <c r="QZQ254" s="219"/>
      <c r="QZR254" s="219"/>
      <c r="QZS254" s="219"/>
      <c r="QZT254" s="219"/>
      <c r="QZU254" s="219"/>
      <c r="QZV254" s="219"/>
      <c r="QZW254" s="219"/>
      <c r="QZX254" s="219"/>
      <c r="QZY254" s="219"/>
      <c r="QZZ254" s="219"/>
      <c r="RAA254" s="219"/>
      <c r="RAB254" s="219"/>
      <c r="RAC254" s="219"/>
      <c r="RAD254" s="219"/>
      <c r="RAE254" s="219"/>
      <c r="RAF254" s="219"/>
      <c r="RAG254" s="219"/>
      <c r="RAH254" s="219"/>
      <c r="RAI254" s="219"/>
      <c r="RAJ254" s="219"/>
      <c r="RAK254" s="219"/>
      <c r="RAL254" s="219"/>
      <c r="RAM254" s="219"/>
      <c r="RAN254" s="219"/>
      <c r="RAO254" s="219"/>
      <c r="RAP254" s="219"/>
      <c r="RAQ254" s="219"/>
      <c r="RAR254" s="219"/>
      <c r="RAS254" s="219"/>
      <c r="RAT254" s="219"/>
      <c r="RAU254" s="219"/>
      <c r="RAV254" s="219"/>
      <c r="RAW254" s="219"/>
      <c r="RAX254" s="219"/>
      <c r="RAY254" s="219"/>
      <c r="RAZ254" s="219"/>
      <c r="RBA254" s="219"/>
      <c r="RBB254" s="219"/>
      <c r="RBC254" s="219"/>
      <c r="RBD254" s="219"/>
      <c r="RBE254" s="219"/>
      <c r="RBF254" s="219"/>
      <c r="RBG254" s="219"/>
      <c r="RBH254" s="219"/>
      <c r="RBI254" s="219"/>
      <c r="RBJ254" s="219"/>
      <c r="RBK254" s="219"/>
      <c r="RBL254" s="219"/>
      <c r="RBM254" s="219"/>
      <c r="RBN254" s="219"/>
      <c r="RBO254" s="219"/>
      <c r="RBP254" s="219"/>
      <c r="RBQ254" s="219"/>
      <c r="RBR254" s="219"/>
      <c r="RBS254" s="219"/>
      <c r="RBT254" s="219"/>
      <c r="RBU254" s="219"/>
      <c r="RBV254" s="219"/>
      <c r="RBW254" s="219"/>
      <c r="RBX254" s="219"/>
      <c r="RBY254" s="219"/>
      <c r="RBZ254" s="219"/>
      <c r="RCA254" s="219"/>
      <c r="RCB254" s="219"/>
      <c r="RCC254" s="219"/>
      <c r="RCD254" s="219"/>
      <c r="RCE254" s="219"/>
      <c r="RCF254" s="219"/>
      <c r="RCG254" s="219"/>
      <c r="RCH254" s="219"/>
      <c r="RCI254" s="219"/>
      <c r="RCJ254" s="219"/>
      <c r="RCK254" s="219"/>
      <c r="RCL254" s="219"/>
      <c r="RCM254" s="219"/>
      <c r="RCN254" s="219"/>
      <c r="RCO254" s="219"/>
      <c r="RCP254" s="219"/>
      <c r="RCQ254" s="219"/>
      <c r="RCR254" s="219"/>
      <c r="RCS254" s="219"/>
      <c r="RCT254" s="219"/>
      <c r="RCU254" s="219"/>
      <c r="RCV254" s="219"/>
      <c r="RCW254" s="219"/>
      <c r="RCX254" s="219"/>
      <c r="RCY254" s="219"/>
      <c r="RCZ254" s="219"/>
      <c r="RDA254" s="219"/>
      <c r="RDB254" s="219"/>
      <c r="RDC254" s="219"/>
      <c r="RDD254" s="219"/>
      <c r="RDE254" s="219"/>
      <c r="RDF254" s="219"/>
      <c r="RDG254" s="219"/>
      <c r="RDH254" s="219"/>
      <c r="RDI254" s="219"/>
      <c r="RDJ254" s="219"/>
      <c r="RDK254" s="219"/>
      <c r="RDL254" s="219"/>
      <c r="RDM254" s="219"/>
      <c r="RDN254" s="219"/>
      <c r="RDO254" s="219"/>
      <c r="RDP254" s="219"/>
      <c r="RDQ254" s="219"/>
      <c r="RDR254" s="219"/>
      <c r="RDS254" s="219"/>
      <c r="RDT254" s="219"/>
      <c r="RDU254" s="219"/>
      <c r="RDV254" s="219"/>
      <c r="RDW254" s="219"/>
      <c r="RDX254" s="219"/>
      <c r="RDY254" s="219"/>
      <c r="RDZ254" s="219"/>
      <c r="REA254" s="219"/>
      <c r="REB254" s="219"/>
      <c r="REC254" s="219"/>
      <c r="RED254" s="219"/>
      <c r="REE254" s="219"/>
      <c r="REF254" s="219"/>
      <c r="REG254" s="219"/>
      <c r="REH254" s="219"/>
      <c r="REI254" s="219"/>
      <c r="REJ254" s="219"/>
      <c r="REK254" s="219"/>
      <c r="REL254" s="219"/>
      <c r="REM254" s="219"/>
      <c r="REN254" s="219"/>
      <c r="REO254" s="219"/>
      <c r="REP254" s="219"/>
      <c r="REQ254" s="219"/>
      <c r="RER254" s="219"/>
      <c r="RES254" s="219"/>
      <c r="RET254" s="219"/>
      <c r="REU254" s="219"/>
      <c r="REV254" s="219"/>
      <c r="REW254" s="219"/>
      <c r="REX254" s="219"/>
      <c r="REY254" s="219"/>
      <c r="REZ254" s="219"/>
      <c r="RFA254" s="219"/>
      <c r="RFB254" s="219"/>
      <c r="RFC254" s="219"/>
      <c r="RFD254" s="219"/>
      <c r="RFE254" s="219"/>
      <c r="RFF254" s="219"/>
      <c r="RFG254" s="219"/>
      <c r="RFH254" s="219"/>
      <c r="RFI254" s="219"/>
      <c r="RFJ254" s="219"/>
      <c r="RFK254" s="219"/>
      <c r="RFL254" s="219"/>
      <c r="RFM254" s="219"/>
      <c r="RFN254" s="219"/>
      <c r="RFO254" s="219"/>
      <c r="RFP254" s="219"/>
      <c r="RFQ254" s="219"/>
      <c r="RFR254" s="219"/>
      <c r="RFS254" s="219"/>
      <c r="RFT254" s="219"/>
      <c r="RFU254" s="219"/>
      <c r="RFV254" s="219"/>
      <c r="RFW254" s="219"/>
      <c r="RFX254" s="219"/>
      <c r="RFY254" s="219"/>
      <c r="RFZ254" s="219"/>
      <c r="RGA254" s="219"/>
      <c r="RGB254" s="219"/>
      <c r="RGC254" s="219"/>
      <c r="RGD254" s="219"/>
      <c r="RGE254" s="219"/>
      <c r="RGF254" s="219"/>
      <c r="RGG254" s="219"/>
      <c r="RGH254" s="219"/>
      <c r="RGI254" s="219"/>
      <c r="RGJ254" s="219"/>
      <c r="RGK254" s="219"/>
      <c r="RGL254" s="219"/>
      <c r="RGM254" s="219"/>
      <c r="RGN254" s="219"/>
      <c r="RGO254" s="219"/>
      <c r="RGP254" s="219"/>
      <c r="RGQ254" s="219"/>
      <c r="RGR254" s="219"/>
      <c r="RGS254" s="219"/>
      <c r="RGT254" s="219"/>
      <c r="RGU254" s="219"/>
      <c r="RGV254" s="219"/>
      <c r="RGW254" s="219"/>
      <c r="RGX254" s="219"/>
      <c r="RGY254" s="219"/>
      <c r="RGZ254" s="219"/>
      <c r="RHA254" s="219"/>
      <c r="RHB254" s="219"/>
      <c r="RHC254" s="219"/>
      <c r="RHD254" s="219"/>
      <c r="RHE254" s="219"/>
      <c r="RHF254" s="219"/>
      <c r="RHG254" s="219"/>
      <c r="RHH254" s="219"/>
      <c r="RHI254" s="219"/>
      <c r="RHJ254" s="219"/>
      <c r="RHK254" s="219"/>
      <c r="RHL254" s="219"/>
      <c r="RHM254" s="219"/>
      <c r="RHN254" s="219"/>
      <c r="RHO254" s="219"/>
      <c r="RHP254" s="219"/>
      <c r="RHQ254" s="219"/>
      <c r="RHR254" s="219"/>
      <c r="RHS254" s="219"/>
      <c r="RHT254" s="219"/>
      <c r="RHU254" s="219"/>
      <c r="RHV254" s="219"/>
      <c r="RHW254" s="219"/>
      <c r="RHX254" s="219"/>
      <c r="RHY254" s="219"/>
      <c r="RHZ254" s="219"/>
      <c r="RIA254" s="219"/>
      <c r="RIB254" s="219"/>
      <c r="RIC254" s="219"/>
      <c r="RID254" s="219"/>
      <c r="RIE254" s="219"/>
      <c r="RIF254" s="219"/>
      <c r="RIG254" s="219"/>
      <c r="RIH254" s="219"/>
      <c r="RII254" s="219"/>
      <c r="RIJ254" s="219"/>
      <c r="RIK254" s="219"/>
      <c r="RIL254" s="219"/>
      <c r="RIM254" s="219"/>
      <c r="RIN254" s="219"/>
      <c r="RIO254" s="219"/>
      <c r="RIP254" s="219"/>
      <c r="RIQ254" s="219"/>
      <c r="RIR254" s="219"/>
      <c r="RIS254" s="219"/>
      <c r="RIT254" s="219"/>
      <c r="RIU254" s="219"/>
      <c r="RIV254" s="219"/>
      <c r="RIW254" s="219"/>
      <c r="RIX254" s="219"/>
      <c r="RIY254" s="219"/>
      <c r="RIZ254" s="219"/>
      <c r="RJA254" s="219"/>
      <c r="RJB254" s="219"/>
      <c r="RJC254" s="219"/>
      <c r="RJD254" s="219"/>
      <c r="RJE254" s="219"/>
      <c r="RJF254" s="219"/>
      <c r="RJG254" s="219"/>
      <c r="RJH254" s="219"/>
      <c r="RJI254" s="219"/>
      <c r="RJJ254" s="219"/>
      <c r="RJK254" s="219"/>
      <c r="RJL254" s="219"/>
      <c r="RJM254" s="219"/>
      <c r="RJN254" s="219"/>
      <c r="RJO254" s="219"/>
      <c r="RJP254" s="219"/>
      <c r="RJQ254" s="219"/>
      <c r="RJR254" s="219"/>
      <c r="RJS254" s="219"/>
      <c r="RJT254" s="219"/>
      <c r="RJU254" s="219"/>
      <c r="RJV254" s="219"/>
      <c r="RJW254" s="219"/>
      <c r="RJX254" s="219"/>
      <c r="RJY254" s="219"/>
      <c r="RJZ254" s="219"/>
      <c r="RKA254" s="219"/>
      <c r="RKB254" s="219"/>
      <c r="RKC254" s="219"/>
      <c r="RKD254" s="219"/>
      <c r="RKE254" s="219"/>
      <c r="RKF254" s="219"/>
      <c r="RKG254" s="219"/>
      <c r="RKH254" s="219"/>
      <c r="RKI254" s="219"/>
      <c r="RKJ254" s="219"/>
      <c r="RKK254" s="219"/>
      <c r="RKL254" s="219"/>
      <c r="RKM254" s="219"/>
      <c r="RKN254" s="219"/>
      <c r="RKO254" s="219"/>
      <c r="RKP254" s="219"/>
      <c r="RKQ254" s="219"/>
      <c r="RKR254" s="219"/>
      <c r="RKS254" s="219"/>
      <c r="RKT254" s="219"/>
      <c r="RKU254" s="219"/>
      <c r="RKV254" s="219"/>
      <c r="RKW254" s="219"/>
      <c r="RKX254" s="219"/>
      <c r="RKY254" s="219"/>
      <c r="RKZ254" s="219"/>
      <c r="RLA254" s="219"/>
      <c r="RLB254" s="219"/>
      <c r="RLC254" s="219"/>
      <c r="RLD254" s="219"/>
      <c r="RLE254" s="219"/>
      <c r="RLF254" s="219"/>
      <c r="RLG254" s="219"/>
      <c r="RLH254" s="219"/>
      <c r="RLI254" s="219"/>
      <c r="RLJ254" s="219"/>
      <c r="RLK254" s="219"/>
      <c r="RLL254" s="219"/>
      <c r="RLM254" s="219"/>
      <c r="RLN254" s="219"/>
      <c r="RLO254" s="219"/>
      <c r="RLP254" s="219"/>
      <c r="RLQ254" s="219"/>
      <c r="RLR254" s="219"/>
      <c r="RLS254" s="219"/>
      <c r="RLT254" s="219"/>
      <c r="RLU254" s="219"/>
      <c r="RLV254" s="219"/>
      <c r="RLW254" s="219"/>
      <c r="RLX254" s="219"/>
      <c r="RLY254" s="219"/>
      <c r="RLZ254" s="219"/>
      <c r="RMA254" s="219"/>
      <c r="RMB254" s="219"/>
      <c r="RMC254" s="219"/>
      <c r="RMD254" s="219"/>
      <c r="RME254" s="219"/>
      <c r="RMF254" s="219"/>
      <c r="RMG254" s="219"/>
      <c r="RMH254" s="219"/>
      <c r="RMI254" s="219"/>
      <c r="RMJ254" s="219"/>
      <c r="RMK254" s="219"/>
      <c r="RML254" s="219"/>
      <c r="RMM254" s="219"/>
      <c r="RMN254" s="219"/>
      <c r="RMO254" s="219"/>
      <c r="RMP254" s="219"/>
      <c r="RMQ254" s="219"/>
      <c r="RMR254" s="219"/>
      <c r="RMS254" s="219"/>
      <c r="RMT254" s="219"/>
      <c r="RMU254" s="219"/>
      <c r="RMV254" s="219"/>
      <c r="RMW254" s="219"/>
      <c r="RMX254" s="219"/>
      <c r="RMY254" s="219"/>
      <c r="RMZ254" s="219"/>
      <c r="RNA254" s="219"/>
      <c r="RNB254" s="219"/>
      <c r="RNC254" s="219"/>
      <c r="RND254" s="219"/>
      <c r="RNE254" s="219"/>
      <c r="RNF254" s="219"/>
      <c r="RNG254" s="219"/>
      <c r="RNH254" s="219"/>
      <c r="RNI254" s="219"/>
      <c r="RNJ254" s="219"/>
      <c r="RNK254" s="219"/>
      <c r="RNL254" s="219"/>
      <c r="RNM254" s="219"/>
      <c r="RNN254" s="219"/>
      <c r="RNO254" s="219"/>
      <c r="RNP254" s="219"/>
      <c r="RNQ254" s="219"/>
      <c r="RNR254" s="219"/>
      <c r="RNS254" s="219"/>
      <c r="RNT254" s="219"/>
      <c r="RNU254" s="219"/>
      <c r="RNV254" s="219"/>
      <c r="RNW254" s="219"/>
      <c r="RNX254" s="219"/>
      <c r="RNY254" s="219"/>
      <c r="RNZ254" s="219"/>
      <c r="ROA254" s="219"/>
      <c r="ROB254" s="219"/>
      <c r="ROC254" s="219"/>
      <c r="ROD254" s="219"/>
      <c r="ROE254" s="219"/>
      <c r="ROF254" s="219"/>
      <c r="ROG254" s="219"/>
      <c r="ROH254" s="219"/>
      <c r="ROI254" s="219"/>
      <c r="ROJ254" s="219"/>
      <c r="ROK254" s="219"/>
      <c r="ROL254" s="219"/>
      <c r="ROM254" s="219"/>
      <c r="RON254" s="219"/>
      <c r="ROO254" s="219"/>
      <c r="ROP254" s="219"/>
      <c r="ROQ254" s="219"/>
      <c r="ROR254" s="219"/>
      <c r="ROS254" s="219"/>
      <c r="ROT254" s="219"/>
      <c r="ROU254" s="219"/>
      <c r="ROV254" s="219"/>
      <c r="ROW254" s="219"/>
      <c r="ROX254" s="219"/>
      <c r="ROY254" s="219"/>
      <c r="ROZ254" s="219"/>
      <c r="RPA254" s="219"/>
      <c r="RPB254" s="219"/>
      <c r="RPC254" s="219"/>
      <c r="RPD254" s="219"/>
      <c r="RPE254" s="219"/>
      <c r="RPF254" s="219"/>
      <c r="RPG254" s="219"/>
      <c r="RPH254" s="219"/>
      <c r="RPI254" s="219"/>
      <c r="RPJ254" s="219"/>
      <c r="RPK254" s="219"/>
      <c r="RPL254" s="219"/>
      <c r="RPM254" s="219"/>
      <c r="RPN254" s="219"/>
      <c r="RPO254" s="219"/>
      <c r="RPP254" s="219"/>
      <c r="RPQ254" s="219"/>
      <c r="RPR254" s="219"/>
      <c r="RPS254" s="219"/>
      <c r="RPT254" s="219"/>
      <c r="RPU254" s="219"/>
      <c r="RPV254" s="219"/>
      <c r="RPW254" s="219"/>
      <c r="RPX254" s="219"/>
      <c r="RPY254" s="219"/>
      <c r="RPZ254" s="219"/>
      <c r="RQA254" s="219"/>
      <c r="RQB254" s="219"/>
      <c r="RQC254" s="219"/>
      <c r="RQD254" s="219"/>
      <c r="RQE254" s="219"/>
      <c r="RQF254" s="219"/>
      <c r="RQG254" s="219"/>
      <c r="RQH254" s="219"/>
      <c r="RQI254" s="219"/>
      <c r="RQJ254" s="219"/>
      <c r="RQK254" s="219"/>
      <c r="RQL254" s="219"/>
      <c r="RQM254" s="219"/>
      <c r="RQN254" s="219"/>
      <c r="RQO254" s="219"/>
      <c r="RQP254" s="219"/>
      <c r="RQQ254" s="219"/>
      <c r="RQR254" s="219"/>
      <c r="RQS254" s="219"/>
      <c r="RQT254" s="219"/>
      <c r="RQU254" s="219"/>
      <c r="RQV254" s="219"/>
      <c r="RQW254" s="219"/>
      <c r="RQX254" s="219"/>
      <c r="RQY254" s="219"/>
      <c r="RQZ254" s="219"/>
      <c r="RRA254" s="219"/>
      <c r="RRB254" s="219"/>
      <c r="RRC254" s="219"/>
      <c r="RRD254" s="219"/>
      <c r="RRE254" s="219"/>
      <c r="RRF254" s="219"/>
      <c r="RRG254" s="219"/>
      <c r="RRH254" s="219"/>
      <c r="RRI254" s="219"/>
      <c r="RRJ254" s="219"/>
      <c r="RRK254" s="219"/>
      <c r="RRL254" s="219"/>
      <c r="RRM254" s="219"/>
      <c r="RRN254" s="219"/>
      <c r="RRO254" s="219"/>
      <c r="RRP254" s="219"/>
      <c r="RRQ254" s="219"/>
      <c r="RRR254" s="219"/>
      <c r="RRS254" s="219"/>
      <c r="RRT254" s="219"/>
      <c r="RRU254" s="219"/>
      <c r="RRV254" s="219"/>
      <c r="RRW254" s="219"/>
      <c r="RRX254" s="219"/>
      <c r="RRY254" s="219"/>
      <c r="RRZ254" s="219"/>
      <c r="RSA254" s="219"/>
      <c r="RSB254" s="219"/>
      <c r="RSC254" s="219"/>
      <c r="RSD254" s="219"/>
      <c r="RSE254" s="219"/>
      <c r="RSF254" s="219"/>
      <c r="RSG254" s="219"/>
      <c r="RSH254" s="219"/>
      <c r="RSI254" s="219"/>
      <c r="RSJ254" s="219"/>
      <c r="RSK254" s="219"/>
      <c r="RSL254" s="219"/>
      <c r="RSM254" s="219"/>
      <c r="RSN254" s="219"/>
      <c r="RSO254" s="219"/>
      <c r="RSP254" s="219"/>
      <c r="RSQ254" s="219"/>
      <c r="RSR254" s="219"/>
      <c r="RSS254" s="219"/>
      <c r="RST254" s="219"/>
      <c r="RSU254" s="219"/>
      <c r="RSV254" s="219"/>
      <c r="RSW254" s="219"/>
      <c r="RSX254" s="219"/>
      <c r="RSY254" s="219"/>
      <c r="RSZ254" s="219"/>
      <c r="RTA254" s="219"/>
      <c r="RTB254" s="219"/>
      <c r="RTC254" s="219"/>
      <c r="RTD254" s="219"/>
      <c r="RTE254" s="219"/>
      <c r="RTF254" s="219"/>
      <c r="RTG254" s="219"/>
      <c r="RTH254" s="219"/>
      <c r="RTI254" s="219"/>
      <c r="RTJ254" s="219"/>
      <c r="RTK254" s="219"/>
      <c r="RTL254" s="219"/>
      <c r="RTM254" s="219"/>
      <c r="RTN254" s="219"/>
      <c r="RTO254" s="219"/>
      <c r="RTP254" s="219"/>
      <c r="RTQ254" s="219"/>
      <c r="RTR254" s="219"/>
      <c r="RTS254" s="219"/>
      <c r="RTT254" s="219"/>
      <c r="RTU254" s="219"/>
      <c r="RTV254" s="219"/>
      <c r="RTW254" s="219"/>
      <c r="RTX254" s="219"/>
      <c r="RTY254" s="219"/>
      <c r="RTZ254" s="219"/>
      <c r="RUA254" s="219"/>
      <c r="RUB254" s="219"/>
      <c r="RUC254" s="219"/>
      <c r="RUD254" s="219"/>
      <c r="RUE254" s="219"/>
      <c r="RUF254" s="219"/>
      <c r="RUG254" s="219"/>
      <c r="RUH254" s="219"/>
      <c r="RUI254" s="219"/>
      <c r="RUJ254" s="219"/>
      <c r="RUK254" s="219"/>
      <c r="RUL254" s="219"/>
      <c r="RUM254" s="219"/>
      <c r="RUN254" s="219"/>
      <c r="RUO254" s="219"/>
      <c r="RUP254" s="219"/>
      <c r="RUQ254" s="219"/>
      <c r="RUR254" s="219"/>
      <c r="RUS254" s="219"/>
      <c r="RUT254" s="219"/>
      <c r="RUU254" s="219"/>
      <c r="RUV254" s="219"/>
      <c r="RUW254" s="219"/>
      <c r="RUX254" s="219"/>
      <c r="RUY254" s="219"/>
      <c r="RUZ254" s="219"/>
      <c r="RVA254" s="219"/>
      <c r="RVB254" s="219"/>
      <c r="RVC254" s="219"/>
      <c r="RVD254" s="219"/>
      <c r="RVE254" s="219"/>
      <c r="RVF254" s="219"/>
      <c r="RVG254" s="219"/>
      <c r="RVH254" s="219"/>
      <c r="RVI254" s="219"/>
      <c r="RVJ254" s="219"/>
      <c r="RVK254" s="219"/>
      <c r="RVL254" s="219"/>
      <c r="RVM254" s="219"/>
      <c r="RVN254" s="219"/>
      <c r="RVO254" s="219"/>
      <c r="RVP254" s="219"/>
      <c r="RVQ254" s="219"/>
      <c r="RVR254" s="219"/>
      <c r="RVS254" s="219"/>
      <c r="RVT254" s="219"/>
      <c r="RVU254" s="219"/>
      <c r="RVV254" s="219"/>
      <c r="RVW254" s="219"/>
      <c r="RVX254" s="219"/>
      <c r="RVY254" s="219"/>
      <c r="RVZ254" s="219"/>
      <c r="RWA254" s="219"/>
      <c r="RWB254" s="219"/>
      <c r="RWC254" s="219"/>
      <c r="RWD254" s="219"/>
      <c r="RWE254" s="219"/>
      <c r="RWF254" s="219"/>
      <c r="RWG254" s="219"/>
      <c r="RWH254" s="219"/>
      <c r="RWI254" s="219"/>
      <c r="RWJ254" s="219"/>
      <c r="RWK254" s="219"/>
      <c r="RWL254" s="219"/>
      <c r="RWM254" s="219"/>
      <c r="RWN254" s="219"/>
      <c r="RWO254" s="219"/>
      <c r="RWP254" s="219"/>
      <c r="RWQ254" s="219"/>
      <c r="RWR254" s="219"/>
      <c r="RWS254" s="219"/>
      <c r="RWT254" s="219"/>
      <c r="RWU254" s="219"/>
      <c r="RWV254" s="219"/>
      <c r="RWW254" s="219"/>
      <c r="RWX254" s="219"/>
      <c r="RWY254" s="219"/>
      <c r="RWZ254" s="219"/>
      <c r="RXA254" s="219"/>
      <c r="RXB254" s="219"/>
      <c r="RXC254" s="219"/>
      <c r="RXD254" s="219"/>
      <c r="RXE254" s="219"/>
      <c r="RXF254" s="219"/>
      <c r="RXG254" s="219"/>
      <c r="RXH254" s="219"/>
      <c r="RXI254" s="219"/>
      <c r="RXJ254" s="219"/>
      <c r="RXK254" s="219"/>
      <c r="RXL254" s="219"/>
      <c r="RXM254" s="219"/>
      <c r="RXN254" s="219"/>
      <c r="RXO254" s="219"/>
      <c r="RXP254" s="219"/>
      <c r="RXQ254" s="219"/>
      <c r="RXR254" s="219"/>
      <c r="RXS254" s="219"/>
      <c r="RXT254" s="219"/>
      <c r="RXU254" s="219"/>
      <c r="RXV254" s="219"/>
      <c r="RXW254" s="219"/>
      <c r="RXX254" s="219"/>
      <c r="RXY254" s="219"/>
      <c r="RXZ254" s="219"/>
      <c r="RYA254" s="219"/>
      <c r="RYB254" s="219"/>
      <c r="RYC254" s="219"/>
      <c r="RYD254" s="219"/>
      <c r="RYE254" s="219"/>
      <c r="RYF254" s="219"/>
      <c r="RYG254" s="219"/>
      <c r="RYH254" s="219"/>
      <c r="RYI254" s="219"/>
      <c r="RYJ254" s="219"/>
      <c r="RYK254" s="219"/>
      <c r="RYL254" s="219"/>
      <c r="RYM254" s="219"/>
      <c r="RYN254" s="219"/>
      <c r="RYO254" s="219"/>
      <c r="RYP254" s="219"/>
      <c r="RYQ254" s="219"/>
      <c r="RYR254" s="219"/>
      <c r="RYS254" s="219"/>
      <c r="RYT254" s="219"/>
      <c r="RYU254" s="219"/>
      <c r="RYV254" s="219"/>
      <c r="RYW254" s="219"/>
      <c r="RYX254" s="219"/>
      <c r="RYY254" s="219"/>
      <c r="RYZ254" s="219"/>
      <c r="RZA254" s="219"/>
      <c r="RZB254" s="219"/>
      <c r="RZC254" s="219"/>
      <c r="RZD254" s="219"/>
      <c r="RZE254" s="219"/>
      <c r="RZF254" s="219"/>
      <c r="RZG254" s="219"/>
      <c r="RZH254" s="219"/>
      <c r="RZI254" s="219"/>
      <c r="RZJ254" s="219"/>
      <c r="RZK254" s="219"/>
      <c r="RZL254" s="219"/>
      <c r="RZM254" s="219"/>
      <c r="RZN254" s="219"/>
      <c r="RZO254" s="219"/>
      <c r="RZP254" s="219"/>
      <c r="RZQ254" s="219"/>
      <c r="RZR254" s="219"/>
      <c r="RZS254" s="219"/>
      <c r="RZT254" s="219"/>
      <c r="RZU254" s="219"/>
      <c r="RZV254" s="219"/>
      <c r="RZW254" s="219"/>
      <c r="RZX254" s="219"/>
      <c r="RZY254" s="219"/>
      <c r="RZZ254" s="219"/>
      <c r="SAA254" s="219"/>
      <c r="SAB254" s="219"/>
      <c r="SAC254" s="219"/>
      <c r="SAD254" s="219"/>
      <c r="SAE254" s="219"/>
      <c r="SAF254" s="219"/>
      <c r="SAG254" s="219"/>
      <c r="SAH254" s="219"/>
      <c r="SAI254" s="219"/>
      <c r="SAJ254" s="219"/>
      <c r="SAK254" s="219"/>
      <c r="SAL254" s="219"/>
      <c r="SAM254" s="219"/>
      <c r="SAN254" s="219"/>
      <c r="SAO254" s="219"/>
      <c r="SAP254" s="219"/>
      <c r="SAQ254" s="219"/>
      <c r="SAR254" s="219"/>
      <c r="SAS254" s="219"/>
      <c r="SAT254" s="219"/>
      <c r="SAU254" s="219"/>
      <c r="SAV254" s="219"/>
      <c r="SAW254" s="219"/>
      <c r="SAX254" s="219"/>
      <c r="SAY254" s="219"/>
      <c r="SAZ254" s="219"/>
      <c r="SBA254" s="219"/>
      <c r="SBB254" s="219"/>
      <c r="SBC254" s="219"/>
      <c r="SBD254" s="219"/>
      <c r="SBE254" s="219"/>
      <c r="SBF254" s="219"/>
      <c r="SBG254" s="219"/>
      <c r="SBH254" s="219"/>
      <c r="SBI254" s="219"/>
      <c r="SBJ254" s="219"/>
      <c r="SBK254" s="219"/>
      <c r="SBL254" s="219"/>
      <c r="SBM254" s="219"/>
      <c r="SBN254" s="219"/>
      <c r="SBO254" s="219"/>
      <c r="SBP254" s="219"/>
      <c r="SBQ254" s="219"/>
      <c r="SBR254" s="219"/>
      <c r="SBS254" s="219"/>
      <c r="SBT254" s="219"/>
      <c r="SBU254" s="219"/>
      <c r="SBV254" s="219"/>
      <c r="SBW254" s="219"/>
      <c r="SBX254" s="219"/>
      <c r="SBY254" s="219"/>
      <c r="SBZ254" s="219"/>
      <c r="SCA254" s="219"/>
      <c r="SCB254" s="219"/>
      <c r="SCC254" s="219"/>
      <c r="SCD254" s="219"/>
      <c r="SCE254" s="219"/>
      <c r="SCF254" s="219"/>
      <c r="SCG254" s="219"/>
      <c r="SCH254" s="219"/>
      <c r="SCI254" s="219"/>
      <c r="SCJ254" s="219"/>
      <c r="SCK254" s="219"/>
      <c r="SCL254" s="219"/>
      <c r="SCM254" s="219"/>
      <c r="SCN254" s="219"/>
      <c r="SCO254" s="219"/>
      <c r="SCP254" s="219"/>
      <c r="SCQ254" s="219"/>
      <c r="SCR254" s="219"/>
      <c r="SCS254" s="219"/>
      <c r="SCT254" s="219"/>
      <c r="SCU254" s="219"/>
      <c r="SCV254" s="219"/>
      <c r="SCW254" s="219"/>
      <c r="SCX254" s="219"/>
      <c r="SCY254" s="219"/>
      <c r="SCZ254" s="219"/>
      <c r="SDA254" s="219"/>
      <c r="SDB254" s="219"/>
      <c r="SDC254" s="219"/>
      <c r="SDD254" s="219"/>
      <c r="SDE254" s="219"/>
      <c r="SDF254" s="219"/>
      <c r="SDG254" s="219"/>
      <c r="SDH254" s="219"/>
      <c r="SDI254" s="219"/>
      <c r="SDJ254" s="219"/>
      <c r="SDK254" s="219"/>
      <c r="SDL254" s="219"/>
      <c r="SDM254" s="219"/>
      <c r="SDN254" s="219"/>
      <c r="SDO254" s="219"/>
      <c r="SDP254" s="219"/>
      <c r="SDQ254" s="219"/>
      <c r="SDR254" s="219"/>
      <c r="SDS254" s="219"/>
      <c r="SDT254" s="219"/>
      <c r="SDU254" s="219"/>
      <c r="SDV254" s="219"/>
      <c r="SDW254" s="219"/>
      <c r="SDX254" s="219"/>
      <c r="SDY254" s="219"/>
      <c r="SDZ254" s="219"/>
      <c r="SEA254" s="219"/>
      <c r="SEB254" s="219"/>
      <c r="SEC254" s="219"/>
      <c r="SED254" s="219"/>
      <c r="SEE254" s="219"/>
      <c r="SEF254" s="219"/>
      <c r="SEG254" s="219"/>
      <c r="SEH254" s="219"/>
      <c r="SEI254" s="219"/>
      <c r="SEJ254" s="219"/>
      <c r="SEK254" s="219"/>
      <c r="SEL254" s="219"/>
      <c r="SEM254" s="219"/>
      <c r="SEN254" s="219"/>
      <c r="SEO254" s="219"/>
      <c r="SEP254" s="219"/>
      <c r="SEQ254" s="219"/>
      <c r="SER254" s="219"/>
      <c r="SES254" s="219"/>
      <c r="SET254" s="219"/>
      <c r="SEU254" s="219"/>
      <c r="SEV254" s="219"/>
      <c r="SEW254" s="219"/>
      <c r="SEX254" s="219"/>
      <c r="SEY254" s="219"/>
      <c r="SEZ254" s="219"/>
      <c r="SFA254" s="219"/>
      <c r="SFB254" s="219"/>
      <c r="SFC254" s="219"/>
      <c r="SFD254" s="219"/>
      <c r="SFE254" s="219"/>
      <c r="SFF254" s="219"/>
      <c r="SFG254" s="219"/>
      <c r="SFH254" s="219"/>
      <c r="SFI254" s="219"/>
      <c r="SFJ254" s="219"/>
      <c r="SFK254" s="219"/>
      <c r="SFL254" s="219"/>
      <c r="SFM254" s="219"/>
      <c r="SFN254" s="219"/>
      <c r="SFO254" s="219"/>
      <c r="SFP254" s="219"/>
      <c r="SFQ254" s="219"/>
      <c r="SFR254" s="219"/>
      <c r="SFS254" s="219"/>
      <c r="SFT254" s="219"/>
      <c r="SFU254" s="219"/>
      <c r="SFV254" s="219"/>
      <c r="SFW254" s="219"/>
      <c r="SFX254" s="219"/>
      <c r="SFY254" s="219"/>
      <c r="SFZ254" s="219"/>
      <c r="SGA254" s="219"/>
      <c r="SGB254" s="219"/>
      <c r="SGC254" s="219"/>
      <c r="SGD254" s="219"/>
      <c r="SGE254" s="219"/>
      <c r="SGF254" s="219"/>
      <c r="SGG254" s="219"/>
      <c r="SGH254" s="219"/>
      <c r="SGI254" s="219"/>
      <c r="SGJ254" s="219"/>
      <c r="SGK254" s="219"/>
      <c r="SGL254" s="219"/>
      <c r="SGM254" s="219"/>
      <c r="SGN254" s="219"/>
      <c r="SGO254" s="219"/>
      <c r="SGP254" s="219"/>
      <c r="SGQ254" s="219"/>
      <c r="SGR254" s="219"/>
      <c r="SGS254" s="219"/>
      <c r="SGT254" s="219"/>
      <c r="SGU254" s="219"/>
      <c r="SGV254" s="219"/>
      <c r="SGW254" s="219"/>
      <c r="SGX254" s="219"/>
      <c r="SGY254" s="219"/>
      <c r="SGZ254" s="219"/>
      <c r="SHA254" s="219"/>
      <c r="SHB254" s="219"/>
      <c r="SHC254" s="219"/>
      <c r="SHD254" s="219"/>
      <c r="SHE254" s="219"/>
      <c r="SHF254" s="219"/>
      <c r="SHG254" s="219"/>
      <c r="SHH254" s="219"/>
      <c r="SHI254" s="219"/>
      <c r="SHJ254" s="219"/>
      <c r="SHK254" s="219"/>
      <c r="SHL254" s="219"/>
      <c r="SHM254" s="219"/>
      <c r="SHN254" s="219"/>
      <c r="SHO254" s="219"/>
      <c r="SHP254" s="219"/>
      <c r="SHQ254" s="219"/>
      <c r="SHR254" s="219"/>
      <c r="SHS254" s="219"/>
      <c r="SHT254" s="219"/>
      <c r="SHU254" s="219"/>
      <c r="SHV254" s="219"/>
      <c r="SHW254" s="219"/>
      <c r="SHX254" s="219"/>
      <c r="SHY254" s="219"/>
      <c r="SHZ254" s="219"/>
      <c r="SIA254" s="219"/>
      <c r="SIB254" s="219"/>
      <c r="SIC254" s="219"/>
      <c r="SID254" s="219"/>
      <c r="SIE254" s="219"/>
      <c r="SIF254" s="219"/>
      <c r="SIG254" s="219"/>
      <c r="SIH254" s="219"/>
      <c r="SII254" s="219"/>
      <c r="SIJ254" s="219"/>
      <c r="SIK254" s="219"/>
      <c r="SIL254" s="219"/>
      <c r="SIM254" s="219"/>
      <c r="SIN254" s="219"/>
      <c r="SIO254" s="219"/>
      <c r="SIP254" s="219"/>
      <c r="SIQ254" s="219"/>
      <c r="SIR254" s="219"/>
      <c r="SIS254" s="219"/>
      <c r="SIT254" s="219"/>
      <c r="SIU254" s="219"/>
      <c r="SIV254" s="219"/>
      <c r="SIW254" s="219"/>
      <c r="SIX254" s="219"/>
      <c r="SIY254" s="219"/>
      <c r="SIZ254" s="219"/>
      <c r="SJA254" s="219"/>
      <c r="SJB254" s="219"/>
      <c r="SJC254" s="219"/>
      <c r="SJD254" s="219"/>
      <c r="SJE254" s="219"/>
      <c r="SJF254" s="219"/>
      <c r="SJG254" s="219"/>
      <c r="SJH254" s="219"/>
      <c r="SJI254" s="219"/>
      <c r="SJJ254" s="219"/>
      <c r="SJK254" s="219"/>
      <c r="SJL254" s="219"/>
      <c r="SJM254" s="219"/>
      <c r="SJN254" s="219"/>
      <c r="SJO254" s="219"/>
      <c r="SJP254" s="219"/>
      <c r="SJQ254" s="219"/>
      <c r="SJR254" s="219"/>
      <c r="SJS254" s="219"/>
      <c r="SJT254" s="219"/>
      <c r="SJU254" s="219"/>
      <c r="SJV254" s="219"/>
      <c r="SJW254" s="219"/>
      <c r="SJX254" s="219"/>
      <c r="SJY254" s="219"/>
      <c r="SJZ254" s="219"/>
      <c r="SKA254" s="219"/>
      <c r="SKB254" s="219"/>
      <c r="SKC254" s="219"/>
      <c r="SKD254" s="219"/>
      <c r="SKE254" s="219"/>
      <c r="SKF254" s="219"/>
      <c r="SKG254" s="219"/>
      <c r="SKH254" s="219"/>
      <c r="SKI254" s="219"/>
      <c r="SKJ254" s="219"/>
      <c r="SKK254" s="219"/>
      <c r="SKL254" s="219"/>
      <c r="SKM254" s="219"/>
      <c r="SKN254" s="219"/>
      <c r="SKO254" s="219"/>
      <c r="SKP254" s="219"/>
      <c r="SKQ254" s="219"/>
      <c r="SKR254" s="219"/>
      <c r="SKS254" s="219"/>
      <c r="SKT254" s="219"/>
      <c r="SKU254" s="219"/>
      <c r="SKV254" s="219"/>
      <c r="SKW254" s="219"/>
      <c r="SKX254" s="219"/>
      <c r="SKY254" s="219"/>
      <c r="SKZ254" s="219"/>
      <c r="SLA254" s="219"/>
      <c r="SLB254" s="219"/>
      <c r="SLC254" s="219"/>
      <c r="SLD254" s="219"/>
      <c r="SLE254" s="219"/>
      <c r="SLF254" s="219"/>
      <c r="SLG254" s="219"/>
      <c r="SLH254" s="219"/>
      <c r="SLI254" s="219"/>
      <c r="SLJ254" s="219"/>
      <c r="SLK254" s="219"/>
      <c r="SLL254" s="219"/>
      <c r="SLM254" s="219"/>
      <c r="SLN254" s="219"/>
      <c r="SLO254" s="219"/>
      <c r="SLP254" s="219"/>
      <c r="SLQ254" s="219"/>
      <c r="SLR254" s="219"/>
      <c r="SLS254" s="219"/>
      <c r="SLT254" s="219"/>
      <c r="SLU254" s="219"/>
      <c r="SLV254" s="219"/>
      <c r="SLW254" s="219"/>
      <c r="SLX254" s="219"/>
      <c r="SLY254" s="219"/>
      <c r="SLZ254" s="219"/>
      <c r="SMA254" s="219"/>
      <c r="SMB254" s="219"/>
      <c r="SMC254" s="219"/>
      <c r="SMD254" s="219"/>
      <c r="SME254" s="219"/>
      <c r="SMF254" s="219"/>
      <c r="SMG254" s="219"/>
      <c r="SMH254" s="219"/>
      <c r="SMI254" s="219"/>
      <c r="SMJ254" s="219"/>
      <c r="SMK254" s="219"/>
      <c r="SML254" s="219"/>
      <c r="SMM254" s="219"/>
      <c r="SMN254" s="219"/>
      <c r="SMO254" s="219"/>
      <c r="SMP254" s="219"/>
      <c r="SMQ254" s="219"/>
      <c r="SMR254" s="219"/>
      <c r="SMS254" s="219"/>
      <c r="SMT254" s="219"/>
      <c r="SMU254" s="219"/>
      <c r="SMV254" s="219"/>
      <c r="SMW254" s="219"/>
      <c r="SMX254" s="219"/>
      <c r="SMY254" s="219"/>
      <c r="SMZ254" s="219"/>
      <c r="SNA254" s="219"/>
      <c r="SNB254" s="219"/>
      <c r="SNC254" s="219"/>
      <c r="SND254" s="219"/>
      <c r="SNE254" s="219"/>
      <c r="SNF254" s="219"/>
      <c r="SNG254" s="219"/>
      <c r="SNH254" s="219"/>
      <c r="SNI254" s="219"/>
      <c r="SNJ254" s="219"/>
      <c r="SNK254" s="219"/>
      <c r="SNL254" s="219"/>
      <c r="SNM254" s="219"/>
      <c r="SNN254" s="219"/>
      <c r="SNO254" s="219"/>
      <c r="SNP254" s="219"/>
      <c r="SNQ254" s="219"/>
      <c r="SNR254" s="219"/>
      <c r="SNS254" s="219"/>
      <c r="SNT254" s="219"/>
      <c r="SNU254" s="219"/>
      <c r="SNV254" s="219"/>
      <c r="SNW254" s="219"/>
      <c r="SNX254" s="219"/>
      <c r="SNY254" s="219"/>
      <c r="SNZ254" s="219"/>
      <c r="SOA254" s="219"/>
      <c r="SOB254" s="219"/>
      <c r="SOC254" s="219"/>
      <c r="SOD254" s="219"/>
      <c r="SOE254" s="219"/>
      <c r="SOF254" s="219"/>
      <c r="SOG254" s="219"/>
      <c r="SOH254" s="219"/>
      <c r="SOI254" s="219"/>
      <c r="SOJ254" s="219"/>
      <c r="SOK254" s="219"/>
      <c r="SOL254" s="219"/>
      <c r="SOM254" s="219"/>
      <c r="SON254" s="219"/>
      <c r="SOO254" s="219"/>
      <c r="SOP254" s="219"/>
      <c r="SOQ254" s="219"/>
      <c r="SOR254" s="219"/>
      <c r="SOS254" s="219"/>
      <c r="SOT254" s="219"/>
      <c r="SOU254" s="219"/>
      <c r="SOV254" s="219"/>
      <c r="SOW254" s="219"/>
      <c r="SOX254" s="219"/>
      <c r="SOY254" s="219"/>
      <c r="SOZ254" s="219"/>
      <c r="SPA254" s="219"/>
      <c r="SPB254" s="219"/>
      <c r="SPC254" s="219"/>
      <c r="SPD254" s="219"/>
      <c r="SPE254" s="219"/>
      <c r="SPF254" s="219"/>
      <c r="SPG254" s="219"/>
      <c r="SPH254" s="219"/>
      <c r="SPI254" s="219"/>
      <c r="SPJ254" s="219"/>
      <c r="SPK254" s="219"/>
      <c r="SPL254" s="219"/>
      <c r="SPM254" s="219"/>
      <c r="SPN254" s="219"/>
      <c r="SPO254" s="219"/>
      <c r="SPP254" s="219"/>
      <c r="SPQ254" s="219"/>
      <c r="SPR254" s="219"/>
      <c r="SPS254" s="219"/>
      <c r="SPT254" s="219"/>
      <c r="SPU254" s="219"/>
      <c r="SPV254" s="219"/>
      <c r="SPW254" s="219"/>
      <c r="SPX254" s="219"/>
      <c r="SPY254" s="219"/>
      <c r="SPZ254" s="219"/>
      <c r="SQA254" s="219"/>
      <c r="SQB254" s="219"/>
      <c r="SQC254" s="219"/>
      <c r="SQD254" s="219"/>
      <c r="SQE254" s="219"/>
      <c r="SQF254" s="219"/>
      <c r="SQG254" s="219"/>
      <c r="SQH254" s="219"/>
      <c r="SQI254" s="219"/>
      <c r="SQJ254" s="219"/>
      <c r="SQK254" s="219"/>
      <c r="SQL254" s="219"/>
      <c r="SQM254" s="219"/>
      <c r="SQN254" s="219"/>
      <c r="SQO254" s="219"/>
      <c r="SQP254" s="219"/>
      <c r="SQQ254" s="219"/>
      <c r="SQR254" s="219"/>
      <c r="SQS254" s="219"/>
      <c r="SQT254" s="219"/>
      <c r="SQU254" s="219"/>
      <c r="SQV254" s="219"/>
      <c r="SQW254" s="219"/>
      <c r="SQX254" s="219"/>
      <c r="SQY254" s="219"/>
      <c r="SQZ254" s="219"/>
      <c r="SRA254" s="219"/>
      <c r="SRB254" s="219"/>
      <c r="SRC254" s="219"/>
      <c r="SRD254" s="219"/>
      <c r="SRE254" s="219"/>
      <c r="SRF254" s="219"/>
      <c r="SRG254" s="219"/>
      <c r="SRH254" s="219"/>
      <c r="SRI254" s="219"/>
      <c r="SRJ254" s="219"/>
      <c r="SRK254" s="219"/>
      <c r="SRL254" s="219"/>
      <c r="SRM254" s="219"/>
      <c r="SRN254" s="219"/>
      <c r="SRO254" s="219"/>
      <c r="SRP254" s="219"/>
      <c r="SRQ254" s="219"/>
      <c r="SRR254" s="219"/>
      <c r="SRS254" s="219"/>
      <c r="SRT254" s="219"/>
      <c r="SRU254" s="219"/>
      <c r="SRV254" s="219"/>
      <c r="SRW254" s="219"/>
      <c r="SRX254" s="219"/>
      <c r="SRY254" s="219"/>
      <c r="SRZ254" s="219"/>
      <c r="SSA254" s="219"/>
      <c r="SSB254" s="219"/>
      <c r="SSC254" s="219"/>
      <c r="SSD254" s="219"/>
      <c r="SSE254" s="219"/>
      <c r="SSF254" s="219"/>
      <c r="SSG254" s="219"/>
      <c r="SSH254" s="219"/>
      <c r="SSI254" s="219"/>
      <c r="SSJ254" s="219"/>
      <c r="SSK254" s="219"/>
      <c r="SSL254" s="219"/>
      <c r="SSM254" s="219"/>
      <c r="SSN254" s="219"/>
      <c r="SSO254" s="219"/>
      <c r="SSP254" s="219"/>
      <c r="SSQ254" s="219"/>
      <c r="SSR254" s="219"/>
      <c r="SSS254" s="219"/>
      <c r="SST254" s="219"/>
      <c r="SSU254" s="219"/>
      <c r="SSV254" s="219"/>
      <c r="SSW254" s="219"/>
      <c r="SSX254" s="219"/>
      <c r="SSY254" s="219"/>
      <c r="SSZ254" s="219"/>
      <c r="STA254" s="219"/>
      <c r="STB254" s="219"/>
      <c r="STC254" s="219"/>
      <c r="STD254" s="219"/>
      <c r="STE254" s="219"/>
      <c r="STF254" s="219"/>
      <c r="STG254" s="219"/>
      <c r="STH254" s="219"/>
      <c r="STI254" s="219"/>
      <c r="STJ254" s="219"/>
      <c r="STK254" s="219"/>
      <c r="STL254" s="219"/>
      <c r="STM254" s="219"/>
      <c r="STN254" s="219"/>
      <c r="STO254" s="219"/>
      <c r="STP254" s="219"/>
      <c r="STQ254" s="219"/>
      <c r="STR254" s="219"/>
      <c r="STS254" s="219"/>
      <c r="STT254" s="219"/>
      <c r="STU254" s="219"/>
      <c r="STV254" s="219"/>
      <c r="STW254" s="219"/>
      <c r="STX254" s="219"/>
      <c r="STY254" s="219"/>
      <c r="STZ254" s="219"/>
      <c r="SUA254" s="219"/>
      <c r="SUB254" s="219"/>
      <c r="SUC254" s="219"/>
      <c r="SUD254" s="219"/>
      <c r="SUE254" s="219"/>
      <c r="SUF254" s="219"/>
      <c r="SUG254" s="219"/>
      <c r="SUH254" s="219"/>
      <c r="SUI254" s="219"/>
      <c r="SUJ254" s="219"/>
      <c r="SUK254" s="219"/>
      <c r="SUL254" s="219"/>
      <c r="SUM254" s="219"/>
      <c r="SUN254" s="219"/>
      <c r="SUO254" s="219"/>
      <c r="SUP254" s="219"/>
      <c r="SUQ254" s="219"/>
      <c r="SUR254" s="219"/>
      <c r="SUS254" s="219"/>
      <c r="SUT254" s="219"/>
      <c r="SUU254" s="219"/>
      <c r="SUV254" s="219"/>
      <c r="SUW254" s="219"/>
      <c r="SUX254" s="219"/>
      <c r="SUY254" s="219"/>
      <c r="SUZ254" s="219"/>
      <c r="SVA254" s="219"/>
      <c r="SVB254" s="219"/>
      <c r="SVC254" s="219"/>
      <c r="SVD254" s="219"/>
      <c r="SVE254" s="219"/>
      <c r="SVF254" s="219"/>
      <c r="SVG254" s="219"/>
      <c r="SVH254" s="219"/>
      <c r="SVI254" s="219"/>
      <c r="SVJ254" s="219"/>
      <c r="SVK254" s="219"/>
      <c r="SVL254" s="219"/>
      <c r="SVM254" s="219"/>
      <c r="SVN254" s="219"/>
      <c r="SVO254" s="219"/>
      <c r="SVP254" s="219"/>
      <c r="SVQ254" s="219"/>
      <c r="SVR254" s="219"/>
      <c r="SVS254" s="219"/>
      <c r="SVT254" s="219"/>
      <c r="SVU254" s="219"/>
      <c r="SVV254" s="219"/>
      <c r="SVW254" s="219"/>
      <c r="SVX254" s="219"/>
      <c r="SVY254" s="219"/>
      <c r="SVZ254" s="219"/>
      <c r="SWA254" s="219"/>
      <c r="SWB254" s="219"/>
      <c r="SWC254" s="219"/>
      <c r="SWD254" s="219"/>
      <c r="SWE254" s="219"/>
      <c r="SWF254" s="219"/>
      <c r="SWG254" s="219"/>
      <c r="SWH254" s="219"/>
      <c r="SWI254" s="219"/>
      <c r="SWJ254" s="219"/>
      <c r="SWK254" s="219"/>
      <c r="SWL254" s="219"/>
      <c r="SWM254" s="219"/>
      <c r="SWN254" s="219"/>
      <c r="SWO254" s="219"/>
      <c r="SWP254" s="219"/>
      <c r="SWQ254" s="219"/>
      <c r="SWR254" s="219"/>
      <c r="SWS254" s="219"/>
      <c r="SWT254" s="219"/>
      <c r="SWU254" s="219"/>
      <c r="SWV254" s="219"/>
      <c r="SWW254" s="219"/>
      <c r="SWX254" s="219"/>
      <c r="SWY254" s="219"/>
      <c r="SWZ254" s="219"/>
      <c r="SXA254" s="219"/>
      <c r="SXB254" s="219"/>
      <c r="SXC254" s="219"/>
      <c r="SXD254" s="219"/>
      <c r="SXE254" s="219"/>
      <c r="SXF254" s="219"/>
      <c r="SXG254" s="219"/>
      <c r="SXH254" s="219"/>
      <c r="SXI254" s="219"/>
      <c r="SXJ254" s="219"/>
      <c r="SXK254" s="219"/>
      <c r="SXL254" s="219"/>
      <c r="SXM254" s="219"/>
      <c r="SXN254" s="219"/>
      <c r="SXO254" s="219"/>
      <c r="SXP254" s="219"/>
      <c r="SXQ254" s="219"/>
      <c r="SXR254" s="219"/>
      <c r="SXS254" s="219"/>
      <c r="SXT254" s="219"/>
      <c r="SXU254" s="219"/>
      <c r="SXV254" s="219"/>
      <c r="SXW254" s="219"/>
      <c r="SXX254" s="219"/>
      <c r="SXY254" s="219"/>
      <c r="SXZ254" s="219"/>
      <c r="SYA254" s="219"/>
      <c r="SYB254" s="219"/>
      <c r="SYC254" s="219"/>
      <c r="SYD254" s="219"/>
      <c r="SYE254" s="219"/>
      <c r="SYF254" s="219"/>
      <c r="SYG254" s="219"/>
      <c r="SYH254" s="219"/>
      <c r="SYI254" s="219"/>
      <c r="SYJ254" s="219"/>
      <c r="SYK254" s="219"/>
      <c r="SYL254" s="219"/>
      <c r="SYM254" s="219"/>
      <c r="SYN254" s="219"/>
      <c r="SYO254" s="219"/>
      <c r="SYP254" s="219"/>
      <c r="SYQ254" s="219"/>
      <c r="SYR254" s="219"/>
      <c r="SYS254" s="219"/>
      <c r="SYT254" s="219"/>
      <c r="SYU254" s="219"/>
      <c r="SYV254" s="219"/>
      <c r="SYW254" s="219"/>
      <c r="SYX254" s="219"/>
      <c r="SYY254" s="219"/>
      <c r="SYZ254" s="219"/>
      <c r="SZA254" s="219"/>
      <c r="SZB254" s="219"/>
      <c r="SZC254" s="219"/>
      <c r="SZD254" s="219"/>
      <c r="SZE254" s="219"/>
      <c r="SZF254" s="219"/>
      <c r="SZG254" s="219"/>
      <c r="SZH254" s="219"/>
      <c r="SZI254" s="219"/>
      <c r="SZJ254" s="219"/>
      <c r="SZK254" s="219"/>
      <c r="SZL254" s="219"/>
      <c r="SZM254" s="219"/>
      <c r="SZN254" s="219"/>
      <c r="SZO254" s="219"/>
      <c r="SZP254" s="219"/>
      <c r="SZQ254" s="219"/>
      <c r="SZR254" s="219"/>
      <c r="SZS254" s="219"/>
      <c r="SZT254" s="219"/>
      <c r="SZU254" s="219"/>
      <c r="SZV254" s="219"/>
      <c r="SZW254" s="219"/>
      <c r="SZX254" s="219"/>
      <c r="SZY254" s="219"/>
      <c r="SZZ254" s="219"/>
      <c r="TAA254" s="219"/>
      <c r="TAB254" s="219"/>
      <c r="TAC254" s="219"/>
      <c r="TAD254" s="219"/>
      <c r="TAE254" s="219"/>
      <c r="TAF254" s="219"/>
      <c r="TAG254" s="219"/>
      <c r="TAH254" s="219"/>
      <c r="TAI254" s="219"/>
      <c r="TAJ254" s="219"/>
      <c r="TAK254" s="219"/>
      <c r="TAL254" s="219"/>
      <c r="TAM254" s="219"/>
      <c r="TAN254" s="219"/>
      <c r="TAO254" s="219"/>
      <c r="TAP254" s="219"/>
      <c r="TAQ254" s="219"/>
      <c r="TAR254" s="219"/>
      <c r="TAS254" s="219"/>
      <c r="TAT254" s="219"/>
      <c r="TAU254" s="219"/>
      <c r="TAV254" s="219"/>
      <c r="TAW254" s="219"/>
      <c r="TAX254" s="219"/>
      <c r="TAY254" s="219"/>
      <c r="TAZ254" s="219"/>
      <c r="TBA254" s="219"/>
      <c r="TBB254" s="219"/>
      <c r="TBC254" s="219"/>
      <c r="TBD254" s="219"/>
      <c r="TBE254" s="219"/>
      <c r="TBF254" s="219"/>
      <c r="TBG254" s="219"/>
      <c r="TBH254" s="219"/>
      <c r="TBI254" s="219"/>
      <c r="TBJ254" s="219"/>
      <c r="TBK254" s="219"/>
      <c r="TBL254" s="219"/>
      <c r="TBM254" s="219"/>
      <c r="TBN254" s="219"/>
      <c r="TBO254" s="219"/>
      <c r="TBP254" s="219"/>
      <c r="TBQ254" s="219"/>
      <c r="TBR254" s="219"/>
      <c r="TBS254" s="219"/>
      <c r="TBT254" s="219"/>
      <c r="TBU254" s="219"/>
      <c r="TBV254" s="219"/>
      <c r="TBW254" s="219"/>
      <c r="TBX254" s="219"/>
      <c r="TBY254" s="219"/>
      <c r="TBZ254" s="219"/>
      <c r="TCA254" s="219"/>
      <c r="TCB254" s="219"/>
      <c r="TCC254" s="219"/>
      <c r="TCD254" s="219"/>
      <c r="TCE254" s="219"/>
      <c r="TCF254" s="219"/>
      <c r="TCG254" s="219"/>
      <c r="TCH254" s="219"/>
      <c r="TCI254" s="219"/>
      <c r="TCJ254" s="219"/>
      <c r="TCK254" s="219"/>
      <c r="TCL254" s="219"/>
      <c r="TCM254" s="219"/>
      <c r="TCN254" s="219"/>
      <c r="TCO254" s="219"/>
      <c r="TCP254" s="219"/>
      <c r="TCQ254" s="219"/>
      <c r="TCR254" s="219"/>
      <c r="TCS254" s="219"/>
      <c r="TCT254" s="219"/>
      <c r="TCU254" s="219"/>
      <c r="TCV254" s="219"/>
      <c r="TCW254" s="219"/>
      <c r="TCX254" s="219"/>
      <c r="TCY254" s="219"/>
      <c r="TCZ254" s="219"/>
      <c r="TDA254" s="219"/>
      <c r="TDB254" s="219"/>
      <c r="TDC254" s="219"/>
      <c r="TDD254" s="219"/>
      <c r="TDE254" s="219"/>
      <c r="TDF254" s="219"/>
      <c r="TDG254" s="219"/>
      <c r="TDH254" s="219"/>
      <c r="TDI254" s="219"/>
      <c r="TDJ254" s="219"/>
      <c r="TDK254" s="219"/>
      <c r="TDL254" s="219"/>
      <c r="TDM254" s="219"/>
      <c r="TDN254" s="219"/>
      <c r="TDO254" s="219"/>
      <c r="TDP254" s="219"/>
      <c r="TDQ254" s="219"/>
      <c r="TDR254" s="219"/>
      <c r="TDS254" s="219"/>
      <c r="TDT254" s="219"/>
      <c r="TDU254" s="219"/>
      <c r="TDV254" s="219"/>
      <c r="TDW254" s="219"/>
      <c r="TDX254" s="219"/>
      <c r="TDY254" s="219"/>
      <c r="TDZ254" s="219"/>
      <c r="TEA254" s="219"/>
      <c r="TEB254" s="219"/>
      <c r="TEC254" s="219"/>
      <c r="TED254" s="219"/>
      <c r="TEE254" s="219"/>
      <c r="TEF254" s="219"/>
      <c r="TEG254" s="219"/>
      <c r="TEH254" s="219"/>
      <c r="TEI254" s="219"/>
      <c r="TEJ254" s="219"/>
      <c r="TEK254" s="219"/>
      <c r="TEL254" s="219"/>
      <c r="TEM254" s="219"/>
      <c r="TEN254" s="219"/>
      <c r="TEO254" s="219"/>
      <c r="TEP254" s="219"/>
      <c r="TEQ254" s="219"/>
      <c r="TER254" s="219"/>
      <c r="TES254" s="219"/>
      <c r="TET254" s="219"/>
      <c r="TEU254" s="219"/>
      <c r="TEV254" s="219"/>
      <c r="TEW254" s="219"/>
      <c r="TEX254" s="219"/>
      <c r="TEY254" s="219"/>
      <c r="TEZ254" s="219"/>
      <c r="TFA254" s="219"/>
      <c r="TFB254" s="219"/>
      <c r="TFC254" s="219"/>
      <c r="TFD254" s="219"/>
      <c r="TFE254" s="219"/>
      <c r="TFF254" s="219"/>
      <c r="TFG254" s="219"/>
      <c r="TFH254" s="219"/>
      <c r="TFI254" s="219"/>
      <c r="TFJ254" s="219"/>
      <c r="TFK254" s="219"/>
      <c r="TFL254" s="219"/>
      <c r="TFM254" s="219"/>
      <c r="TFN254" s="219"/>
      <c r="TFO254" s="219"/>
      <c r="TFP254" s="219"/>
      <c r="TFQ254" s="219"/>
      <c r="TFR254" s="219"/>
      <c r="TFS254" s="219"/>
      <c r="TFT254" s="219"/>
      <c r="TFU254" s="219"/>
      <c r="TFV254" s="219"/>
      <c r="TFW254" s="219"/>
      <c r="TFX254" s="219"/>
      <c r="TFY254" s="219"/>
      <c r="TFZ254" s="219"/>
      <c r="TGA254" s="219"/>
      <c r="TGB254" s="219"/>
      <c r="TGC254" s="219"/>
      <c r="TGD254" s="219"/>
      <c r="TGE254" s="219"/>
      <c r="TGF254" s="219"/>
      <c r="TGG254" s="219"/>
      <c r="TGH254" s="219"/>
      <c r="TGI254" s="219"/>
      <c r="TGJ254" s="219"/>
      <c r="TGK254" s="219"/>
      <c r="TGL254" s="219"/>
      <c r="TGM254" s="219"/>
      <c r="TGN254" s="219"/>
      <c r="TGO254" s="219"/>
      <c r="TGP254" s="219"/>
      <c r="TGQ254" s="219"/>
      <c r="TGR254" s="219"/>
      <c r="TGS254" s="219"/>
      <c r="TGT254" s="219"/>
      <c r="TGU254" s="219"/>
      <c r="TGV254" s="219"/>
      <c r="TGW254" s="219"/>
      <c r="TGX254" s="219"/>
      <c r="TGY254" s="219"/>
      <c r="TGZ254" s="219"/>
      <c r="THA254" s="219"/>
      <c r="THB254" s="219"/>
      <c r="THC254" s="219"/>
      <c r="THD254" s="219"/>
      <c r="THE254" s="219"/>
      <c r="THF254" s="219"/>
      <c r="THG254" s="219"/>
      <c r="THH254" s="219"/>
      <c r="THI254" s="219"/>
      <c r="THJ254" s="219"/>
      <c r="THK254" s="219"/>
      <c r="THL254" s="219"/>
      <c r="THM254" s="219"/>
      <c r="THN254" s="219"/>
      <c r="THO254" s="219"/>
      <c r="THP254" s="219"/>
      <c r="THQ254" s="219"/>
      <c r="THR254" s="219"/>
      <c r="THS254" s="219"/>
      <c r="THT254" s="219"/>
      <c r="THU254" s="219"/>
      <c r="THV254" s="219"/>
      <c r="THW254" s="219"/>
      <c r="THX254" s="219"/>
      <c r="THY254" s="219"/>
      <c r="THZ254" s="219"/>
      <c r="TIA254" s="219"/>
      <c r="TIB254" s="219"/>
      <c r="TIC254" s="219"/>
      <c r="TID254" s="219"/>
      <c r="TIE254" s="219"/>
      <c r="TIF254" s="219"/>
      <c r="TIG254" s="219"/>
      <c r="TIH254" s="219"/>
      <c r="TII254" s="219"/>
      <c r="TIJ254" s="219"/>
      <c r="TIK254" s="219"/>
      <c r="TIL254" s="219"/>
      <c r="TIM254" s="219"/>
      <c r="TIN254" s="219"/>
      <c r="TIO254" s="219"/>
      <c r="TIP254" s="219"/>
      <c r="TIQ254" s="219"/>
      <c r="TIR254" s="219"/>
      <c r="TIS254" s="219"/>
      <c r="TIT254" s="219"/>
      <c r="TIU254" s="219"/>
      <c r="TIV254" s="219"/>
      <c r="TIW254" s="219"/>
      <c r="TIX254" s="219"/>
      <c r="TIY254" s="219"/>
      <c r="TIZ254" s="219"/>
      <c r="TJA254" s="219"/>
      <c r="TJB254" s="219"/>
      <c r="TJC254" s="219"/>
      <c r="TJD254" s="219"/>
      <c r="TJE254" s="219"/>
      <c r="TJF254" s="219"/>
      <c r="TJG254" s="219"/>
      <c r="TJH254" s="219"/>
      <c r="TJI254" s="219"/>
      <c r="TJJ254" s="219"/>
      <c r="TJK254" s="219"/>
      <c r="TJL254" s="219"/>
      <c r="TJM254" s="219"/>
      <c r="TJN254" s="219"/>
      <c r="TJO254" s="219"/>
      <c r="TJP254" s="219"/>
      <c r="TJQ254" s="219"/>
      <c r="TJR254" s="219"/>
      <c r="TJS254" s="219"/>
      <c r="TJT254" s="219"/>
      <c r="TJU254" s="219"/>
      <c r="TJV254" s="219"/>
      <c r="TJW254" s="219"/>
      <c r="TJX254" s="219"/>
      <c r="TJY254" s="219"/>
      <c r="TJZ254" s="219"/>
      <c r="TKA254" s="219"/>
      <c r="TKB254" s="219"/>
      <c r="TKC254" s="219"/>
      <c r="TKD254" s="219"/>
      <c r="TKE254" s="219"/>
      <c r="TKF254" s="219"/>
      <c r="TKG254" s="219"/>
      <c r="TKH254" s="219"/>
      <c r="TKI254" s="219"/>
      <c r="TKJ254" s="219"/>
      <c r="TKK254" s="219"/>
      <c r="TKL254" s="219"/>
      <c r="TKM254" s="219"/>
      <c r="TKN254" s="219"/>
      <c r="TKO254" s="219"/>
      <c r="TKP254" s="219"/>
      <c r="TKQ254" s="219"/>
      <c r="TKR254" s="219"/>
      <c r="TKS254" s="219"/>
      <c r="TKT254" s="219"/>
      <c r="TKU254" s="219"/>
      <c r="TKV254" s="219"/>
      <c r="TKW254" s="219"/>
      <c r="TKX254" s="219"/>
      <c r="TKY254" s="219"/>
      <c r="TKZ254" s="219"/>
      <c r="TLA254" s="219"/>
      <c r="TLB254" s="219"/>
      <c r="TLC254" s="219"/>
      <c r="TLD254" s="219"/>
      <c r="TLE254" s="219"/>
      <c r="TLF254" s="219"/>
      <c r="TLG254" s="219"/>
      <c r="TLH254" s="219"/>
      <c r="TLI254" s="219"/>
      <c r="TLJ254" s="219"/>
      <c r="TLK254" s="219"/>
      <c r="TLL254" s="219"/>
      <c r="TLM254" s="219"/>
      <c r="TLN254" s="219"/>
      <c r="TLO254" s="219"/>
      <c r="TLP254" s="219"/>
      <c r="TLQ254" s="219"/>
      <c r="TLR254" s="219"/>
      <c r="TLS254" s="219"/>
      <c r="TLT254" s="219"/>
      <c r="TLU254" s="219"/>
      <c r="TLV254" s="219"/>
      <c r="TLW254" s="219"/>
      <c r="TLX254" s="219"/>
      <c r="TLY254" s="219"/>
      <c r="TLZ254" s="219"/>
      <c r="TMA254" s="219"/>
      <c r="TMB254" s="219"/>
      <c r="TMC254" s="219"/>
      <c r="TMD254" s="219"/>
      <c r="TME254" s="219"/>
      <c r="TMF254" s="219"/>
      <c r="TMG254" s="219"/>
      <c r="TMH254" s="219"/>
      <c r="TMI254" s="219"/>
      <c r="TMJ254" s="219"/>
      <c r="TMK254" s="219"/>
      <c r="TML254" s="219"/>
      <c r="TMM254" s="219"/>
      <c r="TMN254" s="219"/>
      <c r="TMO254" s="219"/>
      <c r="TMP254" s="219"/>
      <c r="TMQ254" s="219"/>
      <c r="TMR254" s="219"/>
      <c r="TMS254" s="219"/>
      <c r="TMT254" s="219"/>
      <c r="TMU254" s="219"/>
      <c r="TMV254" s="219"/>
      <c r="TMW254" s="219"/>
      <c r="TMX254" s="219"/>
      <c r="TMY254" s="219"/>
      <c r="TMZ254" s="219"/>
      <c r="TNA254" s="219"/>
      <c r="TNB254" s="219"/>
      <c r="TNC254" s="219"/>
      <c r="TND254" s="219"/>
      <c r="TNE254" s="219"/>
      <c r="TNF254" s="219"/>
      <c r="TNG254" s="219"/>
      <c r="TNH254" s="219"/>
      <c r="TNI254" s="219"/>
      <c r="TNJ254" s="219"/>
      <c r="TNK254" s="219"/>
      <c r="TNL254" s="219"/>
      <c r="TNM254" s="219"/>
      <c r="TNN254" s="219"/>
      <c r="TNO254" s="219"/>
      <c r="TNP254" s="219"/>
      <c r="TNQ254" s="219"/>
      <c r="TNR254" s="219"/>
      <c r="TNS254" s="219"/>
      <c r="TNT254" s="219"/>
      <c r="TNU254" s="219"/>
      <c r="TNV254" s="219"/>
      <c r="TNW254" s="219"/>
      <c r="TNX254" s="219"/>
      <c r="TNY254" s="219"/>
      <c r="TNZ254" s="219"/>
      <c r="TOA254" s="219"/>
      <c r="TOB254" s="219"/>
      <c r="TOC254" s="219"/>
      <c r="TOD254" s="219"/>
      <c r="TOE254" s="219"/>
      <c r="TOF254" s="219"/>
      <c r="TOG254" s="219"/>
      <c r="TOH254" s="219"/>
      <c r="TOI254" s="219"/>
      <c r="TOJ254" s="219"/>
      <c r="TOK254" s="219"/>
      <c r="TOL254" s="219"/>
      <c r="TOM254" s="219"/>
      <c r="TON254" s="219"/>
      <c r="TOO254" s="219"/>
      <c r="TOP254" s="219"/>
      <c r="TOQ254" s="219"/>
      <c r="TOR254" s="219"/>
      <c r="TOS254" s="219"/>
      <c r="TOT254" s="219"/>
      <c r="TOU254" s="219"/>
      <c r="TOV254" s="219"/>
      <c r="TOW254" s="219"/>
      <c r="TOX254" s="219"/>
      <c r="TOY254" s="219"/>
      <c r="TOZ254" s="219"/>
      <c r="TPA254" s="219"/>
      <c r="TPB254" s="219"/>
      <c r="TPC254" s="219"/>
      <c r="TPD254" s="219"/>
      <c r="TPE254" s="219"/>
      <c r="TPF254" s="219"/>
      <c r="TPG254" s="219"/>
      <c r="TPH254" s="219"/>
      <c r="TPI254" s="219"/>
      <c r="TPJ254" s="219"/>
      <c r="TPK254" s="219"/>
      <c r="TPL254" s="219"/>
      <c r="TPM254" s="219"/>
      <c r="TPN254" s="219"/>
      <c r="TPO254" s="219"/>
      <c r="TPP254" s="219"/>
      <c r="TPQ254" s="219"/>
      <c r="TPR254" s="219"/>
      <c r="TPS254" s="219"/>
      <c r="TPT254" s="219"/>
      <c r="TPU254" s="219"/>
      <c r="TPV254" s="219"/>
      <c r="TPW254" s="219"/>
      <c r="TPX254" s="219"/>
      <c r="TPY254" s="219"/>
      <c r="TPZ254" s="219"/>
      <c r="TQA254" s="219"/>
      <c r="TQB254" s="219"/>
      <c r="TQC254" s="219"/>
      <c r="TQD254" s="219"/>
      <c r="TQE254" s="219"/>
      <c r="TQF254" s="219"/>
      <c r="TQG254" s="219"/>
      <c r="TQH254" s="219"/>
      <c r="TQI254" s="219"/>
      <c r="TQJ254" s="219"/>
      <c r="TQK254" s="219"/>
      <c r="TQL254" s="219"/>
      <c r="TQM254" s="219"/>
      <c r="TQN254" s="219"/>
      <c r="TQO254" s="219"/>
      <c r="TQP254" s="219"/>
      <c r="TQQ254" s="219"/>
      <c r="TQR254" s="219"/>
      <c r="TQS254" s="219"/>
      <c r="TQT254" s="219"/>
      <c r="TQU254" s="219"/>
      <c r="TQV254" s="219"/>
      <c r="TQW254" s="219"/>
      <c r="TQX254" s="219"/>
      <c r="TQY254" s="219"/>
      <c r="TQZ254" s="219"/>
      <c r="TRA254" s="219"/>
      <c r="TRB254" s="219"/>
      <c r="TRC254" s="219"/>
      <c r="TRD254" s="219"/>
      <c r="TRE254" s="219"/>
      <c r="TRF254" s="219"/>
      <c r="TRG254" s="219"/>
      <c r="TRH254" s="219"/>
      <c r="TRI254" s="219"/>
      <c r="TRJ254" s="219"/>
      <c r="TRK254" s="219"/>
      <c r="TRL254" s="219"/>
      <c r="TRM254" s="219"/>
      <c r="TRN254" s="219"/>
      <c r="TRO254" s="219"/>
      <c r="TRP254" s="219"/>
      <c r="TRQ254" s="219"/>
      <c r="TRR254" s="219"/>
      <c r="TRS254" s="219"/>
      <c r="TRT254" s="219"/>
      <c r="TRU254" s="219"/>
      <c r="TRV254" s="219"/>
      <c r="TRW254" s="219"/>
      <c r="TRX254" s="219"/>
      <c r="TRY254" s="219"/>
      <c r="TRZ254" s="219"/>
      <c r="TSA254" s="219"/>
      <c r="TSB254" s="219"/>
      <c r="TSC254" s="219"/>
      <c r="TSD254" s="219"/>
      <c r="TSE254" s="219"/>
      <c r="TSF254" s="219"/>
      <c r="TSG254" s="219"/>
      <c r="TSH254" s="219"/>
      <c r="TSI254" s="219"/>
      <c r="TSJ254" s="219"/>
      <c r="TSK254" s="219"/>
      <c r="TSL254" s="219"/>
      <c r="TSM254" s="219"/>
      <c r="TSN254" s="219"/>
      <c r="TSO254" s="219"/>
      <c r="TSP254" s="219"/>
      <c r="TSQ254" s="219"/>
      <c r="TSR254" s="219"/>
      <c r="TSS254" s="219"/>
      <c r="TST254" s="219"/>
      <c r="TSU254" s="219"/>
      <c r="TSV254" s="219"/>
      <c r="TSW254" s="219"/>
      <c r="TSX254" s="219"/>
      <c r="TSY254" s="219"/>
      <c r="TSZ254" s="219"/>
      <c r="TTA254" s="219"/>
      <c r="TTB254" s="219"/>
      <c r="TTC254" s="219"/>
      <c r="TTD254" s="219"/>
      <c r="TTE254" s="219"/>
      <c r="TTF254" s="219"/>
      <c r="TTG254" s="219"/>
      <c r="TTH254" s="219"/>
      <c r="TTI254" s="219"/>
      <c r="TTJ254" s="219"/>
      <c r="TTK254" s="219"/>
      <c r="TTL254" s="219"/>
      <c r="TTM254" s="219"/>
      <c r="TTN254" s="219"/>
      <c r="TTO254" s="219"/>
      <c r="TTP254" s="219"/>
      <c r="TTQ254" s="219"/>
      <c r="TTR254" s="219"/>
      <c r="TTS254" s="219"/>
      <c r="TTT254" s="219"/>
      <c r="TTU254" s="219"/>
      <c r="TTV254" s="219"/>
      <c r="TTW254" s="219"/>
      <c r="TTX254" s="219"/>
      <c r="TTY254" s="219"/>
      <c r="TTZ254" s="219"/>
      <c r="TUA254" s="219"/>
      <c r="TUB254" s="219"/>
      <c r="TUC254" s="219"/>
      <c r="TUD254" s="219"/>
      <c r="TUE254" s="219"/>
      <c r="TUF254" s="219"/>
      <c r="TUG254" s="219"/>
      <c r="TUH254" s="219"/>
      <c r="TUI254" s="219"/>
      <c r="TUJ254" s="219"/>
      <c r="TUK254" s="219"/>
      <c r="TUL254" s="219"/>
      <c r="TUM254" s="219"/>
      <c r="TUN254" s="219"/>
      <c r="TUO254" s="219"/>
      <c r="TUP254" s="219"/>
      <c r="TUQ254" s="219"/>
      <c r="TUR254" s="219"/>
      <c r="TUS254" s="219"/>
      <c r="TUT254" s="219"/>
      <c r="TUU254" s="219"/>
      <c r="TUV254" s="219"/>
      <c r="TUW254" s="219"/>
      <c r="TUX254" s="219"/>
      <c r="TUY254" s="219"/>
      <c r="TUZ254" s="219"/>
      <c r="TVA254" s="219"/>
      <c r="TVB254" s="219"/>
      <c r="TVC254" s="219"/>
      <c r="TVD254" s="219"/>
      <c r="TVE254" s="219"/>
      <c r="TVF254" s="219"/>
      <c r="TVG254" s="219"/>
      <c r="TVH254" s="219"/>
      <c r="TVI254" s="219"/>
      <c r="TVJ254" s="219"/>
      <c r="TVK254" s="219"/>
      <c r="TVL254" s="219"/>
      <c r="TVM254" s="219"/>
      <c r="TVN254" s="219"/>
      <c r="TVO254" s="219"/>
      <c r="TVP254" s="219"/>
      <c r="TVQ254" s="219"/>
      <c r="TVR254" s="219"/>
      <c r="TVS254" s="219"/>
      <c r="TVT254" s="219"/>
      <c r="TVU254" s="219"/>
      <c r="TVV254" s="219"/>
      <c r="TVW254" s="219"/>
      <c r="TVX254" s="219"/>
      <c r="TVY254" s="219"/>
      <c r="TVZ254" s="219"/>
      <c r="TWA254" s="219"/>
      <c r="TWB254" s="219"/>
      <c r="TWC254" s="219"/>
      <c r="TWD254" s="219"/>
      <c r="TWE254" s="219"/>
      <c r="TWF254" s="219"/>
      <c r="TWG254" s="219"/>
      <c r="TWH254" s="219"/>
      <c r="TWI254" s="219"/>
      <c r="TWJ254" s="219"/>
      <c r="TWK254" s="219"/>
      <c r="TWL254" s="219"/>
      <c r="TWM254" s="219"/>
      <c r="TWN254" s="219"/>
      <c r="TWO254" s="219"/>
      <c r="TWP254" s="219"/>
      <c r="TWQ254" s="219"/>
      <c r="TWR254" s="219"/>
      <c r="TWS254" s="219"/>
      <c r="TWT254" s="219"/>
      <c r="TWU254" s="219"/>
      <c r="TWV254" s="219"/>
      <c r="TWW254" s="219"/>
      <c r="TWX254" s="219"/>
      <c r="TWY254" s="219"/>
      <c r="TWZ254" s="219"/>
      <c r="TXA254" s="219"/>
      <c r="TXB254" s="219"/>
      <c r="TXC254" s="219"/>
      <c r="TXD254" s="219"/>
      <c r="TXE254" s="219"/>
      <c r="TXF254" s="219"/>
      <c r="TXG254" s="219"/>
      <c r="TXH254" s="219"/>
      <c r="TXI254" s="219"/>
      <c r="TXJ254" s="219"/>
      <c r="TXK254" s="219"/>
      <c r="TXL254" s="219"/>
      <c r="TXM254" s="219"/>
      <c r="TXN254" s="219"/>
      <c r="TXO254" s="219"/>
      <c r="TXP254" s="219"/>
      <c r="TXQ254" s="219"/>
      <c r="TXR254" s="219"/>
      <c r="TXS254" s="219"/>
      <c r="TXT254" s="219"/>
      <c r="TXU254" s="219"/>
      <c r="TXV254" s="219"/>
      <c r="TXW254" s="219"/>
      <c r="TXX254" s="219"/>
      <c r="TXY254" s="219"/>
      <c r="TXZ254" s="219"/>
      <c r="TYA254" s="219"/>
      <c r="TYB254" s="219"/>
      <c r="TYC254" s="219"/>
      <c r="TYD254" s="219"/>
      <c r="TYE254" s="219"/>
      <c r="TYF254" s="219"/>
      <c r="TYG254" s="219"/>
      <c r="TYH254" s="219"/>
      <c r="TYI254" s="219"/>
      <c r="TYJ254" s="219"/>
      <c r="TYK254" s="219"/>
      <c r="TYL254" s="219"/>
      <c r="TYM254" s="219"/>
      <c r="TYN254" s="219"/>
      <c r="TYO254" s="219"/>
      <c r="TYP254" s="219"/>
      <c r="TYQ254" s="219"/>
      <c r="TYR254" s="219"/>
      <c r="TYS254" s="219"/>
      <c r="TYT254" s="219"/>
      <c r="TYU254" s="219"/>
      <c r="TYV254" s="219"/>
      <c r="TYW254" s="219"/>
      <c r="TYX254" s="219"/>
      <c r="TYY254" s="219"/>
      <c r="TYZ254" s="219"/>
      <c r="TZA254" s="219"/>
      <c r="TZB254" s="219"/>
      <c r="TZC254" s="219"/>
      <c r="TZD254" s="219"/>
      <c r="TZE254" s="219"/>
      <c r="TZF254" s="219"/>
      <c r="TZG254" s="219"/>
      <c r="TZH254" s="219"/>
      <c r="TZI254" s="219"/>
      <c r="TZJ254" s="219"/>
      <c r="TZK254" s="219"/>
      <c r="TZL254" s="219"/>
      <c r="TZM254" s="219"/>
      <c r="TZN254" s="219"/>
      <c r="TZO254" s="219"/>
      <c r="TZP254" s="219"/>
      <c r="TZQ254" s="219"/>
      <c r="TZR254" s="219"/>
      <c r="TZS254" s="219"/>
      <c r="TZT254" s="219"/>
      <c r="TZU254" s="219"/>
      <c r="TZV254" s="219"/>
      <c r="TZW254" s="219"/>
      <c r="TZX254" s="219"/>
      <c r="TZY254" s="219"/>
      <c r="TZZ254" s="219"/>
      <c r="UAA254" s="219"/>
      <c r="UAB254" s="219"/>
      <c r="UAC254" s="219"/>
      <c r="UAD254" s="219"/>
      <c r="UAE254" s="219"/>
      <c r="UAF254" s="219"/>
      <c r="UAG254" s="219"/>
      <c r="UAH254" s="219"/>
      <c r="UAI254" s="219"/>
      <c r="UAJ254" s="219"/>
      <c r="UAK254" s="219"/>
      <c r="UAL254" s="219"/>
      <c r="UAM254" s="219"/>
      <c r="UAN254" s="219"/>
      <c r="UAO254" s="219"/>
      <c r="UAP254" s="219"/>
      <c r="UAQ254" s="219"/>
      <c r="UAR254" s="219"/>
      <c r="UAS254" s="219"/>
      <c r="UAT254" s="219"/>
      <c r="UAU254" s="219"/>
      <c r="UAV254" s="219"/>
      <c r="UAW254" s="219"/>
      <c r="UAX254" s="219"/>
      <c r="UAY254" s="219"/>
      <c r="UAZ254" s="219"/>
      <c r="UBA254" s="219"/>
      <c r="UBB254" s="219"/>
      <c r="UBC254" s="219"/>
      <c r="UBD254" s="219"/>
      <c r="UBE254" s="219"/>
      <c r="UBF254" s="219"/>
      <c r="UBG254" s="219"/>
      <c r="UBH254" s="219"/>
      <c r="UBI254" s="219"/>
      <c r="UBJ254" s="219"/>
      <c r="UBK254" s="219"/>
      <c r="UBL254" s="219"/>
      <c r="UBM254" s="219"/>
      <c r="UBN254" s="219"/>
      <c r="UBO254" s="219"/>
      <c r="UBP254" s="219"/>
      <c r="UBQ254" s="219"/>
      <c r="UBR254" s="219"/>
      <c r="UBS254" s="219"/>
      <c r="UBT254" s="219"/>
      <c r="UBU254" s="219"/>
      <c r="UBV254" s="219"/>
      <c r="UBW254" s="219"/>
      <c r="UBX254" s="219"/>
      <c r="UBY254" s="219"/>
      <c r="UBZ254" s="219"/>
      <c r="UCA254" s="219"/>
      <c r="UCB254" s="219"/>
      <c r="UCC254" s="219"/>
      <c r="UCD254" s="219"/>
      <c r="UCE254" s="219"/>
      <c r="UCF254" s="219"/>
      <c r="UCG254" s="219"/>
      <c r="UCH254" s="219"/>
      <c r="UCI254" s="219"/>
      <c r="UCJ254" s="219"/>
      <c r="UCK254" s="219"/>
      <c r="UCL254" s="219"/>
      <c r="UCM254" s="219"/>
      <c r="UCN254" s="219"/>
      <c r="UCO254" s="219"/>
      <c r="UCP254" s="219"/>
      <c r="UCQ254" s="219"/>
      <c r="UCR254" s="219"/>
      <c r="UCS254" s="219"/>
      <c r="UCT254" s="219"/>
      <c r="UCU254" s="219"/>
      <c r="UCV254" s="219"/>
      <c r="UCW254" s="219"/>
      <c r="UCX254" s="219"/>
      <c r="UCY254" s="219"/>
      <c r="UCZ254" s="219"/>
      <c r="UDA254" s="219"/>
      <c r="UDB254" s="219"/>
      <c r="UDC254" s="219"/>
      <c r="UDD254" s="219"/>
      <c r="UDE254" s="219"/>
      <c r="UDF254" s="219"/>
      <c r="UDG254" s="219"/>
      <c r="UDH254" s="219"/>
      <c r="UDI254" s="219"/>
      <c r="UDJ254" s="219"/>
      <c r="UDK254" s="219"/>
      <c r="UDL254" s="219"/>
      <c r="UDM254" s="219"/>
      <c r="UDN254" s="219"/>
      <c r="UDO254" s="219"/>
      <c r="UDP254" s="219"/>
      <c r="UDQ254" s="219"/>
      <c r="UDR254" s="219"/>
      <c r="UDS254" s="219"/>
      <c r="UDT254" s="219"/>
      <c r="UDU254" s="219"/>
      <c r="UDV254" s="219"/>
      <c r="UDW254" s="219"/>
      <c r="UDX254" s="219"/>
      <c r="UDY254" s="219"/>
      <c r="UDZ254" s="219"/>
      <c r="UEA254" s="219"/>
      <c r="UEB254" s="219"/>
      <c r="UEC254" s="219"/>
      <c r="UED254" s="219"/>
      <c r="UEE254" s="219"/>
      <c r="UEF254" s="219"/>
      <c r="UEG254" s="219"/>
      <c r="UEH254" s="219"/>
      <c r="UEI254" s="219"/>
      <c r="UEJ254" s="219"/>
      <c r="UEK254" s="219"/>
      <c r="UEL254" s="219"/>
      <c r="UEM254" s="219"/>
      <c r="UEN254" s="219"/>
      <c r="UEO254" s="219"/>
      <c r="UEP254" s="219"/>
      <c r="UEQ254" s="219"/>
      <c r="UER254" s="219"/>
      <c r="UES254" s="219"/>
      <c r="UET254" s="219"/>
      <c r="UEU254" s="219"/>
      <c r="UEV254" s="219"/>
      <c r="UEW254" s="219"/>
      <c r="UEX254" s="219"/>
      <c r="UEY254" s="219"/>
      <c r="UEZ254" s="219"/>
      <c r="UFA254" s="219"/>
      <c r="UFB254" s="219"/>
      <c r="UFC254" s="219"/>
      <c r="UFD254" s="219"/>
      <c r="UFE254" s="219"/>
      <c r="UFF254" s="219"/>
      <c r="UFG254" s="219"/>
      <c r="UFH254" s="219"/>
      <c r="UFI254" s="219"/>
      <c r="UFJ254" s="219"/>
      <c r="UFK254" s="219"/>
      <c r="UFL254" s="219"/>
      <c r="UFM254" s="219"/>
      <c r="UFN254" s="219"/>
      <c r="UFO254" s="219"/>
      <c r="UFP254" s="219"/>
      <c r="UFQ254" s="219"/>
      <c r="UFR254" s="219"/>
      <c r="UFS254" s="219"/>
      <c r="UFT254" s="219"/>
      <c r="UFU254" s="219"/>
      <c r="UFV254" s="219"/>
      <c r="UFW254" s="219"/>
      <c r="UFX254" s="219"/>
      <c r="UFY254" s="219"/>
      <c r="UFZ254" s="219"/>
      <c r="UGA254" s="219"/>
      <c r="UGB254" s="219"/>
      <c r="UGC254" s="219"/>
      <c r="UGD254" s="219"/>
      <c r="UGE254" s="219"/>
      <c r="UGF254" s="219"/>
      <c r="UGG254" s="219"/>
      <c r="UGH254" s="219"/>
      <c r="UGI254" s="219"/>
      <c r="UGJ254" s="219"/>
      <c r="UGK254" s="219"/>
      <c r="UGL254" s="219"/>
      <c r="UGM254" s="219"/>
      <c r="UGN254" s="219"/>
      <c r="UGO254" s="219"/>
      <c r="UGP254" s="219"/>
      <c r="UGQ254" s="219"/>
      <c r="UGR254" s="219"/>
      <c r="UGS254" s="219"/>
      <c r="UGT254" s="219"/>
      <c r="UGU254" s="219"/>
      <c r="UGV254" s="219"/>
      <c r="UGW254" s="219"/>
      <c r="UGX254" s="219"/>
      <c r="UGY254" s="219"/>
      <c r="UGZ254" s="219"/>
      <c r="UHA254" s="219"/>
      <c r="UHB254" s="219"/>
      <c r="UHC254" s="219"/>
      <c r="UHD254" s="219"/>
      <c r="UHE254" s="219"/>
      <c r="UHF254" s="219"/>
      <c r="UHG254" s="219"/>
      <c r="UHH254" s="219"/>
      <c r="UHI254" s="219"/>
      <c r="UHJ254" s="219"/>
      <c r="UHK254" s="219"/>
      <c r="UHL254" s="219"/>
      <c r="UHM254" s="219"/>
      <c r="UHN254" s="219"/>
      <c r="UHO254" s="219"/>
      <c r="UHP254" s="219"/>
      <c r="UHQ254" s="219"/>
      <c r="UHR254" s="219"/>
      <c r="UHS254" s="219"/>
      <c r="UHT254" s="219"/>
      <c r="UHU254" s="219"/>
      <c r="UHV254" s="219"/>
      <c r="UHW254" s="219"/>
      <c r="UHX254" s="219"/>
      <c r="UHY254" s="219"/>
      <c r="UHZ254" s="219"/>
      <c r="UIA254" s="219"/>
      <c r="UIB254" s="219"/>
      <c r="UIC254" s="219"/>
      <c r="UID254" s="219"/>
      <c r="UIE254" s="219"/>
      <c r="UIF254" s="219"/>
      <c r="UIG254" s="219"/>
      <c r="UIH254" s="219"/>
      <c r="UII254" s="219"/>
      <c r="UIJ254" s="219"/>
      <c r="UIK254" s="219"/>
      <c r="UIL254" s="219"/>
      <c r="UIM254" s="219"/>
      <c r="UIN254" s="219"/>
      <c r="UIO254" s="219"/>
      <c r="UIP254" s="219"/>
      <c r="UIQ254" s="219"/>
      <c r="UIR254" s="219"/>
      <c r="UIS254" s="219"/>
      <c r="UIT254" s="219"/>
      <c r="UIU254" s="219"/>
      <c r="UIV254" s="219"/>
      <c r="UIW254" s="219"/>
      <c r="UIX254" s="219"/>
      <c r="UIY254" s="219"/>
      <c r="UIZ254" s="219"/>
      <c r="UJA254" s="219"/>
      <c r="UJB254" s="219"/>
      <c r="UJC254" s="219"/>
      <c r="UJD254" s="219"/>
      <c r="UJE254" s="219"/>
      <c r="UJF254" s="219"/>
      <c r="UJG254" s="219"/>
      <c r="UJH254" s="219"/>
      <c r="UJI254" s="219"/>
      <c r="UJJ254" s="219"/>
      <c r="UJK254" s="219"/>
      <c r="UJL254" s="219"/>
      <c r="UJM254" s="219"/>
      <c r="UJN254" s="219"/>
      <c r="UJO254" s="219"/>
      <c r="UJP254" s="219"/>
      <c r="UJQ254" s="219"/>
      <c r="UJR254" s="219"/>
      <c r="UJS254" s="219"/>
      <c r="UJT254" s="219"/>
      <c r="UJU254" s="219"/>
      <c r="UJV254" s="219"/>
      <c r="UJW254" s="219"/>
      <c r="UJX254" s="219"/>
      <c r="UJY254" s="219"/>
      <c r="UJZ254" s="219"/>
      <c r="UKA254" s="219"/>
      <c r="UKB254" s="219"/>
      <c r="UKC254" s="219"/>
      <c r="UKD254" s="219"/>
      <c r="UKE254" s="219"/>
      <c r="UKF254" s="219"/>
      <c r="UKG254" s="219"/>
      <c r="UKH254" s="219"/>
      <c r="UKI254" s="219"/>
      <c r="UKJ254" s="219"/>
      <c r="UKK254" s="219"/>
      <c r="UKL254" s="219"/>
      <c r="UKM254" s="219"/>
      <c r="UKN254" s="219"/>
      <c r="UKO254" s="219"/>
      <c r="UKP254" s="219"/>
      <c r="UKQ254" s="219"/>
      <c r="UKR254" s="219"/>
      <c r="UKS254" s="219"/>
      <c r="UKT254" s="219"/>
      <c r="UKU254" s="219"/>
      <c r="UKV254" s="219"/>
      <c r="UKW254" s="219"/>
      <c r="UKX254" s="219"/>
      <c r="UKY254" s="219"/>
      <c r="UKZ254" s="219"/>
      <c r="ULA254" s="219"/>
      <c r="ULB254" s="219"/>
      <c r="ULC254" s="219"/>
      <c r="ULD254" s="219"/>
      <c r="ULE254" s="219"/>
      <c r="ULF254" s="219"/>
      <c r="ULG254" s="219"/>
      <c r="ULH254" s="219"/>
      <c r="ULI254" s="219"/>
      <c r="ULJ254" s="219"/>
      <c r="ULK254" s="219"/>
      <c r="ULL254" s="219"/>
      <c r="ULM254" s="219"/>
      <c r="ULN254" s="219"/>
      <c r="ULO254" s="219"/>
      <c r="ULP254" s="219"/>
      <c r="ULQ254" s="219"/>
      <c r="ULR254" s="219"/>
      <c r="ULS254" s="219"/>
      <c r="ULT254" s="219"/>
      <c r="ULU254" s="219"/>
      <c r="ULV254" s="219"/>
      <c r="ULW254" s="219"/>
      <c r="ULX254" s="219"/>
      <c r="ULY254" s="219"/>
      <c r="ULZ254" s="219"/>
      <c r="UMA254" s="219"/>
      <c r="UMB254" s="219"/>
      <c r="UMC254" s="219"/>
      <c r="UMD254" s="219"/>
      <c r="UME254" s="219"/>
      <c r="UMF254" s="219"/>
      <c r="UMG254" s="219"/>
      <c r="UMH254" s="219"/>
      <c r="UMI254" s="219"/>
      <c r="UMJ254" s="219"/>
      <c r="UMK254" s="219"/>
      <c r="UML254" s="219"/>
      <c r="UMM254" s="219"/>
      <c r="UMN254" s="219"/>
      <c r="UMO254" s="219"/>
      <c r="UMP254" s="219"/>
      <c r="UMQ254" s="219"/>
      <c r="UMR254" s="219"/>
      <c r="UMS254" s="219"/>
      <c r="UMT254" s="219"/>
      <c r="UMU254" s="219"/>
      <c r="UMV254" s="219"/>
      <c r="UMW254" s="219"/>
      <c r="UMX254" s="219"/>
      <c r="UMY254" s="219"/>
      <c r="UMZ254" s="219"/>
      <c r="UNA254" s="219"/>
      <c r="UNB254" s="219"/>
      <c r="UNC254" s="219"/>
      <c r="UND254" s="219"/>
      <c r="UNE254" s="219"/>
      <c r="UNF254" s="219"/>
      <c r="UNG254" s="219"/>
      <c r="UNH254" s="219"/>
      <c r="UNI254" s="219"/>
      <c r="UNJ254" s="219"/>
      <c r="UNK254" s="219"/>
      <c r="UNL254" s="219"/>
      <c r="UNM254" s="219"/>
      <c r="UNN254" s="219"/>
      <c r="UNO254" s="219"/>
      <c r="UNP254" s="219"/>
      <c r="UNQ254" s="219"/>
      <c r="UNR254" s="219"/>
      <c r="UNS254" s="219"/>
      <c r="UNT254" s="219"/>
      <c r="UNU254" s="219"/>
      <c r="UNV254" s="219"/>
      <c r="UNW254" s="219"/>
      <c r="UNX254" s="219"/>
      <c r="UNY254" s="219"/>
      <c r="UNZ254" s="219"/>
      <c r="UOA254" s="219"/>
      <c r="UOB254" s="219"/>
      <c r="UOC254" s="219"/>
      <c r="UOD254" s="219"/>
      <c r="UOE254" s="219"/>
      <c r="UOF254" s="219"/>
      <c r="UOG254" s="219"/>
      <c r="UOH254" s="219"/>
      <c r="UOI254" s="219"/>
      <c r="UOJ254" s="219"/>
      <c r="UOK254" s="219"/>
      <c r="UOL254" s="219"/>
      <c r="UOM254" s="219"/>
      <c r="UON254" s="219"/>
      <c r="UOO254" s="219"/>
      <c r="UOP254" s="219"/>
      <c r="UOQ254" s="219"/>
      <c r="UOR254" s="219"/>
      <c r="UOS254" s="219"/>
      <c r="UOT254" s="219"/>
      <c r="UOU254" s="219"/>
      <c r="UOV254" s="219"/>
      <c r="UOW254" s="219"/>
      <c r="UOX254" s="219"/>
      <c r="UOY254" s="219"/>
      <c r="UOZ254" s="219"/>
      <c r="UPA254" s="219"/>
      <c r="UPB254" s="219"/>
      <c r="UPC254" s="219"/>
      <c r="UPD254" s="219"/>
      <c r="UPE254" s="219"/>
      <c r="UPF254" s="219"/>
      <c r="UPG254" s="219"/>
      <c r="UPH254" s="219"/>
      <c r="UPI254" s="219"/>
      <c r="UPJ254" s="219"/>
      <c r="UPK254" s="219"/>
      <c r="UPL254" s="219"/>
      <c r="UPM254" s="219"/>
      <c r="UPN254" s="219"/>
      <c r="UPO254" s="219"/>
      <c r="UPP254" s="219"/>
      <c r="UPQ254" s="219"/>
      <c r="UPR254" s="219"/>
      <c r="UPS254" s="219"/>
      <c r="UPT254" s="219"/>
      <c r="UPU254" s="219"/>
      <c r="UPV254" s="219"/>
      <c r="UPW254" s="219"/>
      <c r="UPX254" s="219"/>
      <c r="UPY254" s="219"/>
      <c r="UPZ254" s="219"/>
      <c r="UQA254" s="219"/>
      <c r="UQB254" s="219"/>
      <c r="UQC254" s="219"/>
      <c r="UQD254" s="219"/>
      <c r="UQE254" s="219"/>
      <c r="UQF254" s="219"/>
      <c r="UQG254" s="219"/>
      <c r="UQH254" s="219"/>
      <c r="UQI254" s="219"/>
      <c r="UQJ254" s="219"/>
      <c r="UQK254" s="219"/>
      <c r="UQL254" s="219"/>
      <c r="UQM254" s="219"/>
      <c r="UQN254" s="219"/>
      <c r="UQO254" s="219"/>
      <c r="UQP254" s="219"/>
      <c r="UQQ254" s="219"/>
      <c r="UQR254" s="219"/>
      <c r="UQS254" s="219"/>
      <c r="UQT254" s="219"/>
      <c r="UQU254" s="219"/>
      <c r="UQV254" s="219"/>
      <c r="UQW254" s="219"/>
      <c r="UQX254" s="219"/>
      <c r="UQY254" s="219"/>
      <c r="UQZ254" s="219"/>
      <c r="URA254" s="219"/>
      <c r="URB254" s="219"/>
      <c r="URC254" s="219"/>
      <c r="URD254" s="219"/>
      <c r="URE254" s="219"/>
      <c r="URF254" s="219"/>
      <c r="URG254" s="219"/>
      <c r="URH254" s="219"/>
      <c r="URI254" s="219"/>
      <c r="URJ254" s="219"/>
      <c r="URK254" s="219"/>
      <c r="URL254" s="219"/>
      <c r="URM254" s="219"/>
      <c r="URN254" s="219"/>
      <c r="URO254" s="219"/>
      <c r="URP254" s="219"/>
      <c r="URQ254" s="219"/>
      <c r="URR254" s="219"/>
      <c r="URS254" s="219"/>
      <c r="URT254" s="219"/>
      <c r="URU254" s="219"/>
      <c r="URV254" s="219"/>
      <c r="URW254" s="219"/>
      <c r="URX254" s="219"/>
      <c r="URY254" s="219"/>
      <c r="URZ254" s="219"/>
      <c r="USA254" s="219"/>
      <c r="USB254" s="219"/>
      <c r="USC254" s="219"/>
      <c r="USD254" s="219"/>
      <c r="USE254" s="219"/>
      <c r="USF254" s="219"/>
      <c r="USG254" s="219"/>
      <c r="USH254" s="219"/>
      <c r="USI254" s="219"/>
      <c r="USJ254" s="219"/>
      <c r="USK254" s="219"/>
      <c r="USL254" s="219"/>
      <c r="USM254" s="219"/>
      <c r="USN254" s="219"/>
      <c r="USO254" s="219"/>
      <c r="USP254" s="219"/>
      <c r="USQ254" s="219"/>
      <c r="USR254" s="219"/>
      <c r="USS254" s="219"/>
      <c r="UST254" s="219"/>
      <c r="USU254" s="219"/>
      <c r="USV254" s="219"/>
      <c r="USW254" s="219"/>
      <c r="USX254" s="219"/>
      <c r="USY254" s="219"/>
      <c r="USZ254" s="219"/>
      <c r="UTA254" s="219"/>
      <c r="UTB254" s="219"/>
      <c r="UTC254" s="219"/>
      <c r="UTD254" s="219"/>
      <c r="UTE254" s="219"/>
      <c r="UTF254" s="219"/>
      <c r="UTG254" s="219"/>
      <c r="UTH254" s="219"/>
      <c r="UTI254" s="219"/>
      <c r="UTJ254" s="219"/>
      <c r="UTK254" s="219"/>
      <c r="UTL254" s="219"/>
      <c r="UTM254" s="219"/>
      <c r="UTN254" s="219"/>
      <c r="UTO254" s="219"/>
      <c r="UTP254" s="219"/>
      <c r="UTQ254" s="219"/>
      <c r="UTR254" s="219"/>
      <c r="UTS254" s="219"/>
      <c r="UTT254" s="219"/>
      <c r="UTU254" s="219"/>
      <c r="UTV254" s="219"/>
      <c r="UTW254" s="219"/>
      <c r="UTX254" s="219"/>
      <c r="UTY254" s="219"/>
      <c r="UTZ254" s="219"/>
      <c r="UUA254" s="219"/>
      <c r="UUB254" s="219"/>
      <c r="UUC254" s="219"/>
      <c r="UUD254" s="219"/>
      <c r="UUE254" s="219"/>
      <c r="UUF254" s="219"/>
      <c r="UUG254" s="219"/>
      <c r="UUH254" s="219"/>
      <c r="UUI254" s="219"/>
      <c r="UUJ254" s="219"/>
      <c r="UUK254" s="219"/>
      <c r="UUL254" s="219"/>
      <c r="UUM254" s="219"/>
      <c r="UUN254" s="219"/>
      <c r="UUO254" s="219"/>
      <c r="UUP254" s="219"/>
      <c r="UUQ254" s="219"/>
      <c r="UUR254" s="219"/>
      <c r="UUS254" s="219"/>
      <c r="UUT254" s="219"/>
      <c r="UUU254" s="219"/>
      <c r="UUV254" s="219"/>
      <c r="UUW254" s="219"/>
      <c r="UUX254" s="219"/>
      <c r="UUY254" s="219"/>
      <c r="UUZ254" s="219"/>
      <c r="UVA254" s="219"/>
      <c r="UVB254" s="219"/>
      <c r="UVC254" s="219"/>
      <c r="UVD254" s="219"/>
      <c r="UVE254" s="219"/>
      <c r="UVF254" s="219"/>
      <c r="UVG254" s="219"/>
      <c r="UVH254" s="219"/>
      <c r="UVI254" s="219"/>
      <c r="UVJ254" s="219"/>
      <c r="UVK254" s="219"/>
      <c r="UVL254" s="219"/>
      <c r="UVM254" s="219"/>
      <c r="UVN254" s="219"/>
      <c r="UVO254" s="219"/>
      <c r="UVP254" s="219"/>
      <c r="UVQ254" s="219"/>
      <c r="UVR254" s="219"/>
      <c r="UVS254" s="219"/>
      <c r="UVT254" s="219"/>
      <c r="UVU254" s="219"/>
      <c r="UVV254" s="219"/>
      <c r="UVW254" s="219"/>
      <c r="UVX254" s="219"/>
      <c r="UVY254" s="219"/>
      <c r="UVZ254" s="219"/>
      <c r="UWA254" s="219"/>
      <c r="UWB254" s="219"/>
      <c r="UWC254" s="219"/>
      <c r="UWD254" s="219"/>
      <c r="UWE254" s="219"/>
      <c r="UWF254" s="219"/>
      <c r="UWG254" s="219"/>
      <c r="UWH254" s="219"/>
      <c r="UWI254" s="219"/>
      <c r="UWJ254" s="219"/>
      <c r="UWK254" s="219"/>
      <c r="UWL254" s="219"/>
      <c r="UWM254" s="219"/>
      <c r="UWN254" s="219"/>
      <c r="UWO254" s="219"/>
      <c r="UWP254" s="219"/>
      <c r="UWQ254" s="219"/>
      <c r="UWR254" s="219"/>
      <c r="UWS254" s="219"/>
      <c r="UWT254" s="219"/>
      <c r="UWU254" s="219"/>
      <c r="UWV254" s="219"/>
      <c r="UWW254" s="219"/>
      <c r="UWX254" s="219"/>
      <c r="UWY254" s="219"/>
      <c r="UWZ254" s="219"/>
      <c r="UXA254" s="219"/>
      <c r="UXB254" s="219"/>
      <c r="UXC254" s="219"/>
      <c r="UXD254" s="219"/>
      <c r="UXE254" s="219"/>
      <c r="UXF254" s="219"/>
      <c r="UXG254" s="219"/>
      <c r="UXH254" s="219"/>
      <c r="UXI254" s="219"/>
      <c r="UXJ254" s="219"/>
      <c r="UXK254" s="219"/>
      <c r="UXL254" s="219"/>
      <c r="UXM254" s="219"/>
      <c r="UXN254" s="219"/>
      <c r="UXO254" s="219"/>
      <c r="UXP254" s="219"/>
      <c r="UXQ254" s="219"/>
      <c r="UXR254" s="219"/>
      <c r="UXS254" s="219"/>
      <c r="UXT254" s="219"/>
      <c r="UXU254" s="219"/>
      <c r="UXV254" s="219"/>
      <c r="UXW254" s="219"/>
      <c r="UXX254" s="219"/>
      <c r="UXY254" s="219"/>
      <c r="UXZ254" s="219"/>
      <c r="UYA254" s="219"/>
      <c r="UYB254" s="219"/>
      <c r="UYC254" s="219"/>
      <c r="UYD254" s="219"/>
      <c r="UYE254" s="219"/>
      <c r="UYF254" s="219"/>
      <c r="UYG254" s="219"/>
      <c r="UYH254" s="219"/>
      <c r="UYI254" s="219"/>
      <c r="UYJ254" s="219"/>
      <c r="UYK254" s="219"/>
      <c r="UYL254" s="219"/>
      <c r="UYM254" s="219"/>
      <c r="UYN254" s="219"/>
      <c r="UYO254" s="219"/>
      <c r="UYP254" s="219"/>
      <c r="UYQ254" s="219"/>
      <c r="UYR254" s="219"/>
      <c r="UYS254" s="219"/>
      <c r="UYT254" s="219"/>
      <c r="UYU254" s="219"/>
      <c r="UYV254" s="219"/>
      <c r="UYW254" s="219"/>
      <c r="UYX254" s="219"/>
      <c r="UYY254" s="219"/>
      <c r="UYZ254" s="219"/>
      <c r="UZA254" s="219"/>
      <c r="UZB254" s="219"/>
      <c r="UZC254" s="219"/>
      <c r="UZD254" s="219"/>
      <c r="UZE254" s="219"/>
      <c r="UZF254" s="219"/>
      <c r="UZG254" s="219"/>
      <c r="UZH254" s="219"/>
      <c r="UZI254" s="219"/>
      <c r="UZJ254" s="219"/>
      <c r="UZK254" s="219"/>
      <c r="UZL254" s="219"/>
      <c r="UZM254" s="219"/>
      <c r="UZN254" s="219"/>
      <c r="UZO254" s="219"/>
      <c r="UZP254" s="219"/>
      <c r="UZQ254" s="219"/>
      <c r="UZR254" s="219"/>
      <c r="UZS254" s="219"/>
      <c r="UZT254" s="219"/>
      <c r="UZU254" s="219"/>
      <c r="UZV254" s="219"/>
      <c r="UZW254" s="219"/>
      <c r="UZX254" s="219"/>
      <c r="UZY254" s="219"/>
      <c r="UZZ254" s="219"/>
      <c r="VAA254" s="219"/>
      <c r="VAB254" s="219"/>
      <c r="VAC254" s="219"/>
      <c r="VAD254" s="219"/>
      <c r="VAE254" s="219"/>
      <c r="VAF254" s="219"/>
      <c r="VAG254" s="219"/>
      <c r="VAH254" s="219"/>
      <c r="VAI254" s="219"/>
      <c r="VAJ254" s="219"/>
      <c r="VAK254" s="219"/>
      <c r="VAL254" s="219"/>
      <c r="VAM254" s="219"/>
      <c r="VAN254" s="219"/>
      <c r="VAO254" s="219"/>
      <c r="VAP254" s="219"/>
      <c r="VAQ254" s="219"/>
      <c r="VAR254" s="219"/>
      <c r="VAS254" s="219"/>
      <c r="VAT254" s="219"/>
      <c r="VAU254" s="219"/>
      <c r="VAV254" s="219"/>
      <c r="VAW254" s="219"/>
      <c r="VAX254" s="219"/>
      <c r="VAY254" s="219"/>
      <c r="VAZ254" s="219"/>
      <c r="VBA254" s="219"/>
      <c r="VBB254" s="219"/>
      <c r="VBC254" s="219"/>
      <c r="VBD254" s="219"/>
      <c r="VBE254" s="219"/>
      <c r="VBF254" s="219"/>
      <c r="VBG254" s="219"/>
      <c r="VBH254" s="219"/>
      <c r="VBI254" s="219"/>
      <c r="VBJ254" s="219"/>
      <c r="VBK254" s="219"/>
      <c r="VBL254" s="219"/>
      <c r="VBM254" s="219"/>
      <c r="VBN254" s="219"/>
      <c r="VBO254" s="219"/>
      <c r="VBP254" s="219"/>
      <c r="VBQ254" s="219"/>
      <c r="VBR254" s="219"/>
      <c r="VBS254" s="219"/>
      <c r="VBT254" s="219"/>
      <c r="VBU254" s="219"/>
      <c r="VBV254" s="219"/>
      <c r="VBW254" s="219"/>
      <c r="VBX254" s="219"/>
      <c r="VBY254" s="219"/>
      <c r="VBZ254" s="219"/>
      <c r="VCA254" s="219"/>
      <c r="VCB254" s="219"/>
      <c r="VCC254" s="219"/>
      <c r="VCD254" s="219"/>
      <c r="VCE254" s="219"/>
      <c r="VCF254" s="219"/>
      <c r="VCG254" s="219"/>
      <c r="VCH254" s="219"/>
      <c r="VCI254" s="219"/>
      <c r="VCJ254" s="219"/>
      <c r="VCK254" s="219"/>
      <c r="VCL254" s="219"/>
      <c r="VCM254" s="219"/>
      <c r="VCN254" s="219"/>
      <c r="VCO254" s="219"/>
      <c r="VCP254" s="219"/>
      <c r="VCQ254" s="219"/>
      <c r="VCR254" s="219"/>
      <c r="VCS254" s="219"/>
      <c r="VCT254" s="219"/>
      <c r="VCU254" s="219"/>
      <c r="VCV254" s="219"/>
      <c r="VCW254" s="219"/>
      <c r="VCX254" s="219"/>
      <c r="VCY254" s="219"/>
      <c r="VCZ254" s="219"/>
      <c r="VDA254" s="219"/>
      <c r="VDB254" s="219"/>
      <c r="VDC254" s="219"/>
      <c r="VDD254" s="219"/>
      <c r="VDE254" s="219"/>
      <c r="VDF254" s="219"/>
      <c r="VDG254" s="219"/>
      <c r="VDH254" s="219"/>
      <c r="VDI254" s="219"/>
      <c r="VDJ254" s="219"/>
      <c r="VDK254" s="219"/>
      <c r="VDL254" s="219"/>
      <c r="VDM254" s="219"/>
      <c r="VDN254" s="219"/>
      <c r="VDO254" s="219"/>
      <c r="VDP254" s="219"/>
      <c r="VDQ254" s="219"/>
      <c r="VDR254" s="219"/>
      <c r="VDS254" s="219"/>
      <c r="VDT254" s="219"/>
      <c r="VDU254" s="219"/>
      <c r="VDV254" s="219"/>
      <c r="VDW254" s="219"/>
      <c r="VDX254" s="219"/>
      <c r="VDY254" s="219"/>
      <c r="VDZ254" s="219"/>
      <c r="VEA254" s="219"/>
      <c r="VEB254" s="219"/>
      <c r="VEC254" s="219"/>
      <c r="VED254" s="219"/>
      <c r="VEE254" s="219"/>
      <c r="VEF254" s="219"/>
      <c r="VEG254" s="219"/>
      <c r="VEH254" s="219"/>
      <c r="VEI254" s="219"/>
      <c r="VEJ254" s="219"/>
      <c r="VEK254" s="219"/>
      <c r="VEL254" s="219"/>
      <c r="VEM254" s="219"/>
      <c r="VEN254" s="219"/>
      <c r="VEO254" s="219"/>
      <c r="VEP254" s="219"/>
      <c r="VEQ254" s="219"/>
      <c r="VER254" s="219"/>
      <c r="VES254" s="219"/>
      <c r="VET254" s="219"/>
      <c r="VEU254" s="219"/>
      <c r="VEV254" s="219"/>
      <c r="VEW254" s="219"/>
      <c r="VEX254" s="219"/>
      <c r="VEY254" s="219"/>
      <c r="VEZ254" s="219"/>
      <c r="VFA254" s="219"/>
      <c r="VFB254" s="219"/>
      <c r="VFC254" s="219"/>
      <c r="VFD254" s="219"/>
      <c r="VFE254" s="219"/>
      <c r="VFF254" s="219"/>
      <c r="VFG254" s="219"/>
      <c r="VFH254" s="219"/>
      <c r="VFI254" s="219"/>
      <c r="VFJ254" s="219"/>
      <c r="VFK254" s="219"/>
      <c r="VFL254" s="219"/>
      <c r="VFM254" s="219"/>
      <c r="VFN254" s="219"/>
      <c r="VFO254" s="219"/>
      <c r="VFP254" s="219"/>
      <c r="VFQ254" s="219"/>
      <c r="VFR254" s="219"/>
      <c r="VFS254" s="219"/>
      <c r="VFT254" s="219"/>
      <c r="VFU254" s="219"/>
      <c r="VFV254" s="219"/>
      <c r="VFW254" s="219"/>
      <c r="VFX254" s="219"/>
      <c r="VFY254" s="219"/>
      <c r="VFZ254" s="219"/>
      <c r="VGA254" s="219"/>
      <c r="VGB254" s="219"/>
      <c r="VGC254" s="219"/>
      <c r="VGD254" s="219"/>
      <c r="VGE254" s="219"/>
      <c r="VGF254" s="219"/>
      <c r="VGG254" s="219"/>
      <c r="VGH254" s="219"/>
      <c r="VGI254" s="219"/>
      <c r="VGJ254" s="219"/>
      <c r="VGK254" s="219"/>
      <c r="VGL254" s="219"/>
      <c r="VGM254" s="219"/>
      <c r="VGN254" s="219"/>
      <c r="VGO254" s="219"/>
      <c r="VGP254" s="219"/>
      <c r="VGQ254" s="219"/>
      <c r="VGR254" s="219"/>
      <c r="VGS254" s="219"/>
      <c r="VGT254" s="219"/>
      <c r="VGU254" s="219"/>
      <c r="VGV254" s="219"/>
      <c r="VGW254" s="219"/>
      <c r="VGX254" s="219"/>
      <c r="VGY254" s="219"/>
      <c r="VGZ254" s="219"/>
      <c r="VHA254" s="219"/>
      <c r="VHB254" s="219"/>
      <c r="VHC254" s="219"/>
      <c r="VHD254" s="219"/>
      <c r="VHE254" s="219"/>
      <c r="VHF254" s="219"/>
      <c r="VHG254" s="219"/>
      <c r="VHH254" s="219"/>
      <c r="VHI254" s="219"/>
      <c r="VHJ254" s="219"/>
      <c r="VHK254" s="219"/>
      <c r="VHL254" s="219"/>
      <c r="VHM254" s="219"/>
      <c r="VHN254" s="219"/>
      <c r="VHO254" s="219"/>
      <c r="VHP254" s="219"/>
      <c r="VHQ254" s="219"/>
      <c r="VHR254" s="219"/>
      <c r="VHS254" s="219"/>
      <c r="VHT254" s="219"/>
      <c r="VHU254" s="219"/>
      <c r="VHV254" s="219"/>
      <c r="VHW254" s="219"/>
      <c r="VHX254" s="219"/>
      <c r="VHY254" s="219"/>
      <c r="VHZ254" s="219"/>
      <c r="VIA254" s="219"/>
      <c r="VIB254" s="219"/>
      <c r="VIC254" s="219"/>
      <c r="VID254" s="219"/>
      <c r="VIE254" s="219"/>
      <c r="VIF254" s="219"/>
      <c r="VIG254" s="219"/>
      <c r="VIH254" s="219"/>
      <c r="VII254" s="219"/>
      <c r="VIJ254" s="219"/>
      <c r="VIK254" s="219"/>
      <c r="VIL254" s="219"/>
      <c r="VIM254" s="219"/>
      <c r="VIN254" s="219"/>
      <c r="VIO254" s="219"/>
      <c r="VIP254" s="219"/>
      <c r="VIQ254" s="219"/>
      <c r="VIR254" s="219"/>
      <c r="VIS254" s="219"/>
      <c r="VIT254" s="219"/>
      <c r="VIU254" s="219"/>
      <c r="VIV254" s="219"/>
      <c r="VIW254" s="219"/>
      <c r="VIX254" s="219"/>
      <c r="VIY254" s="219"/>
      <c r="VIZ254" s="219"/>
      <c r="VJA254" s="219"/>
      <c r="VJB254" s="219"/>
      <c r="VJC254" s="219"/>
      <c r="VJD254" s="219"/>
      <c r="VJE254" s="219"/>
      <c r="VJF254" s="219"/>
      <c r="VJG254" s="219"/>
      <c r="VJH254" s="219"/>
      <c r="VJI254" s="219"/>
      <c r="VJJ254" s="219"/>
      <c r="VJK254" s="219"/>
      <c r="VJL254" s="219"/>
      <c r="VJM254" s="219"/>
      <c r="VJN254" s="219"/>
      <c r="VJO254" s="219"/>
      <c r="VJP254" s="219"/>
      <c r="VJQ254" s="219"/>
      <c r="VJR254" s="219"/>
      <c r="VJS254" s="219"/>
      <c r="VJT254" s="219"/>
      <c r="VJU254" s="219"/>
      <c r="VJV254" s="219"/>
      <c r="VJW254" s="219"/>
      <c r="VJX254" s="219"/>
      <c r="VJY254" s="219"/>
      <c r="VJZ254" s="219"/>
      <c r="VKA254" s="219"/>
      <c r="VKB254" s="219"/>
      <c r="VKC254" s="219"/>
      <c r="VKD254" s="219"/>
      <c r="VKE254" s="219"/>
      <c r="VKF254" s="219"/>
      <c r="VKG254" s="219"/>
      <c r="VKH254" s="219"/>
      <c r="VKI254" s="219"/>
      <c r="VKJ254" s="219"/>
      <c r="VKK254" s="219"/>
      <c r="VKL254" s="219"/>
      <c r="VKM254" s="219"/>
      <c r="VKN254" s="219"/>
      <c r="VKO254" s="219"/>
      <c r="VKP254" s="219"/>
      <c r="VKQ254" s="219"/>
      <c r="VKR254" s="219"/>
      <c r="VKS254" s="219"/>
      <c r="VKT254" s="219"/>
      <c r="VKU254" s="219"/>
      <c r="VKV254" s="219"/>
      <c r="VKW254" s="219"/>
      <c r="VKX254" s="219"/>
      <c r="VKY254" s="219"/>
      <c r="VKZ254" s="219"/>
      <c r="VLA254" s="219"/>
      <c r="VLB254" s="219"/>
      <c r="VLC254" s="219"/>
      <c r="VLD254" s="219"/>
      <c r="VLE254" s="219"/>
      <c r="VLF254" s="219"/>
      <c r="VLG254" s="219"/>
      <c r="VLH254" s="219"/>
      <c r="VLI254" s="219"/>
      <c r="VLJ254" s="219"/>
      <c r="VLK254" s="219"/>
      <c r="VLL254" s="219"/>
      <c r="VLM254" s="219"/>
      <c r="VLN254" s="219"/>
      <c r="VLO254" s="219"/>
      <c r="VLP254" s="219"/>
      <c r="VLQ254" s="219"/>
      <c r="VLR254" s="219"/>
      <c r="VLS254" s="219"/>
      <c r="VLT254" s="219"/>
      <c r="VLU254" s="219"/>
      <c r="VLV254" s="219"/>
      <c r="VLW254" s="219"/>
      <c r="VLX254" s="219"/>
      <c r="VLY254" s="219"/>
      <c r="VLZ254" s="219"/>
      <c r="VMA254" s="219"/>
      <c r="VMB254" s="219"/>
      <c r="VMC254" s="219"/>
      <c r="VMD254" s="219"/>
      <c r="VME254" s="219"/>
      <c r="VMF254" s="219"/>
      <c r="VMG254" s="219"/>
      <c r="VMH254" s="219"/>
      <c r="VMI254" s="219"/>
      <c r="VMJ254" s="219"/>
      <c r="VMK254" s="219"/>
      <c r="VML254" s="219"/>
      <c r="VMM254" s="219"/>
      <c r="VMN254" s="219"/>
      <c r="VMO254" s="219"/>
      <c r="VMP254" s="219"/>
      <c r="VMQ254" s="219"/>
      <c r="VMR254" s="219"/>
      <c r="VMS254" s="219"/>
      <c r="VMT254" s="219"/>
      <c r="VMU254" s="219"/>
      <c r="VMV254" s="219"/>
      <c r="VMW254" s="219"/>
      <c r="VMX254" s="219"/>
      <c r="VMY254" s="219"/>
      <c r="VMZ254" s="219"/>
      <c r="VNA254" s="219"/>
      <c r="VNB254" s="219"/>
      <c r="VNC254" s="219"/>
      <c r="VND254" s="219"/>
      <c r="VNE254" s="219"/>
      <c r="VNF254" s="219"/>
      <c r="VNG254" s="219"/>
      <c r="VNH254" s="219"/>
      <c r="VNI254" s="219"/>
      <c r="VNJ254" s="219"/>
      <c r="VNK254" s="219"/>
      <c r="VNL254" s="219"/>
      <c r="VNM254" s="219"/>
      <c r="VNN254" s="219"/>
      <c r="VNO254" s="219"/>
      <c r="VNP254" s="219"/>
      <c r="VNQ254" s="219"/>
      <c r="VNR254" s="219"/>
      <c r="VNS254" s="219"/>
      <c r="VNT254" s="219"/>
      <c r="VNU254" s="219"/>
      <c r="VNV254" s="219"/>
      <c r="VNW254" s="219"/>
      <c r="VNX254" s="219"/>
      <c r="VNY254" s="219"/>
      <c r="VNZ254" s="219"/>
      <c r="VOA254" s="219"/>
      <c r="VOB254" s="219"/>
      <c r="VOC254" s="219"/>
      <c r="VOD254" s="219"/>
      <c r="VOE254" s="219"/>
      <c r="VOF254" s="219"/>
      <c r="VOG254" s="219"/>
      <c r="VOH254" s="219"/>
      <c r="VOI254" s="219"/>
      <c r="VOJ254" s="219"/>
      <c r="VOK254" s="219"/>
      <c r="VOL254" s="219"/>
      <c r="VOM254" s="219"/>
      <c r="VON254" s="219"/>
      <c r="VOO254" s="219"/>
      <c r="VOP254" s="219"/>
      <c r="VOQ254" s="219"/>
      <c r="VOR254" s="219"/>
      <c r="VOS254" s="219"/>
      <c r="VOT254" s="219"/>
      <c r="VOU254" s="219"/>
      <c r="VOV254" s="219"/>
      <c r="VOW254" s="219"/>
      <c r="VOX254" s="219"/>
      <c r="VOY254" s="219"/>
      <c r="VOZ254" s="219"/>
      <c r="VPA254" s="219"/>
      <c r="VPB254" s="219"/>
      <c r="VPC254" s="219"/>
      <c r="VPD254" s="219"/>
      <c r="VPE254" s="219"/>
      <c r="VPF254" s="219"/>
      <c r="VPG254" s="219"/>
      <c r="VPH254" s="219"/>
      <c r="VPI254" s="219"/>
      <c r="VPJ254" s="219"/>
      <c r="VPK254" s="219"/>
      <c r="VPL254" s="219"/>
      <c r="VPM254" s="219"/>
      <c r="VPN254" s="219"/>
      <c r="VPO254" s="219"/>
      <c r="VPP254" s="219"/>
      <c r="VPQ254" s="219"/>
      <c r="VPR254" s="219"/>
      <c r="VPS254" s="219"/>
      <c r="VPT254" s="219"/>
      <c r="VPU254" s="219"/>
      <c r="VPV254" s="219"/>
      <c r="VPW254" s="219"/>
      <c r="VPX254" s="219"/>
      <c r="VPY254" s="219"/>
      <c r="VPZ254" s="219"/>
      <c r="VQA254" s="219"/>
      <c r="VQB254" s="219"/>
      <c r="VQC254" s="219"/>
      <c r="VQD254" s="219"/>
      <c r="VQE254" s="219"/>
      <c r="VQF254" s="219"/>
      <c r="VQG254" s="219"/>
      <c r="VQH254" s="219"/>
      <c r="VQI254" s="219"/>
      <c r="VQJ254" s="219"/>
      <c r="VQK254" s="219"/>
      <c r="VQL254" s="219"/>
      <c r="VQM254" s="219"/>
      <c r="VQN254" s="219"/>
      <c r="VQO254" s="219"/>
      <c r="VQP254" s="219"/>
      <c r="VQQ254" s="219"/>
      <c r="VQR254" s="219"/>
      <c r="VQS254" s="219"/>
      <c r="VQT254" s="219"/>
      <c r="VQU254" s="219"/>
      <c r="VQV254" s="219"/>
      <c r="VQW254" s="219"/>
      <c r="VQX254" s="219"/>
      <c r="VQY254" s="219"/>
      <c r="VQZ254" s="219"/>
      <c r="VRA254" s="219"/>
      <c r="VRB254" s="219"/>
      <c r="VRC254" s="219"/>
      <c r="VRD254" s="219"/>
      <c r="VRE254" s="219"/>
      <c r="VRF254" s="219"/>
      <c r="VRG254" s="219"/>
      <c r="VRH254" s="219"/>
      <c r="VRI254" s="219"/>
      <c r="VRJ254" s="219"/>
      <c r="VRK254" s="219"/>
      <c r="VRL254" s="219"/>
      <c r="VRM254" s="219"/>
      <c r="VRN254" s="219"/>
      <c r="VRO254" s="219"/>
      <c r="VRP254" s="219"/>
      <c r="VRQ254" s="219"/>
      <c r="VRR254" s="219"/>
      <c r="VRS254" s="219"/>
      <c r="VRT254" s="219"/>
      <c r="VRU254" s="219"/>
      <c r="VRV254" s="219"/>
      <c r="VRW254" s="219"/>
      <c r="VRX254" s="219"/>
      <c r="VRY254" s="219"/>
      <c r="VRZ254" s="219"/>
      <c r="VSA254" s="219"/>
      <c r="VSB254" s="219"/>
      <c r="VSC254" s="219"/>
      <c r="VSD254" s="219"/>
      <c r="VSE254" s="219"/>
      <c r="VSF254" s="219"/>
      <c r="VSG254" s="219"/>
      <c r="VSH254" s="219"/>
      <c r="VSI254" s="219"/>
      <c r="VSJ254" s="219"/>
      <c r="VSK254" s="219"/>
      <c r="VSL254" s="219"/>
      <c r="VSM254" s="219"/>
      <c r="VSN254" s="219"/>
      <c r="VSO254" s="219"/>
      <c r="VSP254" s="219"/>
      <c r="VSQ254" s="219"/>
      <c r="VSR254" s="219"/>
      <c r="VSS254" s="219"/>
      <c r="VST254" s="219"/>
      <c r="VSU254" s="219"/>
      <c r="VSV254" s="219"/>
      <c r="VSW254" s="219"/>
      <c r="VSX254" s="219"/>
      <c r="VSY254" s="219"/>
      <c r="VSZ254" s="219"/>
      <c r="VTA254" s="219"/>
      <c r="VTB254" s="219"/>
      <c r="VTC254" s="219"/>
      <c r="VTD254" s="219"/>
      <c r="VTE254" s="219"/>
      <c r="VTF254" s="219"/>
      <c r="VTG254" s="219"/>
      <c r="VTH254" s="219"/>
      <c r="VTI254" s="219"/>
      <c r="VTJ254" s="219"/>
      <c r="VTK254" s="219"/>
      <c r="VTL254" s="219"/>
      <c r="VTM254" s="219"/>
      <c r="VTN254" s="219"/>
      <c r="VTO254" s="219"/>
      <c r="VTP254" s="219"/>
      <c r="VTQ254" s="219"/>
      <c r="VTR254" s="219"/>
      <c r="VTS254" s="219"/>
      <c r="VTT254" s="219"/>
      <c r="VTU254" s="219"/>
      <c r="VTV254" s="219"/>
      <c r="VTW254" s="219"/>
      <c r="VTX254" s="219"/>
      <c r="VTY254" s="219"/>
      <c r="VTZ254" s="219"/>
      <c r="VUA254" s="219"/>
      <c r="VUB254" s="219"/>
      <c r="VUC254" s="219"/>
      <c r="VUD254" s="219"/>
      <c r="VUE254" s="219"/>
      <c r="VUF254" s="219"/>
      <c r="VUG254" s="219"/>
      <c r="VUH254" s="219"/>
      <c r="VUI254" s="219"/>
      <c r="VUJ254" s="219"/>
      <c r="VUK254" s="219"/>
      <c r="VUL254" s="219"/>
      <c r="VUM254" s="219"/>
      <c r="VUN254" s="219"/>
      <c r="VUO254" s="219"/>
      <c r="VUP254" s="219"/>
      <c r="VUQ254" s="219"/>
      <c r="VUR254" s="219"/>
      <c r="VUS254" s="219"/>
      <c r="VUT254" s="219"/>
      <c r="VUU254" s="219"/>
      <c r="VUV254" s="219"/>
      <c r="VUW254" s="219"/>
      <c r="VUX254" s="219"/>
      <c r="VUY254" s="219"/>
      <c r="VUZ254" s="219"/>
      <c r="VVA254" s="219"/>
      <c r="VVB254" s="219"/>
      <c r="VVC254" s="219"/>
      <c r="VVD254" s="219"/>
      <c r="VVE254" s="219"/>
      <c r="VVF254" s="219"/>
      <c r="VVG254" s="219"/>
      <c r="VVH254" s="219"/>
      <c r="VVI254" s="219"/>
      <c r="VVJ254" s="219"/>
      <c r="VVK254" s="219"/>
      <c r="VVL254" s="219"/>
      <c r="VVM254" s="219"/>
      <c r="VVN254" s="219"/>
      <c r="VVO254" s="219"/>
      <c r="VVP254" s="219"/>
      <c r="VVQ254" s="219"/>
      <c r="VVR254" s="219"/>
      <c r="VVS254" s="219"/>
      <c r="VVT254" s="219"/>
      <c r="VVU254" s="219"/>
      <c r="VVV254" s="219"/>
      <c r="VVW254" s="219"/>
      <c r="VVX254" s="219"/>
      <c r="VVY254" s="219"/>
      <c r="VVZ254" s="219"/>
      <c r="VWA254" s="219"/>
      <c r="VWB254" s="219"/>
      <c r="VWC254" s="219"/>
      <c r="VWD254" s="219"/>
      <c r="VWE254" s="219"/>
      <c r="VWF254" s="219"/>
      <c r="VWG254" s="219"/>
      <c r="VWH254" s="219"/>
      <c r="VWI254" s="219"/>
      <c r="VWJ254" s="219"/>
      <c r="VWK254" s="219"/>
      <c r="VWL254" s="219"/>
      <c r="VWM254" s="219"/>
      <c r="VWN254" s="219"/>
      <c r="VWO254" s="219"/>
      <c r="VWP254" s="219"/>
      <c r="VWQ254" s="219"/>
      <c r="VWR254" s="219"/>
      <c r="VWS254" s="219"/>
      <c r="VWT254" s="219"/>
      <c r="VWU254" s="219"/>
      <c r="VWV254" s="219"/>
      <c r="VWW254" s="219"/>
      <c r="VWX254" s="219"/>
      <c r="VWY254" s="219"/>
      <c r="VWZ254" s="219"/>
      <c r="VXA254" s="219"/>
      <c r="VXB254" s="219"/>
      <c r="VXC254" s="219"/>
      <c r="VXD254" s="219"/>
      <c r="VXE254" s="219"/>
      <c r="VXF254" s="219"/>
      <c r="VXG254" s="219"/>
      <c r="VXH254" s="219"/>
      <c r="VXI254" s="219"/>
      <c r="VXJ254" s="219"/>
      <c r="VXK254" s="219"/>
      <c r="VXL254" s="219"/>
      <c r="VXM254" s="219"/>
      <c r="VXN254" s="219"/>
      <c r="VXO254" s="219"/>
      <c r="VXP254" s="219"/>
      <c r="VXQ254" s="219"/>
      <c r="VXR254" s="219"/>
      <c r="VXS254" s="219"/>
      <c r="VXT254" s="219"/>
      <c r="VXU254" s="219"/>
      <c r="VXV254" s="219"/>
      <c r="VXW254" s="219"/>
      <c r="VXX254" s="219"/>
      <c r="VXY254" s="219"/>
      <c r="VXZ254" s="219"/>
      <c r="VYA254" s="219"/>
      <c r="VYB254" s="219"/>
      <c r="VYC254" s="219"/>
      <c r="VYD254" s="219"/>
      <c r="VYE254" s="219"/>
      <c r="VYF254" s="219"/>
      <c r="VYG254" s="219"/>
      <c r="VYH254" s="219"/>
      <c r="VYI254" s="219"/>
      <c r="VYJ254" s="219"/>
      <c r="VYK254" s="219"/>
      <c r="VYL254" s="219"/>
      <c r="VYM254" s="219"/>
      <c r="VYN254" s="219"/>
      <c r="VYO254" s="219"/>
      <c r="VYP254" s="219"/>
      <c r="VYQ254" s="219"/>
      <c r="VYR254" s="219"/>
      <c r="VYS254" s="219"/>
      <c r="VYT254" s="219"/>
      <c r="VYU254" s="219"/>
      <c r="VYV254" s="219"/>
      <c r="VYW254" s="219"/>
      <c r="VYX254" s="219"/>
      <c r="VYY254" s="219"/>
      <c r="VYZ254" s="219"/>
      <c r="VZA254" s="219"/>
      <c r="VZB254" s="219"/>
      <c r="VZC254" s="219"/>
      <c r="VZD254" s="219"/>
      <c r="VZE254" s="219"/>
      <c r="VZF254" s="219"/>
      <c r="VZG254" s="219"/>
      <c r="VZH254" s="219"/>
      <c r="VZI254" s="219"/>
      <c r="VZJ254" s="219"/>
      <c r="VZK254" s="219"/>
      <c r="VZL254" s="219"/>
      <c r="VZM254" s="219"/>
      <c r="VZN254" s="219"/>
      <c r="VZO254" s="219"/>
      <c r="VZP254" s="219"/>
      <c r="VZQ254" s="219"/>
      <c r="VZR254" s="219"/>
      <c r="VZS254" s="219"/>
      <c r="VZT254" s="219"/>
      <c r="VZU254" s="219"/>
      <c r="VZV254" s="219"/>
      <c r="VZW254" s="219"/>
      <c r="VZX254" s="219"/>
      <c r="VZY254" s="219"/>
      <c r="VZZ254" s="219"/>
      <c r="WAA254" s="219"/>
      <c r="WAB254" s="219"/>
      <c r="WAC254" s="219"/>
      <c r="WAD254" s="219"/>
      <c r="WAE254" s="219"/>
      <c r="WAF254" s="219"/>
      <c r="WAG254" s="219"/>
      <c r="WAH254" s="219"/>
      <c r="WAI254" s="219"/>
      <c r="WAJ254" s="219"/>
      <c r="WAK254" s="219"/>
      <c r="WAL254" s="219"/>
      <c r="WAM254" s="219"/>
      <c r="WAN254" s="219"/>
      <c r="WAO254" s="219"/>
      <c r="WAP254" s="219"/>
      <c r="WAQ254" s="219"/>
      <c r="WAR254" s="219"/>
      <c r="WAS254" s="219"/>
      <c r="WAT254" s="219"/>
      <c r="WAU254" s="219"/>
      <c r="WAV254" s="219"/>
      <c r="WAW254" s="219"/>
      <c r="WAX254" s="219"/>
      <c r="WAY254" s="219"/>
      <c r="WAZ254" s="219"/>
      <c r="WBA254" s="219"/>
      <c r="WBB254" s="219"/>
      <c r="WBC254" s="219"/>
      <c r="WBD254" s="219"/>
      <c r="WBE254" s="219"/>
      <c r="WBF254" s="219"/>
      <c r="WBG254" s="219"/>
      <c r="WBH254" s="219"/>
      <c r="WBI254" s="219"/>
      <c r="WBJ254" s="219"/>
      <c r="WBK254" s="219"/>
      <c r="WBL254" s="219"/>
      <c r="WBM254" s="219"/>
      <c r="WBN254" s="219"/>
      <c r="WBO254" s="219"/>
      <c r="WBP254" s="219"/>
      <c r="WBQ254" s="219"/>
      <c r="WBR254" s="219"/>
      <c r="WBS254" s="219"/>
      <c r="WBT254" s="219"/>
      <c r="WBU254" s="219"/>
      <c r="WBV254" s="219"/>
      <c r="WBW254" s="219"/>
      <c r="WBX254" s="219"/>
      <c r="WBY254" s="219"/>
      <c r="WBZ254" s="219"/>
      <c r="WCA254" s="219"/>
      <c r="WCB254" s="219"/>
      <c r="WCC254" s="219"/>
      <c r="WCD254" s="219"/>
      <c r="WCE254" s="219"/>
      <c r="WCF254" s="219"/>
      <c r="WCG254" s="219"/>
      <c r="WCH254" s="219"/>
      <c r="WCI254" s="219"/>
      <c r="WCJ254" s="219"/>
      <c r="WCK254" s="219"/>
      <c r="WCL254" s="219"/>
      <c r="WCM254" s="219"/>
      <c r="WCN254" s="219"/>
      <c r="WCO254" s="219"/>
      <c r="WCP254" s="219"/>
      <c r="WCQ254" s="219"/>
      <c r="WCR254" s="219"/>
      <c r="WCS254" s="219"/>
      <c r="WCT254" s="219"/>
      <c r="WCU254" s="219"/>
      <c r="WCV254" s="219"/>
      <c r="WCW254" s="219"/>
      <c r="WCX254" s="219"/>
      <c r="WCY254" s="219"/>
      <c r="WCZ254" s="219"/>
      <c r="WDA254" s="219"/>
      <c r="WDB254" s="219"/>
      <c r="WDC254" s="219"/>
      <c r="WDD254" s="219"/>
      <c r="WDE254" s="219"/>
      <c r="WDF254" s="219"/>
      <c r="WDG254" s="219"/>
      <c r="WDH254" s="219"/>
      <c r="WDI254" s="219"/>
      <c r="WDJ254" s="219"/>
      <c r="WDK254" s="219"/>
      <c r="WDL254" s="219"/>
      <c r="WDM254" s="219"/>
      <c r="WDN254" s="219"/>
      <c r="WDO254" s="219"/>
      <c r="WDP254" s="219"/>
      <c r="WDQ254" s="219"/>
      <c r="WDR254" s="219"/>
      <c r="WDS254" s="219"/>
      <c r="WDT254" s="219"/>
      <c r="WDU254" s="219"/>
      <c r="WDV254" s="219"/>
      <c r="WDW254" s="219"/>
      <c r="WDX254" s="219"/>
      <c r="WDY254" s="219"/>
      <c r="WDZ254" s="219"/>
      <c r="WEA254" s="219"/>
      <c r="WEB254" s="219"/>
      <c r="WEC254" s="219"/>
      <c r="WED254" s="219"/>
      <c r="WEE254" s="219"/>
      <c r="WEF254" s="219"/>
      <c r="WEG254" s="219"/>
      <c r="WEH254" s="219"/>
      <c r="WEI254" s="219"/>
      <c r="WEJ254" s="219"/>
      <c r="WEK254" s="219"/>
      <c r="WEL254" s="219"/>
      <c r="WEM254" s="219"/>
      <c r="WEN254" s="219"/>
      <c r="WEO254" s="219"/>
      <c r="WEP254" s="219"/>
      <c r="WEQ254" s="219"/>
      <c r="WER254" s="219"/>
      <c r="WES254" s="219"/>
      <c r="WET254" s="219"/>
      <c r="WEU254" s="219"/>
      <c r="WEV254" s="219"/>
      <c r="WEW254" s="219"/>
      <c r="WEX254" s="219"/>
      <c r="WEY254" s="219"/>
      <c r="WEZ254" s="219"/>
      <c r="WFA254" s="219"/>
      <c r="WFB254" s="219"/>
      <c r="WFC254" s="219"/>
      <c r="WFD254" s="219"/>
      <c r="WFE254" s="219"/>
      <c r="WFF254" s="219"/>
      <c r="WFG254" s="219"/>
      <c r="WFH254" s="219"/>
      <c r="WFI254" s="219"/>
      <c r="WFJ254" s="219"/>
      <c r="WFK254" s="219"/>
      <c r="WFL254" s="219"/>
      <c r="WFM254" s="219"/>
      <c r="WFN254" s="219"/>
      <c r="WFO254" s="219"/>
      <c r="WFP254" s="219"/>
      <c r="WFQ254" s="219"/>
      <c r="WFR254" s="219"/>
      <c r="WFS254" s="219"/>
      <c r="WFT254" s="219"/>
      <c r="WFU254" s="219"/>
      <c r="WFV254" s="219"/>
      <c r="WFW254" s="219"/>
      <c r="WFX254" s="219"/>
      <c r="WFY254" s="219"/>
      <c r="WFZ254" s="219"/>
      <c r="WGA254" s="219"/>
      <c r="WGB254" s="219"/>
      <c r="WGC254" s="219"/>
      <c r="WGD254" s="219"/>
      <c r="WGE254" s="219"/>
      <c r="WGF254" s="219"/>
      <c r="WGG254" s="219"/>
      <c r="WGH254" s="219"/>
      <c r="WGI254" s="219"/>
      <c r="WGJ254" s="219"/>
      <c r="WGK254" s="219"/>
      <c r="WGL254" s="219"/>
      <c r="WGM254" s="219"/>
      <c r="WGN254" s="219"/>
      <c r="WGO254" s="219"/>
      <c r="WGP254" s="219"/>
      <c r="WGQ254" s="219"/>
      <c r="WGR254" s="219"/>
      <c r="WGS254" s="219"/>
      <c r="WGT254" s="219"/>
      <c r="WGU254" s="219"/>
      <c r="WGV254" s="219"/>
      <c r="WGW254" s="219"/>
      <c r="WGX254" s="219"/>
      <c r="WGY254" s="219"/>
      <c r="WGZ254" s="219"/>
      <c r="WHA254" s="219"/>
      <c r="WHB254" s="219"/>
      <c r="WHC254" s="219"/>
      <c r="WHD254" s="219"/>
      <c r="WHE254" s="219"/>
      <c r="WHF254" s="219"/>
      <c r="WHG254" s="219"/>
      <c r="WHH254" s="219"/>
      <c r="WHI254" s="219"/>
      <c r="WHJ254" s="219"/>
      <c r="WHK254" s="219"/>
      <c r="WHL254" s="219"/>
      <c r="WHM254" s="219"/>
      <c r="WHN254" s="219"/>
      <c r="WHO254" s="219"/>
      <c r="WHP254" s="219"/>
      <c r="WHQ254" s="219"/>
      <c r="WHR254" s="219"/>
      <c r="WHS254" s="219"/>
      <c r="WHT254" s="219"/>
      <c r="WHU254" s="219"/>
      <c r="WHV254" s="219"/>
      <c r="WHW254" s="219"/>
      <c r="WHX254" s="219"/>
      <c r="WHY254" s="219"/>
      <c r="WHZ254" s="219"/>
      <c r="WIA254" s="219"/>
      <c r="WIB254" s="219"/>
      <c r="WIC254" s="219"/>
      <c r="WID254" s="219"/>
      <c r="WIE254" s="219"/>
      <c r="WIF254" s="219"/>
      <c r="WIG254" s="219"/>
      <c r="WIH254" s="219"/>
      <c r="WII254" s="219"/>
      <c r="WIJ254" s="219"/>
      <c r="WIK254" s="219"/>
      <c r="WIL254" s="219"/>
      <c r="WIM254" s="219"/>
      <c r="WIN254" s="219"/>
      <c r="WIO254" s="219"/>
      <c r="WIP254" s="219"/>
      <c r="WIQ254" s="219"/>
      <c r="WIR254" s="219"/>
      <c r="WIS254" s="219"/>
      <c r="WIT254" s="219"/>
      <c r="WIU254" s="219"/>
      <c r="WIV254" s="219"/>
      <c r="WIW254" s="219"/>
      <c r="WIX254" s="219"/>
      <c r="WIY254" s="219"/>
      <c r="WIZ254" s="219"/>
      <c r="WJA254" s="219"/>
      <c r="WJB254" s="219"/>
      <c r="WJC254" s="219"/>
      <c r="WJD254" s="219"/>
      <c r="WJE254" s="219"/>
      <c r="WJF254" s="219"/>
      <c r="WJG254" s="219"/>
      <c r="WJH254" s="219"/>
      <c r="WJI254" s="219"/>
      <c r="WJJ254" s="219"/>
      <c r="WJK254" s="219"/>
      <c r="WJL254" s="219"/>
      <c r="WJM254" s="219"/>
      <c r="WJN254" s="219"/>
      <c r="WJO254" s="219"/>
      <c r="WJP254" s="219"/>
      <c r="WJQ254" s="219"/>
      <c r="WJR254" s="219"/>
      <c r="WJS254" s="219"/>
      <c r="WJT254" s="219"/>
      <c r="WJU254" s="219"/>
      <c r="WJV254" s="219"/>
      <c r="WJW254" s="219"/>
      <c r="WJX254" s="219"/>
      <c r="WJY254" s="219"/>
      <c r="WJZ254" s="219"/>
      <c r="WKA254" s="219"/>
      <c r="WKB254" s="219"/>
      <c r="WKC254" s="219"/>
      <c r="WKD254" s="219"/>
      <c r="WKE254" s="219"/>
      <c r="WKF254" s="219"/>
      <c r="WKG254" s="219"/>
      <c r="WKH254" s="219"/>
      <c r="WKI254" s="219"/>
      <c r="WKJ254" s="219"/>
      <c r="WKK254" s="219"/>
      <c r="WKL254" s="219"/>
      <c r="WKM254" s="219"/>
      <c r="WKN254" s="219"/>
      <c r="WKO254" s="219"/>
      <c r="WKP254" s="219"/>
      <c r="WKQ254" s="219"/>
      <c r="WKR254" s="219"/>
      <c r="WKS254" s="219"/>
      <c r="WKT254" s="219"/>
      <c r="WKU254" s="219"/>
      <c r="WKV254" s="219"/>
      <c r="WKW254" s="219"/>
      <c r="WKX254" s="219"/>
      <c r="WKY254" s="219"/>
      <c r="WKZ254" s="219"/>
      <c r="WLA254" s="219"/>
      <c r="WLB254" s="219"/>
      <c r="WLC254" s="219"/>
      <c r="WLD254" s="219"/>
      <c r="WLE254" s="219"/>
      <c r="WLF254" s="219"/>
      <c r="WLG254" s="219"/>
      <c r="WLH254" s="219"/>
      <c r="WLI254" s="219"/>
      <c r="WLJ254" s="219"/>
      <c r="WLK254" s="219"/>
      <c r="WLL254" s="219"/>
      <c r="WLM254" s="219"/>
      <c r="WLN254" s="219"/>
      <c r="WLO254" s="219"/>
      <c r="WLP254" s="219"/>
      <c r="WLQ254" s="219"/>
      <c r="WLR254" s="219"/>
      <c r="WLS254" s="219"/>
      <c r="WLT254" s="219"/>
      <c r="WLU254" s="219"/>
      <c r="WLV254" s="219"/>
      <c r="WLW254" s="219"/>
      <c r="WLX254" s="219"/>
      <c r="WLY254" s="219"/>
      <c r="WLZ254" s="219"/>
      <c r="WMA254" s="219"/>
      <c r="WMB254" s="219"/>
      <c r="WMC254" s="219"/>
      <c r="WMD254" s="219"/>
      <c r="WME254" s="219"/>
      <c r="WMF254" s="219"/>
      <c r="WMG254" s="219"/>
      <c r="WMH254" s="219"/>
      <c r="WMI254" s="219"/>
      <c r="WMJ254" s="219"/>
      <c r="WMK254" s="219"/>
      <c r="WML254" s="219"/>
      <c r="WMM254" s="219"/>
      <c r="WMN254" s="219"/>
      <c r="WMO254" s="219"/>
      <c r="WMP254" s="219"/>
      <c r="WMQ254" s="219"/>
      <c r="WMR254" s="219"/>
      <c r="WMS254" s="219"/>
      <c r="WMT254" s="219"/>
      <c r="WMU254" s="219"/>
      <c r="WMV254" s="219"/>
      <c r="WMW254" s="219"/>
      <c r="WMX254" s="219"/>
      <c r="WMY254" s="219"/>
      <c r="WMZ254" s="219"/>
      <c r="WNA254" s="219"/>
      <c r="WNB254" s="219"/>
      <c r="WNC254" s="219"/>
      <c r="WND254" s="219"/>
      <c r="WNE254" s="219"/>
      <c r="WNF254" s="219"/>
      <c r="WNG254" s="219"/>
      <c r="WNH254" s="219"/>
      <c r="WNI254" s="219"/>
      <c r="WNJ254" s="219"/>
      <c r="WNK254" s="219"/>
      <c r="WNL254" s="219"/>
      <c r="WNM254" s="219"/>
      <c r="WNN254" s="219"/>
      <c r="WNO254" s="219"/>
      <c r="WNP254" s="219"/>
      <c r="WNQ254" s="219"/>
      <c r="WNR254" s="219"/>
      <c r="WNS254" s="219"/>
      <c r="WNT254" s="219"/>
      <c r="WNU254" s="219"/>
      <c r="WNV254" s="219"/>
      <c r="WNW254" s="219"/>
      <c r="WNX254" s="219"/>
      <c r="WNY254" s="219"/>
      <c r="WNZ254" s="219"/>
      <c r="WOA254" s="219"/>
      <c r="WOB254" s="219"/>
      <c r="WOC254" s="219"/>
      <c r="WOD254" s="219"/>
      <c r="WOE254" s="219"/>
      <c r="WOF254" s="219"/>
      <c r="WOG254" s="219"/>
      <c r="WOH254" s="219"/>
      <c r="WOI254" s="219"/>
      <c r="WOJ254" s="219"/>
      <c r="WOK254" s="219"/>
      <c r="WOL254" s="219"/>
      <c r="WOM254" s="219"/>
      <c r="WON254" s="219"/>
      <c r="WOO254" s="219"/>
      <c r="WOP254" s="219"/>
      <c r="WOQ254" s="219"/>
      <c r="WOR254" s="219"/>
      <c r="WOS254" s="219"/>
      <c r="WOT254" s="219"/>
      <c r="WOU254" s="219"/>
      <c r="WOV254" s="219"/>
      <c r="WOW254" s="219"/>
      <c r="WOX254" s="219"/>
      <c r="WOY254" s="219"/>
      <c r="WOZ254" s="219"/>
      <c r="WPA254" s="219"/>
      <c r="WPB254" s="219"/>
      <c r="WPC254" s="219"/>
      <c r="WPD254" s="219"/>
      <c r="WPE254" s="219"/>
      <c r="WPF254" s="219"/>
      <c r="WPG254" s="219"/>
      <c r="WPH254" s="219"/>
      <c r="WPI254" s="219"/>
      <c r="WPJ254" s="219"/>
      <c r="WPK254" s="219"/>
      <c r="WPL254" s="219"/>
      <c r="WPM254" s="219"/>
      <c r="WPN254" s="219"/>
      <c r="WPO254" s="219"/>
      <c r="WPP254" s="219"/>
      <c r="WPQ254" s="219"/>
      <c r="WPR254" s="219"/>
      <c r="WPS254" s="219"/>
      <c r="WPT254" s="219"/>
      <c r="WPU254" s="219"/>
      <c r="WPV254" s="219"/>
      <c r="WPW254" s="219"/>
      <c r="WPX254" s="219"/>
      <c r="WPY254" s="219"/>
      <c r="WPZ254" s="219"/>
      <c r="WQA254" s="219"/>
      <c r="WQB254" s="219"/>
      <c r="WQC254" s="219"/>
      <c r="WQD254" s="219"/>
      <c r="WQE254" s="219"/>
      <c r="WQF254" s="219"/>
      <c r="WQG254" s="219"/>
      <c r="WQH254" s="219"/>
      <c r="WQI254" s="219"/>
      <c r="WQJ254" s="219"/>
      <c r="WQK254" s="219"/>
      <c r="WQL254" s="219"/>
      <c r="WQM254" s="219"/>
      <c r="WQN254" s="219"/>
      <c r="WQO254" s="219"/>
      <c r="WQP254" s="219"/>
      <c r="WQQ254" s="219"/>
      <c r="WQR254" s="219"/>
      <c r="WQS254" s="219"/>
      <c r="WQT254" s="219"/>
      <c r="WQU254" s="219"/>
      <c r="WQV254" s="219"/>
      <c r="WQW254" s="219"/>
      <c r="WQX254" s="219"/>
      <c r="WQY254" s="219"/>
      <c r="WQZ254" s="219"/>
      <c r="WRA254" s="219"/>
      <c r="WRB254" s="219"/>
      <c r="WRC254" s="219"/>
      <c r="WRD254" s="219"/>
      <c r="WRE254" s="219"/>
      <c r="WRF254" s="219"/>
      <c r="WRG254" s="219"/>
      <c r="WRH254" s="219"/>
      <c r="WRI254" s="219"/>
      <c r="WRJ254" s="219"/>
      <c r="WRK254" s="219"/>
      <c r="WRL254" s="219"/>
      <c r="WRM254" s="219"/>
      <c r="WRN254" s="219"/>
      <c r="WRO254" s="219"/>
      <c r="WRP254" s="219"/>
      <c r="WRQ254" s="219"/>
      <c r="WRR254" s="219"/>
      <c r="WRS254" s="219"/>
      <c r="WRT254" s="219"/>
      <c r="WRU254" s="219"/>
      <c r="WRV254" s="219"/>
      <c r="WRW254" s="219"/>
      <c r="WRX254" s="219"/>
      <c r="WRY254" s="219"/>
      <c r="WRZ254" s="219"/>
      <c r="WSA254" s="219"/>
      <c r="WSB254" s="219"/>
      <c r="WSC254" s="219"/>
      <c r="WSD254" s="219"/>
      <c r="WSE254" s="219"/>
      <c r="WSF254" s="219"/>
      <c r="WSG254" s="219"/>
      <c r="WSH254" s="219"/>
      <c r="WSI254" s="219"/>
      <c r="WSJ254" s="219"/>
      <c r="WSK254" s="219"/>
      <c r="WSL254" s="219"/>
      <c r="WSM254" s="219"/>
      <c r="WSN254" s="219"/>
      <c r="WSO254" s="219"/>
      <c r="WSP254" s="219"/>
      <c r="WSQ254" s="219"/>
      <c r="WSR254" s="219"/>
      <c r="WSS254" s="219"/>
      <c r="WST254" s="219"/>
      <c r="WSU254" s="219"/>
      <c r="WSV254" s="219"/>
      <c r="WSW254" s="219"/>
      <c r="WSX254" s="219"/>
      <c r="WSY254" s="219"/>
      <c r="WSZ254" s="219"/>
      <c r="WTA254" s="219"/>
      <c r="WTB254" s="219"/>
      <c r="WTC254" s="219"/>
      <c r="WTD254" s="219"/>
      <c r="WTE254" s="219"/>
      <c r="WTF254" s="219"/>
      <c r="WTG254" s="219"/>
      <c r="WTH254" s="219"/>
      <c r="WTI254" s="219"/>
      <c r="WTJ254" s="219"/>
      <c r="WTK254" s="219"/>
      <c r="WTL254" s="219"/>
      <c r="WTM254" s="219"/>
      <c r="WTN254" s="219"/>
      <c r="WTO254" s="219"/>
      <c r="WTP254" s="219"/>
      <c r="WTQ254" s="219"/>
      <c r="WTR254" s="219"/>
      <c r="WTS254" s="219"/>
      <c r="WTT254" s="219"/>
      <c r="WTU254" s="219"/>
      <c r="WTV254" s="219"/>
      <c r="WTW254" s="219"/>
      <c r="WTX254" s="219"/>
      <c r="WTY254" s="219"/>
      <c r="WTZ254" s="219"/>
      <c r="WUA254" s="219"/>
      <c r="WUB254" s="219"/>
      <c r="WUC254" s="219"/>
      <c r="WUD254" s="219"/>
      <c r="WUE254" s="219"/>
      <c r="WUF254" s="219"/>
      <c r="WUG254" s="219"/>
      <c r="WUH254" s="219"/>
      <c r="WUI254" s="219"/>
      <c r="WUJ254" s="219"/>
      <c r="WUK254" s="219"/>
      <c r="WUL254" s="219"/>
      <c r="WUM254" s="219"/>
      <c r="WUN254" s="219"/>
      <c r="WUO254" s="219"/>
      <c r="WUP254" s="219"/>
      <c r="WUQ254" s="219"/>
      <c r="WUR254" s="219"/>
      <c r="WUS254" s="219"/>
      <c r="WUT254" s="219"/>
      <c r="WUU254" s="219"/>
      <c r="WUV254" s="219"/>
      <c r="WUW254" s="219"/>
      <c r="WUX254" s="219"/>
      <c r="WUY254" s="219"/>
      <c r="WUZ254" s="219"/>
      <c r="WVA254" s="219"/>
      <c r="WVB254" s="219"/>
      <c r="WVC254" s="219"/>
      <c r="WVD254" s="219"/>
      <c r="WVE254" s="219"/>
      <c r="WVF254" s="219"/>
      <c r="WVG254" s="219"/>
      <c r="WVH254" s="219"/>
      <c r="WVI254" s="219"/>
      <c r="WVJ254" s="219"/>
      <c r="WVK254" s="219"/>
      <c r="WVL254" s="219"/>
      <c r="WVM254" s="219"/>
      <c r="WVN254" s="219"/>
      <c r="WVO254" s="219"/>
      <c r="WVP254" s="219"/>
      <c r="WVQ254" s="219"/>
      <c r="WVR254" s="219"/>
      <c r="WVS254" s="219"/>
      <c r="WVT254" s="219"/>
      <c r="WVU254" s="219"/>
      <c r="WVV254" s="219"/>
      <c r="WVW254" s="219"/>
      <c r="WVX254" s="219"/>
      <c r="WVY254" s="219"/>
      <c r="WVZ254" s="219"/>
      <c r="WWA254" s="219"/>
      <c r="WWB254" s="219"/>
      <c r="WWC254" s="219"/>
      <c r="WWD254" s="219"/>
      <c r="WWE254" s="219"/>
      <c r="WWF254" s="219"/>
      <c r="WWG254" s="219"/>
      <c r="WWH254" s="219"/>
      <c r="WWI254" s="219"/>
      <c r="WWJ254" s="219"/>
      <c r="WWK254" s="219"/>
      <c r="WWL254" s="219"/>
      <c r="WWM254" s="219"/>
      <c r="WWN254" s="219"/>
      <c r="WWO254" s="219"/>
      <c r="WWP254" s="219"/>
      <c r="WWQ254" s="219"/>
      <c r="WWR254" s="219"/>
      <c r="WWS254" s="219"/>
      <c r="WWT254" s="219"/>
      <c r="WWU254" s="219"/>
      <c r="WWV254" s="219"/>
      <c r="WWW254" s="219"/>
      <c r="WWX254" s="219"/>
      <c r="WWY254" s="219"/>
      <c r="WWZ254" s="219"/>
      <c r="WXA254" s="219"/>
      <c r="WXB254" s="219"/>
      <c r="WXC254" s="219"/>
      <c r="WXD254" s="219"/>
      <c r="WXE254" s="219"/>
      <c r="WXF254" s="219"/>
      <c r="WXG254" s="219"/>
      <c r="WXH254" s="219"/>
      <c r="WXI254" s="219"/>
      <c r="WXJ254" s="219"/>
      <c r="WXK254" s="219"/>
      <c r="WXL254" s="219"/>
      <c r="WXM254" s="219"/>
      <c r="WXN254" s="219"/>
      <c r="WXO254" s="219"/>
      <c r="WXP254" s="219"/>
      <c r="WXQ254" s="219"/>
      <c r="WXR254" s="219"/>
      <c r="WXS254" s="219"/>
      <c r="WXT254" s="219"/>
      <c r="WXU254" s="219"/>
      <c r="WXV254" s="219"/>
      <c r="WXW254" s="219"/>
      <c r="WXX254" s="219"/>
      <c r="WXY254" s="219"/>
      <c r="WXZ254" s="219"/>
      <c r="WYA254" s="219"/>
      <c r="WYB254" s="219"/>
      <c r="WYC254" s="219"/>
      <c r="WYD254" s="219"/>
      <c r="WYE254" s="219"/>
      <c r="WYF254" s="219"/>
      <c r="WYG254" s="219"/>
      <c r="WYH254" s="219"/>
      <c r="WYI254" s="219"/>
      <c r="WYJ254" s="219"/>
      <c r="WYK254" s="219"/>
      <c r="WYL254" s="219"/>
      <c r="WYM254" s="219"/>
      <c r="WYN254" s="219"/>
      <c r="WYO254" s="219"/>
      <c r="WYP254" s="219"/>
      <c r="WYQ254" s="219"/>
      <c r="WYR254" s="219"/>
      <c r="WYS254" s="219"/>
      <c r="WYT254" s="219"/>
      <c r="WYU254" s="219"/>
      <c r="WYV254" s="219"/>
      <c r="WYW254" s="219"/>
      <c r="WYX254" s="219"/>
      <c r="WYY254" s="219"/>
      <c r="WYZ254" s="219"/>
      <c r="WZA254" s="219"/>
      <c r="WZB254" s="219"/>
      <c r="WZC254" s="219"/>
      <c r="WZD254" s="219"/>
      <c r="WZE254" s="219"/>
      <c r="WZF254" s="219"/>
      <c r="WZG254" s="219"/>
      <c r="WZH254" s="219"/>
      <c r="WZI254" s="219"/>
      <c r="WZJ254" s="219"/>
      <c r="WZK254" s="219"/>
      <c r="WZL254" s="219"/>
      <c r="WZM254" s="219"/>
      <c r="WZN254" s="219"/>
      <c r="WZO254" s="219"/>
      <c r="WZP254" s="219"/>
      <c r="WZQ254" s="219"/>
      <c r="WZR254" s="219"/>
      <c r="WZS254" s="219"/>
      <c r="WZT254" s="219"/>
      <c r="WZU254" s="219"/>
      <c r="WZV254" s="219"/>
      <c r="WZW254" s="219"/>
      <c r="WZX254" s="219"/>
      <c r="WZY254" s="219"/>
      <c r="WZZ254" s="219"/>
      <c r="XAA254" s="219"/>
      <c r="XAB254" s="219"/>
      <c r="XAC254" s="219"/>
      <c r="XAD254" s="219"/>
      <c r="XAE254" s="219"/>
      <c r="XAF254" s="219"/>
      <c r="XAG254" s="219"/>
      <c r="XAH254" s="219"/>
      <c r="XAI254" s="219"/>
      <c r="XAJ254" s="219"/>
      <c r="XAK254" s="219"/>
      <c r="XAL254" s="219"/>
      <c r="XAM254" s="219"/>
      <c r="XAN254" s="219"/>
      <c r="XAO254" s="219"/>
      <c r="XAP254" s="219"/>
      <c r="XAQ254" s="219"/>
      <c r="XAR254" s="219"/>
      <c r="XAS254" s="219"/>
      <c r="XAT254" s="219"/>
      <c r="XAU254" s="219"/>
      <c r="XAV254" s="219"/>
      <c r="XAW254" s="219"/>
      <c r="XAX254" s="219"/>
      <c r="XAY254" s="219"/>
      <c r="XAZ254" s="219"/>
      <c r="XBA254" s="219"/>
      <c r="XBB254" s="219"/>
      <c r="XBC254" s="219"/>
      <c r="XBD254" s="219"/>
      <c r="XBE254" s="219"/>
      <c r="XBF254" s="219"/>
      <c r="XBG254" s="219"/>
      <c r="XBH254" s="219"/>
      <c r="XBI254" s="219"/>
      <c r="XBJ254" s="219"/>
      <c r="XBK254" s="219"/>
      <c r="XBL254" s="219"/>
      <c r="XBM254" s="219"/>
      <c r="XBN254" s="219"/>
      <c r="XBO254" s="219"/>
      <c r="XBP254" s="219"/>
      <c r="XBQ254" s="219"/>
      <c r="XBR254" s="219"/>
      <c r="XBS254" s="219"/>
      <c r="XBT254" s="219"/>
      <c r="XBU254" s="219"/>
      <c r="XBV254" s="219"/>
      <c r="XBW254" s="219"/>
      <c r="XBX254" s="219"/>
      <c r="XBY254" s="219"/>
      <c r="XBZ254" s="219"/>
      <c r="XCA254" s="219"/>
      <c r="XCB254" s="219"/>
      <c r="XCC254" s="219"/>
      <c r="XCD254" s="219"/>
      <c r="XCE254" s="219"/>
      <c r="XCF254" s="219"/>
      <c r="XCG254" s="219"/>
      <c r="XCH254" s="219"/>
      <c r="XCI254" s="219"/>
      <c r="XCJ254" s="219"/>
      <c r="XCK254" s="219"/>
      <c r="XCL254" s="219"/>
      <c r="XCM254" s="219"/>
      <c r="XCN254" s="219"/>
      <c r="XCO254" s="219"/>
      <c r="XCP254" s="219"/>
      <c r="XCQ254" s="219"/>
      <c r="XCR254" s="219"/>
      <c r="XCS254" s="219"/>
      <c r="XCT254" s="219"/>
      <c r="XCU254" s="219"/>
      <c r="XCV254" s="219"/>
      <c r="XCW254" s="219"/>
      <c r="XCX254" s="219"/>
      <c r="XCY254" s="219"/>
      <c r="XCZ254" s="219"/>
      <c r="XDA254" s="219"/>
      <c r="XDB254" s="219"/>
      <c r="XDC254" s="219"/>
      <c r="XDD254" s="219"/>
      <c r="XDE254" s="219"/>
      <c r="XDF254" s="219"/>
      <c r="XDG254" s="219"/>
      <c r="XDH254" s="219"/>
      <c r="XDI254" s="219"/>
      <c r="XDJ254" s="219"/>
      <c r="XDK254" s="219"/>
      <c r="XDL254" s="219"/>
      <c r="XDM254" s="219"/>
      <c r="XDN254" s="219"/>
      <c r="XDO254" s="219"/>
      <c r="XDP254" s="219"/>
      <c r="XDQ254" s="219"/>
      <c r="XDR254" s="219"/>
      <c r="XDS254" s="219"/>
      <c r="XDT254" s="219"/>
      <c r="XDU254" s="219"/>
      <c r="XDV254" s="219"/>
      <c r="XDW254" s="219"/>
      <c r="XDX254" s="219"/>
      <c r="XDY254" s="219"/>
      <c r="XDZ254" s="219"/>
      <c r="XEA254" s="219"/>
      <c r="XEB254" s="219"/>
      <c r="XEC254" s="219"/>
      <c r="XED254" s="219"/>
      <c r="XEE254" s="219"/>
      <c r="XEF254" s="219"/>
      <c r="XEG254" s="219"/>
      <c r="XEH254" s="219"/>
      <c r="XEI254" s="219"/>
      <c r="XEJ254" s="219"/>
      <c r="XEK254" s="219"/>
      <c r="XEL254" s="219"/>
      <c r="XEM254" s="219"/>
      <c r="XEN254" s="219"/>
      <c r="XEO254" s="219"/>
      <c r="XEP254" s="219"/>
      <c r="XEQ254" s="219"/>
      <c r="XER254" s="219"/>
      <c r="XES254" s="219"/>
      <c r="XET254" s="219"/>
      <c r="XEU254" s="219"/>
      <c r="XEV254" s="219"/>
      <c r="XEW254" s="219"/>
      <c r="XEX254" s="219"/>
      <c r="XEY254" s="219"/>
      <c r="XEZ254" s="219"/>
      <c r="XFA254" s="219"/>
      <c r="XFB254" s="219"/>
    </row>
    <row r="255" spans="1:16382" s="226" customFormat="1" x14ac:dyDescent="0.2">
      <c r="A255" s="86" t="s">
        <v>47</v>
      </c>
      <c r="B255" s="86" t="s">
        <v>816</v>
      </c>
      <c r="C255" s="86"/>
      <c r="D255" s="86" t="s">
        <v>37</v>
      </c>
      <c r="E255" s="86" t="s">
        <v>1280</v>
      </c>
      <c r="F255" s="86"/>
      <c r="G255" s="86"/>
      <c r="H255" s="86"/>
      <c r="I255" s="86" t="s">
        <v>1427</v>
      </c>
      <c r="J255" s="86"/>
      <c r="K255" s="86" t="s">
        <v>42</v>
      </c>
      <c r="L255" s="163">
        <v>2025</v>
      </c>
      <c r="M255" s="163"/>
      <c r="N255" s="164"/>
      <c r="O255" s="165"/>
      <c r="P255" s="163"/>
      <c r="Q255" s="166"/>
      <c r="R255" s="163"/>
      <c r="S255" s="163"/>
      <c r="T255" s="163"/>
      <c r="U255" s="163"/>
      <c r="V255" s="163"/>
      <c r="W255" s="163"/>
      <c r="X255" s="163"/>
      <c r="Y255" s="163"/>
      <c r="Z255" s="167"/>
      <c r="AA255" s="86"/>
      <c r="AB255" s="86"/>
      <c r="AC255" s="86"/>
      <c r="AD255" s="86"/>
      <c r="AE255" s="86"/>
      <c r="AF255" s="168"/>
      <c r="AG255" s="163"/>
      <c r="AH255" s="163"/>
      <c r="AI255" s="163"/>
      <c r="AJ255" s="163"/>
      <c r="AK255" s="163"/>
      <c r="AL255" s="163"/>
      <c r="AM255" s="163"/>
      <c r="AN255" s="86"/>
      <c r="AO255" s="86"/>
    </row>
    <row r="256" spans="1:16382" s="226" customFormat="1" x14ac:dyDescent="0.2">
      <c r="A256" s="86"/>
      <c r="B256" s="86" t="s">
        <v>1430</v>
      </c>
      <c r="C256" s="86"/>
      <c r="D256" s="86" t="s">
        <v>98</v>
      </c>
      <c r="E256" s="86" t="s">
        <v>685</v>
      </c>
      <c r="F256" s="86"/>
      <c r="G256" s="86"/>
      <c r="H256" s="86"/>
      <c r="I256" s="86"/>
      <c r="J256" s="86" t="s">
        <v>1350</v>
      </c>
      <c r="K256" s="86"/>
      <c r="L256" s="163"/>
      <c r="M256" s="163"/>
      <c r="N256" s="164"/>
      <c r="O256" s="165"/>
      <c r="P256" s="163"/>
      <c r="Q256" s="166"/>
      <c r="R256" s="163"/>
      <c r="S256" s="163"/>
      <c r="T256" s="163"/>
      <c r="U256" s="163"/>
      <c r="V256" s="163"/>
      <c r="W256" s="163"/>
      <c r="X256" s="163"/>
      <c r="Y256" s="163"/>
      <c r="Z256" s="167"/>
      <c r="AA256" s="86"/>
      <c r="AB256" s="86"/>
      <c r="AC256" s="86"/>
      <c r="AD256" s="86"/>
      <c r="AE256" s="86"/>
      <c r="AF256" s="168"/>
      <c r="AG256" s="163"/>
      <c r="AH256" s="163"/>
      <c r="AI256" s="163"/>
      <c r="AJ256" s="163"/>
      <c r="AK256" s="163"/>
      <c r="AL256" s="163"/>
      <c r="AM256" s="163"/>
      <c r="AN256" s="86"/>
      <c r="AO256" s="86"/>
    </row>
    <row r="257" spans="1:41" s="226" customFormat="1" x14ac:dyDescent="0.2">
      <c r="A257" s="86"/>
      <c r="B257" s="86" t="s">
        <v>1431</v>
      </c>
      <c r="C257" s="86"/>
      <c r="D257" s="86" t="s">
        <v>98</v>
      </c>
      <c r="E257" s="86" t="s">
        <v>706</v>
      </c>
      <c r="F257" s="86"/>
      <c r="G257" s="86"/>
      <c r="H257" s="86"/>
      <c r="I257" s="86"/>
      <c r="J257" s="86" t="s">
        <v>1428</v>
      </c>
      <c r="K257" s="86"/>
      <c r="L257" s="163"/>
      <c r="M257" s="163"/>
      <c r="N257" s="164"/>
      <c r="O257" s="165"/>
      <c r="P257" s="163"/>
      <c r="Q257" s="166"/>
      <c r="R257" s="163"/>
      <c r="S257" s="163"/>
      <c r="T257" s="163"/>
      <c r="U257" s="163"/>
      <c r="V257" s="163"/>
      <c r="W257" s="163"/>
      <c r="X257" s="163"/>
      <c r="Y257" s="163"/>
      <c r="Z257" s="167"/>
      <c r="AA257" s="86"/>
      <c r="AB257" s="86"/>
      <c r="AC257" s="86"/>
      <c r="AD257" s="86"/>
      <c r="AE257" s="86"/>
      <c r="AF257" s="168"/>
      <c r="AG257" s="163"/>
      <c r="AH257" s="163"/>
      <c r="AI257" s="163"/>
      <c r="AJ257" s="163"/>
      <c r="AK257" s="163"/>
      <c r="AL257" s="163"/>
      <c r="AM257" s="163"/>
      <c r="AN257" s="86"/>
      <c r="AO257" s="86"/>
    </row>
    <row r="258" spans="1:41" s="226" customFormat="1" x14ac:dyDescent="0.2">
      <c r="A258" s="86"/>
      <c r="B258" s="86" t="s">
        <v>1432</v>
      </c>
      <c r="C258" s="86"/>
      <c r="D258" s="86" t="s">
        <v>98</v>
      </c>
      <c r="E258" s="86" t="s">
        <v>338</v>
      </c>
      <c r="F258" s="86"/>
      <c r="G258" s="86"/>
      <c r="H258" s="86"/>
      <c r="I258" s="86"/>
      <c r="J258" s="86" t="s">
        <v>1429</v>
      </c>
      <c r="K258" s="86"/>
      <c r="L258" s="163"/>
      <c r="M258" s="163"/>
      <c r="N258" s="164"/>
      <c r="O258" s="165"/>
      <c r="P258" s="163"/>
      <c r="Q258" s="166"/>
      <c r="R258" s="163"/>
      <c r="S258" s="163"/>
      <c r="T258" s="163"/>
      <c r="U258" s="163"/>
      <c r="V258" s="163"/>
      <c r="W258" s="163"/>
      <c r="X258" s="163"/>
      <c r="Y258" s="163"/>
      <c r="Z258" s="167"/>
      <c r="AA258" s="86"/>
      <c r="AB258" s="86"/>
      <c r="AC258" s="86"/>
      <c r="AD258" s="86"/>
      <c r="AE258" s="86"/>
      <c r="AF258" s="168"/>
      <c r="AG258" s="163"/>
      <c r="AH258" s="163"/>
      <c r="AI258" s="163"/>
      <c r="AJ258" s="163"/>
      <c r="AK258" s="163"/>
      <c r="AL258" s="163"/>
      <c r="AM258" s="163"/>
      <c r="AN258" s="86"/>
      <c r="AO258" s="86"/>
    </row>
    <row r="259" spans="1:41" s="226" customFormat="1" x14ac:dyDescent="0.2">
      <c r="A259" s="86" t="s">
        <v>86</v>
      </c>
      <c r="B259" s="86" t="s">
        <v>1238</v>
      </c>
      <c r="C259" s="86"/>
      <c r="D259" s="86" t="s">
        <v>98</v>
      </c>
      <c r="E259" s="86" t="s">
        <v>1280</v>
      </c>
      <c r="F259" s="86"/>
      <c r="G259" s="86"/>
      <c r="H259" s="86"/>
      <c r="I259" s="86"/>
      <c r="J259" s="86"/>
      <c r="K259" s="86"/>
      <c r="L259" s="163"/>
      <c r="M259" s="163"/>
      <c r="N259" s="164"/>
      <c r="O259" s="165"/>
      <c r="P259" s="163"/>
      <c r="Q259" s="166"/>
      <c r="R259" s="163"/>
      <c r="S259" s="163"/>
      <c r="T259" s="163"/>
      <c r="U259" s="163"/>
      <c r="V259" s="163"/>
      <c r="W259" s="163"/>
      <c r="X259" s="163"/>
      <c r="Y259" s="163"/>
      <c r="Z259" s="167"/>
      <c r="AA259" s="86"/>
      <c r="AB259" s="86"/>
      <c r="AC259" s="86"/>
      <c r="AD259" s="86"/>
      <c r="AE259" s="86"/>
      <c r="AF259" s="168"/>
      <c r="AG259" s="163"/>
      <c r="AH259" s="163"/>
      <c r="AI259" s="163"/>
      <c r="AJ259" s="163"/>
      <c r="AK259" s="163"/>
      <c r="AL259" s="163"/>
      <c r="AM259" s="163"/>
      <c r="AN259" s="86"/>
      <c r="AO259" s="86"/>
    </row>
    <row r="260" spans="1:41" s="226" customFormat="1" x14ac:dyDescent="0.2">
      <c r="A260" s="86" t="s">
        <v>47</v>
      </c>
      <c r="B260" s="86" t="s">
        <v>1434</v>
      </c>
      <c r="C260" s="86"/>
      <c r="D260" s="86" t="s">
        <v>37</v>
      </c>
      <c r="E260" s="86" t="s">
        <v>159</v>
      </c>
      <c r="F260" s="86"/>
      <c r="G260" s="86"/>
      <c r="H260" s="86"/>
      <c r="I260" s="86" t="s">
        <v>1435</v>
      </c>
      <c r="J260" s="86"/>
      <c r="K260" s="86" t="s">
        <v>42</v>
      </c>
      <c r="L260" s="163"/>
      <c r="M260" s="163"/>
      <c r="N260" s="164"/>
      <c r="O260" s="165"/>
      <c r="P260" s="163"/>
      <c r="Q260" s="166"/>
      <c r="R260" s="163"/>
      <c r="S260" s="163"/>
      <c r="T260" s="163"/>
      <c r="U260" s="163"/>
      <c r="V260" s="163"/>
      <c r="W260" s="163"/>
      <c r="X260" s="163"/>
      <c r="Y260" s="163"/>
      <c r="Z260" s="167"/>
      <c r="AA260" s="86"/>
      <c r="AB260" s="86"/>
      <c r="AC260" s="86"/>
      <c r="AD260" s="86"/>
      <c r="AE260" s="86"/>
      <c r="AF260" s="168"/>
      <c r="AG260" s="163"/>
      <c r="AH260" s="163"/>
      <c r="AI260" s="163"/>
      <c r="AJ260" s="163"/>
      <c r="AK260" s="163"/>
      <c r="AL260" s="163"/>
      <c r="AM260" s="163"/>
      <c r="AN260" s="86"/>
      <c r="AO260" s="86"/>
    </row>
    <row r="261" spans="1:41" s="226" customFormat="1" x14ac:dyDescent="0.2">
      <c r="A261" s="86"/>
      <c r="B261" s="86"/>
      <c r="C261" s="86"/>
      <c r="D261" s="86"/>
      <c r="E261" s="86"/>
      <c r="F261" s="86"/>
      <c r="G261" s="86"/>
      <c r="H261" s="86"/>
      <c r="I261" s="86"/>
      <c r="J261" s="86"/>
      <c r="K261" s="86"/>
      <c r="L261" s="163"/>
      <c r="M261" s="163"/>
      <c r="N261" s="164"/>
      <c r="O261" s="165"/>
      <c r="P261" s="163"/>
      <c r="Q261" s="166"/>
      <c r="R261" s="163"/>
      <c r="S261" s="163"/>
      <c r="T261" s="163"/>
      <c r="U261" s="163"/>
      <c r="V261" s="163"/>
      <c r="W261" s="163"/>
      <c r="X261" s="163"/>
      <c r="Y261" s="163"/>
      <c r="Z261" s="167"/>
      <c r="AA261" s="86"/>
      <c r="AB261" s="86"/>
      <c r="AC261" s="86"/>
      <c r="AD261" s="86"/>
      <c r="AE261" s="86"/>
      <c r="AF261" s="168"/>
      <c r="AG261" s="163"/>
      <c r="AH261" s="163"/>
      <c r="AI261" s="163"/>
      <c r="AJ261" s="163"/>
      <c r="AK261" s="163"/>
      <c r="AL261" s="163"/>
      <c r="AM261" s="163"/>
      <c r="AN261" s="86"/>
      <c r="AO261" s="86"/>
    </row>
    <row r="262" spans="1:41" s="226" customFormat="1" x14ac:dyDescent="0.2">
      <c r="A262" s="86"/>
      <c r="B262" s="86"/>
      <c r="C262" s="86"/>
      <c r="D262" s="86"/>
      <c r="E262" s="86"/>
      <c r="F262" s="86"/>
      <c r="G262" s="86"/>
      <c r="H262" s="86"/>
      <c r="I262" s="86"/>
      <c r="J262" s="86"/>
      <c r="K262" s="86"/>
      <c r="L262" s="163"/>
      <c r="M262" s="163"/>
      <c r="N262" s="164"/>
      <c r="O262" s="165"/>
      <c r="P262" s="163"/>
      <c r="Q262" s="166"/>
      <c r="R262" s="163"/>
      <c r="S262" s="163"/>
      <c r="T262" s="163"/>
      <c r="U262" s="163"/>
      <c r="V262" s="163"/>
      <c r="W262" s="163"/>
      <c r="X262" s="163"/>
      <c r="Y262" s="163"/>
      <c r="Z262" s="167"/>
      <c r="AA262" s="86"/>
      <c r="AB262" s="86"/>
      <c r="AC262" s="86"/>
      <c r="AD262" s="86"/>
      <c r="AE262" s="86"/>
      <c r="AF262" s="168"/>
      <c r="AG262" s="163"/>
      <c r="AH262" s="163"/>
      <c r="AI262" s="163"/>
      <c r="AJ262" s="163"/>
      <c r="AK262" s="163"/>
      <c r="AL262" s="163"/>
      <c r="AM262" s="163"/>
      <c r="AN262" s="86"/>
      <c r="AO262" s="86"/>
    </row>
    <row r="263" spans="1:41" s="226" customFormat="1" x14ac:dyDescent="0.2">
      <c r="A263" s="86"/>
      <c r="B263" s="86"/>
      <c r="C263" s="86"/>
      <c r="D263" s="86"/>
      <c r="E263" s="86"/>
      <c r="F263" s="86"/>
      <c r="G263" s="86"/>
      <c r="H263" s="86"/>
      <c r="I263" s="86"/>
      <c r="J263" s="86"/>
      <c r="K263" s="86"/>
      <c r="L263" s="163"/>
      <c r="M263" s="163"/>
      <c r="N263" s="164"/>
      <c r="O263" s="165"/>
      <c r="P263" s="163"/>
      <c r="Q263" s="166"/>
      <c r="R263" s="163"/>
      <c r="S263" s="163"/>
      <c r="T263" s="163"/>
      <c r="U263" s="163"/>
      <c r="V263" s="163"/>
      <c r="W263" s="163"/>
      <c r="X263" s="163"/>
      <c r="Y263" s="163"/>
      <c r="Z263" s="167"/>
      <c r="AA263" s="86"/>
      <c r="AB263" s="86"/>
      <c r="AC263" s="86"/>
      <c r="AD263" s="86"/>
      <c r="AE263" s="86"/>
      <c r="AF263" s="168"/>
      <c r="AG263" s="163"/>
      <c r="AH263" s="163"/>
      <c r="AI263" s="163"/>
      <c r="AJ263" s="163"/>
      <c r="AK263" s="163"/>
      <c r="AL263" s="163"/>
      <c r="AM263" s="163"/>
      <c r="AN263" s="86"/>
      <c r="AO263" s="86"/>
    </row>
    <row r="264" spans="1:41" s="226" customFormat="1" x14ac:dyDescent="0.2">
      <c r="A264" s="86"/>
      <c r="B264" s="86"/>
      <c r="C264" s="86"/>
      <c r="D264" s="86"/>
      <c r="E264" s="86"/>
      <c r="F264" s="86"/>
      <c r="G264" s="86"/>
      <c r="H264" s="86"/>
      <c r="I264" s="86"/>
      <c r="J264" s="86"/>
      <c r="K264" s="86"/>
      <c r="L264" s="163"/>
      <c r="M264" s="163"/>
      <c r="N264" s="164"/>
      <c r="O264" s="165"/>
      <c r="P264" s="163"/>
      <c r="Q264" s="166"/>
      <c r="R264" s="163"/>
      <c r="S264" s="163"/>
      <c r="T264" s="163"/>
      <c r="U264" s="163"/>
      <c r="V264" s="163"/>
      <c r="W264" s="163"/>
      <c r="X264" s="163"/>
      <c r="Y264" s="163"/>
      <c r="Z264" s="167"/>
      <c r="AA264" s="86"/>
      <c r="AB264" s="86"/>
      <c r="AC264" s="86"/>
      <c r="AD264" s="86"/>
      <c r="AE264" s="86"/>
      <c r="AF264" s="168"/>
      <c r="AG264" s="163"/>
      <c r="AH264" s="163"/>
      <c r="AI264" s="163"/>
      <c r="AJ264" s="163"/>
      <c r="AK264" s="163"/>
      <c r="AL264" s="163"/>
      <c r="AM264" s="163"/>
      <c r="AN264" s="86"/>
      <c r="AO264" s="86"/>
    </row>
    <row r="265" spans="1:41" s="226" customFormat="1" x14ac:dyDescent="0.2">
      <c r="A265" s="86"/>
      <c r="B265" s="86"/>
      <c r="C265" s="86"/>
      <c r="D265" s="86"/>
      <c r="E265" s="86"/>
      <c r="F265" s="86"/>
      <c r="G265" s="86"/>
      <c r="H265" s="86"/>
      <c r="I265" s="86"/>
      <c r="J265" s="86"/>
      <c r="K265" s="86"/>
      <c r="L265" s="163"/>
      <c r="M265" s="163"/>
      <c r="N265" s="164"/>
      <c r="O265" s="165"/>
      <c r="P265" s="163"/>
      <c r="Q265" s="166"/>
      <c r="R265" s="163"/>
      <c r="S265" s="163"/>
      <c r="T265" s="163"/>
      <c r="U265" s="163"/>
      <c r="V265" s="163"/>
      <c r="W265" s="163"/>
      <c r="X265" s="163"/>
      <c r="Y265" s="163"/>
      <c r="Z265" s="167"/>
      <c r="AA265" s="86"/>
      <c r="AB265" s="86"/>
      <c r="AC265" s="86"/>
      <c r="AD265" s="86"/>
      <c r="AE265" s="86"/>
      <c r="AF265" s="168"/>
      <c r="AG265" s="163"/>
      <c r="AH265" s="163"/>
      <c r="AI265" s="163"/>
      <c r="AJ265" s="163"/>
      <c r="AK265" s="163"/>
      <c r="AL265" s="163"/>
      <c r="AM265" s="163"/>
      <c r="AN265" s="86"/>
      <c r="AO265" s="86"/>
    </row>
    <row r="266" spans="1:41" s="226" customFormat="1" x14ac:dyDescent="0.2">
      <c r="A266" s="86"/>
      <c r="B266" s="86"/>
      <c r="C266" s="86"/>
      <c r="D266" s="86"/>
      <c r="E266" s="86"/>
      <c r="F266" s="86"/>
      <c r="G266" s="86"/>
      <c r="H266" s="86"/>
      <c r="I266" s="86"/>
      <c r="J266" s="86"/>
      <c r="K266" s="86"/>
      <c r="L266" s="163"/>
      <c r="M266" s="163"/>
      <c r="N266" s="164"/>
      <c r="O266" s="165"/>
      <c r="P266" s="163"/>
      <c r="Q266" s="166"/>
      <c r="R266" s="163"/>
      <c r="S266" s="163"/>
      <c r="T266" s="163"/>
      <c r="U266" s="163"/>
      <c r="V266" s="163"/>
      <c r="W266" s="163"/>
      <c r="X266" s="163"/>
      <c r="Y266" s="163"/>
      <c r="Z266" s="167"/>
      <c r="AA266" s="86"/>
      <c r="AB266" s="86"/>
      <c r="AC266" s="86"/>
      <c r="AD266" s="86"/>
      <c r="AE266" s="86"/>
      <c r="AF266" s="168"/>
      <c r="AG266" s="163"/>
      <c r="AH266" s="163"/>
      <c r="AI266" s="163"/>
      <c r="AJ266" s="163"/>
      <c r="AK266" s="163"/>
      <c r="AL266" s="163"/>
      <c r="AM266" s="163"/>
      <c r="AN266" s="86"/>
      <c r="AO266" s="86"/>
    </row>
  </sheetData>
  <autoFilter ref="A1:AO253">
    <filterColumn colId="11">
      <filters>
        <filter val="2023"/>
        <filter val="2024"/>
      </filters>
    </filterColumn>
  </autoFilter>
  <conditionalFormatting sqref="M244:M253 M1:M2 M15:M16 M20:M21 M38:M50 M53:M62 M64:M136 M138:M154 M255:M1048576 M209:M242 M156:M207">
    <cfRule type="cellIs" dxfId="185" priority="129" operator="equal">
      <formula>1</formula>
    </cfRule>
  </conditionalFormatting>
  <conditionalFormatting sqref="D244:D253 D1:D2 D15:D16 D20:D21 D38:D50 D53:D62 D64:D136 D138:D154 D255:D1048576 D209:D242 D156:D207">
    <cfRule type="cellIs" dxfId="184" priority="127" operator="equal">
      <formula>"s.c."</formula>
    </cfRule>
    <cfRule type="cellIs" dxfId="183" priority="128" operator="equal">
      <formula>"i.v."</formula>
    </cfRule>
  </conditionalFormatting>
  <conditionalFormatting sqref="M243">
    <cfRule type="cellIs" dxfId="182" priority="126" operator="equal">
      <formula>1</formula>
    </cfRule>
  </conditionalFormatting>
  <conditionalFormatting sqref="D243">
    <cfRule type="cellIs" dxfId="181" priority="124" operator="equal">
      <formula>"s.c."</formula>
    </cfRule>
    <cfRule type="cellIs" dxfId="180" priority="125" operator="equal">
      <formula>"i.v."</formula>
    </cfRule>
  </conditionalFormatting>
  <conditionalFormatting sqref="M36:M37">
    <cfRule type="cellIs" dxfId="179" priority="123" operator="equal">
      <formula>1</formula>
    </cfRule>
  </conditionalFormatting>
  <conditionalFormatting sqref="D36:D37">
    <cfRule type="cellIs" dxfId="178" priority="121" operator="equal">
      <formula>"s.c."</formula>
    </cfRule>
    <cfRule type="cellIs" dxfId="177" priority="122" operator="equal">
      <formula>"i.v."</formula>
    </cfRule>
  </conditionalFormatting>
  <conditionalFormatting sqref="M34:M35">
    <cfRule type="cellIs" dxfId="176" priority="120" operator="equal">
      <formula>1</formula>
    </cfRule>
  </conditionalFormatting>
  <conditionalFormatting sqref="D34:D35">
    <cfRule type="cellIs" dxfId="175" priority="118" operator="equal">
      <formula>"s.c."</formula>
    </cfRule>
    <cfRule type="cellIs" dxfId="174" priority="119" operator="equal">
      <formula>"i.v."</formula>
    </cfRule>
  </conditionalFormatting>
  <conditionalFormatting sqref="M32:M33">
    <cfRule type="cellIs" dxfId="173" priority="114" operator="equal">
      <formula>1</formula>
    </cfRule>
  </conditionalFormatting>
  <conditionalFormatting sqref="D32:D33">
    <cfRule type="cellIs" dxfId="172" priority="112" operator="equal">
      <formula>"s.c."</formula>
    </cfRule>
    <cfRule type="cellIs" dxfId="171" priority="113" operator="equal">
      <formula>"i.v."</formula>
    </cfRule>
  </conditionalFormatting>
  <conditionalFormatting sqref="M29:M30">
    <cfRule type="cellIs" dxfId="170" priority="111" operator="equal">
      <formula>1</formula>
    </cfRule>
  </conditionalFormatting>
  <conditionalFormatting sqref="D29:D30">
    <cfRule type="cellIs" dxfId="169" priority="109" operator="equal">
      <formula>"s.c."</formula>
    </cfRule>
    <cfRule type="cellIs" dxfId="168" priority="110" operator="equal">
      <formula>"i.v."</formula>
    </cfRule>
  </conditionalFormatting>
  <conditionalFormatting sqref="M28">
    <cfRule type="cellIs" dxfId="167" priority="108" operator="equal">
      <formula>1</formula>
    </cfRule>
  </conditionalFormatting>
  <conditionalFormatting sqref="D28">
    <cfRule type="cellIs" dxfId="166" priority="106" operator="equal">
      <formula>"s.c."</formula>
    </cfRule>
    <cfRule type="cellIs" dxfId="165" priority="107" operator="equal">
      <formula>"i.v."</formula>
    </cfRule>
  </conditionalFormatting>
  <conditionalFormatting sqref="M27">
    <cfRule type="cellIs" dxfId="164" priority="105" operator="equal">
      <formula>1</formula>
    </cfRule>
  </conditionalFormatting>
  <conditionalFormatting sqref="D27">
    <cfRule type="cellIs" dxfId="163" priority="103" operator="equal">
      <formula>"s.c."</formula>
    </cfRule>
    <cfRule type="cellIs" dxfId="162" priority="104" operator="equal">
      <formula>"i.v."</formula>
    </cfRule>
  </conditionalFormatting>
  <conditionalFormatting sqref="M26">
    <cfRule type="cellIs" dxfId="161" priority="102" operator="equal">
      <formula>1</formula>
    </cfRule>
  </conditionalFormatting>
  <conditionalFormatting sqref="D26">
    <cfRule type="cellIs" dxfId="160" priority="100" operator="equal">
      <formula>"s.c."</formula>
    </cfRule>
    <cfRule type="cellIs" dxfId="159" priority="101" operator="equal">
      <formula>"i.v."</formula>
    </cfRule>
  </conditionalFormatting>
  <conditionalFormatting sqref="M31">
    <cfRule type="cellIs" dxfId="158" priority="96" operator="equal">
      <formula>1</formula>
    </cfRule>
  </conditionalFormatting>
  <conditionalFormatting sqref="D31">
    <cfRule type="cellIs" dxfId="157" priority="94" operator="equal">
      <formula>"s.c."</formula>
    </cfRule>
    <cfRule type="cellIs" dxfId="156" priority="95" operator="equal">
      <formula>"i.v."</formula>
    </cfRule>
  </conditionalFormatting>
  <conditionalFormatting sqref="M25">
    <cfRule type="cellIs" dxfId="155" priority="93" operator="equal">
      <formula>1</formula>
    </cfRule>
  </conditionalFormatting>
  <conditionalFormatting sqref="D25">
    <cfRule type="cellIs" dxfId="154" priority="91" operator="equal">
      <formula>"s.c."</formula>
    </cfRule>
    <cfRule type="cellIs" dxfId="153" priority="92" operator="equal">
      <formula>"i.v."</formula>
    </cfRule>
  </conditionalFormatting>
  <conditionalFormatting sqref="M24">
    <cfRule type="cellIs" dxfId="152" priority="90" operator="equal">
      <formula>1</formula>
    </cfRule>
  </conditionalFormatting>
  <conditionalFormatting sqref="D24">
    <cfRule type="cellIs" dxfId="151" priority="88" operator="equal">
      <formula>"s.c."</formula>
    </cfRule>
    <cfRule type="cellIs" dxfId="150" priority="89" operator="equal">
      <formula>"i.v."</formula>
    </cfRule>
  </conditionalFormatting>
  <conditionalFormatting sqref="M23">
    <cfRule type="cellIs" dxfId="149" priority="87" operator="equal">
      <formula>1</formula>
    </cfRule>
  </conditionalFormatting>
  <conditionalFormatting sqref="D23">
    <cfRule type="cellIs" dxfId="148" priority="85" operator="equal">
      <formula>"s.c."</formula>
    </cfRule>
    <cfRule type="cellIs" dxfId="147" priority="86" operator="equal">
      <formula>"i.v."</formula>
    </cfRule>
  </conditionalFormatting>
  <conditionalFormatting sqref="M22">
    <cfRule type="cellIs" dxfId="146" priority="81" operator="equal">
      <formula>1</formula>
    </cfRule>
  </conditionalFormatting>
  <conditionalFormatting sqref="D22">
    <cfRule type="cellIs" dxfId="145" priority="79" operator="equal">
      <formula>"s.c."</formula>
    </cfRule>
    <cfRule type="cellIs" dxfId="144" priority="80" operator="equal">
      <formula>"i.v."</formula>
    </cfRule>
  </conditionalFormatting>
  <conditionalFormatting sqref="M19">
    <cfRule type="cellIs" dxfId="143" priority="75" operator="equal">
      <formula>1</formula>
    </cfRule>
  </conditionalFormatting>
  <conditionalFormatting sqref="D19">
    <cfRule type="cellIs" dxfId="142" priority="73" operator="equal">
      <formula>"s.c."</formula>
    </cfRule>
    <cfRule type="cellIs" dxfId="141" priority="74" operator="equal">
      <formula>"i.v."</formula>
    </cfRule>
  </conditionalFormatting>
  <conditionalFormatting sqref="M18">
    <cfRule type="cellIs" dxfId="140" priority="72" operator="equal">
      <formula>1</formula>
    </cfRule>
  </conditionalFormatting>
  <conditionalFormatting sqref="D18">
    <cfRule type="cellIs" dxfId="139" priority="70" operator="equal">
      <formula>"s.c."</formula>
    </cfRule>
    <cfRule type="cellIs" dxfId="138" priority="71" operator="equal">
      <formula>"i.v."</formula>
    </cfRule>
  </conditionalFormatting>
  <conditionalFormatting sqref="M17">
    <cfRule type="cellIs" dxfId="137" priority="69" operator="equal">
      <formula>1</formula>
    </cfRule>
  </conditionalFormatting>
  <conditionalFormatting sqref="D17">
    <cfRule type="cellIs" dxfId="136" priority="67" operator="equal">
      <formula>"s.c."</formula>
    </cfRule>
    <cfRule type="cellIs" dxfId="135" priority="68" operator="equal">
      <formula>"i.v."</formula>
    </cfRule>
  </conditionalFormatting>
  <conditionalFormatting sqref="M13:M14">
    <cfRule type="cellIs" dxfId="134" priority="63" operator="equal">
      <formula>1</formula>
    </cfRule>
  </conditionalFormatting>
  <conditionalFormatting sqref="D13:D14">
    <cfRule type="cellIs" dxfId="133" priority="61" operator="equal">
      <formula>"s.c."</formula>
    </cfRule>
    <cfRule type="cellIs" dxfId="132" priority="62" operator="equal">
      <formula>"i.v."</formula>
    </cfRule>
  </conditionalFormatting>
  <conditionalFormatting sqref="M11:M12">
    <cfRule type="cellIs" dxfId="131" priority="60" operator="equal">
      <formula>1</formula>
    </cfRule>
  </conditionalFormatting>
  <conditionalFormatting sqref="D11:D12">
    <cfRule type="cellIs" dxfId="130" priority="58" operator="equal">
      <formula>"s.c."</formula>
    </cfRule>
    <cfRule type="cellIs" dxfId="129" priority="59" operator="equal">
      <formula>"i.v."</formula>
    </cfRule>
  </conditionalFormatting>
  <conditionalFormatting sqref="M10">
    <cfRule type="cellIs" dxfId="128" priority="54" operator="equal">
      <formula>1</formula>
    </cfRule>
  </conditionalFormatting>
  <conditionalFormatting sqref="D10">
    <cfRule type="cellIs" dxfId="127" priority="52" operator="equal">
      <formula>"s.c."</formula>
    </cfRule>
    <cfRule type="cellIs" dxfId="126" priority="53" operator="equal">
      <formula>"i.v."</formula>
    </cfRule>
  </conditionalFormatting>
  <conditionalFormatting sqref="M9">
    <cfRule type="cellIs" dxfId="125" priority="51" operator="equal">
      <formula>1</formula>
    </cfRule>
  </conditionalFormatting>
  <conditionalFormatting sqref="D9">
    <cfRule type="cellIs" dxfId="124" priority="49" operator="equal">
      <formula>"s.c."</formula>
    </cfRule>
    <cfRule type="cellIs" dxfId="123" priority="50" operator="equal">
      <formula>"i.v."</formula>
    </cfRule>
  </conditionalFormatting>
  <conditionalFormatting sqref="M8">
    <cfRule type="cellIs" dxfId="122" priority="45" operator="equal">
      <formula>1</formula>
    </cfRule>
  </conditionalFormatting>
  <conditionalFormatting sqref="D8">
    <cfRule type="cellIs" dxfId="121" priority="43" operator="equal">
      <formula>"s.c."</formula>
    </cfRule>
    <cfRule type="cellIs" dxfId="120" priority="44" operator="equal">
      <formula>"i.v."</formula>
    </cfRule>
  </conditionalFormatting>
  <conditionalFormatting sqref="M6:M7">
    <cfRule type="cellIs" dxfId="119" priority="42" operator="equal">
      <formula>1</formula>
    </cfRule>
  </conditionalFormatting>
  <conditionalFormatting sqref="D6:D7">
    <cfRule type="cellIs" dxfId="118" priority="40" operator="equal">
      <formula>"s.c."</formula>
    </cfRule>
    <cfRule type="cellIs" dxfId="117" priority="41" operator="equal">
      <formula>"i.v."</formula>
    </cfRule>
  </conditionalFormatting>
  <conditionalFormatting sqref="M4:M5">
    <cfRule type="cellIs" dxfId="116" priority="36" operator="equal">
      <formula>1</formula>
    </cfRule>
  </conditionalFormatting>
  <conditionalFormatting sqref="D4:D5">
    <cfRule type="cellIs" dxfId="115" priority="34" operator="equal">
      <formula>"s.c."</formula>
    </cfRule>
    <cfRule type="cellIs" dxfId="114" priority="35" operator="equal">
      <formula>"i.v."</formula>
    </cfRule>
  </conditionalFormatting>
  <conditionalFormatting sqref="M3">
    <cfRule type="cellIs" dxfId="113" priority="33" operator="equal">
      <formula>1</formula>
    </cfRule>
  </conditionalFormatting>
  <conditionalFormatting sqref="D3">
    <cfRule type="cellIs" dxfId="112" priority="31" operator="equal">
      <formula>"s.c."</formula>
    </cfRule>
    <cfRule type="cellIs" dxfId="111" priority="32" operator="equal">
      <formula>"i.v."</formula>
    </cfRule>
  </conditionalFormatting>
  <conditionalFormatting sqref="M137">
    <cfRule type="cellIs" dxfId="110" priority="21" operator="equal">
      <formula>1</formula>
    </cfRule>
  </conditionalFormatting>
  <conditionalFormatting sqref="D137">
    <cfRule type="cellIs" dxfId="109" priority="19" operator="equal">
      <formula>"s.c."</formula>
    </cfRule>
    <cfRule type="cellIs" dxfId="108" priority="20" operator="equal">
      <formula>"i.v."</formula>
    </cfRule>
  </conditionalFormatting>
  <conditionalFormatting sqref="M63">
    <cfRule type="cellIs" dxfId="107" priority="18" operator="equal">
      <formula>1</formula>
    </cfRule>
  </conditionalFormatting>
  <conditionalFormatting sqref="D63">
    <cfRule type="cellIs" dxfId="106" priority="16" operator="equal">
      <formula>"s.c."</formula>
    </cfRule>
    <cfRule type="cellIs" dxfId="105" priority="17" operator="equal">
      <formula>"i.v."</formula>
    </cfRule>
  </conditionalFormatting>
  <conditionalFormatting sqref="M51:M52">
    <cfRule type="cellIs" dxfId="104" priority="12" operator="equal">
      <formula>1</formula>
    </cfRule>
  </conditionalFormatting>
  <conditionalFormatting sqref="D51:D52">
    <cfRule type="cellIs" dxfId="103" priority="10" operator="equal">
      <formula>"s.c."</formula>
    </cfRule>
    <cfRule type="cellIs" dxfId="102" priority="11" operator="equal">
      <formula>"i.v."</formula>
    </cfRule>
  </conditionalFormatting>
  <conditionalFormatting sqref="M254">
    <cfRule type="cellIs" dxfId="101" priority="9" operator="equal">
      <formula>1</formula>
    </cfRule>
  </conditionalFormatting>
  <conditionalFormatting sqref="D254">
    <cfRule type="cellIs" dxfId="100" priority="7" operator="equal">
      <formula>"s.c."</formula>
    </cfRule>
    <cfRule type="cellIs" dxfId="99" priority="8" operator="equal">
      <formula>"i.v."</formula>
    </cfRule>
  </conditionalFormatting>
  <conditionalFormatting sqref="M208">
    <cfRule type="cellIs" dxfId="98" priority="6" operator="equal">
      <formula>1</formula>
    </cfRule>
  </conditionalFormatting>
  <conditionalFormatting sqref="D208">
    <cfRule type="cellIs" dxfId="97" priority="4" operator="equal">
      <formula>"s.c."</formula>
    </cfRule>
    <cfRule type="cellIs" dxfId="96" priority="5" operator="equal">
      <formula>"i.v."</formula>
    </cfRule>
  </conditionalFormatting>
  <conditionalFormatting sqref="M155">
    <cfRule type="cellIs" dxfId="95" priority="3" operator="equal">
      <formula>1</formula>
    </cfRule>
  </conditionalFormatting>
  <conditionalFormatting sqref="D155">
    <cfRule type="cellIs" dxfId="94" priority="1" operator="equal">
      <formula>"s.c."</formula>
    </cfRule>
    <cfRule type="cellIs" dxfId="93" priority="2" operator="equal">
      <formula>"i.v."</formula>
    </cfRule>
  </conditionalFormatting>
  <hyperlinks>
    <hyperlink ref="Y35" r:id="rId1"/>
    <hyperlink ref="Y36" r:id="rId2"/>
  </hyperlinks>
  <pageMargins left="0.7" right="0.7" top="0.78740157499999996" bottom="0.78740157499999996" header="0.3" footer="0.3"/>
  <pageSetup paperSize="8" scale="23" fitToHeight="0" orientation="landscape" r:id="rId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XEY279"/>
  <sheetViews>
    <sheetView tabSelected="1" workbookViewId="0">
      <pane ySplit="1" topLeftCell="A86" activePane="bottomLeft" state="frozen"/>
      <selection activeCell="AJ1" sqref="AJ1"/>
      <selection pane="bottomLeft" activeCell="D279" sqref="D279"/>
    </sheetView>
  </sheetViews>
  <sheetFormatPr baseColWidth="10" defaultColWidth="11.42578125" defaultRowHeight="12.75" x14ac:dyDescent="0.2"/>
  <cols>
    <col min="1" max="1" width="17.140625" style="1" bestFit="1" customWidth="1"/>
    <col min="2" max="2" width="52.28515625" style="1" customWidth="1"/>
    <col min="3" max="3" width="16.28515625" style="1" customWidth="1"/>
    <col min="4" max="4" width="16.7109375" style="1" bestFit="1" customWidth="1"/>
    <col min="5" max="5" width="34.28515625" style="1" bestFit="1" customWidth="1"/>
    <col min="6" max="6" width="35.140625" style="1" customWidth="1"/>
    <col min="7" max="7" width="36.140625" style="1" customWidth="1"/>
    <col min="8" max="8" width="32.7109375" style="1" customWidth="1"/>
    <col min="9" max="9" width="28.7109375" style="1" bestFit="1" customWidth="1"/>
    <col min="10" max="10" width="22.5703125" style="1" customWidth="1"/>
    <col min="11" max="11" width="23.85546875" style="1" customWidth="1"/>
    <col min="12" max="12" width="15" style="2" customWidth="1"/>
    <col min="13" max="13" width="4.5703125" style="2" customWidth="1"/>
    <col min="14" max="14" width="17.28515625" style="4" customWidth="1"/>
    <col min="15" max="15" width="17.28515625" style="5" customWidth="1"/>
    <col min="16" max="16" width="14.28515625" style="2" customWidth="1"/>
    <col min="17" max="17" width="14.28515625" style="3" customWidth="1"/>
    <col min="18" max="24" width="14.28515625" style="2" customWidth="1"/>
    <col min="25" max="25" width="27.7109375" style="2" customWidth="1"/>
    <col min="26" max="26" width="29.7109375" style="1" bestFit="1" customWidth="1"/>
    <col min="27" max="27" width="13.42578125" style="1" hidden="1" customWidth="1"/>
    <col min="28" max="28" width="20.7109375" style="1" hidden="1" customWidth="1"/>
    <col min="29" max="29" width="63.5703125" style="76" customWidth="1"/>
    <col min="30" max="35" width="10.7109375" style="2" customWidth="1"/>
    <col min="36" max="36" width="15.28515625" style="2" customWidth="1"/>
    <col min="37" max="37" width="28.5703125" style="1" customWidth="1"/>
    <col min="38" max="38" width="30" style="1" customWidth="1"/>
  </cols>
  <sheetData>
    <row r="1" spans="1:38" ht="102" x14ac:dyDescent="0.2">
      <c r="A1" s="6" t="s">
        <v>0</v>
      </c>
      <c r="B1" s="6" t="s">
        <v>1</v>
      </c>
      <c r="C1" s="6" t="s">
        <v>2</v>
      </c>
      <c r="D1" s="6" t="s">
        <v>3</v>
      </c>
      <c r="E1" s="6" t="s">
        <v>4</v>
      </c>
      <c r="F1" s="6" t="s">
        <v>892</v>
      </c>
      <c r="G1" s="6" t="s">
        <v>891</v>
      </c>
      <c r="H1" s="6" t="s">
        <v>893</v>
      </c>
      <c r="I1" s="6" t="s">
        <v>5</v>
      </c>
      <c r="J1" s="6" t="s">
        <v>6</v>
      </c>
      <c r="K1" s="6" t="s">
        <v>7</v>
      </c>
      <c r="L1" s="7" t="s">
        <v>8</v>
      </c>
      <c r="M1" s="7" t="s">
        <v>9</v>
      </c>
      <c r="N1" s="8" t="s">
        <v>10</v>
      </c>
      <c r="O1" s="9" t="s">
        <v>11</v>
      </c>
      <c r="P1" s="7" t="s">
        <v>12</v>
      </c>
      <c r="Q1" s="10" t="s">
        <v>13</v>
      </c>
      <c r="R1" s="7" t="s">
        <v>14</v>
      </c>
      <c r="S1" s="7" t="s">
        <v>15</v>
      </c>
      <c r="T1" s="7" t="s">
        <v>16</v>
      </c>
      <c r="U1" s="7" t="s">
        <v>17</v>
      </c>
      <c r="V1" s="7" t="s">
        <v>18</v>
      </c>
      <c r="W1" s="7" t="s">
        <v>19</v>
      </c>
      <c r="X1" s="7" t="s">
        <v>20</v>
      </c>
      <c r="Y1" s="7" t="s">
        <v>21</v>
      </c>
      <c r="Z1" s="11" t="s">
        <v>22</v>
      </c>
      <c r="AA1" s="11" t="s">
        <v>23</v>
      </c>
      <c r="AB1" s="11" t="s">
        <v>24</v>
      </c>
      <c r="AC1" s="11" t="s">
        <v>25</v>
      </c>
      <c r="AD1" s="12" t="s">
        <v>26</v>
      </c>
      <c r="AE1" s="12" t="s">
        <v>27</v>
      </c>
      <c r="AF1" s="12" t="s">
        <v>28</v>
      </c>
      <c r="AG1" s="12" t="s">
        <v>29</v>
      </c>
      <c r="AH1" s="12" t="s">
        <v>30</v>
      </c>
      <c r="AI1" s="12" t="s">
        <v>31</v>
      </c>
      <c r="AJ1" s="12" t="s">
        <v>32</v>
      </c>
      <c r="AK1" s="11" t="s">
        <v>33</v>
      </c>
      <c r="AL1" s="11" t="s">
        <v>34</v>
      </c>
    </row>
    <row r="2" spans="1:38" s="129" customFormat="1" x14ac:dyDescent="0.2">
      <c r="A2" s="13" t="s">
        <v>72</v>
      </c>
      <c r="B2" s="13" t="s">
        <v>184</v>
      </c>
      <c r="C2" s="13"/>
      <c r="D2" s="13" t="s">
        <v>60</v>
      </c>
      <c r="E2" s="91" t="s">
        <v>1328</v>
      </c>
      <c r="F2" s="101"/>
      <c r="G2" s="108"/>
      <c r="H2" s="108"/>
      <c r="I2" s="13" t="s">
        <v>1204</v>
      </c>
      <c r="J2" s="13" t="s">
        <v>1273</v>
      </c>
      <c r="K2" s="13" t="s">
        <v>42</v>
      </c>
      <c r="L2" s="14">
        <v>2023</v>
      </c>
      <c r="M2" s="14"/>
      <c r="N2" s="15">
        <v>100000</v>
      </c>
      <c r="O2" s="16"/>
      <c r="P2" s="17">
        <v>100</v>
      </c>
      <c r="Q2" s="18">
        <v>4500</v>
      </c>
      <c r="R2" s="18">
        <v>240</v>
      </c>
      <c r="S2" s="19">
        <f>R2*P2</f>
        <v>24000</v>
      </c>
      <c r="T2" s="14"/>
      <c r="U2" s="14"/>
      <c r="V2" s="14"/>
      <c r="W2" s="14"/>
      <c r="X2" s="14"/>
      <c r="Y2" s="14"/>
      <c r="Z2" s="13" t="s">
        <v>42</v>
      </c>
      <c r="AA2" s="13"/>
      <c r="AB2" s="13"/>
      <c r="AC2" s="70" t="s">
        <v>1252</v>
      </c>
      <c r="AD2" s="14">
        <v>3</v>
      </c>
      <c r="AE2" s="14">
        <v>3</v>
      </c>
      <c r="AF2" s="14">
        <v>2</v>
      </c>
      <c r="AG2" s="14">
        <v>3</v>
      </c>
      <c r="AH2" s="14">
        <v>2</v>
      </c>
      <c r="AI2" s="14">
        <v>3</v>
      </c>
      <c r="AJ2" s="14">
        <f>AI2*AH2*AG2*AF2*AE2*AD2</f>
        <v>324</v>
      </c>
      <c r="AK2" s="13" t="s">
        <v>45</v>
      </c>
      <c r="AL2" s="20">
        <v>44743</v>
      </c>
    </row>
    <row r="3" spans="1:38" x14ac:dyDescent="0.2">
      <c r="A3" s="30" t="s">
        <v>72</v>
      </c>
      <c r="B3" s="30" t="s">
        <v>363</v>
      </c>
      <c r="C3" s="30"/>
      <c r="D3" s="30" t="s">
        <v>37</v>
      </c>
      <c r="E3" s="89" t="s">
        <v>1077</v>
      </c>
      <c r="F3" s="131"/>
      <c r="G3" s="106"/>
      <c r="H3" s="106"/>
      <c r="I3" s="30" t="s">
        <v>1078</v>
      </c>
      <c r="J3" s="30" t="s">
        <v>1255</v>
      </c>
      <c r="K3" s="30" t="s">
        <v>1189</v>
      </c>
      <c r="L3" s="31"/>
      <c r="M3" s="31"/>
      <c r="N3" s="32">
        <v>360</v>
      </c>
      <c r="O3" s="33"/>
      <c r="P3" s="34">
        <v>20</v>
      </c>
      <c r="Q3" s="35">
        <v>10000</v>
      </c>
      <c r="R3" s="35"/>
      <c r="S3" s="36"/>
      <c r="T3" s="31"/>
      <c r="U3" s="31"/>
      <c r="V3" s="31"/>
      <c r="W3" s="31"/>
      <c r="X3" s="31"/>
      <c r="Y3" s="31"/>
      <c r="Z3" s="30" t="s">
        <v>42</v>
      </c>
      <c r="AA3" s="30"/>
      <c r="AB3" s="30"/>
      <c r="AC3" s="72" t="s">
        <v>1253</v>
      </c>
      <c r="AD3" s="31">
        <v>1</v>
      </c>
      <c r="AE3" s="31">
        <v>1</v>
      </c>
      <c r="AF3" s="31">
        <v>2</v>
      </c>
      <c r="AG3" s="31">
        <v>3</v>
      </c>
      <c r="AH3" s="31">
        <v>1</v>
      </c>
      <c r="AI3" s="31">
        <v>2</v>
      </c>
      <c r="AJ3" s="31">
        <f>AD3*AE3*AF3*AG3*AH3*AI3</f>
        <v>12</v>
      </c>
      <c r="AK3" s="30"/>
      <c r="AL3" s="37">
        <v>44621</v>
      </c>
    </row>
    <row r="4" spans="1:38" ht="25.5" x14ac:dyDescent="0.2">
      <c r="A4" s="30" t="s">
        <v>58</v>
      </c>
      <c r="B4" s="30" t="s">
        <v>1149</v>
      </c>
      <c r="C4" s="30"/>
      <c r="D4" s="30" t="s">
        <v>37</v>
      </c>
      <c r="E4" s="89" t="s">
        <v>101</v>
      </c>
      <c r="F4" s="96"/>
      <c r="G4" s="106"/>
      <c r="H4" s="106"/>
      <c r="I4" s="30" t="s">
        <v>1150</v>
      </c>
      <c r="J4" s="30" t="s">
        <v>1151</v>
      </c>
      <c r="K4" s="30"/>
      <c r="L4" s="31"/>
      <c r="M4" s="31"/>
      <c r="N4" s="32">
        <v>425</v>
      </c>
      <c r="O4" s="33"/>
      <c r="P4" s="34"/>
      <c r="Q4" s="35">
        <v>15000</v>
      </c>
      <c r="R4" s="35"/>
      <c r="S4" s="36"/>
      <c r="T4" s="31"/>
      <c r="U4" s="31"/>
      <c r="V4" s="31"/>
      <c r="W4" s="31"/>
      <c r="X4" s="31"/>
      <c r="Y4" s="31"/>
      <c r="Z4" s="30" t="s">
        <v>42</v>
      </c>
      <c r="AA4" s="30"/>
      <c r="AB4" s="30"/>
      <c r="AC4" s="72" t="s">
        <v>1152</v>
      </c>
      <c r="AD4" s="31">
        <v>3</v>
      </c>
      <c r="AE4" s="31">
        <v>2</v>
      </c>
      <c r="AF4" s="31">
        <v>3</v>
      </c>
      <c r="AG4" s="31">
        <v>3</v>
      </c>
      <c r="AH4" s="31">
        <v>2</v>
      </c>
      <c r="AI4" s="31">
        <v>3</v>
      </c>
      <c r="AJ4" s="31">
        <f>AD4*AI4*AH4*AG4*AF4*AE4</f>
        <v>324</v>
      </c>
      <c r="AK4" s="30" t="s">
        <v>45</v>
      </c>
      <c r="AL4" s="37">
        <v>44621</v>
      </c>
    </row>
    <row r="5" spans="1:38" s="133" customFormat="1" x14ac:dyDescent="0.2">
      <c r="A5" s="30" t="s">
        <v>58</v>
      </c>
      <c r="B5" s="30" t="s">
        <v>1031</v>
      </c>
      <c r="C5" s="30" t="s">
        <v>48</v>
      </c>
      <c r="D5" s="30" t="s">
        <v>37</v>
      </c>
      <c r="E5" s="89" t="s">
        <v>1028</v>
      </c>
      <c r="F5" s="96"/>
      <c r="G5" s="106"/>
      <c r="H5" s="106"/>
      <c r="I5" s="30" t="s">
        <v>1029</v>
      </c>
      <c r="J5" s="30" t="s">
        <v>1030</v>
      </c>
      <c r="K5" s="30" t="s">
        <v>63</v>
      </c>
      <c r="L5" s="31">
        <v>2022</v>
      </c>
      <c r="M5" s="31"/>
      <c r="N5" s="32">
        <v>90</v>
      </c>
      <c r="O5" s="33"/>
      <c r="P5" s="34">
        <v>20</v>
      </c>
      <c r="Q5" s="35">
        <v>5000</v>
      </c>
      <c r="R5" s="35">
        <v>240</v>
      </c>
      <c r="S5" s="36"/>
      <c r="T5" s="31"/>
      <c r="U5" s="31"/>
      <c r="V5" s="31"/>
      <c r="W5" s="31"/>
      <c r="X5" s="31"/>
      <c r="Y5" s="31"/>
      <c r="Z5" s="30" t="s">
        <v>201</v>
      </c>
      <c r="AA5" s="30"/>
      <c r="AB5" s="30"/>
      <c r="AC5" s="72" t="s">
        <v>1111</v>
      </c>
      <c r="AD5" s="31"/>
      <c r="AE5" s="31"/>
      <c r="AF5" s="31"/>
      <c r="AG5" s="31"/>
      <c r="AH5" s="31"/>
      <c r="AI5" s="31"/>
      <c r="AJ5" s="31"/>
      <c r="AK5" s="30"/>
      <c r="AL5" s="30"/>
    </row>
    <row r="6" spans="1:38" s="133" customFormat="1" x14ac:dyDescent="0.2">
      <c r="A6" s="30" t="s">
        <v>58</v>
      </c>
      <c r="B6" s="30" t="s">
        <v>59</v>
      </c>
      <c r="C6" s="30"/>
      <c r="D6" s="30" t="s">
        <v>37</v>
      </c>
      <c r="E6" s="89" t="s">
        <v>1377</v>
      </c>
      <c r="F6" s="72"/>
      <c r="G6" s="106"/>
      <c r="H6" s="106"/>
      <c r="I6" s="30" t="s">
        <v>1036</v>
      </c>
      <c r="J6" s="30" t="s">
        <v>1037</v>
      </c>
      <c r="K6" s="30" t="s">
        <v>63</v>
      </c>
      <c r="L6" s="31">
        <v>2023</v>
      </c>
      <c r="M6" s="31"/>
      <c r="N6" s="32">
        <v>220</v>
      </c>
      <c r="O6" s="33"/>
      <c r="P6" s="34">
        <v>40</v>
      </c>
      <c r="Q6" s="35">
        <v>5000</v>
      </c>
      <c r="R6" s="35">
        <v>240</v>
      </c>
      <c r="S6" s="36"/>
      <c r="T6" s="31"/>
      <c r="U6" s="31"/>
      <c r="V6" s="31"/>
      <c r="W6" s="31"/>
      <c r="X6" s="31"/>
      <c r="Y6" s="31"/>
      <c r="Z6" s="30"/>
      <c r="AA6" s="117"/>
      <c r="AB6" s="127"/>
      <c r="AC6" s="72"/>
      <c r="AD6" s="31"/>
      <c r="AE6" s="31"/>
      <c r="AF6" s="31"/>
      <c r="AG6" s="31"/>
      <c r="AH6" s="31"/>
      <c r="AI6" s="31"/>
      <c r="AJ6" s="31"/>
      <c r="AK6" s="30"/>
      <c r="AL6" s="30"/>
    </row>
    <row r="7" spans="1:38" ht="38.25" x14ac:dyDescent="0.2">
      <c r="A7" s="22" t="s">
        <v>35</v>
      </c>
      <c r="B7" s="23" t="s">
        <v>704</v>
      </c>
      <c r="C7" s="22"/>
      <c r="D7" s="23" t="s">
        <v>37</v>
      </c>
      <c r="E7" s="87" t="s">
        <v>535</v>
      </c>
      <c r="F7" s="71" t="s">
        <v>920</v>
      </c>
      <c r="G7" s="95"/>
      <c r="H7" s="95"/>
      <c r="I7" s="23" t="s">
        <v>705</v>
      </c>
      <c r="J7" s="22" t="s">
        <v>1093</v>
      </c>
      <c r="K7" s="22"/>
      <c r="L7" s="24">
        <v>2022</v>
      </c>
      <c r="M7" s="24"/>
      <c r="N7" s="52">
        <f>8500000/100000*35</f>
        <v>2975</v>
      </c>
      <c r="O7" s="39"/>
      <c r="P7" s="27">
        <v>3</v>
      </c>
      <c r="Q7" s="28">
        <v>10000</v>
      </c>
      <c r="R7" s="28">
        <f>IF(Q7&lt;4.99,(Q7*12%+4),IF(Q7&lt;10.99,(Q7*12%+8),IF(Q7&lt;14.99,(Q7*12%+12),IF(Q7&lt;879.99,(Q7*12%+16),IF(Q7&lt;2569.99,(Q7*7%+60),240)))))</f>
        <v>240</v>
      </c>
      <c r="S7" s="29">
        <f>R7*P7</f>
        <v>720</v>
      </c>
      <c r="T7" s="24"/>
      <c r="U7" s="24"/>
      <c r="V7" s="24"/>
      <c r="W7" s="24"/>
      <c r="X7" s="24"/>
      <c r="Y7" s="24"/>
      <c r="Z7" s="22"/>
      <c r="AA7" s="22" t="s">
        <v>182</v>
      </c>
      <c r="AB7" s="41" t="s">
        <v>538</v>
      </c>
      <c r="AC7" s="71" t="s">
        <v>1094</v>
      </c>
      <c r="AD7" s="24">
        <v>1</v>
      </c>
      <c r="AE7" s="24">
        <v>2</v>
      </c>
      <c r="AF7" s="24">
        <v>3</v>
      </c>
      <c r="AG7" s="24">
        <v>3</v>
      </c>
      <c r="AH7" s="24">
        <v>1</v>
      </c>
      <c r="AI7" s="24">
        <v>1</v>
      </c>
      <c r="AJ7" s="24">
        <v>18</v>
      </c>
      <c r="AK7" s="22" t="s">
        <v>48</v>
      </c>
      <c r="AL7" s="22"/>
    </row>
    <row r="8" spans="1:38" s="156" customFormat="1" ht="38.25" x14ac:dyDescent="0.2">
      <c r="A8" s="13" t="s">
        <v>58</v>
      </c>
      <c r="B8" s="13" t="s">
        <v>451</v>
      </c>
      <c r="C8" s="13"/>
      <c r="D8" s="13" t="s">
        <v>1190</v>
      </c>
      <c r="E8" s="91" t="s">
        <v>99</v>
      </c>
      <c r="F8" s="101" t="s">
        <v>927</v>
      </c>
      <c r="G8" s="108"/>
      <c r="H8" s="108"/>
      <c r="I8" s="13" t="s">
        <v>797</v>
      </c>
      <c r="J8" s="13" t="s">
        <v>1186</v>
      </c>
      <c r="K8" s="13" t="s">
        <v>1187</v>
      </c>
      <c r="L8" s="14">
        <v>2022</v>
      </c>
      <c r="M8" s="14"/>
      <c r="N8" s="15">
        <f>50000/7750000000*8500000</f>
        <v>54.838709677419352</v>
      </c>
      <c r="O8" s="16"/>
      <c r="P8" s="17">
        <v>5</v>
      </c>
      <c r="Q8" s="18">
        <v>50000</v>
      </c>
      <c r="R8" s="18">
        <f>IF(Q8&lt;4.99,(Q8*12%+4),IF(Q8&lt;10.99,(Q8*12%+8),IF(Q8&lt;14.99,(Q8*12%+12),IF(Q8&lt;879.99,(Q8*12%+16),IF(Q8&lt;2569.99,(Q8*7%+60),240)))))</f>
        <v>240</v>
      </c>
      <c r="S8" s="19">
        <f>R8*P8</f>
        <v>1200</v>
      </c>
      <c r="T8" s="14"/>
      <c r="U8" s="14"/>
      <c r="V8" s="14"/>
      <c r="W8" s="14"/>
      <c r="X8" s="14"/>
      <c r="Y8" s="14"/>
      <c r="Z8" s="13" t="s">
        <v>42</v>
      </c>
      <c r="AA8" s="13" t="s">
        <v>43</v>
      </c>
      <c r="AB8" s="20" t="s">
        <v>1080</v>
      </c>
      <c r="AC8" s="70" t="s">
        <v>1254</v>
      </c>
      <c r="AD8" s="14">
        <v>3</v>
      </c>
      <c r="AE8" s="14">
        <v>2</v>
      </c>
      <c r="AF8" s="14">
        <v>3</v>
      </c>
      <c r="AG8" s="14">
        <v>2</v>
      </c>
      <c r="AH8" s="14">
        <v>1</v>
      </c>
      <c r="AI8" s="14">
        <v>2</v>
      </c>
      <c r="AJ8" s="14">
        <v>72</v>
      </c>
      <c r="AK8" s="13" t="s">
        <v>45</v>
      </c>
      <c r="AL8" s="13"/>
    </row>
    <row r="9" spans="1:38" s="156" customFormat="1" x14ac:dyDescent="0.2">
      <c r="A9" s="13"/>
      <c r="B9" s="13"/>
      <c r="C9" s="13"/>
      <c r="D9" s="13" t="s">
        <v>98</v>
      </c>
      <c r="E9" s="91" t="s">
        <v>99</v>
      </c>
      <c r="F9" s="101"/>
      <c r="G9" s="108"/>
      <c r="H9" s="108"/>
      <c r="I9" s="13" t="s">
        <v>1375</v>
      </c>
      <c r="J9" s="13"/>
      <c r="K9" s="13"/>
      <c r="L9" s="14"/>
      <c r="M9" s="14"/>
      <c r="N9" s="15"/>
      <c r="O9" s="16"/>
      <c r="P9" s="17"/>
      <c r="Q9" s="18"/>
      <c r="R9" s="18"/>
      <c r="S9" s="19"/>
      <c r="T9" s="14"/>
      <c r="U9" s="14"/>
      <c r="V9" s="14"/>
      <c r="W9" s="14"/>
      <c r="X9" s="14"/>
      <c r="Y9" s="14"/>
      <c r="Z9" s="13"/>
      <c r="AA9" s="13"/>
      <c r="AB9" s="20"/>
      <c r="AC9" s="70" t="s">
        <v>1376</v>
      </c>
      <c r="AD9" s="14"/>
      <c r="AE9" s="14"/>
      <c r="AF9" s="14"/>
      <c r="AG9" s="14"/>
      <c r="AH9" s="14"/>
      <c r="AI9" s="14"/>
      <c r="AJ9" s="14"/>
      <c r="AK9" s="13"/>
      <c r="AL9" s="13"/>
    </row>
    <row r="10" spans="1:38" s="129" customFormat="1" x14ac:dyDescent="0.2">
      <c r="A10" s="13" t="s">
        <v>58</v>
      </c>
      <c r="B10" s="13" t="s">
        <v>1194</v>
      </c>
      <c r="C10" s="13"/>
      <c r="D10" s="13" t="s">
        <v>37</v>
      </c>
      <c r="E10" s="91" t="s">
        <v>101</v>
      </c>
      <c r="F10" s="101"/>
      <c r="G10" s="108"/>
      <c r="H10" s="108"/>
      <c r="I10" s="13" t="s">
        <v>1146</v>
      </c>
      <c r="J10" s="13" t="s">
        <v>1147</v>
      </c>
      <c r="K10" s="13" t="s">
        <v>1193</v>
      </c>
      <c r="L10" s="14">
        <v>2023</v>
      </c>
      <c r="M10" s="14"/>
      <c r="N10" s="15">
        <v>30</v>
      </c>
      <c r="O10" s="16"/>
      <c r="P10" s="17">
        <v>10</v>
      </c>
      <c r="Q10" s="18">
        <v>2100</v>
      </c>
      <c r="R10" s="18"/>
      <c r="S10" s="19"/>
      <c r="T10" s="14"/>
      <c r="U10" s="14"/>
      <c r="V10" s="14"/>
      <c r="W10" s="14"/>
      <c r="X10" s="14"/>
      <c r="Y10" s="14"/>
      <c r="Z10" s="13" t="s">
        <v>42</v>
      </c>
      <c r="AA10" s="13"/>
      <c r="AB10" s="13"/>
      <c r="AC10" s="70" t="s">
        <v>1148</v>
      </c>
      <c r="AD10" s="14">
        <v>3</v>
      </c>
      <c r="AE10" s="14">
        <v>1</v>
      </c>
      <c r="AF10" s="14">
        <v>3</v>
      </c>
      <c r="AG10" s="14">
        <v>3</v>
      </c>
      <c r="AH10" s="14">
        <v>3</v>
      </c>
      <c r="AI10" s="14">
        <v>1</v>
      </c>
      <c r="AJ10" s="14">
        <f>AI10*AH10*AG10*AF10*AE10*AD10</f>
        <v>81</v>
      </c>
      <c r="AK10" s="13" t="s">
        <v>45</v>
      </c>
      <c r="AL10" s="20">
        <v>44621</v>
      </c>
    </row>
    <row r="11" spans="1:38" s="133" customFormat="1" x14ac:dyDescent="0.2">
      <c r="A11" s="133" t="s">
        <v>58</v>
      </c>
      <c r="B11" s="133" t="s">
        <v>625</v>
      </c>
      <c r="D11" s="133" t="s">
        <v>1171</v>
      </c>
      <c r="E11" s="133" t="s">
        <v>1172</v>
      </c>
      <c r="I11" s="133" t="s">
        <v>1173</v>
      </c>
      <c r="J11" s="133" t="s">
        <v>1174</v>
      </c>
      <c r="K11" s="133" t="s">
        <v>1017</v>
      </c>
      <c r="L11" s="133">
        <v>2023</v>
      </c>
      <c r="N11" s="133">
        <v>5</v>
      </c>
      <c r="P11" s="133">
        <v>5</v>
      </c>
      <c r="Q11" s="133">
        <v>10000</v>
      </c>
      <c r="R11" s="133">
        <v>240</v>
      </c>
      <c r="Z11" s="220" t="s">
        <v>42</v>
      </c>
      <c r="AB11" s="133" t="s">
        <v>1175</v>
      </c>
      <c r="AC11" s="221" t="s">
        <v>1176</v>
      </c>
      <c r="AD11" s="222">
        <v>2</v>
      </c>
      <c r="AE11" s="222">
        <v>1</v>
      </c>
      <c r="AF11" s="222">
        <v>2</v>
      </c>
      <c r="AG11" s="222">
        <v>1</v>
      </c>
      <c r="AH11" s="222">
        <v>3</v>
      </c>
      <c r="AI11" s="222">
        <v>2</v>
      </c>
      <c r="AJ11" s="133">
        <f>AD11*AE11*AF11*AG11*AH11*AI11</f>
        <v>24</v>
      </c>
      <c r="AK11" s="220" t="s">
        <v>45</v>
      </c>
      <c r="AL11" s="223">
        <v>44682</v>
      </c>
    </row>
    <row r="12" spans="1:38" x14ac:dyDescent="0.2">
      <c r="A12" s="22" t="s">
        <v>86</v>
      </c>
      <c r="B12" s="23" t="s">
        <v>1014</v>
      </c>
      <c r="C12" s="22" t="s">
        <v>48</v>
      </c>
      <c r="D12" s="22" t="s">
        <v>37</v>
      </c>
      <c r="E12" s="87" t="s">
        <v>1013</v>
      </c>
      <c r="F12" s="98"/>
      <c r="G12" s="95"/>
      <c r="H12" s="95"/>
      <c r="I12" s="22" t="s">
        <v>1015</v>
      </c>
      <c r="J12" s="22" t="s">
        <v>1016</v>
      </c>
      <c r="K12" s="22" t="s">
        <v>1017</v>
      </c>
      <c r="L12" s="24">
        <v>2022</v>
      </c>
      <c r="M12" s="24"/>
      <c r="N12" s="38">
        <v>400</v>
      </c>
      <c r="O12" s="39">
        <v>0.1</v>
      </c>
      <c r="P12" s="27">
        <v>40</v>
      </c>
      <c r="Q12" s="28">
        <v>1400</v>
      </c>
      <c r="R12" s="28">
        <v>170</v>
      </c>
      <c r="S12" s="29">
        <f>P12*Q12*12</f>
        <v>672000</v>
      </c>
      <c r="T12" s="24"/>
      <c r="U12" s="24"/>
      <c r="V12" s="24"/>
      <c r="W12" s="24"/>
      <c r="X12" s="24"/>
      <c r="Y12" s="24"/>
      <c r="Z12" s="22"/>
      <c r="AA12" s="22"/>
      <c r="AB12" s="41"/>
      <c r="AC12" s="71"/>
      <c r="AD12" s="24"/>
      <c r="AE12" s="24"/>
      <c r="AF12" s="24"/>
      <c r="AG12" s="24"/>
      <c r="AH12" s="24"/>
      <c r="AI12" s="24"/>
      <c r="AJ12" s="24"/>
      <c r="AK12" s="22"/>
      <c r="AL12" s="22"/>
    </row>
    <row r="13" spans="1:38" s="133" customFormat="1" ht="25.5" x14ac:dyDescent="0.2">
      <c r="A13" s="30" t="s">
        <v>58</v>
      </c>
      <c r="B13" s="30" t="s">
        <v>296</v>
      </c>
      <c r="C13" s="30"/>
      <c r="D13" s="30" t="s">
        <v>60</v>
      </c>
      <c r="E13" s="89" t="s">
        <v>381</v>
      </c>
      <c r="F13" s="131"/>
      <c r="G13" s="106"/>
      <c r="H13" s="106"/>
      <c r="I13" s="30" t="s">
        <v>1153</v>
      </c>
      <c r="J13" s="30" t="s">
        <v>1292</v>
      </c>
      <c r="K13" s="30" t="s">
        <v>63</v>
      </c>
      <c r="L13" s="31">
        <v>2024</v>
      </c>
      <c r="M13" s="31"/>
      <c r="N13" s="32"/>
      <c r="O13" s="33"/>
      <c r="P13" s="34">
        <v>20</v>
      </c>
      <c r="Q13" s="35">
        <v>1200</v>
      </c>
      <c r="R13" s="35"/>
      <c r="S13" s="36"/>
      <c r="T13" s="31"/>
      <c r="U13" s="31"/>
      <c r="V13" s="31"/>
      <c r="W13" s="31"/>
      <c r="X13" s="31"/>
      <c r="Y13" s="31"/>
      <c r="Z13" s="30" t="s">
        <v>42</v>
      </c>
      <c r="AA13" s="30"/>
      <c r="AB13" s="30"/>
      <c r="AC13" s="72" t="s">
        <v>1293</v>
      </c>
      <c r="AD13" s="31">
        <v>3</v>
      </c>
      <c r="AE13" s="31">
        <v>2</v>
      </c>
      <c r="AF13" s="31">
        <v>3</v>
      </c>
      <c r="AG13" s="31">
        <v>1</v>
      </c>
      <c r="AH13" s="31">
        <v>3</v>
      </c>
      <c r="AI13" s="31">
        <v>2</v>
      </c>
      <c r="AJ13" s="31">
        <f>AI13*AH13*AG13*AF13*AE13*AD13</f>
        <v>108</v>
      </c>
      <c r="AK13" s="30" t="s">
        <v>45</v>
      </c>
      <c r="AL13" s="37">
        <v>44621</v>
      </c>
    </row>
    <row r="14" spans="1:38" x14ac:dyDescent="0.2">
      <c r="A14" s="22" t="s">
        <v>58</v>
      </c>
      <c r="B14" s="22" t="s">
        <v>1066</v>
      </c>
      <c r="C14" s="22"/>
      <c r="D14" s="22" t="s">
        <v>98</v>
      </c>
      <c r="E14" s="87" t="s">
        <v>306</v>
      </c>
      <c r="F14" s="95"/>
      <c r="G14" s="95"/>
      <c r="H14" s="98"/>
      <c r="I14" s="22" t="s">
        <v>1067</v>
      </c>
      <c r="J14" s="22" t="s">
        <v>1068</v>
      </c>
      <c r="K14" s="22" t="s">
        <v>315</v>
      </c>
      <c r="L14" s="24">
        <v>2022</v>
      </c>
      <c r="M14" s="24"/>
      <c r="N14" s="38">
        <v>5</v>
      </c>
      <c r="O14" s="39"/>
      <c r="P14" s="27">
        <v>5</v>
      </c>
      <c r="Q14" s="28">
        <v>9000</v>
      </c>
      <c r="R14" s="28">
        <v>200</v>
      </c>
      <c r="S14" s="29"/>
      <c r="T14" s="24"/>
      <c r="U14" s="24"/>
      <c r="V14" s="24"/>
      <c r="W14" s="24"/>
      <c r="X14" s="24"/>
      <c r="Y14" s="24"/>
      <c r="Z14" s="22"/>
      <c r="AA14" s="22"/>
      <c r="AB14" s="22"/>
      <c r="AC14" s="71"/>
      <c r="AD14" s="24"/>
      <c r="AE14" s="24"/>
      <c r="AF14" s="24"/>
      <c r="AG14" s="24"/>
      <c r="AH14" s="24"/>
      <c r="AI14" s="24"/>
      <c r="AJ14" s="24"/>
      <c r="AK14" s="22"/>
      <c r="AL14" s="22"/>
    </row>
    <row r="15" spans="1:38" ht="51" x14ac:dyDescent="0.2">
      <c r="A15" s="13" t="s">
        <v>846</v>
      </c>
      <c r="B15" s="13" t="s">
        <v>816</v>
      </c>
      <c r="C15" s="13"/>
      <c r="D15" s="136" t="s">
        <v>60</v>
      </c>
      <c r="E15" s="169" t="s">
        <v>52</v>
      </c>
      <c r="F15" s="180" t="s">
        <v>908</v>
      </c>
      <c r="G15" s="140"/>
      <c r="H15" s="140"/>
      <c r="I15" s="136" t="s">
        <v>847</v>
      </c>
      <c r="J15" s="13" t="s">
        <v>848</v>
      </c>
      <c r="K15" s="13" t="s">
        <v>834</v>
      </c>
      <c r="L15" s="14">
        <v>2021</v>
      </c>
      <c r="M15" s="14"/>
      <c r="N15" s="15"/>
      <c r="O15" s="16"/>
      <c r="P15" s="17">
        <v>15</v>
      </c>
      <c r="Q15" s="18">
        <v>2600</v>
      </c>
      <c r="R15" s="18"/>
      <c r="S15" s="19"/>
      <c r="T15" s="14"/>
      <c r="U15" s="14"/>
      <c r="V15" s="14"/>
      <c r="W15" s="14"/>
      <c r="X15" s="14"/>
      <c r="Y15" s="14"/>
      <c r="Z15" s="13" t="s">
        <v>1082</v>
      </c>
      <c r="AA15" s="13" t="s">
        <v>43</v>
      </c>
      <c r="AB15" s="21" t="s">
        <v>1083</v>
      </c>
      <c r="AC15" s="137" t="s">
        <v>1084</v>
      </c>
      <c r="AD15" s="14">
        <v>3</v>
      </c>
      <c r="AE15" s="14">
        <v>2</v>
      </c>
      <c r="AF15" s="14">
        <v>3</v>
      </c>
      <c r="AG15" s="14">
        <v>2</v>
      </c>
      <c r="AH15" s="14">
        <v>1</v>
      </c>
      <c r="AI15" s="14">
        <v>3</v>
      </c>
      <c r="AJ15" s="14">
        <v>108</v>
      </c>
      <c r="AK15" s="13" t="s">
        <v>45</v>
      </c>
      <c r="AL15" s="138"/>
    </row>
    <row r="16" spans="1:38" s="133" customFormat="1" ht="38.25" x14ac:dyDescent="0.2">
      <c r="A16" s="22" t="s">
        <v>86</v>
      </c>
      <c r="B16" s="22" t="s">
        <v>105</v>
      </c>
      <c r="C16" s="22"/>
      <c r="D16" s="65" t="s">
        <v>37</v>
      </c>
      <c r="E16" s="66" t="s">
        <v>338</v>
      </c>
      <c r="F16" s="79" t="s">
        <v>904</v>
      </c>
      <c r="G16" s="77"/>
      <c r="H16" s="77"/>
      <c r="I16" s="65" t="s">
        <v>857</v>
      </c>
      <c r="J16" s="22" t="s">
        <v>1130</v>
      </c>
      <c r="K16" s="22" t="s">
        <v>42</v>
      </c>
      <c r="L16" s="24">
        <v>2022</v>
      </c>
      <c r="M16" s="24"/>
      <c r="N16" s="38"/>
      <c r="O16" s="39"/>
      <c r="P16" s="27">
        <v>10</v>
      </c>
      <c r="Q16" s="28">
        <v>1200</v>
      </c>
      <c r="R16" s="28"/>
      <c r="S16" s="29"/>
      <c r="T16" s="24"/>
      <c r="U16" s="24"/>
      <c r="V16" s="24"/>
      <c r="W16" s="24"/>
      <c r="X16" s="24"/>
      <c r="Y16" s="24"/>
      <c r="Z16" s="22" t="s">
        <v>42</v>
      </c>
      <c r="AA16" s="22"/>
      <c r="AB16" s="41"/>
      <c r="AC16" s="67"/>
      <c r="AD16" s="24">
        <v>2</v>
      </c>
      <c r="AE16" s="24">
        <v>3</v>
      </c>
      <c r="AF16" s="24">
        <v>3</v>
      </c>
      <c r="AG16" s="24">
        <v>1</v>
      </c>
      <c r="AH16" s="24">
        <v>1</v>
      </c>
      <c r="AI16" s="24">
        <v>2</v>
      </c>
      <c r="AJ16" s="24">
        <v>36</v>
      </c>
      <c r="AK16" s="22" t="s">
        <v>48</v>
      </c>
      <c r="AL16" s="69">
        <v>44166</v>
      </c>
    </row>
    <row r="17" spans="1:38" s="133" customFormat="1" x14ac:dyDescent="0.2">
      <c r="A17" s="22" t="s">
        <v>35</v>
      </c>
      <c r="B17" s="22" t="s">
        <v>268</v>
      </c>
      <c r="C17" s="22"/>
      <c r="D17" s="68" t="s">
        <v>60</v>
      </c>
      <c r="E17" s="66" t="s">
        <v>338</v>
      </c>
      <c r="F17" s="79"/>
      <c r="G17" s="77"/>
      <c r="H17" s="77"/>
      <c r="I17" s="68" t="s">
        <v>1367</v>
      </c>
      <c r="J17" s="22"/>
      <c r="K17" s="22" t="s">
        <v>42</v>
      </c>
      <c r="L17" s="24">
        <v>2024</v>
      </c>
      <c r="M17" s="24"/>
      <c r="N17" s="38"/>
      <c r="O17" s="39"/>
      <c r="P17" s="27"/>
      <c r="Q17" s="28"/>
      <c r="R17" s="28"/>
      <c r="S17" s="29"/>
      <c r="T17" s="24"/>
      <c r="U17" s="24"/>
      <c r="V17" s="24"/>
      <c r="W17" s="24"/>
      <c r="X17" s="24"/>
      <c r="Y17" s="24"/>
      <c r="Z17" s="22"/>
      <c r="AA17" s="22"/>
      <c r="AB17" s="41"/>
      <c r="AC17" s="185" t="s">
        <v>1368</v>
      </c>
      <c r="AD17" s="24">
        <v>2</v>
      </c>
      <c r="AE17" s="24">
        <v>3</v>
      </c>
      <c r="AF17" s="24">
        <v>3</v>
      </c>
      <c r="AG17" s="24">
        <v>3</v>
      </c>
      <c r="AH17" s="24">
        <v>1</v>
      </c>
      <c r="AI17" s="24">
        <v>3</v>
      </c>
      <c r="AJ17" s="24">
        <f>AI17*AH17*AG17*AF17*AE17*AD17</f>
        <v>162</v>
      </c>
      <c r="AK17" s="22" t="s">
        <v>45</v>
      </c>
      <c r="AL17" s="69">
        <v>45078</v>
      </c>
    </row>
    <row r="18" spans="1:38" x14ac:dyDescent="0.2">
      <c r="A18" s="30" t="s">
        <v>58</v>
      </c>
      <c r="B18" s="30" t="s">
        <v>1063</v>
      </c>
      <c r="C18" s="30" t="s">
        <v>48</v>
      </c>
      <c r="D18" s="30" t="s">
        <v>37</v>
      </c>
      <c r="E18" s="89" t="s">
        <v>1062</v>
      </c>
      <c r="F18" s="106"/>
      <c r="G18" s="106"/>
      <c r="H18" s="131"/>
      <c r="I18" s="30" t="s">
        <v>1064</v>
      </c>
      <c r="J18" s="30" t="s">
        <v>1065</v>
      </c>
      <c r="K18" s="30" t="s">
        <v>315</v>
      </c>
      <c r="L18" s="31">
        <v>2023</v>
      </c>
      <c r="M18" s="31"/>
      <c r="N18" s="32">
        <v>80</v>
      </c>
      <c r="O18" s="33"/>
      <c r="P18" s="34">
        <v>20</v>
      </c>
      <c r="Q18" s="35">
        <v>10000</v>
      </c>
      <c r="R18" s="35">
        <v>240</v>
      </c>
      <c r="S18" s="36"/>
      <c r="T18" s="31"/>
      <c r="U18" s="31"/>
      <c r="V18" s="31"/>
      <c r="W18" s="31"/>
      <c r="X18" s="31"/>
      <c r="Y18" s="31"/>
      <c r="Z18" s="30" t="s">
        <v>42</v>
      </c>
      <c r="AA18" s="30"/>
      <c r="AB18" s="30"/>
      <c r="AC18" s="72" t="s">
        <v>1274</v>
      </c>
      <c r="AD18" s="31"/>
      <c r="AE18" s="31"/>
      <c r="AF18" s="31"/>
      <c r="AG18" s="31"/>
      <c r="AH18" s="31"/>
      <c r="AI18" s="31"/>
      <c r="AJ18" s="31"/>
      <c r="AK18" s="30"/>
      <c r="AL18" s="30"/>
    </row>
    <row r="19" spans="1:38" x14ac:dyDescent="0.2">
      <c r="A19" s="22" t="s">
        <v>72</v>
      </c>
      <c r="B19" s="22" t="s">
        <v>1054</v>
      </c>
      <c r="C19" s="22"/>
      <c r="D19" s="22" t="s">
        <v>37</v>
      </c>
      <c r="E19" s="87" t="s">
        <v>1055</v>
      </c>
      <c r="F19" s="95"/>
      <c r="G19" s="95"/>
      <c r="H19" s="95"/>
      <c r="I19" s="22" t="s">
        <v>1056</v>
      </c>
      <c r="J19" s="22" t="s">
        <v>1057</v>
      </c>
      <c r="K19" s="22" t="s">
        <v>834</v>
      </c>
      <c r="L19" s="24">
        <v>2022</v>
      </c>
      <c r="M19" s="24"/>
      <c r="N19" s="38">
        <v>20</v>
      </c>
      <c r="O19" s="39"/>
      <c r="P19" s="24">
        <v>5</v>
      </c>
      <c r="Q19" s="28">
        <v>2500</v>
      </c>
      <c r="R19" s="24">
        <v>240</v>
      </c>
      <c r="S19" s="24"/>
      <c r="T19" s="24"/>
      <c r="U19" s="24"/>
      <c r="V19" s="24"/>
      <c r="W19" s="24"/>
      <c r="X19" s="24"/>
      <c r="Y19" s="24"/>
      <c r="Z19" s="22"/>
      <c r="AA19" s="22"/>
      <c r="AB19" s="22"/>
      <c r="AC19" s="71"/>
      <c r="AD19" s="24"/>
      <c r="AE19" s="24"/>
      <c r="AF19" s="24"/>
      <c r="AG19" s="24"/>
      <c r="AH19" s="24"/>
      <c r="AI19" s="24"/>
      <c r="AJ19" s="24"/>
      <c r="AK19" s="22"/>
      <c r="AL19" s="22"/>
    </row>
    <row r="20" spans="1:38" s="156" customFormat="1" ht="76.5" x14ac:dyDescent="0.2">
      <c r="A20" s="13" t="s">
        <v>72</v>
      </c>
      <c r="B20" s="13" t="s">
        <v>153</v>
      </c>
      <c r="C20" s="13"/>
      <c r="D20" s="13" t="s">
        <v>37</v>
      </c>
      <c r="E20" s="91" t="s">
        <v>338</v>
      </c>
      <c r="F20" s="108"/>
      <c r="G20" s="108"/>
      <c r="H20" s="101" t="s">
        <v>919</v>
      </c>
      <c r="I20" s="13" t="s">
        <v>653</v>
      </c>
      <c r="J20" s="13" t="s">
        <v>1103</v>
      </c>
      <c r="K20" s="13" t="s">
        <v>654</v>
      </c>
      <c r="L20" s="14">
        <v>2023</v>
      </c>
      <c r="M20" s="14"/>
      <c r="N20" s="15">
        <v>1000000</v>
      </c>
      <c r="O20" s="16"/>
      <c r="P20" s="17">
        <v>20</v>
      </c>
      <c r="Q20" s="18">
        <v>500</v>
      </c>
      <c r="R20" s="18">
        <f>IF(Q20&lt;4.99,(Q20*12%+4),IF(Q20&lt;10.99,(Q20*12%+8),IF(Q20&lt;14.99,(Q20*12%+12),IF(Q20&lt;879.99,(Q20*12%+16),IF(Q20&lt;2569.99,(Q20*7%+60),240)))))</f>
        <v>76</v>
      </c>
      <c r="S20" s="19">
        <f>R20*P20</f>
        <v>1520</v>
      </c>
      <c r="T20" s="14"/>
      <c r="U20" s="14"/>
      <c r="V20" s="14"/>
      <c r="W20" s="14"/>
      <c r="X20" s="14"/>
      <c r="Y20" s="14"/>
      <c r="Z20" s="13" t="s">
        <v>42</v>
      </c>
      <c r="AA20" s="13"/>
      <c r="AB20" s="13"/>
      <c r="AC20" s="70" t="s">
        <v>1104</v>
      </c>
      <c r="AD20" s="14">
        <v>1</v>
      </c>
      <c r="AE20" s="14">
        <v>3</v>
      </c>
      <c r="AF20" s="14">
        <v>1</v>
      </c>
      <c r="AG20" s="14">
        <v>1</v>
      </c>
      <c r="AH20" s="14">
        <v>3</v>
      </c>
      <c r="AI20" s="14">
        <v>2</v>
      </c>
      <c r="AJ20" s="14">
        <v>18</v>
      </c>
      <c r="AK20" s="13" t="s">
        <v>48</v>
      </c>
      <c r="AL20" s="13"/>
    </row>
    <row r="21" spans="1:38" ht="38.25" x14ac:dyDescent="0.2">
      <c r="A21" s="179" t="s">
        <v>86</v>
      </c>
      <c r="B21" s="30" t="s">
        <v>442</v>
      </c>
      <c r="C21" s="30"/>
      <c r="D21" s="30" t="s">
        <v>98</v>
      </c>
      <c r="E21" s="89" t="s">
        <v>443</v>
      </c>
      <c r="F21" s="72" t="s">
        <v>960</v>
      </c>
      <c r="G21" s="106"/>
      <c r="H21" s="106"/>
      <c r="I21" s="30" t="s">
        <v>444</v>
      </c>
      <c r="J21" s="30" t="s">
        <v>445</v>
      </c>
      <c r="K21" s="30" t="s">
        <v>309</v>
      </c>
      <c r="L21" s="31">
        <v>2018</v>
      </c>
      <c r="M21" s="31"/>
      <c r="N21" s="32" t="s">
        <v>446</v>
      </c>
      <c r="O21" s="33"/>
      <c r="P21" s="34">
        <v>2</v>
      </c>
      <c r="Q21" s="35">
        <v>1000</v>
      </c>
      <c r="R21" s="35">
        <f>IF(Q21&lt;4.99,(Q21*12%+4),IF(Q21&lt;10.99,(Q21*12%+8),IF(Q21&lt;14.99,(Q21*12%+12),IF(Q21&lt;879.99,(Q21*12%+16),IF(Q21&lt;2569.99,(Q21*7%+60),240)))))</f>
        <v>130</v>
      </c>
      <c r="S21" s="36">
        <f>R21*P21</f>
        <v>260</v>
      </c>
      <c r="T21" s="31"/>
      <c r="U21" s="31"/>
      <c r="V21" s="31"/>
      <c r="W21" s="31"/>
      <c r="X21" s="31"/>
      <c r="Y21" s="31"/>
      <c r="Z21" s="30"/>
      <c r="AA21" s="30"/>
      <c r="AB21" s="30" t="s">
        <v>227</v>
      </c>
      <c r="AC21" s="72" t="s">
        <v>447</v>
      </c>
      <c r="AD21" s="31">
        <v>1</v>
      </c>
      <c r="AE21" s="31">
        <v>1</v>
      </c>
      <c r="AF21" s="31">
        <v>3</v>
      </c>
      <c r="AG21" s="31">
        <v>1</v>
      </c>
      <c r="AH21" s="31">
        <v>2</v>
      </c>
      <c r="AI21" s="31">
        <v>2</v>
      </c>
      <c r="AJ21" s="31">
        <v>12</v>
      </c>
      <c r="AK21" s="30" t="s">
        <v>48</v>
      </c>
      <c r="AL21" s="30"/>
    </row>
    <row r="22" spans="1:38" ht="38.25" x14ac:dyDescent="0.2">
      <c r="A22" s="22" t="s">
        <v>86</v>
      </c>
      <c r="B22" s="22" t="s">
        <v>215</v>
      </c>
      <c r="C22" s="22"/>
      <c r="D22" s="22" t="s">
        <v>60</v>
      </c>
      <c r="E22" s="87" t="s">
        <v>216</v>
      </c>
      <c r="F22" s="97" t="s">
        <v>920</v>
      </c>
      <c r="G22" s="95"/>
      <c r="H22" s="95"/>
      <c r="I22" s="22" t="s">
        <v>217</v>
      </c>
      <c r="J22" s="22" t="s">
        <v>1092</v>
      </c>
      <c r="K22" s="22" t="s">
        <v>42</v>
      </c>
      <c r="L22" s="24">
        <v>2022</v>
      </c>
      <c r="M22" s="24"/>
      <c r="N22" s="52">
        <v>2400</v>
      </c>
      <c r="O22" s="39"/>
      <c r="P22" s="27">
        <v>3</v>
      </c>
      <c r="Q22" s="28">
        <v>1300</v>
      </c>
      <c r="R22" s="28">
        <f>IF(Q22&lt;4.99,(Q22*12%+4),IF(Q22&lt;10.99,(Q22*12%+8),IF(Q22&lt;14.99,(Q22*12%+12),IF(Q22&lt;879.99,(Q22*12%+16),IF(Q22&lt;2569.99,(Q22*7%+60),240)))))</f>
        <v>151</v>
      </c>
      <c r="S22" s="29">
        <f>R22*P22</f>
        <v>453</v>
      </c>
      <c r="T22" s="24"/>
      <c r="U22" s="24"/>
      <c r="V22" s="24"/>
      <c r="W22" s="24"/>
      <c r="X22" s="24"/>
      <c r="Y22" s="24"/>
      <c r="Z22" s="22" t="s">
        <v>42</v>
      </c>
      <c r="AA22" s="22"/>
      <c r="AB22" s="41"/>
      <c r="AC22" s="71" t="s">
        <v>218</v>
      </c>
      <c r="AD22" s="24">
        <v>1</v>
      </c>
      <c r="AE22" s="24">
        <v>3</v>
      </c>
      <c r="AF22" s="24">
        <v>3</v>
      </c>
      <c r="AG22" s="24">
        <v>2</v>
      </c>
      <c r="AH22" s="24">
        <v>1</v>
      </c>
      <c r="AI22" s="24">
        <v>2</v>
      </c>
      <c r="AJ22" s="24">
        <v>36</v>
      </c>
      <c r="AK22" s="22" t="s">
        <v>45</v>
      </c>
      <c r="AL22" s="22"/>
    </row>
    <row r="23" spans="1:38" ht="38.25" x14ac:dyDescent="0.2">
      <c r="A23" s="30" t="s">
        <v>72</v>
      </c>
      <c r="B23" s="30" t="s">
        <v>229</v>
      </c>
      <c r="C23" s="30"/>
      <c r="D23" s="30" t="s">
        <v>98</v>
      </c>
      <c r="E23" s="89" t="s">
        <v>230</v>
      </c>
      <c r="F23" s="96" t="s">
        <v>938</v>
      </c>
      <c r="G23" s="106"/>
      <c r="H23" s="106"/>
      <c r="I23" s="30" t="s">
        <v>231</v>
      </c>
      <c r="J23" s="30" t="s">
        <v>232</v>
      </c>
      <c r="K23" s="30" t="s">
        <v>201</v>
      </c>
      <c r="L23" s="31">
        <v>2019</v>
      </c>
      <c r="M23" s="31"/>
      <c r="N23" s="32">
        <v>15000</v>
      </c>
      <c r="O23" s="33"/>
      <c r="P23" s="34">
        <v>10</v>
      </c>
      <c r="Q23" s="35">
        <v>200</v>
      </c>
      <c r="R23" s="35">
        <f>IF(Q23&lt;4.99,(Q23*12%+4),IF(Q23&lt;10.99,(Q23*12%+8),IF(Q23&lt;14.99,(Q23*12%+12),IF(Q23&lt;879.99,(Q23*12%+16),IF(Q23&lt;2569.99,(Q23*7%+60),240)))))</f>
        <v>40</v>
      </c>
      <c r="S23" s="36">
        <f>R23*P23</f>
        <v>400</v>
      </c>
      <c r="T23" s="31"/>
      <c r="U23" s="31"/>
      <c r="V23" s="31"/>
      <c r="W23" s="31"/>
      <c r="X23" s="31"/>
      <c r="Y23" s="31"/>
      <c r="Z23" s="30" t="s">
        <v>201</v>
      </c>
      <c r="AA23" s="30"/>
      <c r="AB23" s="30" t="s">
        <v>95</v>
      </c>
      <c r="AC23" s="72" t="s">
        <v>233</v>
      </c>
      <c r="AD23" s="31">
        <v>2</v>
      </c>
      <c r="AE23" s="31">
        <v>1</v>
      </c>
      <c r="AF23" s="31">
        <v>2</v>
      </c>
      <c r="AG23" s="31">
        <v>1</v>
      </c>
      <c r="AH23" s="31">
        <v>3</v>
      </c>
      <c r="AI23" s="31">
        <v>2</v>
      </c>
      <c r="AJ23" s="31">
        <v>24</v>
      </c>
      <c r="AK23" s="30" t="s">
        <v>45</v>
      </c>
      <c r="AL23" s="37">
        <v>43525</v>
      </c>
    </row>
    <row r="24" spans="1:38" x14ac:dyDescent="0.2">
      <c r="A24" s="22"/>
      <c r="B24" s="22"/>
      <c r="C24" s="22"/>
      <c r="D24" s="22"/>
      <c r="E24" s="92"/>
      <c r="F24" s="95"/>
      <c r="G24" s="95"/>
      <c r="H24" s="112"/>
      <c r="I24" s="22"/>
      <c r="J24" s="22"/>
      <c r="K24" s="22"/>
      <c r="L24" s="24"/>
      <c r="M24" s="24"/>
      <c r="N24" s="38"/>
      <c r="O24" s="39"/>
      <c r="P24" s="24"/>
      <c r="Q24" s="28"/>
      <c r="R24" s="24"/>
      <c r="S24" s="24"/>
      <c r="T24" s="24"/>
      <c r="U24" s="24"/>
      <c r="V24" s="24"/>
      <c r="W24" s="24"/>
      <c r="X24" s="24"/>
      <c r="Y24" s="24"/>
      <c r="Z24" s="22"/>
      <c r="AA24" s="22"/>
      <c r="AB24" s="22"/>
      <c r="AC24" s="71"/>
      <c r="AD24" s="24"/>
      <c r="AE24" s="24"/>
      <c r="AF24" s="24"/>
      <c r="AG24" s="24"/>
      <c r="AH24" s="24"/>
      <c r="AI24" s="24"/>
      <c r="AJ24" s="24"/>
      <c r="AK24" s="22"/>
      <c r="AL24" s="22"/>
    </row>
    <row r="25" spans="1:38" s="157" customFormat="1" x14ac:dyDescent="0.2">
      <c r="A25" s="42" t="s">
        <v>35</v>
      </c>
      <c r="B25" s="42" t="s">
        <v>1009</v>
      </c>
      <c r="C25" s="42"/>
      <c r="D25" s="42" t="s">
        <v>37</v>
      </c>
      <c r="E25" s="187" t="s">
        <v>1010</v>
      </c>
      <c r="F25" s="94"/>
      <c r="G25" s="109"/>
      <c r="H25" s="109"/>
      <c r="I25" s="42" t="s">
        <v>1011</v>
      </c>
      <c r="J25" s="42"/>
      <c r="K25" s="42" t="s">
        <v>42</v>
      </c>
      <c r="L25" s="43">
        <v>2024</v>
      </c>
      <c r="M25" s="43"/>
      <c r="N25" s="44">
        <v>160</v>
      </c>
      <c r="O25" s="45" t="s">
        <v>1012</v>
      </c>
      <c r="P25" s="46">
        <v>10</v>
      </c>
      <c r="Q25" s="47">
        <v>5000</v>
      </c>
      <c r="R25" s="47">
        <v>240</v>
      </c>
      <c r="S25" s="48">
        <f>P25*R25*12</f>
        <v>28800</v>
      </c>
      <c r="T25" s="43" t="s">
        <v>48</v>
      </c>
      <c r="U25" s="43" t="s">
        <v>45</v>
      </c>
      <c r="V25" s="43" t="s">
        <v>48</v>
      </c>
      <c r="W25" s="43" t="s">
        <v>45</v>
      </c>
      <c r="X25" s="43" t="s">
        <v>45</v>
      </c>
      <c r="Y25" s="43"/>
      <c r="Z25" s="42" t="s">
        <v>42</v>
      </c>
      <c r="AA25" s="42"/>
      <c r="AB25" s="60"/>
      <c r="AC25" s="73" t="s">
        <v>1213</v>
      </c>
      <c r="AD25" s="43"/>
      <c r="AE25" s="43"/>
      <c r="AF25" s="43"/>
      <c r="AG25" s="43"/>
      <c r="AH25" s="43"/>
      <c r="AI25" s="43"/>
      <c r="AJ25" s="43"/>
      <c r="AK25" s="42"/>
      <c r="AL25" s="42"/>
    </row>
    <row r="26" spans="1:38" s="129" customFormat="1" x14ac:dyDescent="0.2">
      <c r="A26" s="13" t="s">
        <v>35</v>
      </c>
      <c r="B26" s="13" t="s">
        <v>1334</v>
      </c>
      <c r="C26" s="13"/>
      <c r="D26" s="13" t="s">
        <v>60</v>
      </c>
      <c r="E26" s="91" t="s">
        <v>394</v>
      </c>
      <c r="F26" s="108"/>
      <c r="G26" s="101"/>
      <c r="H26" s="108"/>
      <c r="I26" s="13" t="s">
        <v>1033</v>
      </c>
      <c r="J26" s="13" t="s">
        <v>1335</v>
      </c>
      <c r="K26" s="13" t="s">
        <v>42</v>
      </c>
      <c r="L26" s="14">
        <v>2024</v>
      </c>
      <c r="M26" s="14"/>
      <c r="N26" s="15">
        <v>50</v>
      </c>
      <c r="O26" s="16">
        <v>0</v>
      </c>
      <c r="P26" s="17">
        <v>5</v>
      </c>
      <c r="Q26" s="18">
        <v>3000</v>
      </c>
      <c r="R26" s="18">
        <v>240</v>
      </c>
      <c r="S26" s="19"/>
      <c r="T26" s="14"/>
      <c r="U26" s="14"/>
      <c r="V26" s="14"/>
      <c r="W26" s="14"/>
      <c r="X26" s="14"/>
      <c r="Y26" s="14"/>
      <c r="Z26" s="13" t="s">
        <v>42</v>
      </c>
      <c r="AA26" s="13"/>
      <c r="AB26" s="13"/>
      <c r="AC26" s="70" t="s">
        <v>1333</v>
      </c>
      <c r="AD26" s="14">
        <v>3</v>
      </c>
      <c r="AE26" s="14">
        <v>1</v>
      </c>
      <c r="AF26" s="14">
        <v>3</v>
      </c>
      <c r="AG26" s="14">
        <v>3</v>
      </c>
      <c r="AH26" s="14">
        <v>1</v>
      </c>
      <c r="AI26" s="14">
        <v>2</v>
      </c>
      <c r="AJ26" s="14">
        <f>AI26*AH26*AG26*AF26*AE26*AD26</f>
        <v>54</v>
      </c>
      <c r="AK26" s="13" t="s">
        <v>45</v>
      </c>
      <c r="AL26" s="13"/>
    </row>
    <row r="27" spans="1:38" s="156" customFormat="1" x14ac:dyDescent="0.2">
      <c r="A27" s="30" t="s">
        <v>35</v>
      </c>
      <c r="B27" s="30" t="s">
        <v>1099</v>
      </c>
      <c r="C27" s="30"/>
      <c r="D27" s="30" t="s">
        <v>60</v>
      </c>
      <c r="E27" s="89" t="s">
        <v>1100</v>
      </c>
      <c r="F27" s="131"/>
      <c r="G27" s="106"/>
      <c r="H27" s="106"/>
      <c r="I27" s="30" t="s">
        <v>1101</v>
      </c>
      <c r="J27" s="30" t="s">
        <v>1102</v>
      </c>
      <c r="K27" s="30"/>
      <c r="L27" s="31"/>
      <c r="M27" s="31"/>
      <c r="N27" s="32">
        <v>8</v>
      </c>
      <c r="O27" s="33" t="s">
        <v>1012</v>
      </c>
      <c r="P27" s="34">
        <v>5</v>
      </c>
      <c r="Q27" s="35">
        <v>5000</v>
      </c>
      <c r="R27" s="35"/>
      <c r="S27" s="36"/>
      <c r="T27" s="31"/>
      <c r="U27" s="31"/>
      <c r="V27" s="31"/>
      <c r="W27" s="31"/>
      <c r="X27" s="31"/>
      <c r="Y27" s="31"/>
      <c r="Z27" s="30" t="s">
        <v>42</v>
      </c>
      <c r="AA27" s="30"/>
      <c r="AB27" s="30"/>
      <c r="AC27" s="72"/>
      <c r="AD27" s="31">
        <v>1</v>
      </c>
      <c r="AE27" s="31">
        <v>1</v>
      </c>
      <c r="AF27" s="31">
        <v>1</v>
      </c>
      <c r="AG27" s="31">
        <v>3</v>
      </c>
      <c r="AH27" s="31">
        <v>1</v>
      </c>
      <c r="AI27" s="31">
        <v>1</v>
      </c>
      <c r="AJ27" s="31">
        <f>AI27*AH27*AG27*AF27*AE27*AD27</f>
        <v>3</v>
      </c>
      <c r="AK27" s="30"/>
      <c r="AL27" s="37">
        <v>44621</v>
      </c>
    </row>
    <row r="28" spans="1:38" ht="38.25" x14ac:dyDescent="0.2">
      <c r="A28" s="22" t="s">
        <v>35</v>
      </c>
      <c r="B28" s="22" t="s">
        <v>78</v>
      </c>
      <c r="C28" s="22"/>
      <c r="D28" s="22" t="s">
        <v>37</v>
      </c>
      <c r="E28" s="87" t="s">
        <v>655</v>
      </c>
      <c r="F28" s="98" t="s">
        <v>985</v>
      </c>
      <c r="G28" s="95"/>
      <c r="H28" s="95"/>
      <c r="I28" s="22" t="s">
        <v>777</v>
      </c>
      <c r="J28" s="22"/>
      <c r="K28" s="22" t="s">
        <v>778</v>
      </c>
      <c r="L28" s="24">
        <v>2019</v>
      </c>
      <c r="M28" s="24"/>
      <c r="N28" s="38">
        <v>600</v>
      </c>
      <c r="O28" s="39"/>
      <c r="P28" s="27">
        <f>N28*O28</f>
        <v>0</v>
      </c>
      <c r="Q28" s="28"/>
      <c r="R28" s="28">
        <f>IF(Q28&lt;4.99,(Q28*12%+4),IF(Q28&lt;10.99,(Q28*12%+8),IF(Q28&lt;14.99,(Q28*12%+12),IF(Q28&lt;879.99,(Q28*12%+16),IF(Q28&lt;2569.99,(Q28*7%+60),240)))))</f>
        <v>4</v>
      </c>
      <c r="S28" s="29">
        <f>R28*P28</f>
        <v>0</v>
      </c>
      <c r="T28" s="24"/>
      <c r="U28" s="24"/>
      <c r="V28" s="24"/>
      <c r="W28" s="24"/>
      <c r="X28" s="24"/>
      <c r="Y28" s="24"/>
      <c r="Z28" s="22" t="s">
        <v>42</v>
      </c>
      <c r="AA28" s="22" t="s">
        <v>779</v>
      </c>
      <c r="AB28" s="22" t="s">
        <v>780</v>
      </c>
      <c r="AC28" s="71"/>
      <c r="AD28" s="24">
        <v>1</v>
      </c>
      <c r="AE28" s="24">
        <v>2</v>
      </c>
      <c r="AF28" s="24">
        <v>3</v>
      </c>
      <c r="AG28" s="24">
        <v>3</v>
      </c>
      <c r="AH28" s="24">
        <v>1</v>
      </c>
      <c r="AI28" s="24">
        <v>2</v>
      </c>
      <c r="AJ28" s="24">
        <v>36</v>
      </c>
      <c r="AK28" s="22" t="s">
        <v>48</v>
      </c>
      <c r="AL28" s="22"/>
    </row>
    <row r="29" spans="1:38" s="133" customFormat="1" ht="25.5" x14ac:dyDescent="0.2">
      <c r="A29" s="30" t="s">
        <v>49</v>
      </c>
      <c r="B29" s="30" t="s">
        <v>1289</v>
      </c>
      <c r="C29" s="30"/>
      <c r="D29" s="30" t="s">
        <v>51</v>
      </c>
      <c r="E29" s="89" t="s">
        <v>1331</v>
      </c>
      <c r="F29" s="96"/>
      <c r="G29" s="106"/>
      <c r="H29" s="106"/>
      <c r="I29" s="30" t="s">
        <v>1332</v>
      </c>
      <c r="J29" s="30" t="s">
        <v>1390</v>
      </c>
      <c r="K29" s="30" t="s">
        <v>63</v>
      </c>
      <c r="L29" s="31">
        <v>2024</v>
      </c>
      <c r="M29" s="31"/>
      <c r="N29" s="32">
        <v>5000</v>
      </c>
      <c r="O29" s="33"/>
      <c r="P29" s="34">
        <v>50</v>
      </c>
      <c r="Q29" s="35">
        <v>1000</v>
      </c>
      <c r="R29" s="35">
        <v>120</v>
      </c>
      <c r="S29" s="36"/>
      <c r="T29" s="31"/>
      <c r="U29" s="31"/>
      <c r="V29" s="31"/>
      <c r="W29" s="31"/>
      <c r="X29" s="31"/>
      <c r="Y29" s="31"/>
      <c r="Z29" s="30" t="s">
        <v>42</v>
      </c>
      <c r="AA29" s="30"/>
      <c r="AB29" s="30"/>
      <c r="AC29" s="72" t="s">
        <v>1391</v>
      </c>
      <c r="AD29" s="31">
        <v>2</v>
      </c>
      <c r="AE29" s="31">
        <v>2</v>
      </c>
      <c r="AF29" s="31">
        <v>2</v>
      </c>
      <c r="AG29" s="31">
        <v>3</v>
      </c>
      <c r="AH29" s="31">
        <v>1</v>
      </c>
      <c r="AI29" s="31">
        <v>3</v>
      </c>
      <c r="AJ29" s="31">
        <f>AI29*AH29*AG29*AF29*AE29*AD29</f>
        <v>72</v>
      </c>
      <c r="AK29" s="30" t="s">
        <v>45</v>
      </c>
      <c r="AL29" s="37">
        <v>45047</v>
      </c>
    </row>
    <row r="30" spans="1:38" ht="38.25" x14ac:dyDescent="0.2">
      <c r="A30" s="22" t="s">
        <v>72</v>
      </c>
      <c r="B30" s="23" t="s">
        <v>481</v>
      </c>
      <c r="C30" s="22"/>
      <c r="D30" s="22" t="s">
        <v>37</v>
      </c>
      <c r="E30" s="87" t="s">
        <v>482</v>
      </c>
      <c r="F30" s="95"/>
      <c r="G30" s="111" t="s">
        <v>965</v>
      </c>
      <c r="H30" s="95"/>
      <c r="I30" s="22" t="s">
        <v>483</v>
      </c>
      <c r="J30" s="22" t="s">
        <v>484</v>
      </c>
      <c r="K30" s="22" t="s">
        <v>485</v>
      </c>
      <c r="L30" s="24">
        <v>2020</v>
      </c>
      <c r="M30" s="24"/>
      <c r="N30" s="38">
        <v>500</v>
      </c>
      <c r="O30" s="39"/>
      <c r="P30" s="27">
        <f>N30*O30</f>
        <v>0</v>
      </c>
      <c r="Q30" s="28"/>
      <c r="R30" s="28">
        <f>IF(Q30&lt;4.99,(Q30*12%+4),IF(Q30&lt;10.99,(Q30*12%+8),IF(Q30&lt;14.99,(Q30*12%+12),IF(Q30&lt;879.99,(Q30*12%+16),IF(Q30&lt;2569.99,(Q30*7%+60),240)))))</f>
        <v>4</v>
      </c>
      <c r="S30" s="29">
        <f>R30*P30</f>
        <v>0</v>
      </c>
      <c r="T30" s="24"/>
      <c r="U30" s="24"/>
      <c r="V30" s="24"/>
      <c r="W30" s="24"/>
      <c r="X30" s="24"/>
      <c r="Y30" s="24"/>
      <c r="Z30" s="22" t="s">
        <v>486</v>
      </c>
      <c r="AA30" s="22"/>
      <c r="AB30" s="22" t="s">
        <v>129</v>
      </c>
      <c r="AC30" s="71" t="s">
        <v>487</v>
      </c>
      <c r="AD30" s="24">
        <v>1</v>
      </c>
      <c r="AE30" s="24">
        <v>1</v>
      </c>
      <c r="AF30" s="24">
        <v>1</v>
      </c>
      <c r="AG30" s="24">
        <v>3</v>
      </c>
      <c r="AH30" s="24">
        <v>1</v>
      </c>
      <c r="AI30" s="24">
        <v>2</v>
      </c>
      <c r="AJ30" s="24">
        <v>6</v>
      </c>
      <c r="AK30" s="22" t="s">
        <v>48</v>
      </c>
      <c r="AL30" s="22"/>
    </row>
    <row r="31" spans="1:38" s="133" customFormat="1" ht="38.25" x14ac:dyDescent="0.2">
      <c r="A31" s="22" t="s">
        <v>35</v>
      </c>
      <c r="B31" s="22"/>
      <c r="C31" s="22"/>
      <c r="D31" s="22" t="s">
        <v>60</v>
      </c>
      <c r="E31" s="90" t="s">
        <v>191</v>
      </c>
      <c r="F31" s="100" t="s">
        <v>913</v>
      </c>
      <c r="G31" s="107"/>
      <c r="H31" s="107"/>
      <c r="I31" s="22" t="s">
        <v>192</v>
      </c>
      <c r="J31" s="22"/>
      <c r="K31" s="22" t="s">
        <v>42</v>
      </c>
      <c r="L31" s="24">
        <v>2022</v>
      </c>
      <c r="M31" s="24"/>
      <c r="N31" s="38"/>
      <c r="O31" s="39"/>
      <c r="P31" s="27">
        <f>N31*O31</f>
        <v>0</v>
      </c>
      <c r="Q31" s="28"/>
      <c r="R31" s="28">
        <f>IF(Q31&lt;4.99,(Q31*12%+4),IF(Q31&lt;10.99,(Q31*12%+8),IF(Q31&lt;14.99,(Q31*12%+12),IF(Q31&lt;879.99,(Q31*12%+16),IF(Q31&lt;2569.99,(Q31*7%+60),240)))))</f>
        <v>4</v>
      </c>
      <c r="S31" s="29">
        <f>R31*P31</f>
        <v>0</v>
      </c>
      <c r="T31" s="24"/>
      <c r="U31" s="24"/>
      <c r="V31" s="24"/>
      <c r="W31" s="24"/>
      <c r="X31" s="24"/>
      <c r="Y31" s="49" t="s">
        <v>193</v>
      </c>
      <c r="Z31" s="22" t="s">
        <v>42</v>
      </c>
      <c r="AA31" s="22"/>
      <c r="AB31" s="40"/>
      <c r="AC31" s="71" t="s">
        <v>194</v>
      </c>
      <c r="AD31" s="24">
        <v>1</v>
      </c>
      <c r="AE31" s="24">
        <v>1</v>
      </c>
      <c r="AF31" s="24">
        <v>2</v>
      </c>
      <c r="AG31" s="24">
        <v>3</v>
      </c>
      <c r="AH31" s="24">
        <v>1</v>
      </c>
      <c r="AI31" s="24">
        <v>2</v>
      </c>
      <c r="AJ31" s="24">
        <v>12</v>
      </c>
      <c r="AK31" s="22" t="s">
        <v>48</v>
      </c>
      <c r="AL31" s="22"/>
    </row>
    <row r="32" spans="1:38" ht="38.25" x14ac:dyDescent="0.2">
      <c r="A32" s="22" t="s">
        <v>35</v>
      </c>
      <c r="B32" s="22"/>
      <c r="C32" s="22"/>
      <c r="D32" s="22" t="s">
        <v>60</v>
      </c>
      <c r="E32" s="90" t="s">
        <v>191</v>
      </c>
      <c r="F32" s="100" t="s">
        <v>913</v>
      </c>
      <c r="G32" s="107"/>
      <c r="H32" s="107"/>
      <c r="I32" s="23" t="s">
        <v>437</v>
      </c>
      <c r="J32" s="22"/>
      <c r="K32" s="22" t="s">
        <v>42</v>
      </c>
      <c r="L32" s="24">
        <v>2021</v>
      </c>
      <c r="M32" s="24"/>
      <c r="N32" s="38"/>
      <c r="O32" s="39"/>
      <c r="P32" s="27">
        <f>N32*O32</f>
        <v>0</v>
      </c>
      <c r="Q32" s="28"/>
      <c r="R32" s="28">
        <f>IF(Q32&lt;4.99,(Q32*12%+4),IF(Q32&lt;10.99,(Q32*12%+8),IF(Q32&lt;14.99,(Q32*12%+12),IF(Q32&lt;879.99,(Q32*12%+16),IF(Q32&lt;2569.99,(Q32*7%+60),240)))))</f>
        <v>4</v>
      </c>
      <c r="S32" s="29">
        <f>R32*P32</f>
        <v>0</v>
      </c>
      <c r="T32" s="24"/>
      <c r="U32" s="24"/>
      <c r="V32" s="24"/>
      <c r="W32" s="24"/>
      <c r="X32" s="24"/>
      <c r="Y32" s="49" t="s">
        <v>193</v>
      </c>
      <c r="Z32" s="22" t="s">
        <v>42</v>
      </c>
      <c r="AA32" s="22"/>
      <c r="AB32" s="40"/>
      <c r="AC32" s="71" t="s">
        <v>194</v>
      </c>
      <c r="AD32" s="24">
        <v>1</v>
      </c>
      <c r="AE32" s="24">
        <v>1</v>
      </c>
      <c r="AF32" s="24">
        <v>2</v>
      </c>
      <c r="AG32" s="24">
        <v>3</v>
      </c>
      <c r="AH32" s="24">
        <v>1</v>
      </c>
      <c r="AI32" s="24">
        <v>2</v>
      </c>
      <c r="AJ32" s="24">
        <v>12</v>
      </c>
      <c r="AK32" s="22" t="s">
        <v>48</v>
      </c>
      <c r="AL32" s="22"/>
    </row>
    <row r="33" spans="1:38" x14ac:dyDescent="0.2">
      <c r="A33" s="30" t="s">
        <v>58</v>
      </c>
      <c r="B33" s="30" t="s">
        <v>1005</v>
      </c>
      <c r="C33" s="30"/>
      <c r="D33" s="30" t="s">
        <v>37</v>
      </c>
      <c r="E33" s="89" t="s">
        <v>466</v>
      </c>
      <c r="F33" s="96"/>
      <c r="G33" s="106"/>
      <c r="H33" s="173"/>
      <c r="I33" s="30" t="s">
        <v>1006</v>
      </c>
      <c r="J33" s="30" t="s">
        <v>1079</v>
      </c>
      <c r="K33" s="30" t="s">
        <v>42</v>
      </c>
      <c r="L33" s="31">
        <v>2022</v>
      </c>
      <c r="M33" s="31"/>
      <c r="N33" s="32">
        <v>40</v>
      </c>
      <c r="O33" s="33">
        <v>1</v>
      </c>
      <c r="P33" s="34">
        <v>40</v>
      </c>
      <c r="Q33" s="35">
        <v>45000</v>
      </c>
      <c r="R33" s="35">
        <v>240</v>
      </c>
      <c r="S33" s="36">
        <f>P33*R33*12</f>
        <v>115200</v>
      </c>
      <c r="T33" s="31" t="s">
        <v>48</v>
      </c>
      <c r="U33" s="31" t="s">
        <v>48</v>
      </c>
      <c r="V33" s="31" t="s">
        <v>45</v>
      </c>
      <c r="W33" s="31" t="s">
        <v>45</v>
      </c>
      <c r="X33" s="31"/>
      <c r="Y33" s="134"/>
      <c r="Z33" s="30" t="s">
        <v>42</v>
      </c>
      <c r="AA33" s="30"/>
      <c r="AB33" s="37"/>
      <c r="AC33" s="72"/>
      <c r="AD33" s="31">
        <v>1</v>
      </c>
      <c r="AE33" s="31">
        <v>1</v>
      </c>
      <c r="AF33" s="31">
        <v>2</v>
      </c>
      <c r="AG33" s="31">
        <v>3</v>
      </c>
      <c r="AH33" s="31">
        <v>2</v>
      </c>
      <c r="AI33" s="31">
        <v>1</v>
      </c>
      <c r="AJ33" s="31">
        <f>AI33*AH33*AG33*AF33*AE33*AD33</f>
        <v>12</v>
      </c>
      <c r="AK33" s="30"/>
      <c r="AL33" s="30"/>
    </row>
    <row r="34" spans="1:38" s="133" customFormat="1" ht="38.25" x14ac:dyDescent="0.2">
      <c r="A34" s="30" t="s">
        <v>35</v>
      </c>
      <c r="B34" s="30" t="s">
        <v>465</v>
      </c>
      <c r="C34" s="30"/>
      <c r="D34" s="30" t="s">
        <v>37</v>
      </c>
      <c r="E34" s="30" t="s">
        <v>604</v>
      </c>
      <c r="F34" s="139" t="s">
        <v>963</v>
      </c>
      <c r="G34" s="30"/>
      <c r="H34" s="30"/>
      <c r="I34" s="30" t="s">
        <v>467</v>
      </c>
      <c r="J34" s="30" t="s">
        <v>468</v>
      </c>
      <c r="K34" s="30" t="s">
        <v>63</v>
      </c>
      <c r="L34" s="31">
        <v>2023</v>
      </c>
      <c r="M34" s="31"/>
      <c r="N34" s="32">
        <f>80/1.5</f>
        <v>53.333333333333336</v>
      </c>
      <c r="O34" s="33"/>
      <c r="P34" s="34">
        <v>10</v>
      </c>
      <c r="Q34" s="35">
        <v>15000</v>
      </c>
      <c r="R34" s="35">
        <f t="shared" ref="R34:R39" si="0">IF(Q34&lt;4.99,(Q34*12%+4),IF(Q34&lt;10.99,(Q34*12%+8),IF(Q34&lt;14.99,(Q34*12%+12),IF(Q34&lt;879.99,(Q34*12%+16),IF(Q34&lt;2569.99,(Q34*7%+60),240)))))</f>
        <v>240</v>
      </c>
      <c r="S34" s="36">
        <f t="shared" ref="S34:S39" si="1">R34*P34</f>
        <v>2400</v>
      </c>
      <c r="T34" s="31"/>
      <c r="U34" s="31"/>
      <c r="V34" s="31"/>
      <c r="W34" s="31"/>
      <c r="X34" s="31"/>
      <c r="Y34" s="31"/>
      <c r="Z34" s="30" t="s">
        <v>42</v>
      </c>
      <c r="AA34" s="30"/>
      <c r="AB34" s="37" t="s">
        <v>70</v>
      </c>
      <c r="AC34" s="72" t="s">
        <v>1179</v>
      </c>
      <c r="AD34" s="31">
        <v>1</v>
      </c>
      <c r="AE34" s="31">
        <v>1</v>
      </c>
      <c r="AF34" s="31">
        <v>1</v>
      </c>
      <c r="AG34" s="31">
        <v>3</v>
      </c>
      <c r="AH34" s="31">
        <v>1</v>
      </c>
      <c r="AI34" s="31">
        <v>2</v>
      </c>
      <c r="AJ34" s="31">
        <v>6</v>
      </c>
      <c r="AK34" s="30" t="s">
        <v>48</v>
      </c>
      <c r="AL34" s="30"/>
    </row>
    <row r="35" spans="1:38" s="129" customFormat="1" ht="51" x14ac:dyDescent="0.2">
      <c r="A35" s="22" t="s">
        <v>47</v>
      </c>
      <c r="B35" s="22" t="s">
        <v>122</v>
      </c>
      <c r="C35" s="22"/>
      <c r="D35" s="22" t="s">
        <v>98</v>
      </c>
      <c r="E35" s="22" t="s">
        <v>195</v>
      </c>
      <c r="F35" s="22"/>
      <c r="G35" s="22"/>
      <c r="H35" s="97" t="s">
        <v>934</v>
      </c>
      <c r="I35" s="22" t="s">
        <v>196</v>
      </c>
      <c r="J35" s="22"/>
      <c r="K35" s="22" t="s">
        <v>64</v>
      </c>
      <c r="L35" s="24">
        <v>2022</v>
      </c>
      <c r="M35" s="24"/>
      <c r="N35" s="38">
        <f>0.025*8000000</f>
        <v>200000</v>
      </c>
      <c r="O35" s="39"/>
      <c r="P35" s="27">
        <f t="shared" ref="P35:P39" si="2">N35*O35</f>
        <v>0</v>
      </c>
      <c r="Q35" s="28"/>
      <c r="R35" s="28">
        <f t="shared" si="0"/>
        <v>4</v>
      </c>
      <c r="S35" s="29">
        <f t="shared" si="1"/>
        <v>0</v>
      </c>
      <c r="T35" s="24"/>
      <c r="U35" s="24"/>
      <c r="V35" s="24"/>
      <c r="W35" s="24"/>
      <c r="X35" s="24"/>
      <c r="Y35" s="24"/>
      <c r="Z35" s="22" t="s">
        <v>64</v>
      </c>
      <c r="AA35" s="22"/>
      <c r="AB35" s="22"/>
      <c r="AC35" s="71" t="s">
        <v>197</v>
      </c>
      <c r="AD35" s="24">
        <v>1</v>
      </c>
      <c r="AE35" s="24">
        <v>3</v>
      </c>
      <c r="AF35" s="24">
        <v>1</v>
      </c>
      <c r="AG35" s="24">
        <v>3</v>
      </c>
      <c r="AH35" s="24">
        <v>1</v>
      </c>
      <c r="AI35" s="24">
        <v>2</v>
      </c>
      <c r="AJ35" s="24">
        <v>18</v>
      </c>
      <c r="AK35" s="22" t="s">
        <v>48</v>
      </c>
      <c r="AL35" s="22"/>
    </row>
    <row r="36" spans="1:38" ht="38.25" x14ac:dyDescent="0.2">
      <c r="A36" s="22" t="s">
        <v>58</v>
      </c>
      <c r="B36" s="23" t="s">
        <v>620</v>
      </c>
      <c r="C36" s="22"/>
      <c r="D36" s="22" t="s">
        <v>60</v>
      </c>
      <c r="E36" s="22" t="s">
        <v>627</v>
      </c>
      <c r="F36" s="97" t="s">
        <v>981</v>
      </c>
      <c r="G36" s="22"/>
      <c r="H36" s="22"/>
      <c r="I36" s="22" t="s">
        <v>628</v>
      </c>
      <c r="J36" s="22" t="s">
        <v>629</v>
      </c>
      <c r="K36" s="22" t="s">
        <v>63</v>
      </c>
      <c r="L36" s="24">
        <v>2020</v>
      </c>
      <c r="M36" s="24"/>
      <c r="N36" s="38">
        <f>16*8</f>
        <v>128</v>
      </c>
      <c r="O36" s="39"/>
      <c r="P36" s="27">
        <f t="shared" si="2"/>
        <v>0</v>
      </c>
      <c r="Q36" s="28"/>
      <c r="R36" s="28">
        <f t="shared" si="0"/>
        <v>4</v>
      </c>
      <c r="S36" s="29">
        <f t="shared" si="1"/>
        <v>0</v>
      </c>
      <c r="T36" s="24"/>
      <c r="U36" s="24"/>
      <c r="V36" s="24"/>
      <c r="W36" s="24"/>
      <c r="X36" s="24"/>
      <c r="Y36" s="24"/>
      <c r="Z36" s="22" t="s">
        <v>42</v>
      </c>
      <c r="AA36" s="22"/>
      <c r="AB36" s="22"/>
      <c r="AC36" s="71" t="s">
        <v>630</v>
      </c>
      <c r="AD36" s="24">
        <v>1</v>
      </c>
      <c r="AE36" s="24">
        <v>1</v>
      </c>
      <c r="AF36" s="24">
        <v>2</v>
      </c>
      <c r="AG36" s="24">
        <v>3</v>
      </c>
      <c r="AH36" s="24">
        <v>1</v>
      </c>
      <c r="AI36" s="24">
        <v>2</v>
      </c>
      <c r="AJ36" s="24">
        <v>12</v>
      </c>
      <c r="AK36" s="22" t="s">
        <v>45</v>
      </c>
      <c r="AL36" s="40">
        <v>43556</v>
      </c>
    </row>
    <row r="37" spans="1:38" ht="38.25" x14ac:dyDescent="0.2">
      <c r="A37" s="13" t="s">
        <v>72</v>
      </c>
      <c r="B37" s="13" t="s">
        <v>153</v>
      </c>
      <c r="C37" s="13"/>
      <c r="D37" s="13" t="s">
        <v>98</v>
      </c>
      <c r="E37" s="13" t="s">
        <v>154</v>
      </c>
      <c r="F37" s="70" t="s">
        <v>931</v>
      </c>
      <c r="G37" s="13"/>
      <c r="H37" s="13"/>
      <c r="I37" s="13" t="s">
        <v>155</v>
      </c>
      <c r="J37" s="13" t="s">
        <v>156</v>
      </c>
      <c r="K37" s="13" t="s">
        <v>42</v>
      </c>
      <c r="L37" s="14">
        <v>2021</v>
      </c>
      <c r="M37" s="14"/>
      <c r="N37" s="15">
        <v>1000000</v>
      </c>
      <c r="O37" s="16"/>
      <c r="P37" s="17">
        <f t="shared" si="2"/>
        <v>0</v>
      </c>
      <c r="Q37" s="18"/>
      <c r="R37" s="18">
        <f t="shared" si="0"/>
        <v>4</v>
      </c>
      <c r="S37" s="19">
        <f t="shared" si="1"/>
        <v>0</v>
      </c>
      <c r="T37" s="14"/>
      <c r="U37" s="14"/>
      <c r="V37" s="14"/>
      <c r="W37" s="14"/>
      <c r="X37" s="14"/>
      <c r="Y37" s="14"/>
      <c r="Z37" s="13" t="s">
        <v>42</v>
      </c>
      <c r="AA37" s="13"/>
      <c r="AB37" s="20" t="s">
        <v>132</v>
      </c>
      <c r="AC37" s="70" t="s">
        <v>157</v>
      </c>
      <c r="AD37" s="14">
        <v>2</v>
      </c>
      <c r="AE37" s="14">
        <v>2</v>
      </c>
      <c r="AF37" s="14">
        <v>3</v>
      </c>
      <c r="AG37" s="14">
        <v>1</v>
      </c>
      <c r="AH37" s="14">
        <v>3</v>
      </c>
      <c r="AI37" s="14">
        <v>2</v>
      </c>
      <c r="AJ37" s="14">
        <v>72</v>
      </c>
      <c r="AK37" s="13" t="s">
        <v>45</v>
      </c>
      <c r="AL37" s="13"/>
    </row>
    <row r="38" spans="1:38" s="129" customFormat="1" ht="38.25" x14ac:dyDescent="0.2">
      <c r="A38" s="22" t="s">
        <v>49</v>
      </c>
      <c r="B38" s="23" t="s">
        <v>50</v>
      </c>
      <c r="C38" s="22"/>
      <c r="D38" s="22" t="s">
        <v>51</v>
      </c>
      <c r="E38" s="22" t="s">
        <v>154</v>
      </c>
      <c r="F38" s="71" t="s">
        <v>932</v>
      </c>
      <c r="G38" s="22"/>
      <c r="H38" s="22"/>
      <c r="I38" s="22" t="s">
        <v>175</v>
      </c>
      <c r="J38" s="22"/>
      <c r="K38" s="22" t="s">
        <v>42</v>
      </c>
      <c r="L38" s="24">
        <v>2021</v>
      </c>
      <c r="M38" s="24"/>
      <c r="N38" s="38">
        <f>2000000/83*8.5/2</f>
        <v>102409.63855421687</v>
      </c>
      <c r="O38" s="39"/>
      <c r="P38" s="27">
        <f t="shared" si="2"/>
        <v>0</v>
      </c>
      <c r="Q38" s="28"/>
      <c r="R38" s="28">
        <f t="shared" si="0"/>
        <v>4</v>
      </c>
      <c r="S38" s="29">
        <f t="shared" si="1"/>
        <v>0</v>
      </c>
      <c r="T38" s="24"/>
      <c r="U38" s="24"/>
      <c r="V38" s="24"/>
      <c r="W38" s="24"/>
      <c r="X38" s="24"/>
      <c r="Y38" s="24"/>
      <c r="Z38" s="22" t="s">
        <v>55</v>
      </c>
      <c r="AA38" s="22" t="s">
        <v>43</v>
      </c>
      <c r="AB38" s="40" t="s">
        <v>132</v>
      </c>
      <c r="AC38" s="71" t="s">
        <v>176</v>
      </c>
      <c r="AD38" s="24">
        <v>2</v>
      </c>
      <c r="AE38" s="24">
        <v>2</v>
      </c>
      <c r="AF38" s="24">
        <v>3</v>
      </c>
      <c r="AG38" s="24">
        <v>1</v>
      </c>
      <c r="AH38" s="24">
        <v>1</v>
      </c>
      <c r="AI38" s="24">
        <v>2</v>
      </c>
      <c r="AJ38" s="24">
        <v>24</v>
      </c>
      <c r="AK38" s="22" t="s">
        <v>45</v>
      </c>
      <c r="AL38" s="22"/>
    </row>
    <row r="39" spans="1:38" ht="38.25" x14ac:dyDescent="0.2">
      <c r="A39" s="22" t="s">
        <v>35</v>
      </c>
      <c r="B39" s="22" t="s">
        <v>526</v>
      </c>
      <c r="C39" s="22"/>
      <c r="D39" s="22" t="s">
        <v>37</v>
      </c>
      <c r="E39" s="22" t="s">
        <v>565</v>
      </c>
      <c r="F39" s="65" t="s">
        <v>975</v>
      </c>
      <c r="G39" s="22"/>
      <c r="H39" s="22"/>
      <c r="I39" s="22" t="s">
        <v>566</v>
      </c>
      <c r="J39" s="22"/>
      <c r="K39" s="22" t="s">
        <v>64</v>
      </c>
      <c r="L39" s="24">
        <v>2020</v>
      </c>
      <c r="M39" s="24"/>
      <c r="N39" s="51">
        <v>622</v>
      </c>
      <c r="O39" s="39"/>
      <c r="P39" s="27">
        <f t="shared" si="2"/>
        <v>0</v>
      </c>
      <c r="Q39" s="28"/>
      <c r="R39" s="28">
        <f t="shared" si="0"/>
        <v>4</v>
      </c>
      <c r="S39" s="29">
        <f t="shared" si="1"/>
        <v>0</v>
      </c>
      <c r="T39" s="24"/>
      <c r="U39" s="24"/>
      <c r="V39" s="24"/>
      <c r="W39" s="24"/>
      <c r="X39" s="24"/>
      <c r="Y39" s="24"/>
      <c r="Z39" s="22" t="s">
        <v>64</v>
      </c>
      <c r="AA39" s="22"/>
      <c r="AB39" s="22" t="s">
        <v>129</v>
      </c>
      <c r="AC39" s="71" t="s">
        <v>567</v>
      </c>
      <c r="AD39" s="24">
        <v>1</v>
      </c>
      <c r="AE39" s="24">
        <v>2</v>
      </c>
      <c r="AF39" s="24">
        <v>2</v>
      </c>
      <c r="AG39" s="24">
        <v>3</v>
      </c>
      <c r="AH39" s="24">
        <v>1</v>
      </c>
      <c r="AI39" s="24">
        <v>1</v>
      </c>
      <c r="AJ39" s="24">
        <v>12</v>
      </c>
      <c r="AK39" s="22" t="s">
        <v>45</v>
      </c>
      <c r="AL39" s="22"/>
    </row>
    <row r="40" spans="1:38" x14ac:dyDescent="0.2">
      <c r="A40" s="22" t="s">
        <v>47</v>
      </c>
      <c r="B40" s="22" t="s">
        <v>1072</v>
      </c>
      <c r="C40" s="22"/>
      <c r="D40" s="22" t="s">
        <v>98</v>
      </c>
      <c r="E40" s="22" t="s">
        <v>565</v>
      </c>
      <c r="F40" s="65"/>
      <c r="G40" s="22"/>
      <c r="H40" s="22"/>
      <c r="I40" s="22" t="s">
        <v>1073</v>
      </c>
      <c r="J40" s="22"/>
      <c r="K40" s="22" t="s">
        <v>42</v>
      </c>
      <c r="L40" s="24">
        <v>2023</v>
      </c>
      <c r="M40" s="24"/>
      <c r="N40" s="51"/>
      <c r="O40" s="39"/>
      <c r="P40" s="27"/>
      <c r="Q40" s="28"/>
      <c r="R40" s="28"/>
      <c r="S40" s="29"/>
      <c r="T40" s="24"/>
      <c r="U40" s="24"/>
      <c r="V40" s="24"/>
      <c r="W40" s="24"/>
      <c r="X40" s="24"/>
      <c r="Y40" s="24"/>
      <c r="Z40" s="22"/>
      <c r="AA40" s="22"/>
      <c r="AB40" s="22"/>
      <c r="AC40" s="71"/>
      <c r="AD40" s="24"/>
      <c r="AE40" s="24"/>
      <c r="AF40" s="24"/>
      <c r="AG40" s="24"/>
      <c r="AH40" s="24"/>
      <c r="AI40" s="24"/>
      <c r="AJ40" s="24"/>
      <c r="AK40" s="22"/>
      <c r="AL40" s="22"/>
    </row>
    <row r="41" spans="1:38" x14ac:dyDescent="0.2">
      <c r="A41" s="22"/>
      <c r="B41" s="22"/>
      <c r="C41" s="22"/>
      <c r="D41" s="22"/>
      <c r="E41" s="22" t="s">
        <v>1268</v>
      </c>
      <c r="F41" s="65"/>
      <c r="G41" s="22"/>
      <c r="H41" s="22"/>
      <c r="I41" s="22" t="s">
        <v>1269</v>
      </c>
      <c r="J41" s="22" t="s">
        <v>1270</v>
      </c>
      <c r="K41" s="22"/>
      <c r="L41" s="24"/>
      <c r="M41" s="24"/>
      <c r="N41" s="51"/>
      <c r="O41" s="39"/>
      <c r="P41" s="27"/>
      <c r="Q41" s="28"/>
      <c r="R41" s="28"/>
      <c r="S41" s="29"/>
      <c r="T41" s="24"/>
      <c r="U41" s="24"/>
      <c r="V41" s="24"/>
      <c r="W41" s="24"/>
      <c r="X41" s="24"/>
      <c r="Y41" s="24"/>
      <c r="Z41" s="22"/>
      <c r="AA41" s="22"/>
      <c r="AB41" s="22"/>
      <c r="AC41" s="71"/>
      <c r="AD41" s="24"/>
      <c r="AE41" s="24"/>
      <c r="AF41" s="24"/>
      <c r="AG41" s="24"/>
      <c r="AH41" s="24"/>
      <c r="AI41" s="24"/>
      <c r="AJ41" s="24"/>
      <c r="AK41" s="22"/>
      <c r="AL41" s="22"/>
    </row>
    <row r="42" spans="1:38" x14ac:dyDescent="0.2">
      <c r="A42" s="22"/>
      <c r="B42" s="22"/>
      <c r="C42" s="22"/>
      <c r="D42" s="22"/>
      <c r="E42" s="22" t="s">
        <v>1268</v>
      </c>
      <c r="F42" s="65"/>
      <c r="G42" s="22"/>
      <c r="H42" s="22"/>
      <c r="I42" s="22" t="s">
        <v>1272</v>
      </c>
      <c r="J42" s="22" t="s">
        <v>1271</v>
      </c>
      <c r="K42" s="22"/>
      <c r="L42" s="24"/>
      <c r="M42" s="24"/>
      <c r="N42" s="51"/>
      <c r="O42" s="39"/>
      <c r="P42" s="27"/>
      <c r="Q42" s="28"/>
      <c r="R42" s="28"/>
      <c r="S42" s="29"/>
      <c r="T42" s="24"/>
      <c r="U42" s="24"/>
      <c r="V42" s="24"/>
      <c r="W42" s="24"/>
      <c r="X42" s="24"/>
      <c r="Y42" s="24"/>
      <c r="Z42" s="22"/>
      <c r="AA42" s="22"/>
      <c r="AB42" s="22"/>
      <c r="AC42" s="71"/>
      <c r="AD42" s="24"/>
      <c r="AE42" s="24"/>
      <c r="AF42" s="24"/>
      <c r="AG42" s="24"/>
      <c r="AH42" s="24"/>
      <c r="AI42" s="24"/>
      <c r="AJ42" s="24"/>
      <c r="AK42" s="22"/>
      <c r="AL42" s="22"/>
    </row>
    <row r="43" spans="1:38" x14ac:dyDescent="0.2">
      <c r="A43" s="22" t="s">
        <v>35</v>
      </c>
      <c r="B43" s="22" t="s">
        <v>1247</v>
      </c>
      <c r="C43" s="22"/>
      <c r="D43" s="22" t="s">
        <v>60</v>
      </c>
      <c r="E43" s="22" t="s">
        <v>251</v>
      </c>
      <c r="F43" s="65"/>
      <c r="G43" s="22"/>
      <c r="H43" s="22"/>
      <c r="I43" s="22" t="s">
        <v>1248</v>
      </c>
      <c r="J43" s="22"/>
      <c r="K43" s="22" t="s">
        <v>42</v>
      </c>
      <c r="L43" s="24">
        <v>2024</v>
      </c>
      <c r="M43" s="24"/>
      <c r="N43" s="51">
        <v>2600</v>
      </c>
      <c r="O43" s="39"/>
      <c r="P43" s="27">
        <v>5</v>
      </c>
      <c r="Q43" s="28">
        <v>2500</v>
      </c>
      <c r="R43" s="28">
        <v>235</v>
      </c>
      <c r="S43" s="29"/>
      <c r="T43" s="24"/>
      <c r="U43" s="24"/>
      <c r="V43" s="24"/>
      <c r="W43" s="24"/>
      <c r="X43" s="24"/>
      <c r="Y43" s="24"/>
      <c r="Z43" s="22"/>
      <c r="AA43" s="22"/>
      <c r="AB43" s="22"/>
      <c r="AC43" s="71"/>
      <c r="AD43" s="24"/>
      <c r="AE43" s="24"/>
      <c r="AF43" s="24"/>
      <c r="AG43" s="24"/>
      <c r="AH43" s="24"/>
      <c r="AI43" s="24"/>
      <c r="AJ43" s="24"/>
      <c r="AK43" s="22"/>
      <c r="AL43" s="22"/>
    </row>
    <row r="44" spans="1:38" ht="38.25" x14ac:dyDescent="0.2">
      <c r="A44" s="22" t="s">
        <v>86</v>
      </c>
      <c r="B44" s="22" t="s">
        <v>737</v>
      </c>
      <c r="C44" s="22"/>
      <c r="D44" s="22" t="s">
        <v>98</v>
      </c>
      <c r="E44" s="22" t="s">
        <v>251</v>
      </c>
      <c r="F44" s="171" t="s">
        <v>975</v>
      </c>
      <c r="G44" s="22"/>
      <c r="H44" s="22"/>
      <c r="I44" s="22" t="s">
        <v>738</v>
      </c>
      <c r="J44" s="22" t="s">
        <v>1379</v>
      </c>
      <c r="K44" s="22" t="s">
        <v>42</v>
      </c>
      <c r="L44" s="24">
        <v>2022</v>
      </c>
      <c r="M44" s="24"/>
      <c r="N44" s="38">
        <f>8000000/15</f>
        <v>533333.33333333337</v>
      </c>
      <c r="O44" s="39"/>
      <c r="P44" s="27">
        <v>20</v>
      </c>
      <c r="Q44" s="28">
        <v>2500</v>
      </c>
      <c r="R44" s="28">
        <f t="shared" ref="R44:R50" si="3">IF(Q44&lt;4.99,(Q44*12%+4),IF(Q44&lt;10.99,(Q44*12%+8),IF(Q44&lt;14.99,(Q44*12%+12),IF(Q44&lt;879.99,(Q44*12%+16),IF(Q44&lt;2569.99,(Q44*7%+60),240)))))</f>
        <v>235.00000000000003</v>
      </c>
      <c r="S44" s="29">
        <f t="shared" ref="S44:S50" si="4">R44*P44</f>
        <v>4700.0000000000009</v>
      </c>
      <c r="T44" s="24"/>
      <c r="U44" s="24"/>
      <c r="V44" s="24"/>
      <c r="W44" s="24"/>
      <c r="X44" s="24"/>
      <c r="Y44" s="24"/>
      <c r="Z44" s="22" t="s">
        <v>42</v>
      </c>
      <c r="AA44" s="22"/>
      <c r="AB44" s="22"/>
      <c r="AC44" s="71" t="s">
        <v>739</v>
      </c>
      <c r="AD44" s="24">
        <v>2</v>
      </c>
      <c r="AE44" s="24">
        <v>3</v>
      </c>
      <c r="AF44" s="24">
        <v>3</v>
      </c>
      <c r="AG44" s="24">
        <v>1</v>
      </c>
      <c r="AH44" s="24">
        <v>2</v>
      </c>
      <c r="AI44" s="24">
        <v>2</v>
      </c>
      <c r="AJ44" s="24">
        <v>72</v>
      </c>
      <c r="AK44" s="22" t="s">
        <v>48</v>
      </c>
      <c r="AL44" s="22"/>
    </row>
    <row r="45" spans="1:38" s="133" customFormat="1" x14ac:dyDescent="0.2">
      <c r="A45" s="30" t="s">
        <v>58</v>
      </c>
      <c r="B45" s="30" t="s">
        <v>1329</v>
      </c>
      <c r="C45" s="30"/>
      <c r="D45" s="30" t="s">
        <v>98</v>
      </c>
      <c r="E45" s="30" t="s">
        <v>251</v>
      </c>
      <c r="F45" s="72"/>
      <c r="G45" s="30"/>
      <c r="H45" s="30"/>
      <c r="I45" s="30" t="s">
        <v>1330</v>
      </c>
      <c r="J45" s="30"/>
      <c r="K45" s="30" t="s">
        <v>42</v>
      </c>
      <c r="L45" s="31">
        <v>2024</v>
      </c>
      <c r="M45" s="31"/>
      <c r="N45" s="32">
        <v>55</v>
      </c>
      <c r="O45" s="33"/>
      <c r="P45" s="34">
        <v>20</v>
      </c>
      <c r="Q45" s="35">
        <v>30000</v>
      </c>
      <c r="R45" s="35">
        <v>240</v>
      </c>
      <c r="S45" s="36"/>
      <c r="T45" s="31"/>
      <c r="U45" s="31"/>
      <c r="V45" s="31"/>
      <c r="W45" s="31"/>
      <c r="X45" s="31"/>
      <c r="Y45" s="31"/>
      <c r="Z45" s="30" t="s">
        <v>42</v>
      </c>
      <c r="AA45" s="30"/>
      <c r="AB45" s="30"/>
      <c r="AC45" s="72"/>
      <c r="AD45" s="31">
        <v>1</v>
      </c>
      <c r="AE45" s="31">
        <v>2</v>
      </c>
      <c r="AF45" s="31">
        <v>3</v>
      </c>
      <c r="AG45" s="31">
        <v>2</v>
      </c>
      <c r="AH45" s="31">
        <v>3</v>
      </c>
      <c r="AI45" s="31">
        <v>2</v>
      </c>
      <c r="AJ45" s="31">
        <f>AI45*AH45*AG45*AF45*AE45*AD45</f>
        <v>72</v>
      </c>
      <c r="AK45" s="30" t="s">
        <v>45</v>
      </c>
      <c r="AL45" s="37">
        <v>45017</v>
      </c>
    </row>
    <row r="46" spans="1:38" x14ac:dyDescent="0.2">
      <c r="A46" s="61" t="s">
        <v>72</v>
      </c>
      <c r="B46" s="61" t="s">
        <v>184</v>
      </c>
      <c r="C46" s="61"/>
      <c r="D46" s="61" t="s">
        <v>37</v>
      </c>
      <c r="E46" s="61" t="s">
        <v>565</v>
      </c>
      <c r="F46" s="61"/>
      <c r="G46" s="61"/>
      <c r="H46" s="61"/>
      <c r="I46" s="61" t="s">
        <v>770</v>
      </c>
      <c r="J46" s="61"/>
      <c r="K46" s="61" t="s">
        <v>42</v>
      </c>
      <c r="L46" s="62"/>
      <c r="M46" s="62"/>
      <c r="N46" s="38">
        <f>150000*2/3</f>
        <v>100000</v>
      </c>
      <c r="O46" s="39"/>
      <c r="P46" s="27">
        <f>N46*O46</f>
        <v>0</v>
      </c>
      <c r="Q46" s="28"/>
      <c r="R46" s="28">
        <f t="shared" si="3"/>
        <v>4</v>
      </c>
      <c r="S46" s="29">
        <f t="shared" si="4"/>
        <v>0</v>
      </c>
      <c r="T46" s="62"/>
      <c r="U46" s="62"/>
      <c r="V46" s="62"/>
      <c r="W46" s="62"/>
      <c r="X46" s="62"/>
      <c r="Y46" s="62"/>
      <c r="Z46" s="61" t="s">
        <v>42</v>
      </c>
      <c r="AA46" s="61"/>
      <c r="AB46" s="61" t="s">
        <v>735</v>
      </c>
      <c r="AC46" s="75"/>
      <c r="AD46" s="62">
        <v>2</v>
      </c>
      <c r="AE46" s="62">
        <v>3</v>
      </c>
      <c r="AF46" s="62">
        <v>3</v>
      </c>
      <c r="AG46" s="62">
        <v>3</v>
      </c>
      <c r="AH46" s="62">
        <v>1</v>
      </c>
      <c r="AI46" s="62">
        <v>3</v>
      </c>
      <c r="AJ46" s="62">
        <v>162</v>
      </c>
      <c r="AK46" s="61" t="s">
        <v>48</v>
      </c>
      <c r="AL46" s="61"/>
    </row>
    <row r="47" spans="1:38" s="133" customFormat="1" ht="38.25" x14ac:dyDescent="0.2">
      <c r="A47" s="30" t="s">
        <v>58</v>
      </c>
      <c r="B47" s="30" t="s">
        <v>243</v>
      </c>
      <c r="C47" s="30"/>
      <c r="D47" s="30" t="s">
        <v>60</v>
      </c>
      <c r="E47" s="30" t="s">
        <v>244</v>
      </c>
      <c r="F47" s="72" t="s">
        <v>941</v>
      </c>
      <c r="G47" s="30"/>
      <c r="H47" s="30"/>
      <c r="I47" s="30" t="s">
        <v>1086</v>
      </c>
      <c r="J47" s="30" t="s">
        <v>1264</v>
      </c>
      <c r="K47" s="30" t="s">
        <v>42</v>
      </c>
      <c r="L47" s="31">
        <v>2023</v>
      </c>
      <c r="M47" s="31"/>
      <c r="N47" s="32">
        <f>7500/7500000000*8500000</f>
        <v>8.5</v>
      </c>
      <c r="O47" s="33"/>
      <c r="P47" s="34">
        <f>N47*O47</f>
        <v>0</v>
      </c>
      <c r="Q47" s="35">
        <v>4000</v>
      </c>
      <c r="R47" s="35">
        <f t="shared" si="3"/>
        <v>240</v>
      </c>
      <c r="S47" s="36">
        <f t="shared" si="4"/>
        <v>0</v>
      </c>
      <c r="T47" s="31"/>
      <c r="U47" s="31"/>
      <c r="V47" s="31"/>
      <c r="W47" s="31"/>
      <c r="X47" s="31"/>
      <c r="Y47" s="31"/>
      <c r="Z47" s="30" t="s">
        <v>64</v>
      </c>
      <c r="AA47" s="30"/>
      <c r="AB47" s="30"/>
      <c r="AC47" s="190" t="s">
        <v>245</v>
      </c>
      <c r="AD47" s="31">
        <v>1</v>
      </c>
      <c r="AE47" s="31">
        <v>1</v>
      </c>
      <c r="AF47" s="31">
        <v>2</v>
      </c>
      <c r="AG47" s="31">
        <v>3</v>
      </c>
      <c r="AH47" s="31">
        <v>1</v>
      </c>
      <c r="AI47" s="31">
        <v>1</v>
      </c>
      <c r="AJ47" s="31">
        <v>6</v>
      </c>
      <c r="AK47" s="30" t="s">
        <v>48</v>
      </c>
      <c r="AL47" s="30"/>
    </row>
    <row r="48" spans="1:38" s="133" customFormat="1" ht="51" x14ac:dyDescent="0.2">
      <c r="A48" s="22" t="s">
        <v>86</v>
      </c>
      <c r="B48" s="23" t="s">
        <v>730</v>
      </c>
      <c r="C48" s="22"/>
      <c r="D48" s="22" t="s">
        <v>37</v>
      </c>
      <c r="E48" s="22" t="s">
        <v>731</v>
      </c>
      <c r="F48" s="22"/>
      <c r="G48" s="22"/>
      <c r="H48" s="65" t="s">
        <v>993</v>
      </c>
      <c r="I48" s="22" t="s">
        <v>732</v>
      </c>
      <c r="J48" s="22" t="s">
        <v>733</v>
      </c>
      <c r="K48" s="22" t="s">
        <v>734</v>
      </c>
      <c r="L48" s="24">
        <v>2021</v>
      </c>
      <c r="M48" s="24"/>
      <c r="N48" s="38">
        <f>8500000*0.05</f>
        <v>425000</v>
      </c>
      <c r="O48" s="39"/>
      <c r="P48" s="27">
        <f>N48*O48</f>
        <v>0</v>
      </c>
      <c r="Q48" s="28"/>
      <c r="R48" s="28">
        <f t="shared" si="3"/>
        <v>4</v>
      </c>
      <c r="S48" s="29">
        <f t="shared" si="4"/>
        <v>0</v>
      </c>
      <c r="T48" s="24"/>
      <c r="U48" s="24"/>
      <c r="V48" s="24"/>
      <c r="W48" s="24"/>
      <c r="X48" s="24"/>
      <c r="Y48" s="24"/>
      <c r="Z48" s="22" t="s">
        <v>42</v>
      </c>
      <c r="AA48" s="22"/>
      <c r="AB48" s="22" t="s">
        <v>735</v>
      </c>
      <c r="AC48" s="71" t="s">
        <v>736</v>
      </c>
      <c r="AD48" s="24">
        <v>1</v>
      </c>
      <c r="AE48" s="24">
        <v>3</v>
      </c>
      <c r="AF48" s="24">
        <v>1</v>
      </c>
      <c r="AG48" s="24">
        <v>3</v>
      </c>
      <c r="AH48" s="24">
        <v>2</v>
      </c>
      <c r="AI48" s="24">
        <v>2</v>
      </c>
      <c r="AJ48" s="24">
        <v>36</v>
      </c>
      <c r="AK48" s="22" t="s">
        <v>48</v>
      </c>
      <c r="AL48" s="22"/>
    </row>
    <row r="49" spans="1:38" s="133" customFormat="1" ht="38.25" x14ac:dyDescent="0.2">
      <c r="A49" s="22" t="s">
        <v>86</v>
      </c>
      <c r="B49" s="22" t="s">
        <v>411</v>
      </c>
      <c r="C49" s="22"/>
      <c r="D49" s="22" t="s">
        <v>37</v>
      </c>
      <c r="E49" s="22" t="s">
        <v>338</v>
      </c>
      <c r="F49" s="110" t="s">
        <v>959</v>
      </c>
      <c r="G49" s="22"/>
      <c r="H49" s="22"/>
      <c r="I49" s="22" t="s">
        <v>413</v>
      </c>
      <c r="J49" s="22" t="s">
        <v>1436</v>
      </c>
      <c r="K49" s="22" t="s">
        <v>1437</v>
      </c>
      <c r="L49" s="24">
        <v>2024</v>
      </c>
      <c r="M49" s="24"/>
      <c r="N49" s="38">
        <f>8500000/1000</f>
        <v>8500</v>
      </c>
      <c r="O49" s="39"/>
      <c r="P49" s="27">
        <f>N49*O49</f>
        <v>0</v>
      </c>
      <c r="Q49" s="28">
        <v>1300</v>
      </c>
      <c r="R49" s="28">
        <f t="shared" si="3"/>
        <v>151</v>
      </c>
      <c r="S49" s="29">
        <f t="shared" si="4"/>
        <v>0</v>
      </c>
      <c r="T49" s="24"/>
      <c r="U49" s="24"/>
      <c r="V49" s="24"/>
      <c r="W49" s="24"/>
      <c r="X49" s="24"/>
      <c r="Y49" s="24"/>
      <c r="Z49" s="22" t="s">
        <v>42</v>
      </c>
      <c r="AA49" s="22"/>
      <c r="AB49" s="22"/>
      <c r="AC49" s="71" t="s">
        <v>414</v>
      </c>
      <c r="AD49" s="24">
        <v>1</v>
      </c>
      <c r="AE49" s="24">
        <v>2</v>
      </c>
      <c r="AF49" s="24">
        <v>2</v>
      </c>
      <c r="AG49" s="24">
        <v>1</v>
      </c>
      <c r="AH49" s="24">
        <v>2</v>
      </c>
      <c r="AI49" s="24">
        <v>1</v>
      </c>
      <c r="AJ49" s="24">
        <v>8</v>
      </c>
      <c r="AK49" s="22" t="s">
        <v>45</v>
      </c>
      <c r="AL49" s="22"/>
    </row>
    <row r="50" spans="1:38" ht="38.25" x14ac:dyDescent="0.2">
      <c r="A50" s="22" t="s">
        <v>58</v>
      </c>
      <c r="B50" s="22" t="s">
        <v>625</v>
      </c>
      <c r="C50" s="22"/>
      <c r="D50" s="22" t="s">
        <v>37</v>
      </c>
      <c r="E50" s="22" t="s">
        <v>412</v>
      </c>
      <c r="F50" s="110" t="s">
        <v>959</v>
      </c>
      <c r="G50" s="22"/>
      <c r="H50" s="22"/>
      <c r="I50" s="22" t="s">
        <v>626</v>
      </c>
      <c r="J50" s="22"/>
      <c r="K50" s="22" t="s">
        <v>128</v>
      </c>
      <c r="L50" s="24">
        <v>2021</v>
      </c>
      <c r="M50" s="24"/>
      <c r="N50" s="51">
        <f>8500000/1000000*4</f>
        <v>34</v>
      </c>
      <c r="O50" s="39"/>
      <c r="P50" s="27">
        <f>N50*O50</f>
        <v>0</v>
      </c>
      <c r="Q50" s="28"/>
      <c r="R50" s="28">
        <f t="shared" si="3"/>
        <v>4</v>
      </c>
      <c r="S50" s="29">
        <f t="shared" si="4"/>
        <v>0</v>
      </c>
      <c r="T50" s="24"/>
      <c r="U50" s="24"/>
      <c r="V50" s="24"/>
      <c r="W50" s="24"/>
      <c r="X50" s="24"/>
      <c r="Y50" s="24"/>
      <c r="Z50" s="22" t="s">
        <v>64</v>
      </c>
      <c r="AA50" s="22"/>
      <c r="AB50" s="22" t="s">
        <v>56</v>
      </c>
      <c r="AC50" s="71" t="s">
        <v>557</v>
      </c>
      <c r="AD50" s="24">
        <v>1</v>
      </c>
      <c r="AE50" s="24">
        <v>2</v>
      </c>
      <c r="AF50" s="24">
        <v>1</v>
      </c>
      <c r="AG50" s="24">
        <v>2</v>
      </c>
      <c r="AH50" s="24">
        <v>2</v>
      </c>
      <c r="AI50" s="24">
        <v>2</v>
      </c>
      <c r="AJ50" s="24">
        <v>16</v>
      </c>
      <c r="AK50" s="22" t="s">
        <v>45</v>
      </c>
      <c r="AL50" s="22"/>
    </row>
    <row r="51" spans="1:38" ht="38.25" x14ac:dyDescent="0.2">
      <c r="A51" s="22" t="s">
        <v>86</v>
      </c>
      <c r="B51" s="22" t="s">
        <v>737</v>
      </c>
      <c r="C51" s="22"/>
      <c r="D51" s="22" t="s">
        <v>98</v>
      </c>
      <c r="E51" s="22" t="s">
        <v>282</v>
      </c>
      <c r="F51" s="71" t="s">
        <v>920</v>
      </c>
      <c r="G51" s="22"/>
      <c r="H51" s="22"/>
      <c r="I51" s="22" t="s">
        <v>761</v>
      </c>
      <c r="J51" s="22" t="s">
        <v>1124</v>
      </c>
      <c r="K51" s="22" t="s">
        <v>42</v>
      </c>
      <c r="L51" s="24">
        <v>2021</v>
      </c>
      <c r="M51" s="24"/>
      <c r="N51" s="38"/>
      <c r="O51" s="39"/>
      <c r="P51" s="24"/>
      <c r="Q51" s="28"/>
      <c r="R51" s="24"/>
      <c r="S51" s="24"/>
      <c r="T51" s="24"/>
      <c r="U51" s="24"/>
      <c r="V51" s="24"/>
      <c r="W51" s="24"/>
      <c r="X51" s="24"/>
      <c r="Y51" s="24"/>
      <c r="Z51" s="22"/>
      <c r="AA51" s="22"/>
      <c r="AB51" s="22"/>
      <c r="AC51" s="71"/>
      <c r="AD51" s="24">
        <v>2</v>
      </c>
      <c r="AE51" s="24">
        <v>2</v>
      </c>
      <c r="AF51" s="24">
        <v>2</v>
      </c>
      <c r="AG51" s="24">
        <v>1</v>
      </c>
      <c r="AH51" s="24">
        <v>3</v>
      </c>
      <c r="AI51" s="24">
        <v>2</v>
      </c>
      <c r="AJ51" s="24">
        <v>48</v>
      </c>
      <c r="AK51" s="22" t="s">
        <v>45</v>
      </c>
      <c r="AL51" s="22" t="s">
        <v>125</v>
      </c>
    </row>
    <row r="52" spans="1:38" s="133" customFormat="1" ht="38.25" x14ac:dyDescent="0.2">
      <c r="A52" s="30" t="s">
        <v>35</v>
      </c>
      <c r="B52" s="30" t="s">
        <v>517</v>
      </c>
      <c r="C52" s="30"/>
      <c r="D52" s="139" t="s">
        <v>37</v>
      </c>
      <c r="E52" s="139" t="s">
        <v>535</v>
      </c>
      <c r="F52" s="139" t="s">
        <v>920</v>
      </c>
      <c r="G52" s="139"/>
      <c r="H52" s="139"/>
      <c r="I52" s="139" t="s">
        <v>804</v>
      </c>
      <c r="J52" s="30" t="s">
        <v>1418</v>
      </c>
      <c r="K52" s="30" t="s">
        <v>1259</v>
      </c>
      <c r="L52" s="31">
        <v>2024</v>
      </c>
      <c r="M52" s="31"/>
      <c r="N52" s="32"/>
      <c r="O52" s="33"/>
      <c r="P52" s="34">
        <v>100</v>
      </c>
      <c r="Q52" s="35">
        <v>2500</v>
      </c>
      <c r="R52" s="35">
        <v>240</v>
      </c>
      <c r="S52" s="36"/>
      <c r="T52" s="31"/>
      <c r="U52" s="31"/>
      <c r="V52" s="31"/>
      <c r="W52" s="31"/>
      <c r="X52" s="31"/>
      <c r="Y52" s="31"/>
      <c r="Z52" s="30" t="s">
        <v>42</v>
      </c>
      <c r="AA52" s="30"/>
      <c r="AB52" s="50"/>
      <c r="AC52" s="141" t="s">
        <v>1417</v>
      </c>
      <c r="AD52" s="31">
        <v>1</v>
      </c>
      <c r="AE52" s="31">
        <v>3</v>
      </c>
      <c r="AF52" s="31">
        <v>3</v>
      </c>
      <c r="AG52" s="31">
        <v>3</v>
      </c>
      <c r="AH52" s="31">
        <v>1</v>
      </c>
      <c r="AI52" s="31">
        <v>2</v>
      </c>
      <c r="AJ52" s="31">
        <v>54</v>
      </c>
      <c r="AK52" s="30" t="s">
        <v>45</v>
      </c>
      <c r="AL52" s="30"/>
    </row>
    <row r="53" spans="1:38" ht="38.25" x14ac:dyDescent="0.2">
      <c r="A53" s="22" t="s">
        <v>35</v>
      </c>
      <c r="B53" s="22" t="s">
        <v>534</v>
      </c>
      <c r="C53" s="22"/>
      <c r="D53" s="22" t="s">
        <v>60</v>
      </c>
      <c r="E53" s="22" t="s">
        <v>535</v>
      </c>
      <c r="F53" s="71" t="s">
        <v>920</v>
      </c>
      <c r="G53" s="22"/>
      <c r="H53" s="22"/>
      <c r="I53" s="22" t="s">
        <v>536</v>
      </c>
      <c r="J53" s="22" t="s">
        <v>537</v>
      </c>
      <c r="K53" s="22" t="s">
        <v>63</v>
      </c>
      <c r="L53" s="24">
        <v>2019</v>
      </c>
      <c r="M53" s="24"/>
      <c r="N53" s="38">
        <f>8500000/100000*3*5</f>
        <v>1275</v>
      </c>
      <c r="O53" s="39"/>
      <c r="P53" s="27">
        <f t="shared" ref="P53:P57" si="5">N53*O53</f>
        <v>0</v>
      </c>
      <c r="Q53" s="28"/>
      <c r="R53" s="28">
        <f t="shared" ref="R53:R57" si="6">IF(Q53&lt;4.99,(Q53*12%+4),IF(Q53&lt;10.99,(Q53*12%+8),IF(Q53&lt;14.99,(Q53*12%+12),IF(Q53&lt;879.99,(Q53*12%+16),IF(Q53&lt;2569.99,(Q53*7%+60),240)))))</f>
        <v>4</v>
      </c>
      <c r="S53" s="29">
        <f t="shared" ref="S53:S57" si="7">R53*P53</f>
        <v>0</v>
      </c>
      <c r="T53" s="24"/>
      <c r="U53" s="24"/>
      <c r="V53" s="24"/>
      <c r="W53" s="24"/>
      <c r="X53" s="24"/>
      <c r="Y53" s="24"/>
      <c r="Z53" s="22" t="s">
        <v>42</v>
      </c>
      <c r="AA53" s="22" t="s">
        <v>182</v>
      </c>
      <c r="AB53" s="41" t="s">
        <v>538</v>
      </c>
      <c r="AC53" s="71" t="s">
        <v>539</v>
      </c>
      <c r="AD53" s="24">
        <v>1</v>
      </c>
      <c r="AE53" s="24">
        <v>2</v>
      </c>
      <c r="AF53" s="24">
        <v>3</v>
      </c>
      <c r="AG53" s="24">
        <v>3</v>
      </c>
      <c r="AH53" s="24">
        <v>1</v>
      </c>
      <c r="AI53" s="24">
        <v>1</v>
      </c>
      <c r="AJ53" s="24">
        <v>18</v>
      </c>
      <c r="AK53" s="22" t="s">
        <v>48</v>
      </c>
      <c r="AL53" s="22"/>
    </row>
    <row r="54" spans="1:38" s="156" customFormat="1" ht="38.25" x14ac:dyDescent="0.2">
      <c r="A54" s="22" t="s">
        <v>35</v>
      </c>
      <c r="B54" s="22" t="s">
        <v>323</v>
      </c>
      <c r="C54" s="22"/>
      <c r="D54" s="22" t="s">
        <v>60</v>
      </c>
      <c r="E54" s="22" t="s">
        <v>66</v>
      </c>
      <c r="F54" s="71" t="s">
        <v>923</v>
      </c>
      <c r="G54" s="22"/>
      <c r="H54" s="22"/>
      <c r="I54" s="22" t="s">
        <v>324</v>
      </c>
      <c r="J54" s="22" t="s">
        <v>325</v>
      </c>
      <c r="K54" s="22" t="s">
        <v>63</v>
      </c>
      <c r="L54" s="24">
        <v>2022</v>
      </c>
      <c r="M54" s="24"/>
      <c r="N54" s="38"/>
      <c r="O54" s="39"/>
      <c r="P54" s="27">
        <f t="shared" si="5"/>
        <v>0</v>
      </c>
      <c r="Q54" s="28"/>
      <c r="R54" s="28">
        <f t="shared" si="6"/>
        <v>4</v>
      </c>
      <c r="S54" s="29">
        <f t="shared" si="7"/>
        <v>0</v>
      </c>
      <c r="T54" s="24"/>
      <c r="U54" s="24"/>
      <c r="V54" s="24"/>
      <c r="W54" s="24"/>
      <c r="X54" s="24"/>
      <c r="Y54" s="24"/>
      <c r="Z54" s="22" t="s">
        <v>42</v>
      </c>
      <c r="AA54" s="22"/>
      <c r="AB54" s="41" t="s">
        <v>70</v>
      </c>
      <c r="AC54" s="71" t="s">
        <v>1095</v>
      </c>
      <c r="AD54" s="24">
        <v>3</v>
      </c>
      <c r="AE54" s="24">
        <v>1</v>
      </c>
      <c r="AF54" s="24">
        <v>2</v>
      </c>
      <c r="AG54" s="24">
        <v>3</v>
      </c>
      <c r="AH54" s="24">
        <v>2</v>
      </c>
      <c r="AI54" s="24">
        <v>1</v>
      </c>
      <c r="AJ54" s="24">
        <v>36</v>
      </c>
      <c r="AK54" s="22" t="s">
        <v>45</v>
      </c>
      <c r="AL54" s="22"/>
    </row>
    <row r="55" spans="1:38" s="129" customFormat="1" ht="38.25" x14ac:dyDescent="0.2">
      <c r="A55" s="22" t="s">
        <v>35</v>
      </c>
      <c r="B55" s="23" t="s">
        <v>488</v>
      </c>
      <c r="C55" s="22"/>
      <c r="D55" s="22" t="s">
        <v>37</v>
      </c>
      <c r="E55" s="22" t="s">
        <v>66</v>
      </c>
      <c r="F55" s="71" t="s">
        <v>923</v>
      </c>
      <c r="G55" s="22"/>
      <c r="H55" s="22"/>
      <c r="I55" s="22" t="s">
        <v>489</v>
      </c>
      <c r="J55" s="23" t="s">
        <v>490</v>
      </c>
      <c r="K55" s="22" t="s">
        <v>491</v>
      </c>
      <c r="L55" s="24">
        <v>2020</v>
      </c>
      <c r="M55" s="24"/>
      <c r="N55" s="25" t="s">
        <v>446</v>
      </c>
      <c r="O55" s="26"/>
      <c r="P55" s="27" t="e">
        <f t="shared" si="5"/>
        <v>#VALUE!</v>
      </c>
      <c r="Q55" s="28"/>
      <c r="R55" s="28">
        <f t="shared" si="6"/>
        <v>4</v>
      </c>
      <c r="S55" s="29" t="e">
        <f t="shared" si="7"/>
        <v>#VALUE!</v>
      </c>
      <c r="T55" s="24"/>
      <c r="U55" s="24"/>
      <c r="V55" s="24"/>
      <c r="W55" s="24"/>
      <c r="X55" s="24"/>
      <c r="Y55" s="24"/>
      <c r="Z55" s="22" t="s">
        <v>42</v>
      </c>
      <c r="AA55" s="22" t="s">
        <v>43</v>
      </c>
      <c r="AB55" s="22" t="s">
        <v>95</v>
      </c>
      <c r="AC55" s="71" t="s">
        <v>492</v>
      </c>
      <c r="AD55" s="24">
        <v>2</v>
      </c>
      <c r="AE55" s="24">
        <v>2</v>
      </c>
      <c r="AF55" s="24">
        <v>2</v>
      </c>
      <c r="AG55" s="24">
        <v>3</v>
      </c>
      <c r="AH55" s="24">
        <v>1</v>
      </c>
      <c r="AI55" s="24">
        <v>2</v>
      </c>
      <c r="AJ55" s="24">
        <v>48</v>
      </c>
      <c r="AK55" s="22" t="s">
        <v>48</v>
      </c>
      <c r="AL55" s="22"/>
    </row>
    <row r="56" spans="1:38" s="129" customFormat="1" x14ac:dyDescent="0.2">
      <c r="A56" s="22" t="s">
        <v>72</v>
      </c>
      <c r="B56" s="23" t="s">
        <v>271</v>
      </c>
      <c r="C56" s="22"/>
      <c r="D56" s="22" t="s">
        <v>60</v>
      </c>
      <c r="E56" s="22" t="s">
        <v>272</v>
      </c>
      <c r="F56" s="71"/>
      <c r="G56" s="22"/>
      <c r="H56" s="22"/>
      <c r="I56" s="22" t="s">
        <v>1387</v>
      </c>
      <c r="J56" s="23" t="s">
        <v>1388</v>
      </c>
      <c r="K56" s="22" t="s">
        <v>63</v>
      </c>
      <c r="L56" s="24">
        <v>2024</v>
      </c>
      <c r="M56" s="24"/>
      <c r="N56" s="25"/>
      <c r="O56" s="26"/>
      <c r="P56" s="27"/>
      <c r="Q56" s="28"/>
      <c r="R56" s="28"/>
      <c r="S56" s="29"/>
      <c r="T56" s="24"/>
      <c r="U56" s="24"/>
      <c r="V56" s="24"/>
      <c r="W56" s="24"/>
      <c r="X56" s="24"/>
      <c r="Y56" s="24"/>
      <c r="Z56" s="22"/>
      <c r="AA56" s="22"/>
      <c r="AB56" s="22"/>
      <c r="AC56" s="71" t="s">
        <v>1389</v>
      </c>
      <c r="AD56" s="24"/>
      <c r="AE56" s="24"/>
      <c r="AF56" s="24"/>
      <c r="AG56" s="24"/>
      <c r="AH56" s="24"/>
      <c r="AI56" s="24"/>
      <c r="AJ56" s="24"/>
      <c r="AK56" s="22" t="s">
        <v>48</v>
      </c>
      <c r="AL56" s="40">
        <v>45139</v>
      </c>
    </row>
    <row r="57" spans="1:38" ht="38.25" x14ac:dyDescent="0.2">
      <c r="A57" s="22" t="s">
        <v>58</v>
      </c>
      <c r="B57" s="23" t="s">
        <v>592</v>
      </c>
      <c r="C57" s="22"/>
      <c r="D57" s="22" t="s">
        <v>37</v>
      </c>
      <c r="E57" s="22" t="s">
        <v>593</v>
      </c>
      <c r="F57" s="22"/>
      <c r="G57" s="97" t="s">
        <v>980</v>
      </c>
      <c r="H57" s="22"/>
      <c r="I57" s="22" t="s">
        <v>594</v>
      </c>
      <c r="J57" s="22" t="s">
        <v>595</v>
      </c>
      <c r="K57" s="22" t="s">
        <v>309</v>
      </c>
      <c r="L57" s="24">
        <v>2018</v>
      </c>
      <c r="M57" s="24"/>
      <c r="N57" s="25">
        <f>8500000/100000*250/2</f>
        <v>10625</v>
      </c>
      <c r="O57" s="26"/>
      <c r="P57" s="27">
        <f t="shared" si="5"/>
        <v>0</v>
      </c>
      <c r="Q57" s="28"/>
      <c r="R57" s="28">
        <f t="shared" si="6"/>
        <v>4</v>
      </c>
      <c r="S57" s="29">
        <f t="shared" si="7"/>
        <v>0</v>
      </c>
      <c r="T57" s="24"/>
      <c r="U57" s="24"/>
      <c r="V57" s="24"/>
      <c r="W57" s="24"/>
      <c r="X57" s="24"/>
      <c r="Y57" s="24"/>
      <c r="Z57" s="22" t="s">
        <v>42</v>
      </c>
      <c r="AA57" s="22"/>
      <c r="AB57" s="40" t="s">
        <v>596</v>
      </c>
      <c r="AC57" s="71" t="s">
        <v>597</v>
      </c>
      <c r="AD57" s="24">
        <v>1</v>
      </c>
      <c r="AE57" s="24">
        <v>1</v>
      </c>
      <c r="AF57" s="24">
        <v>1</v>
      </c>
      <c r="AG57" s="24">
        <v>2</v>
      </c>
      <c r="AH57" s="24">
        <v>1</v>
      </c>
      <c r="AI57" s="24">
        <v>1</v>
      </c>
      <c r="AJ57" s="24">
        <v>2</v>
      </c>
      <c r="AK57" s="22" t="s">
        <v>48</v>
      </c>
      <c r="AL57" s="22"/>
    </row>
    <row r="58" spans="1:38" ht="38.25" x14ac:dyDescent="0.2">
      <c r="A58" s="42" t="s">
        <v>72</v>
      </c>
      <c r="B58" s="42" t="s">
        <v>184</v>
      </c>
      <c r="C58" s="42"/>
      <c r="D58" s="42" t="s">
        <v>37</v>
      </c>
      <c r="E58" s="42" t="s">
        <v>74</v>
      </c>
      <c r="F58" s="73" t="s">
        <v>924</v>
      </c>
      <c r="G58" s="42"/>
      <c r="H58" s="109"/>
      <c r="I58" s="42" t="s">
        <v>371</v>
      </c>
      <c r="J58" s="42"/>
      <c r="K58" s="42" t="s">
        <v>42</v>
      </c>
      <c r="L58" s="43">
        <v>2024</v>
      </c>
      <c r="M58" s="43"/>
      <c r="N58" s="44">
        <f>150000*2/3</f>
        <v>100000</v>
      </c>
      <c r="O58" s="45"/>
      <c r="P58" s="46">
        <f>N58*O58</f>
        <v>0</v>
      </c>
      <c r="Q58" s="47"/>
      <c r="R58" s="47">
        <f>IF(Q58&lt;4.99,(Q58*12%+4),IF(Q58&lt;10.99,(Q58*12%+8),IF(Q58&lt;14.99,(Q58*12%+12),IF(Q58&lt;879.99,(Q58*12%+16),IF(Q58&lt;2569.99,(Q58*7%+60),240)))))</f>
        <v>4</v>
      </c>
      <c r="S58" s="48">
        <f>R58*P58</f>
        <v>0</v>
      </c>
      <c r="T58" s="43"/>
      <c r="U58" s="43"/>
      <c r="V58" s="43"/>
      <c r="W58" s="43"/>
      <c r="X58" s="43"/>
      <c r="Y58" s="43"/>
      <c r="Z58" s="42" t="s">
        <v>42</v>
      </c>
      <c r="AA58" s="42"/>
      <c r="AB58" s="42" t="s">
        <v>76</v>
      </c>
      <c r="AC58" s="73" t="s">
        <v>1249</v>
      </c>
      <c r="AD58" s="43">
        <v>3</v>
      </c>
      <c r="AE58" s="43">
        <v>3</v>
      </c>
      <c r="AF58" s="43">
        <v>2</v>
      </c>
      <c r="AG58" s="43">
        <v>3</v>
      </c>
      <c r="AH58" s="43">
        <v>2</v>
      </c>
      <c r="AI58" s="43">
        <v>3</v>
      </c>
      <c r="AJ58" s="43">
        <v>324</v>
      </c>
      <c r="AK58" s="42" t="s">
        <v>45</v>
      </c>
      <c r="AL58" s="42"/>
    </row>
    <row r="59" spans="1:38" s="133" customFormat="1" ht="76.5" x14ac:dyDescent="0.2">
      <c r="A59" s="22" t="s">
        <v>58</v>
      </c>
      <c r="B59" s="22" t="s">
        <v>810</v>
      </c>
      <c r="C59" s="22"/>
      <c r="D59" s="65"/>
      <c r="E59" s="88" t="s">
        <v>652</v>
      </c>
      <c r="F59" s="88"/>
      <c r="G59" s="88"/>
      <c r="H59" s="65" t="s">
        <v>919</v>
      </c>
      <c r="I59" s="65" t="s">
        <v>811</v>
      </c>
      <c r="J59" s="22"/>
      <c r="K59" s="22" t="s">
        <v>42</v>
      </c>
      <c r="L59" s="24">
        <v>2024</v>
      </c>
      <c r="M59" s="24"/>
      <c r="N59" s="38"/>
      <c r="O59" s="39"/>
      <c r="P59" s="27"/>
      <c r="Q59" s="28"/>
      <c r="R59" s="28"/>
      <c r="S59" s="29"/>
      <c r="T59" s="24"/>
      <c r="U59" s="24"/>
      <c r="V59" s="24"/>
      <c r="W59" s="24"/>
      <c r="X59" s="24"/>
      <c r="Y59" s="24"/>
      <c r="Z59" s="22" t="s">
        <v>42</v>
      </c>
      <c r="AA59" s="22"/>
      <c r="AB59" s="41"/>
      <c r="AC59" s="185" t="s">
        <v>1256</v>
      </c>
      <c r="AD59" s="24"/>
      <c r="AE59" s="24"/>
      <c r="AF59" s="24"/>
      <c r="AG59" s="24"/>
      <c r="AH59" s="24"/>
      <c r="AI59" s="24"/>
      <c r="AJ59" s="24">
        <v>0</v>
      </c>
      <c r="AK59" s="22"/>
      <c r="AL59" s="22"/>
    </row>
    <row r="60" spans="1:38" ht="38.25" x14ac:dyDescent="0.2">
      <c r="A60" s="22" t="s">
        <v>58</v>
      </c>
      <c r="B60" s="22" t="s">
        <v>304</v>
      </c>
      <c r="C60" s="22"/>
      <c r="D60" s="22" t="s">
        <v>305</v>
      </c>
      <c r="E60" s="22" t="s">
        <v>306</v>
      </c>
      <c r="F60" s="22"/>
      <c r="G60" s="65" t="s">
        <v>947</v>
      </c>
      <c r="H60" s="22"/>
      <c r="I60" s="22" t="s">
        <v>307</v>
      </c>
      <c r="J60" s="22" t="s">
        <v>308</v>
      </c>
      <c r="K60" s="22" t="s">
        <v>309</v>
      </c>
      <c r="L60" s="24">
        <v>2020</v>
      </c>
      <c r="M60" s="24"/>
      <c r="N60" s="51">
        <f>85000/30000</f>
        <v>2.8333333333333335</v>
      </c>
      <c r="O60" s="39"/>
      <c r="P60" s="27">
        <f>N60*O60</f>
        <v>0</v>
      </c>
      <c r="Q60" s="28"/>
      <c r="R60" s="28">
        <f>IF(Q60&lt;4.99,(Q60*12%+4),IF(Q60&lt;10.99,(Q60*12%+8),IF(Q60&lt;14.99,(Q60*12%+12),IF(Q60&lt;879.99,(Q60*12%+16),IF(Q60&lt;2569.99,(Q60*7%+60),240)))))</f>
        <v>4</v>
      </c>
      <c r="S60" s="29">
        <f>R60*P60</f>
        <v>0</v>
      </c>
      <c r="T60" s="24"/>
      <c r="U60" s="24"/>
      <c r="V60" s="24"/>
      <c r="W60" s="24"/>
      <c r="X60" s="24"/>
      <c r="Y60" s="24"/>
      <c r="Z60" s="22" t="s">
        <v>128</v>
      </c>
      <c r="AA60" s="22"/>
      <c r="AB60" s="22" t="s">
        <v>227</v>
      </c>
      <c r="AC60" s="71" t="s">
        <v>310</v>
      </c>
      <c r="AD60" s="24">
        <v>2</v>
      </c>
      <c r="AE60" s="24">
        <v>1</v>
      </c>
      <c r="AF60" s="24">
        <v>3</v>
      </c>
      <c r="AG60" s="24">
        <v>3</v>
      </c>
      <c r="AH60" s="24">
        <v>1</v>
      </c>
      <c r="AI60" s="24">
        <v>1</v>
      </c>
      <c r="AJ60" s="24">
        <v>18</v>
      </c>
      <c r="AK60" s="22" t="s">
        <v>48</v>
      </c>
      <c r="AL60" s="22"/>
    </row>
    <row r="61" spans="1:38" ht="51" x14ac:dyDescent="0.2">
      <c r="A61" s="22" t="s">
        <v>58</v>
      </c>
      <c r="B61" s="22" t="s">
        <v>588</v>
      </c>
      <c r="C61" s="22"/>
      <c r="D61" s="22" t="s">
        <v>98</v>
      </c>
      <c r="E61" s="22" t="s">
        <v>306</v>
      </c>
      <c r="F61" s="22"/>
      <c r="G61" s="97" t="s">
        <v>979</v>
      </c>
      <c r="H61" s="22"/>
      <c r="I61" s="22" t="s">
        <v>589</v>
      </c>
      <c r="J61" s="22" t="s">
        <v>590</v>
      </c>
      <c r="K61" s="22" t="s">
        <v>63</v>
      </c>
      <c r="L61" s="24">
        <v>2021</v>
      </c>
      <c r="M61" s="24"/>
      <c r="N61" s="51">
        <f>85000/10000</f>
        <v>8.5</v>
      </c>
      <c r="O61" s="39"/>
      <c r="P61" s="27">
        <f>N61*O61</f>
        <v>0</v>
      </c>
      <c r="Q61" s="28"/>
      <c r="R61" s="28">
        <f>IF(Q61&lt;4.99,(Q61*12%+4),IF(Q61&lt;10.99,(Q61*12%+8),IF(Q61&lt;14.99,(Q61*12%+12),IF(Q61&lt;879.99,(Q61*12%+16),IF(Q61&lt;2569.99,(Q61*7%+60),240)))))</f>
        <v>4</v>
      </c>
      <c r="S61" s="29">
        <f>R61*P61</f>
        <v>0</v>
      </c>
      <c r="T61" s="24"/>
      <c r="U61" s="24"/>
      <c r="V61" s="24"/>
      <c r="W61" s="24"/>
      <c r="X61" s="24"/>
      <c r="Y61" s="24"/>
      <c r="Z61" s="22" t="s">
        <v>42</v>
      </c>
      <c r="AA61" s="22"/>
      <c r="AB61" s="22" t="s">
        <v>227</v>
      </c>
      <c r="AC61" s="71" t="s">
        <v>591</v>
      </c>
      <c r="AD61" s="24">
        <v>2</v>
      </c>
      <c r="AE61" s="24">
        <v>1</v>
      </c>
      <c r="AF61" s="24">
        <v>3</v>
      </c>
      <c r="AG61" s="24">
        <v>3</v>
      </c>
      <c r="AH61" s="24">
        <v>1</v>
      </c>
      <c r="AI61" s="24">
        <v>2</v>
      </c>
      <c r="AJ61" s="24">
        <v>36</v>
      </c>
      <c r="AK61" s="22" t="s">
        <v>48</v>
      </c>
      <c r="AL61" s="22"/>
    </row>
    <row r="62" spans="1:38" ht="38.25" x14ac:dyDescent="0.2">
      <c r="A62" s="22" t="s">
        <v>35</v>
      </c>
      <c r="B62" s="22" t="s">
        <v>268</v>
      </c>
      <c r="C62" s="22"/>
      <c r="D62" s="22" t="s">
        <v>37</v>
      </c>
      <c r="E62" s="22" t="s">
        <v>38</v>
      </c>
      <c r="F62" s="71" t="s">
        <v>922</v>
      </c>
      <c r="G62" s="22"/>
      <c r="H62" s="22"/>
      <c r="I62" s="22" t="s">
        <v>269</v>
      </c>
      <c r="J62" s="22"/>
      <c r="K62" s="22" t="s">
        <v>42</v>
      </c>
      <c r="L62" s="24">
        <v>2021</v>
      </c>
      <c r="M62" s="24"/>
      <c r="N62" s="51">
        <f>0.75*4400</f>
        <v>3300</v>
      </c>
      <c r="O62" s="39"/>
      <c r="P62" s="27">
        <f>N62*O62</f>
        <v>0</v>
      </c>
      <c r="Q62" s="28"/>
      <c r="R62" s="28">
        <f>IF(Q62&lt;4.99,(Q62*12%+4),IF(Q62&lt;10.99,(Q62*12%+8),IF(Q62&lt;14.99,(Q62*12%+12),IF(Q62&lt;879.99,(Q62*12%+16),IF(Q62&lt;2569.99,(Q62*7%+60),240)))))</f>
        <v>4</v>
      </c>
      <c r="S62" s="29">
        <f>R62*P62</f>
        <v>0</v>
      </c>
      <c r="T62" s="24"/>
      <c r="U62" s="24"/>
      <c r="V62" s="24"/>
      <c r="W62" s="24"/>
      <c r="X62" s="24"/>
      <c r="Y62" s="24"/>
      <c r="Z62" s="22" t="s">
        <v>42</v>
      </c>
      <c r="AA62" s="22" t="s">
        <v>43</v>
      </c>
      <c r="AB62" s="22" t="s">
        <v>44</v>
      </c>
      <c r="AC62" s="71" t="s">
        <v>270</v>
      </c>
      <c r="AD62" s="24">
        <v>2</v>
      </c>
      <c r="AE62" s="24">
        <v>3</v>
      </c>
      <c r="AF62" s="24">
        <v>3</v>
      </c>
      <c r="AG62" s="24">
        <v>3</v>
      </c>
      <c r="AH62" s="24">
        <v>1</v>
      </c>
      <c r="AI62" s="24">
        <v>2</v>
      </c>
      <c r="AJ62" s="24">
        <v>108</v>
      </c>
      <c r="AK62" s="22" t="s">
        <v>45</v>
      </c>
      <c r="AL62" s="40">
        <v>43647</v>
      </c>
    </row>
    <row r="63" spans="1:38" x14ac:dyDescent="0.2">
      <c r="A63" s="42" t="s">
        <v>58</v>
      </c>
      <c r="B63" s="42" t="s">
        <v>1108</v>
      </c>
      <c r="C63" s="42"/>
      <c r="D63" s="42" t="s">
        <v>60</v>
      </c>
      <c r="E63" s="42" t="s">
        <v>1107</v>
      </c>
      <c r="F63" s="73"/>
      <c r="G63" s="42"/>
      <c r="H63" s="42"/>
      <c r="I63" s="42" t="s">
        <v>1109</v>
      </c>
      <c r="J63" s="42" t="s">
        <v>1110</v>
      </c>
      <c r="K63" s="42"/>
      <c r="L63" s="43"/>
      <c r="M63" s="43"/>
      <c r="N63" s="44">
        <v>3</v>
      </c>
      <c r="O63" s="45"/>
      <c r="P63" s="46">
        <v>2</v>
      </c>
      <c r="Q63" s="47">
        <v>1000</v>
      </c>
      <c r="R63" s="47"/>
      <c r="S63" s="48"/>
      <c r="T63" s="43"/>
      <c r="U63" s="43"/>
      <c r="V63" s="43"/>
      <c r="W63" s="43"/>
      <c r="X63" s="43"/>
      <c r="Y63" s="43"/>
      <c r="Z63" s="42" t="s">
        <v>42</v>
      </c>
      <c r="AA63" s="42"/>
      <c r="AB63" s="42"/>
      <c r="AC63" s="178" t="s">
        <v>1162</v>
      </c>
      <c r="AD63" s="43">
        <v>2</v>
      </c>
      <c r="AE63" s="43">
        <v>1</v>
      </c>
      <c r="AF63" s="43">
        <v>2</v>
      </c>
      <c r="AG63" s="43">
        <v>3</v>
      </c>
      <c r="AH63" s="43">
        <v>3</v>
      </c>
      <c r="AI63" s="43">
        <v>2</v>
      </c>
      <c r="AJ63" s="43">
        <f>AI63*AH63*AG63*AF63*AE63*AD63</f>
        <v>72</v>
      </c>
      <c r="AK63" s="42"/>
      <c r="AL63" s="60">
        <v>44621</v>
      </c>
    </row>
    <row r="64" spans="1:38" x14ac:dyDescent="0.2">
      <c r="A64" s="30" t="s">
        <v>35</v>
      </c>
      <c r="B64" s="30" t="s">
        <v>165</v>
      </c>
      <c r="C64" s="30"/>
      <c r="D64" s="30" t="s">
        <v>37</v>
      </c>
      <c r="E64" s="30" t="s">
        <v>1163</v>
      </c>
      <c r="F64" s="72"/>
      <c r="G64" s="30"/>
      <c r="H64" s="30"/>
      <c r="I64" s="30" t="s">
        <v>1112</v>
      </c>
      <c r="J64" s="30" t="s">
        <v>1113</v>
      </c>
      <c r="K64" s="30"/>
      <c r="L64" s="31"/>
      <c r="M64" s="31"/>
      <c r="N64" s="32">
        <v>150</v>
      </c>
      <c r="O64" s="33"/>
      <c r="P64" s="34">
        <v>20</v>
      </c>
      <c r="Q64" s="35">
        <v>20000</v>
      </c>
      <c r="R64" s="35"/>
      <c r="S64" s="36"/>
      <c r="T64" s="31"/>
      <c r="U64" s="31"/>
      <c r="V64" s="31"/>
      <c r="W64" s="31"/>
      <c r="X64" s="31"/>
      <c r="Y64" s="31"/>
      <c r="Z64" s="30" t="s">
        <v>42</v>
      </c>
      <c r="AA64" s="30"/>
      <c r="AB64" s="30"/>
      <c r="AC64" s="72"/>
      <c r="AD64" s="31">
        <v>2</v>
      </c>
      <c r="AE64" s="31">
        <v>2</v>
      </c>
      <c r="AF64" s="31">
        <v>2</v>
      </c>
      <c r="AG64" s="31">
        <v>3</v>
      </c>
      <c r="AH64" s="31">
        <v>1</v>
      </c>
      <c r="AI64" s="31">
        <v>2</v>
      </c>
      <c r="AJ64" s="31">
        <f>AI64*AH64*AG64*AF64*AE64*AD64</f>
        <v>48</v>
      </c>
      <c r="AK64" s="30"/>
      <c r="AL64" s="37">
        <v>44621</v>
      </c>
    </row>
    <row r="65" spans="1:38" ht="25.5" x14ac:dyDescent="0.2">
      <c r="A65" s="30" t="s">
        <v>35</v>
      </c>
      <c r="B65" s="30" t="s">
        <v>268</v>
      </c>
      <c r="C65" s="30"/>
      <c r="D65" s="30" t="s">
        <v>37</v>
      </c>
      <c r="E65" s="30" t="s">
        <v>1185</v>
      </c>
      <c r="F65" s="72"/>
      <c r="G65" s="30"/>
      <c r="H65" s="30"/>
      <c r="I65" s="30" t="s">
        <v>1184</v>
      </c>
      <c r="J65" s="30" t="s">
        <v>1419</v>
      </c>
      <c r="K65" s="30" t="s">
        <v>1420</v>
      </c>
      <c r="L65" s="31">
        <v>2023</v>
      </c>
      <c r="M65" s="31"/>
      <c r="N65" s="32"/>
      <c r="O65" s="33"/>
      <c r="P65" s="34"/>
      <c r="Q65" s="35"/>
      <c r="R65" s="35"/>
      <c r="S65" s="36"/>
      <c r="T65" s="31"/>
      <c r="U65" s="31"/>
      <c r="V65" s="31"/>
      <c r="W65" s="31"/>
      <c r="X65" s="31"/>
      <c r="Y65" s="31"/>
      <c r="Z65" s="30"/>
      <c r="AA65" s="30"/>
      <c r="AB65" s="30"/>
      <c r="AC65" s="72" t="s">
        <v>1444</v>
      </c>
      <c r="AD65" s="31">
        <v>2</v>
      </c>
      <c r="AE65" s="31">
        <v>3</v>
      </c>
      <c r="AF65" s="31">
        <v>2</v>
      </c>
      <c r="AG65" s="31">
        <v>3</v>
      </c>
      <c r="AH65" s="31">
        <v>1</v>
      </c>
      <c r="AI65" s="31">
        <v>3</v>
      </c>
      <c r="AJ65" s="31">
        <f>AI65*AH65*AG65*AF65*AE65*AD65</f>
        <v>108</v>
      </c>
      <c r="AK65" s="30"/>
      <c r="AL65" s="37">
        <v>44713</v>
      </c>
    </row>
    <row r="66" spans="1:38" ht="38.25" x14ac:dyDescent="0.2">
      <c r="A66" s="30" t="s">
        <v>35</v>
      </c>
      <c r="B66" s="30" t="s">
        <v>187</v>
      </c>
      <c r="C66" s="30"/>
      <c r="D66" s="30" t="s">
        <v>37</v>
      </c>
      <c r="E66" s="30" t="s">
        <v>188</v>
      </c>
      <c r="F66" s="72" t="s">
        <v>972</v>
      </c>
      <c r="G66" s="30"/>
      <c r="H66" s="30"/>
      <c r="I66" s="30" t="s">
        <v>189</v>
      </c>
      <c r="J66" s="30" t="s">
        <v>190</v>
      </c>
      <c r="K66" s="30" t="s">
        <v>42</v>
      </c>
      <c r="L66" s="31">
        <v>2015</v>
      </c>
      <c r="M66" s="31"/>
      <c r="N66" s="32">
        <f>0.3*4400+40490/298930000*8500000</f>
        <v>2471.3230522195831</v>
      </c>
      <c r="O66" s="33"/>
      <c r="P66" s="34">
        <f>N66*O66</f>
        <v>0</v>
      </c>
      <c r="Q66" s="35"/>
      <c r="R66" s="35">
        <f>IF(Q66&lt;4.99,(Q66*12%+4),IF(Q66&lt;10.99,(Q66*12%+8),IF(Q66&lt;14.99,(Q66*12%+12),IF(Q66&lt;879.99,(Q66*12%+16),IF(Q66&lt;2569.99,(Q66*7%+60),240)))))</f>
        <v>4</v>
      </c>
      <c r="S66" s="36">
        <f>R66*P66</f>
        <v>0</v>
      </c>
      <c r="T66" s="31"/>
      <c r="U66" s="31"/>
      <c r="V66" s="31"/>
      <c r="W66" s="31"/>
      <c r="X66" s="31"/>
      <c r="Y66" s="31"/>
      <c r="Z66" s="30" t="s">
        <v>42</v>
      </c>
      <c r="AA66" s="30"/>
      <c r="AB66" s="30" t="s">
        <v>129</v>
      </c>
      <c r="AC66" s="72"/>
      <c r="AD66" s="31">
        <v>1</v>
      </c>
      <c r="AE66" s="31">
        <v>2</v>
      </c>
      <c r="AF66" s="31">
        <v>2</v>
      </c>
      <c r="AG66" s="31">
        <v>3</v>
      </c>
      <c r="AH66" s="31">
        <v>1</v>
      </c>
      <c r="AI66" s="31">
        <v>2</v>
      </c>
      <c r="AJ66" s="31">
        <v>24</v>
      </c>
      <c r="AK66" s="30" t="s">
        <v>45</v>
      </c>
      <c r="AL66" s="30"/>
    </row>
    <row r="67" spans="1:38" x14ac:dyDescent="0.2">
      <c r="A67" s="30" t="s">
        <v>86</v>
      </c>
      <c r="B67" s="30" t="s">
        <v>1090</v>
      </c>
      <c r="C67" s="30"/>
      <c r="D67" s="30" t="s">
        <v>60</v>
      </c>
      <c r="E67" s="30" t="s">
        <v>188</v>
      </c>
      <c r="F67" s="72"/>
      <c r="G67" s="30"/>
      <c r="H67" s="106"/>
      <c r="I67" s="30" t="s">
        <v>1089</v>
      </c>
      <c r="J67" s="30" t="s">
        <v>1236</v>
      </c>
      <c r="K67" s="30" t="s">
        <v>63</v>
      </c>
      <c r="L67" s="31">
        <v>2023</v>
      </c>
      <c r="M67" s="31"/>
      <c r="N67" s="32">
        <v>60</v>
      </c>
      <c r="O67" s="33">
        <v>0.1</v>
      </c>
      <c r="P67" s="34">
        <v>6</v>
      </c>
      <c r="Q67" s="35">
        <v>3000</v>
      </c>
      <c r="R67" s="35"/>
      <c r="S67" s="36"/>
      <c r="T67" s="31"/>
      <c r="U67" s="31"/>
      <c r="V67" s="31"/>
      <c r="W67" s="31"/>
      <c r="X67" s="31"/>
      <c r="Y67" s="31"/>
      <c r="Z67" s="30" t="s">
        <v>42</v>
      </c>
      <c r="AA67" s="30"/>
      <c r="AB67" s="30"/>
      <c r="AC67" s="72" t="s">
        <v>1091</v>
      </c>
      <c r="AD67" s="31">
        <v>1</v>
      </c>
      <c r="AE67" s="31">
        <v>1</v>
      </c>
      <c r="AF67" s="31">
        <v>2</v>
      </c>
      <c r="AG67" s="31">
        <v>3</v>
      </c>
      <c r="AH67" s="31">
        <v>2</v>
      </c>
      <c r="AI67" s="31">
        <v>2</v>
      </c>
      <c r="AJ67" s="31">
        <f>AI67*AH67*AG67*AF67*AE67*AD67</f>
        <v>24</v>
      </c>
      <c r="AK67" s="30" t="s">
        <v>45</v>
      </c>
      <c r="AL67" s="37">
        <v>44621</v>
      </c>
    </row>
    <row r="68" spans="1:38" ht="38.25" x14ac:dyDescent="0.2">
      <c r="A68" s="22" t="s">
        <v>35</v>
      </c>
      <c r="B68" s="22" t="s">
        <v>548</v>
      </c>
      <c r="C68" s="22"/>
      <c r="D68" s="22" t="s">
        <v>37</v>
      </c>
      <c r="E68" s="22" t="s">
        <v>188</v>
      </c>
      <c r="F68" s="71" t="s">
        <v>972</v>
      </c>
      <c r="G68" s="22"/>
      <c r="H68" s="22"/>
      <c r="I68" s="22" t="s">
        <v>549</v>
      </c>
      <c r="J68" s="22" t="s">
        <v>550</v>
      </c>
      <c r="K68" s="22">
        <v>41970</v>
      </c>
      <c r="L68" s="24">
        <v>2018</v>
      </c>
      <c r="M68" s="24"/>
      <c r="N68" s="51">
        <v>4400</v>
      </c>
      <c r="O68" s="39"/>
      <c r="P68" s="27">
        <f>N68*O68</f>
        <v>0</v>
      </c>
      <c r="Q68" s="28"/>
      <c r="R68" s="28">
        <f>IF(Q68&lt;4.99,(Q68*12%+4),IF(Q68&lt;10.99,(Q68*12%+8),IF(Q68&lt;14.99,(Q68*12%+12),IF(Q68&lt;879.99,(Q68*12%+16),IF(Q68&lt;2569.99,(Q68*7%+60),240)))))</f>
        <v>4</v>
      </c>
      <c r="S68" s="29">
        <f>R68*P68</f>
        <v>0</v>
      </c>
      <c r="T68" s="24"/>
      <c r="U68" s="24"/>
      <c r="V68" s="24"/>
      <c r="W68" s="24"/>
      <c r="X68" s="24"/>
      <c r="Y68" s="24"/>
      <c r="Z68" s="22" t="s">
        <v>551</v>
      </c>
      <c r="AA68" s="22"/>
      <c r="AB68" s="22" t="s">
        <v>129</v>
      </c>
      <c r="AC68" s="71" t="s">
        <v>552</v>
      </c>
      <c r="AD68" s="24">
        <v>1</v>
      </c>
      <c r="AE68" s="24">
        <v>3</v>
      </c>
      <c r="AF68" s="24">
        <v>2</v>
      </c>
      <c r="AG68" s="24">
        <v>3</v>
      </c>
      <c r="AH68" s="24">
        <v>1</v>
      </c>
      <c r="AI68" s="24">
        <v>1</v>
      </c>
      <c r="AJ68" s="24">
        <v>18</v>
      </c>
      <c r="AK68" s="22" t="s">
        <v>48</v>
      </c>
      <c r="AL68" s="22"/>
    </row>
    <row r="69" spans="1:38" s="133" customFormat="1" x14ac:dyDescent="0.2">
      <c r="A69" s="30" t="s">
        <v>86</v>
      </c>
      <c r="B69" s="30" t="s">
        <v>1285</v>
      </c>
      <c r="C69" s="30"/>
      <c r="D69" s="30" t="s">
        <v>37</v>
      </c>
      <c r="E69" s="30" t="s">
        <v>1307</v>
      </c>
      <c r="F69" s="96"/>
      <c r="G69" s="30"/>
      <c r="H69" s="30"/>
      <c r="I69" s="30" t="s">
        <v>1308</v>
      </c>
      <c r="J69" s="30" t="s">
        <v>1309</v>
      </c>
      <c r="K69" s="30" t="s">
        <v>63</v>
      </c>
      <c r="L69" s="31">
        <v>2024</v>
      </c>
      <c r="M69" s="31"/>
      <c r="N69" s="32">
        <v>300</v>
      </c>
      <c r="O69" s="33"/>
      <c r="P69" s="34">
        <v>50</v>
      </c>
      <c r="Q69" s="35">
        <v>5000</v>
      </c>
      <c r="R69" s="35">
        <v>240</v>
      </c>
      <c r="S69" s="36"/>
      <c r="T69" s="31"/>
      <c r="U69" s="31"/>
      <c r="V69" s="31"/>
      <c r="W69" s="31"/>
      <c r="X69" s="31"/>
      <c r="Y69" s="31"/>
      <c r="Z69" s="30" t="s">
        <v>42</v>
      </c>
      <c r="AA69" s="30"/>
      <c r="AB69" s="30"/>
      <c r="AC69" s="72" t="s">
        <v>1311</v>
      </c>
      <c r="AD69" s="31">
        <v>2</v>
      </c>
      <c r="AE69" s="31">
        <v>2</v>
      </c>
      <c r="AF69" s="31">
        <v>1</v>
      </c>
      <c r="AG69" s="31">
        <v>3</v>
      </c>
      <c r="AH69" s="31">
        <v>2</v>
      </c>
      <c r="AI69" s="31">
        <v>2</v>
      </c>
      <c r="AJ69" s="31">
        <f>AI69*AH69*AG69*AF69*AE69*AD69</f>
        <v>48</v>
      </c>
      <c r="AK69" s="30" t="s">
        <v>45</v>
      </c>
      <c r="AL69" s="30" t="s">
        <v>1310</v>
      </c>
    </row>
    <row r="70" spans="1:38" ht="38.25" x14ac:dyDescent="0.2">
      <c r="A70" s="22" t="s">
        <v>35</v>
      </c>
      <c r="B70" s="22" t="s">
        <v>219</v>
      </c>
      <c r="C70" s="22"/>
      <c r="D70" s="65" t="s">
        <v>37</v>
      </c>
      <c r="E70" s="88" t="s">
        <v>83</v>
      </c>
      <c r="F70" s="79" t="s">
        <v>918</v>
      </c>
      <c r="G70" s="88"/>
      <c r="H70" s="88"/>
      <c r="I70" s="65" t="s">
        <v>813</v>
      </c>
      <c r="J70" s="22"/>
      <c r="K70" s="22" t="s">
        <v>834</v>
      </c>
      <c r="L70" s="24">
        <v>2022</v>
      </c>
      <c r="M70" s="24"/>
      <c r="N70" s="38"/>
      <c r="O70" s="39"/>
      <c r="P70" s="27"/>
      <c r="Q70" s="28"/>
      <c r="R70" s="28"/>
      <c r="S70" s="29"/>
      <c r="T70" s="24"/>
      <c r="U70" s="24"/>
      <c r="V70" s="24"/>
      <c r="W70" s="24"/>
      <c r="X70" s="24"/>
      <c r="Y70" s="24"/>
      <c r="Z70" s="22" t="s">
        <v>42</v>
      </c>
      <c r="AA70" s="22"/>
      <c r="AB70" s="41"/>
      <c r="AC70" s="67"/>
      <c r="AD70" s="24">
        <v>3</v>
      </c>
      <c r="AE70" s="24">
        <v>2</v>
      </c>
      <c r="AF70" s="24">
        <v>3</v>
      </c>
      <c r="AG70" s="24">
        <v>3</v>
      </c>
      <c r="AH70" s="24">
        <v>1</v>
      </c>
      <c r="AI70" s="24">
        <v>2</v>
      </c>
      <c r="AJ70" s="24">
        <v>108</v>
      </c>
      <c r="AK70" s="22" t="s">
        <v>45</v>
      </c>
      <c r="AL70" s="69">
        <v>44166</v>
      </c>
    </row>
    <row r="71" spans="1:38" s="133" customFormat="1" ht="38.25" x14ac:dyDescent="0.2">
      <c r="A71" s="30" t="s">
        <v>86</v>
      </c>
      <c r="B71" s="30" t="s">
        <v>438</v>
      </c>
      <c r="C71" s="30"/>
      <c r="D71" s="139" t="s">
        <v>37</v>
      </c>
      <c r="E71" s="139" t="s">
        <v>83</v>
      </c>
      <c r="F71" s="139" t="s">
        <v>918</v>
      </c>
      <c r="G71" s="139"/>
      <c r="H71" s="139"/>
      <c r="I71" s="139" t="s">
        <v>812</v>
      </c>
      <c r="J71" s="30" t="s">
        <v>1378</v>
      </c>
      <c r="K71" s="30" t="s">
        <v>42</v>
      </c>
      <c r="L71" s="31">
        <v>2023</v>
      </c>
      <c r="M71" s="31"/>
      <c r="N71" s="32"/>
      <c r="O71" s="33"/>
      <c r="P71" s="34"/>
      <c r="Q71" s="35">
        <v>1150</v>
      </c>
      <c r="R71" s="35"/>
      <c r="S71" s="36"/>
      <c r="T71" s="31"/>
      <c r="U71" s="31"/>
      <c r="V71" s="31"/>
      <c r="W71" s="31"/>
      <c r="X71" s="31"/>
      <c r="Y71" s="31"/>
      <c r="Z71" s="30" t="s">
        <v>42</v>
      </c>
      <c r="AA71" s="22"/>
      <c r="AB71" s="41"/>
      <c r="AC71" s="141"/>
      <c r="AD71" s="31">
        <v>3</v>
      </c>
      <c r="AE71" s="31">
        <v>2</v>
      </c>
      <c r="AF71" s="31">
        <v>3</v>
      </c>
      <c r="AG71" s="31">
        <v>1</v>
      </c>
      <c r="AH71" s="31">
        <v>2</v>
      </c>
      <c r="AI71" s="31">
        <v>2</v>
      </c>
      <c r="AJ71" s="31">
        <v>72</v>
      </c>
      <c r="AK71" s="30" t="s">
        <v>48</v>
      </c>
      <c r="AL71" s="142">
        <v>44197</v>
      </c>
    </row>
    <row r="72" spans="1:38" ht="38.25" x14ac:dyDescent="0.2">
      <c r="A72" s="22" t="s">
        <v>35</v>
      </c>
      <c r="B72" s="22" t="s">
        <v>526</v>
      </c>
      <c r="C72" s="22"/>
      <c r="D72" s="22" t="s">
        <v>37</v>
      </c>
      <c r="E72" s="22" t="s">
        <v>83</v>
      </c>
      <c r="F72" s="71" t="s">
        <v>918</v>
      </c>
      <c r="G72" s="22"/>
      <c r="H72" s="22"/>
      <c r="I72" s="22" t="s">
        <v>527</v>
      </c>
      <c r="J72" s="22"/>
      <c r="K72" s="22" t="s">
        <v>42</v>
      </c>
      <c r="L72" s="24">
        <v>2021</v>
      </c>
      <c r="M72" s="24"/>
      <c r="N72" s="51">
        <v>622</v>
      </c>
      <c r="O72" s="39"/>
      <c r="P72" s="27">
        <f>N72*O72</f>
        <v>0</v>
      </c>
      <c r="Q72" s="28"/>
      <c r="R72" s="28">
        <f t="shared" ref="R72:R80" si="8">IF(Q72&lt;4.99,(Q72*12%+4),IF(Q72&lt;10.99,(Q72*12%+8),IF(Q72&lt;14.99,(Q72*12%+12),IF(Q72&lt;879.99,(Q72*12%+16),IF(Q72&lt;2569.99,(Q72*7%+60),240)))))</f>
        <v>4</v>
      </c>
      <c r="S72" s="29">
        <f t="shared" ref="S72:S80" si="9">R72*P72</f>
        <v>0</v>
      </c>
      <c r="T72" s="24"/>
      <c r="U72" s="24"/>
      <c r="V72" s="24"/>
      <c r="W72" s="24"/>
      <c r="X72" s="24"/>
      <c r="Y72" s="24"/>
      <c r="Z72" s="22" t="s">
        <v>64</v>
      </c>
      <c r="AA72" s="22"/>
      <c r="AB72" s="22" t="s">
        <v>132</v>
      </c>
      <c r="AC72" s="71" t="s">
        <v>528</v>
      </c>
      <c r="AD72" s="24">
        <v>3</v>
      </c>
      <c r="AE72" s="24">
        <v>3</v>
      </c>
      <c r="AF72" s="24">
        <v>3</v>
      </c>
      <c r="AG72" s="24">
        <v>3</v>
      </c>
      <c r="AH72" s="24">
        <v>1</v>
      </c>
      <c r="AI72" s="24">
        <v>2</v>
      </c>
      <c r="AJ72" s="24">
        <v>162</v>
      </c>
      <c r="AK72" s="22" t="s">
        <v>45</v>
      </c>
      <c r="AL72" s="22"/>
    </row>
    <row r="73" spans="1:38" s="133" customFormat="1" ht="25.5" x14ac:dyDescent="0.2">
      <c r="A73" s="13" t="s">
        <v>58</v>
      </c>
      <c r="B73" s="13" t="s">
        <v>1053</v>
      </c>
      <c r="C73" s="13"/>
      <c r="D73" s="13" t="s">
        <v>37</v>
      </c>
      <c r="E73" s="13" t="s">
        <v>1156</v>
      </c>
      <c r="F73" s="70"/>
      <c r="G73" s="13"/>
      <c r="H73" s="13"/>
      <c r="I73" s="13" t="s">
        <v>247</v>
      </c>
      <c r="J73" s="13" t="s">
        <v>1287</v>
      </c>
      <c r="K73" s="13" t="s">
        <v>42</v>
      </c>
      <c r="L73" s="14">
        <v>2022</v>
      </c>
      <c r="M73" s="14"/>
      <c r="N73" s="15">
        <v>100</v>
      </c>
      <c r="O73" s="16"/>
      <c r="P73" s="17">
        <v>10</v>
      </c>
      <c r="Q73" s="18">
        <v>2000</v>
      </c>
      <c r="R73" s="18">
        <f t="shared" si="8"/>
        <v>200</v>
      </c>
      <c r="S73" s="19">
        <f t="shared" si="9"/>
        <v>2000</v>
      </c>
      <c r="T73" s="14"/>
      <c r="U73" s="14"/>
      <c r="V73" s="14"/>
      <c r="W73" s="14"/>
      <c r="X73" s="14"/>
      <c r="Y73" s="14"/>
      <c r="Z73" s="13" t="s">
        <v>42</v>
      </c>
      <c r="AA73" s="13"/>
      <c r="AB73" s="20" t="s">
        <v>76</v>
      </c>
      <c r="AC73" s="70" t="s">
        <v>248</v>
      </c>
      <c r="AD73" s="14">
        <v>3</v>
      </c>
      <c r="AE73" s="14">
        <v>1</v>
      </c>
      <c r="AF73" s="14">
        <v>3</v>
      </c>
      <c r="AG73" s="14">
        <v>3</v>
      </c>
      <c r="AH73" s="14">
        <v>1</v>
      </c>
      <c r="AI73" s="14">
        <v>2</v>
      </c>
      <c r="AJ73" s="14">
        <v>54</v>
      </c>
      <c r="AK73" s="13" t="s">
        <v>45</v>
      </c>
      <c r="AL73" s="13"/>
    </row>
    <row r="74" spans="1:38" s="133" customFormat="1" ht="25.5" x14ac:dyDescent="0.2">
      <c r="A74" s="13" t="s">
        <v>58</v>
      </c>
      <c r="B74" s="13" t="s">
        <v>1285</v>
      </c>
      <c r="C74" s="13"/>
      <c r="D74" s="13" t="s">
        <v>37</v>
      </c>
      <c r="E74" s="13" t="s">
        <v>1156</v>
      </c>
      <c r="F74" s="70"/>
      <c r="G74" s="13"/>
      <c r="H74" s="13"/>
      <c r="I74" s="13" t="s">
        <v>1288</v>
      </c>
      <c r="J74" s="13" t="s">
        <v>1286</v>
      </c>
      <c r="K74" s="13" t="s">
        <v>63</v>
      </c>
      <c r="L74" s="14">
        <v>2025</v>
      </c>
      <c r="M74" s="14"/>
      <c r="N74" s="15">
        <v>200</v>
      </c>
      <c r="O74" s="16"/>
      <c r="P74" s="17">
        <v>20</v>
      </c>
      <c r="Q74" s="18">
        <v>2500</v>
      </c>
      <c r="R74" s="18">
        <v>240</v>
      </c>
      <c r="S74" s="19"/>
      <c r="T74" s="14"/>
      <c r="U74" s="14"/>
      <c r="V74" s="14"/>
      <c r="W74" s="14"/>
      <c r="X74" s="14"/>
      <c r="Y74" s="14"/>
      <c r="Z74" s="13" t="s">
        <v>42</v>
      </c>
      <c r="AA74" s="13"/>
      <c r="AB74" s="20"/>
      <c r="AC74" s="70" t="s">
        <v>1404</v>
      </c>
      <c r="AD74" s="14">
        <v>3</v>
      </c>
      <c r="AE74" s="14">
        <v>2</v>
      </c>
      <c r="AF74" s="14">
        <v>2</v>
      </c>
      <c r="AG74" s="14">
        <v>3</v>
      </c>
      <c r="AH74" s="14">
        <v>1</v>
      </c>
      <c r="AI74" s="14">
        <v>2</v>
      </c>
      <c r="AJ74" s="14">
        <f>AI74*AH74*AG74*AF74*AE74*AD74</f>
        <v>72</v>
      </c>
      <c r="AK74" s="13" t="s">
        <v>45</v>
      </c>
      <c r="AL74" s="20">
        <v>44958</v>
      </c>
    </row>
    <row r="75" spans="1:38" ht="76.5" x14ac:dyDescent="0.2">
      <c r="A75" s="30" t="s">
        <v>58</v>
      </c>
      <c r="B75" s="30" t="s">
        <v>333</v>
      </c>
      <c r="C75" s="30"/>
      <c r="D75" s="30" t="s">
        <v>37</v>
      </c>
      <c r="E75" s="30" t="s">
        <v>334</v>
      </c>
      <c r="F75" s="30"/>
      <c r="G75" s="72" t="s">
        <v>950</v>
      </c>
      <c r="H75" s="30"/>
      <c r="I75" s="30" t="s">
        <v>335</v>
      </c>
      <c r="J75" s="30" t="s">
        <v>336</v>
      </c>
      <c r="K75" s="30" t="s">
        <v>201</v>
      </c>
      <c r="L75" s="31">
        <v>2019</v>
      </c>
      <c r="M75" s="31"/>
      <c r="N75" s="32">
        <f>2000/7500000000*8500000</f>
        <v>2.2666666666666666</v>
      </c>
      <c r="O75" s="33"/>
      <c r="P75" s="34">
        <f t="shared" ref="P75:P80" si="10">N75*O75</f>
        <v>0</v>
      </c>
      <c r="Q75" s="35"/>
      <c r="R75" s="35">
        <f t="shared" si="8"/>
        <v>4</v>
      </c>
      <c r="S75" s="36">
        <f t="shared" si="9"/>
        <v>0</v>
      </c>
      <c r="T75" s="31"/>
      <c r="U75" s="31"/>
      <c r="V75" s="31"/>
      <c r="W75" s="31"/>
      <c r="X75" s="31"/>
      <c r="Y75" s="31"/>
      <c r="Z75" s="30" t="s">
        <v>42</v>
      </c>
      <c r="AA75" s="30"/>
      <c r="AB75" s="30" t="s">
        <v>95</v>
      </c>
      <c r="AC75" s="72" t="s">
        <v>337</v>
      </c>
      <c r="AD75" s="31">
        <v>2</v>
      </c>
      <c r="AE75" s="31">
        <v>1</v>
      </c>
      <c r="AF75" s="31">
        <v>2</v>
      </c>
      <c r="AG75" s="31">
        <v>3</v>
      </c>
      <c r="AH75" s="31">
        <v>1</v>
      </c>
      <c r="AI75" s="31">
        <v>1</v>
      </c>
      <c r="AJ75" s="31">
        <v>12</v>
      </c>
      <c r="AK75" s="30" t="s">
        <v>48</v>
      </c>
      <c r="AL75" s="30"/>
    </row>
    <row r="76" spans="1:38" ht="15" x14ac:dyDescent="0.2">
      <c r="A76" s="30" t="s">
        <v>58</v>
      </c>
      <c r="B76" s="30" t="s">
        <v>515</v>
      </c>
      <c r="C76" s="30"/>
      <c r="D76" s="30" t="s">
        <v>60</v>
      </c>
      <c r="E76" s="30" t="s">
        <v>334</v>
      </c>
      <c r="F76" s="30"/>
      <c r="G76" s="72"/>
      <c r="H76" s="30"/>
      <c r="I76" s="224" t="s">
        <v>1337</v>
      </c>
      <c r="J76" s="30" t="s">
        <v>1338</v>
      </c>
      <c r="K76" s="30" t="s">
        <v>834</v>
      </c>
      <c r="L76" s="31">
        <v>2024</v>
      </c>
      <c r="M76" s="31"/>
      <c r="N76" s="32"/>
      <c r="O76" s="33"/>
      <c r="P76" s="34">
        <v>5</v>
      </c>
      <c r="Q76" s="35">
        <v>4000</v>
      </c>
      <c r="R76" s="35">
        <v>240</v>
      </c>
      <c r="S76" s="36"/>
      <c r="T76" s="31"/>
      <c r="U76" s="31"/>
      <c r="V76" s="31"/>
      <c r="W76" s="31"/>
      <c r="X76" s="31"/>
      <c r="Y76" s="31"/>
      <c r="Z76" s="30" t="s">
        <v>42</v>
      </c>
      <c r="AA76" s="30"/>
      <c r="AB76" s="30"/>
      <c r="AC76" s="72"/>
      <c r="AD76" s="31">
        <v>2</v>
      </c>
      <c r="AE76" s="31">
        <v>1</v>
      </c>
      <c r="AF76" s="31">
        <v>2</v>
      </c>
      <c r="AG76" s="31">
        <v>3</v>
      </c>
      <c r="AH76" s="31">
        <v>2</v>
      </c>
      <c r="AI76" s="31">
        <v>2</v>
      </c>
      <c r="AJ76" s="31">
        <f>AI76*AH76*AG76*AF76*AE76*AD76</f>
        <v>48</v>
      </c>
      <c r="AK76" s="30" t="s">
        <v>45</v>
      </c>
      <c r="AL76" s="37">
        <v>45047</v>
      </c>
    </row>
    <row r="77" spans="1:38" ht="38.25" x14ac:dyDescent="0.2">
      <c r="A77" s="22" t="s">
        <v>58</v>
      </c>
      <c r="B77" s="22" t="s">
        <v>207</v>
      </c>
      <c r="C77" s="22"/>
      <c r="D77" s="22" t="s">
        <v>37</v>
      </c>
      <c r="E77" s="22" t="s">
        <v>208</v>
      </c>
      <c r="F77" s="22"/>
      <c r="G77" s="22"/>
      <c r="H77" s="65" t="s">
        <v>936</v>
      </c>
      <c r="I77" s="22" t="s">
        <v>209</v>
      </c>
      <c r="J77" s="22"/>
      <c r="K77" s="22" t="s">
        <v>128</v>
      </c>
      <c r="L77" s="24">
        <v>2021</v>
      </c>
      <c r="M77" s="24"/>
      <c r="N77" s="51">
        <f>8500000/100000*1.5</f>
        <v>127.5</v>
      </c>
      <c r="O77" s="39"/>
      <c r="P77" s="27">
        <f t="shared" si="10"/>
        <v>0</v>
      </c>
      <c r="Q77" s="28"/>
      <c r="R77" s="28">
        <f t="shared" si="8"/>
        <v>4</v>
      </c>
      <c r="S77" s="29">
        <f t="shared" si="9"/>
        <v>0</v>
      </c>
      <c r="T77" s="24"/>
      <c r="U77" s="24"/>
      <c r="V77" s="24"/>
      <c r="W77" s="24"/>
      <c r="X77" s="24"/>
      <c r="Y77" s="24"/>
      <c r="Z77" s="22" t="s">
        <v>64</v>
      </c>
      <c r="AA77" s="22"/>
      <c r="AB77" s="22" t="s">
        <v>56</v>
      </c>
      <c r="AC77" s="71" t="s">
        <v>210</v>
      </c>
      <c r="AD77" s="24">
        <v>1</v>
      </c>
      <c r="AE77" s="24">
        <v>1</v>
      </c>
      <c r="AF77" s="24">
        <v>1</v>
      </c>
      <c r="AG77" s="24">
        <v>3</v>
      </c>
      <c r="AH77" s="24">
        <v>1</v>
      </c>
      <c r="AI77" s="24">
        <v>1</v>
      </c>
      <c r="AJ77" s="24">
        <v>3</v>
      </c>
      <c r="AK77" s="22" t="s">
        <v>45</v>
      </c>
      <c r="AL77" s="22"/>
    </row>
    <row r="78" spans="1:38" x14ac:dyDescent="0.2">
      <c r="A78" s="30" t="s">
        <v>58</v>
      </c>
      <c r="B78" s="30" t="s">
        <v>575</v>
      </c>
      <c r="C78" s="30"/>
      <c r="D78" s="30" t="s">
        <v>37</v>
      </c>
      <c r="E78" s="30" t="s">
        <v>576</v>
      </c>
      <c r="F78" s="72"/>
      <c r="G78" s="30" t="s">
        <v>977</v>
      </c>
      <c r="H78" s="30"/>
      <c r="I78" s="30" t="s">
        <v>577</v>
      </c>
      <c r="J78" s="30" t="s">
        <v>1165</v>
      </c>
      <c r="K78" s="30" t="s">
        <v>42</v>
      </c>
      <c r="L78" s="31">
        <v>2021</v>
      </c>
      <c r="M78" s="31"/>
      <c r="N78" s="32">
        <f>5.5*80</f>
        <v>440</v>
      </c>
      <c r="O78" s="33"/>
      <c r="P78" s="34">
        <f t="shared" si="10"/>
        <v>0</v>
      </c>
      <c r="Q78" s="35"/>
      <c r="R78" s="35">
        <f t="shared" si="8"/>
        <v>4</v>
      </c>
      <c r="S78" s="36">
        <f t="shared" si="9"/>
        <v>0</v>
      </c>
      <c r="T78" s="31"/>
      <c r="U78" s="31"/>
      <c r="V78" s="31"/>
      <c r="W78" s="31"/>
      <c r="X78" s="31"/>
      <c r="Y78" s="31"/>
      <c r="Z78" s="30" t="s">
        <v>42</v>
      </c>
      <c r="AA78" s="30"/>
      <c r="AB78" s="37" t="s">
        <v>56</v>
      </c>
      <c r="AC78" s="72" t="s">
        <v>1339</v>
      </c>
      <c r="AD78" s="31">
        <v>1</v>
      </c>
      <c r="AE78" s="31">
        <v>1</v>
      </c>
      <c r="AF78" s="31">
        <v>2</v>
      </c>
      <c r="AG78" s="31">
        <v>3</v>
      </c>
      <c r="AH78" s="31">
        <v>1</v>
      </c>
      <c r="AI78" s="31">
        <v>1</v>
      </c>
      <c r="AJ78" s="31">
        <v>6</v>
      </c>
      <c r="AK78" s="30" t="s">
        <v>48</v>
      </c>
      <c r="AL78" s="30"/>
    </row>
    <row r="79" spans="1:38" s="133" customFormat="1" ht="63.75" x14ac:dyDescent="0.2">
      <c r="A79" s="30" t="s">
        <v>58</v>
      </c>
      <c r="B79" s="30" t="s">
        <v>553</v>
      </c>
      <c r="C79" s="30"/>
      <c r="D79" s="30" t="s">
        <v>37</v>
      </c>
      <c r="E79" s="30" t="s">
        <v>973</v>
      </c>
      <c r="F79" s="72"/>
      <c r="G79" s="72" t="s">
        <v>974</v>
      </c>
      <c r="H79" s="30"/>
      <c r="I79" s="30" t="s">
        <v>554</v>
      </c>
      <c r="J79" s="30" t="s">
        <v>555</v>
      </c>
      <c r="K79" s="30" t="s">
        <v>556</v>
      </c>
      <c r="L79" s="31">
        <v>2019</v>
      </c>
      <c r="M79" s="31"/>
      <c r="N79" s="32">
        <f>8500000/100000</f>
        <v>85</v>
      </c>
      <c r="O79" s="33"/>
      <c r="P79" s="34">
        <f t="shared" si="10"/>
        <v>0</v>
      </c>
      <c r="Q79" s="35">
        <v>4000</v>
      </c>
      <c r="R79" s="35">
        <f t="shared" si="8"/>
        <v>240</v>
      </c>
      <c r="S79" s="36">
        <f t="shared" si="9"/>
        <v>0</v>
      </c>
      <c r="T79" s="31"/>
      <c r="U79" s="31"/>
      <c r="V79" s="31"/>
      <c r="W79" s="31"/>
      <c r="X79" s="31"/>
      <c r="Y79" s="31"/>
      <c r="Z79" s="30" t="s">
        <v>201</v>
      </c>
      <c r="AA79" s="30"/>
      <c r="AB79" s="37" t="s">
        <v>56</v>
      </c>
      <c r="AC79" s="72" t="s">
        <v>557</v>
      </c>
      <c r="AD79" s="31">
        <v>1</v>
      </c>
      <c r="AE79" s="31">
        <v>2</v>
      </c>
      <c r="AF79" s="31">
        <v>1</v>
      </c>
      <c r="AG79" s="31">
        <v>3</v>
      </c>
      <c r="AH79" s="31">
        <v>1</v>
      </c>
      <c r="AI79" s="31">
        <v>1</v>
      </c>
      <c r="AJ79" s="31">
        <v>6</v>
      </c>
      <c r="AK79" s="30" t="s">
        <v>48</v>
      </c>
      <c r="AL79" s="30"/>
    </row>
    <row r="80" spans="1:38" ht="38.25" x14ac:dyDescent="0.2">
      <c r="A80" s="22" t="s">
        <v>58</v>
      </c>
      <c r="B80" s="22" t="s">
        <v>692</v>
      </c>
      <c r="C80" s="22"/>
      <c r="D80" s="22" t="s">
        <v>37</v>
      </c>
      <c r="E80" s="22" t="s">
        <v>693</v>
      </c>
      <c r="F80" s="22"/>
      <c r="G80" s="22"/>
      <c r="H80" s="65" t="s">
        <v>990</v>
      </c>
      <c r="I80" s="22" t="s">
        <v>694</v>
      </c>
      <c r="J80" s="22"/>
      <c r="K80" s="22" t="s">
        <v>42</v>
      </c>
      <c r="L80" s="24">
        <v>2023</v>
      </c>
      <c r="M80" s="24"/>
      <c r="N80" s="52">
        <f>8500000/100000*7.5+0.17*8500000*0.8</f>
        <v>1156637.5</v>
      </c>
      <c r="O80" s="39"/>
      <c r="P80" s="27">
        <f t="shared" si="10"/>
        <v>0</v>
      </c>
      <c r="Q80" s="28"/>
      <c r="R80" s="28">
        <f t="shared" si="8"/>
        <v>4</v>
      </c>
      <c r="S80" s="29">
        <f t="shared" si="9"/>
        <v>0</v>
      </c>
      <c r="T80" s="24"/>
      <c r="U80" s="24"/>
      <c r="V80" s="24"/>
      <c r="W80" s="24"/>
      <c r="X80" s="24"/>
      <c r="Y80" s="24"/>
      <c r="Z80" s="22" t="s">
        <v>42</v>
      </c>
      <c r="AA80" s="22"/>
      <c r="AB80" s="22" t="s">
        <v>56</v>
      </c>
      <c r="AC80" s="71" t="s">
        <v>695</v>
      </c>
      <c r="AD80" s="24">
        <v>1</v>
      </c>
      <c r="AE80" s="24">
        <v>3</v>
      </c>
      <c r="AF80" s="24">
        <v>1</v>
      </c>
      <c r="AG80" s="24">
        <v>3</v>
      </c>
      <c r="AH80" s="24">
        <v>1</v>
      </c>
      <c r="AI80" s="24">
        <v>2</v>
      </c>
      <c r="AJ80" s="24">
        <v>18</v>
      </c>
      <c r="AK80" s="22" t="s">
        <v>45</v>
      </c>
      <c r="AL80" s="22"/>
    </row>
    <row r="81" spans="1:16379" ht="38.25" x14ac:dyDescent="0.2">
      <c r="A81" s="22" t="s">
        <v>35</v>
      </c>
      <c r="B81" s="22" t="s">
        <v>598</v>
      </c>
      <c r="C81" s="22"/>
      <c r="D81" s="22" t="s">
        <v>37</v>
      </c>
      <c r="E81" s="22" t="s">
        <v>599</v>
      </c>
      <c r="F81" s="71" t="s">
        <v>917</v>
      </c>
      <c r="G81" s="22"/>
      <c r="H81" s="22"/>
      <c r="I81" s="22" t="s">
        <v>600</v>
      </c>
      <c r="J81" s="22" t="s">
        <v>601</v>
      </c>
      <c r="K81" s="22" t="s">
        <v>63</v>
      </c>
      <c r="L81" s="24">
        <v>2021</v>
      </c>
      <c r="M81" s="24"/>
      <c r="N81" s="51">
        <f>8500000/100000*1.8</f>
        <v>153</v>
      </c>
      <c r="O81" s="39"/>
      <c r="P81" s="27">
        <f>N81*O81</f>
        <v>0</v>
      </c>
      <c r="Q81" s="28"/>
      <c r="R81" s="28">
        <f>IF(Q81&lt;4.99,(Q81*12%+4),IF(Q81&lt;10.99,(Q81*12%+8),IF(Q81&lt;14.99,(Q81*12%+12),IF(Q81&lt;879.99,(Q81*12%+16),IF(Q81&lt;2569.99,(Q81*7%+60),240)))))</f>
        <v>4</v>
      </c>
      <c r="S81" s="29">
        <f>R81*P81</f>
        <v>0</v>
      </c>
      <c r="T81" s="24"/>
      <c r="U81" s="24"/>
      <c r="V81" s="24"/>
      <c r="W81" s="24"/>
      <c r="X81" s="24"/>
      <c r="Y81" s="24"/>
      <c r="Z81" s="22" t="s">
        <v>42</v>
      </c>
      <c r="AA81" s="22" t="s">
        <v>43</v>
      </c>
      <c r="AB81" s="40" t="s">
        <v>95</v>
      </c>
      <c r="AC81" s="71" t="s">
        <v>602</v>
      </c>
      <c r="AD81" s="24">
        <v>2</v>
      </c>
      <c r="AE81" s="24">
        <v>2</v>
      </c>
      <c r="AF81" s="24">
        <v>2</v>
      </c>
      <c r="AG81" s="24">
        <v>3</v>
      </c>
      <c r="AH81" s="24">
        <v>1</v>
      </c>
      <c r="AI81" s="24">
        <v>2</v>
      </c>
      <c r="AJ81" s="24">
        <v>48</v>
      </c>
      <c r="AK81" s="22" t="s">
        <v>45</v>
      </c>
      <c r="AL81" s="22"/>
    </row>
    <row r="82" spans="1:16379" ht="38.25" x14ac:dyDescent="0.2">
      <c r="A82" s="22" t="s">
        <v>35</v>
      </c>
      <c r="B82" s="22" t="s">
        <v>91</v>
      </c>
      <c r="C82" s="22"/>
      <c r="D82" s="22" t="s">
        <v>37</v>
      </c>
      <c r="E82" s="22" t="s">
        <v>599</v>
      </c>
      <c r="F82" s="71" t="s">
        <v>917</v>
      </c>
      <c r="G82" s="22"/>
      <c r="H82" s="22"/>
      <c r="I82" s="22" t="s">
        <v>618</v>
      </c>
      <c r="J82" s="22" t="s">
        <v>1438</v>
      </c>
      <c r="K82" s="22" t="s">
        <v>42</v>
      </c>
      <c r="L82" s="24">
        <v>2024</v>
      </c>
      <c r="M82" s="24"/>
      <c r="N82" s="38">
        <f>80*2.5</f>
        <v>200</v>
      </c>
      <c r="O82" s="39"/>
      <c r="P82" s="27">
        <f>N82*O82</f>
        <v>0</v>
      </c>
      <c r="Q82" s="28"/>
      <c r="R82" s="28">
        <f>IF(Q82&lt;4.99,(Q82*12%+4),IF(Q82&lt;10.99,(Q82*12%+8),IF(Q82&lt;14.99,(Q82*12%+12),IF(Q82&lt;879.99,(Q82*12%+16),IF(Q82&lt;2569.99,(Q82*7%+60),240)))))</f>
        <v>4</v>
      </c>
      <c r="S82" s="29">
        <f>R82*P82</f>
        <v>0</v>
      </c>
      <c r="T82" s="24"/>
      <c r="U82" s="24"/>
      <c r="V82" s="24"/>
      <c r="W82" s="24"/>
      <c r="X82" s="24"/>
      <c r="Y82" s="24"/>
      <c r="Z82" s="22" t="s">
        <v>42</v>
      </c>
      <c r="AA82" s="22" t="s">
        <v>43</v>
      </c>
      <c r="AB82" s="40" t="s">
        <v>95</v>
      </c>
      <c r="AC82" s="71" t="s">
        <v>1366</v>
      </c>
      <c r="AD82" s="24">
        <v>2</v>
      </c>
      <c r="AE82" s="24">
        <v>2</v>
      </c>
      <c r="AF82" s="24">
        <v>2</v>
      </c>
      <c r="AG82" s="24">
        <v>3</v>
      </c>
      <c r="AH82" s="24">
        <v>1</v>
      </c>
      <c r="AI82" s="24">
        <v>1</v>
      </c>
      <c r="AJ82" s="24">
        <v>24</v>
      </c>
      <c r="AK82" s="22" t="s">
        <v>45</v>
      </c>
      <c r="AL82" s="22"/>
    </row>
    <row r="83" spans="1:16379" x14ac:dyDescent="0.2">
      <c r="A83" s="22" t="s">
        <v>35</v>
      </c>
      <c r="B83" s="22" t="s">
        <v>1042</v>
      </c>
      <c r="C83" s="22"/>
      <c r="D83" s="22" t="s">
        <v>37</v>
      </c>
      <c r="E83" s="22" t="s">
        <v>1041</v>
      </c>
      <c r="F83" s="172"/>
      <c r="G83" s="22"/>
      <c r="H83" s="22"/>
      <c r="I83" s="22" t="s">
        <v>1043</v>
      </c>
      <c r="J83" s="22" t="s">
        <v>1044</v>
      </c>
      <c r="K83" s="22" t="s">
        <v>63</v>
      </c>
      <c r="L83" s="24">
        <v>2022</v>
      </c>
      <c r="M83" s="24"/>
      <c r="N83" s="38">
        <v>40</v>
      </c>
      <c r="O83" s="39"/>
      <c r="P83" s="27">
        <v>20</v>
      </c>
      <c r="Q83" s="28">
        <v>20000</v>
      </c>
      <c r="R83" s="28">
        <v>240</v>
      </c>
      <c r="S83" s="29"/>
      <c r="T83" s="24"/>
      <c r="U83" s="24"/>
      <c r="V83" s="24"/>
      <c r="W83" s="24"/>
      <c r="X83" s="24"/>
      <c r="Y83" s="24"/>
      <c r="Z83" s="22"/>
      <c r="AA83" s="22"/>
      <c r="AB83" s="40"/>
      <c r="AC83" s="71"/>
      <c r="AD83" s="24"/>
      <c r="AE83" s="24"/>
      <c r="AF83" s="24"/>
      <c r="AG83" s="24"/>
      <c r="AH83" s="24"/>
      <c r="AI83" s="24"/>
      <c r="AJ83" s="24"/>
      <c r="AK83" s="22"/>
      <c r="AL83" s="22"/>
    </row>
    <row r="84" spans="1:16379" ht="38.25" x14ac:dyDescent="0.2">
      <c r="A84" s="13" t="s">
        <v>86</v>
      </c>
      <c r="B84" s="13" t="s">
        <v>105</v>
      </c>
      <c r="C84" s="13"/>
      <c r="D84" s="13" t="s">
        <v>98</v>
      </c>
      <c r="E84" s="13" t="s">
        <v>1415</v>
      </c>
      <c r="F84" s="13"/>
      <c r="G84" s="13"/>
      <c r="H84" s="70" t="s">
        <v>926</v>
      </c>
      <c r="I84" s="13" t="s">
        <v>107</v>
      </c>
      <c r="J84" s="13" t="s">
        <v>1416</v>
      </c>
      <c r="K84" s="13" t="s">
        <v>42</v>
      </c>
      <c r="L84" s="14">
        <v>2024</v>
      </c>
      <c r="M84" s="14"/>
      <c r="N84" s="15">
        <f>8000000*0.04</f>
        <v>320000</v>
      </c>
      <c r="O84" s="16"/>
      <c r="P84" s="17">
        <f>N84*O84</f>
        <v>0</v>
      </c>
      <c r="Q84" s="18"/>
      <c r="R84" s="18">
        <f>IF(Q84&lt;4.99,(Q84*12%+4),IF(Q84&lt;10.99,(Q84*12%+8),IF(Q84&lt;14.99,(Q84*12%+12),IF(Q84&lt;879.99,(Q84*12%+16),IF(Q84&lt;2569.99,(Q84*7%+60),240)))))</f>
        <v>4</v>
      </c>
      <c r="S84" s="19">
        <f>R84*P84</f>
        <v>0</v>
      </c>
      <c r="T84" s="14"/>
      <c r="U84" s="14"/>
      <c r="V84" s="14"/>
      <c r="W84" s="14"/>
      <c r="X84" s="14"/>
      <c r="Y84" s="14"/>
      <c r="Z84" s="13" t="s">
        <v>64</v>
      </c>
      <c r="AA84" s="13"/>
      <c r="AB84" s="13"/>
      <c r="AC84" s="70" t="s">
        <v>108</v>
      </c>
      <c r="AD84" s="14">
        <v>1</v>
      </c>
      <c r="AE84" s="14">
        <v>3</v>
      </c>
      <c r="AF84" s="14">
        <v>1</v>
      </c>
      <c r="AG84" s="14">
        <v>1</v>
      </c>
      <c r="AH84" s="14">
        <v>2</v>
      </c>
      <c r="AI84" s="14">
        <v>2</v>
      </c>
      <c r="AJ84" s="14">
        <v>12</v>
      </c>
      <c r="AK84" s="13" t="s">
        <v>48</v>
      </c>
      <c r="AL84" s="13"/>
    </row>
    <row r="85" spans="1:16379" ht="38.25" x14ac:dyDescent="0.2">
      <c r="A85" s="42" t="s">
        <v>58</v>
      </c>
      <c r="B85" s="42" t="s">
        <v>568</v>
      </c>
      <c r="C85" s="42"/>
      <c r="D85" s="42" t="s">
        <v>569</v>
      </c>
      <c r="E85" s="42" t="s">
        <v>570</v>
      </c>
      <c r="F85" s="73"/>
      <c r="G85" s="73" t="s">
        <v>976</v>
      </c>
      <c r="H85" s="42"/>
      <c r="I85" s="42" t="s">
        <v>571</v>
      </c>
      <c r="J85" s="42" t="s">
        <v>572</v>
      </c>
      <c r="K85" s="42" t="s">
        <v>573</v>
      </c>
      <c r="L85" s="43">
        <v>2019</v>
      </c>
      <c r="M85" s="43"/>
      <c r="N85" s="44">
        <f>8500000/10000*5</f>
        <v>4250</v>
      </c>
      <c r="O85" s="45"/>
      <c r="P85" s="46">
        <f>N85*O85</f>
        <v>0</v>
      </c>
      <c r="Q85" s="47"/>
      <c r="R85" s="47">
        <f>IF(Q85&lt;4.99,(Q85*12%+4),IF(Q85&lt;10.99,(Q85*12%+8),IF(Q85&lt;14.99,(Q85*12%+12),IF(Q85&lt;879.99,(Q85*12%+16),IF(Q85&lt;2569.99,(Q85*7%+60),240)))))</f>
        <v>4</v>
      </c>
      <c r="S85" s="48">
        <f>R85*P85</f>
        <v>0</v>
      </c>
      <c r="T85" s="43"/>
      <c r="U85" s="43"/>
      <c r="V85" s="43"/>
      <c r="W85" s="43"/>
      <c r="X85" s="43"/>
      <c r="Y85" s="43"/>
      <c r="Z85" s="42" t="s">
        <v>42</v>
      </c>
      <c r="AA85" s="42"/>
      <c r="AB85" s="60" t="s">
        <v>76</v>
      </c>
      <c r="AC85" s="73" t="s">
        <v>1250</v>
      </c>
      <c r="AD85" s="43">
        <v>2</v>
      </c>
      <c r="AE85" s="43">
        <v>2</v>
      </c>
      <c r="AF85" s="43">
        <v>1</v>
      </c>
      <c r="AG85" s="43">
        <v>3</v>
      </c>
      <c r="AH85" s="43">
        <v>1</v>
      </c>
      <c r="AI85" s="43">
        <v>2</v>
      </c>
      <c r="AJ85" s="43">
        <v>24</v>
      </c>
      <c r="AK85" s="42" t="s">
        <v>48</v>
      </c>
      <c r="AL85" s="42"/>
    </row>
    <row r="86" spans="1:16379" s="133" customFormat="1" x14ac:dyDescent="0.2">
      <c r="A86" s="30" t="s">
        <v>58</v>
      </c>
      <c r="B86" s="30" t="s">
        <v>1322</v>
      </c>
      <c r="C86" s="30"/>
      <c r="D86" s="30" t="s">
        <v>37</v>
      </c>
      <c r="E86" s="30" t="s">
        <v>1323</v>
      </c>
      <c r="F86" s="72"/>
      <c r="G86" s="96"/>
      <c r="H86" s="30"/>
      <c r="I86" s="30" t="s">
        <v>1324</v>
      </c>
      <c r="J86" s="30" t="s">
        <v>1324</v>
      </c>
      <c r="K86" s="30" t="s">
        <v>42</v>
      </c>
      <c r="L86" s="31">
        <v>2024</v>
      </c>
      <c r="M86" s="31"/>
      <c r="N86" s="32">
        <v>9</v>
      </c>
      <c r="O86" s="33"/>
      <c r="P86" s="34"/>
      <c r="Q86" s="35">
        <v>25000</v>
      </c>
      <c r="R86" s="35">
        <v>240</v>
      </c>
      <c r="S86" s="36"/>
      <c r="T86" s="31"/>
      <c r="U86" s="31"/>
      <c r="V86" s="31"/>
      <c r="W86" s="31"/>
      <c r="X86" s="31"/>
      <c r="Y86" s="31"/>
      <c r="Z86" s="30" t="s">
        <v>42</v>
      </c>
      <c r="AA86" s="30"/>
      <c r="AB86" s="37"/>
      <c r="AC86" s="72" t="s">
        <v>1325</v>
      </c>
      <c r="AD86" s="31">
        <v>2</v>
      </c>
      <c r="AE86" s="31">
        <v>1</v>
      </c>
      <c r="AF86" s="31">
        <v>2</v>
      </c>
      <c r="AG86" s="31">
        <v>3</v>
      </c>
      <c r="AH86" s="31">
        <v>3</v>
      </c>
      <c r="AI86" s="31">
        <v>1</v>
      </c>
      <c r="AJ86" s="31">
        <f>AI86*AH86*AG86*AF86*AE86*AD86</f>
        <v>36</v>
      </c>
      <c r="AK86" s="30" t="s">
        <v>45</v>
      </c>
      <c r="AL86" s="37">
        <v>45017</v>
      </c>
    </row>
    <row r="87" spans="1:16379" s="116" customFormat="1" ht="38.25" x14ac:dyDescent="0.2">
      <c r="A87" s="22" t="s">
        <v>58</v>
      </c>
      <c r="B87" s="22" t="s">
        <v>820</v>
      </c>
      <c r="C87" s="22"/>
      <c r="D87" s="65" t="s">
        <v>37</v>
      </c>
      <c r="E87" s="65" t="s">
        <v>915</v>
      </c>
      <c r="F87" s="88"/>
      <c r="G87" s="77"/>
      <c r="H87" s="65" t="s">
        <v>916</v>
      </c>
      <c r="I87" s="68" t="s">
        <v>1045</v>
      </c>
      <c r="J87" s="22" t="s">
        <v>821</v>
      </c>
      <c r="K87" s="22" t="s">
        <v>1177</v>
      </c>
      <c r="L87" s="24">
        <v>2023</v>
      </c>
      <c r="M87" s="24"/>
      <c r="N87" s="38">
        <v>1</v>
      </c>
      <c r="O87" s="39"/>
      <c r="P87" s="27">
        <v>1</v>
      </c>
      <c r="Q87" s="28">
        <v>25000</v>
      </c>
      <c r="R87" s="28">
        <v>240</v>
      </c>
      <c r="S87" s="29"/>
      <c r="T87" s="24"/>
      <c r="U87" s="24"/>
      <c r="V87" s="24"/>
      <c r="W87" s="24"/>
      <c r="X87" s="24"/>
      <c r="Y87" s="24"/>
      <c r="Z87" s="22" t="s">
        <v>42</v>
      </c>
      <c r="AA87" s="22"/>
      <c r="AB87" s="41"/>
      <c r="AC87" s="185" t="s">
        <v>1178</v>
      </c>
      <c r="AD87" s="24">
        <v>1</v>
      </c>
      <c r="AE87" s="24">
        <v>1</v>
      </c>
      <c r="AF87" s="24">
        <v>1</v>
      </c>
      <c r="AG87" s="24">
        <v>3</v>
      </c>
      <c r="AH87" s="24">
        <v>2</v>
      </c>
      <c r="AI87" s="24">
        <v>1</v>
      </c>
      <c r="AJ87" s="24">
        <v>6</v>
      </c>
      <c r="AK87" s="22"/>
      <c r="AL87" s="69">
        <v>44197</v>
      </c>
    </row>
    <row r="88" spans="1:16379" s="116" customFormat="1" x14ac:dyDescent="0.2">
      <c r="A88" s="22" t="s">
        <v>58</v>
      </c>
      <c r="B88" s="22" t="s">
        <v>1362</v>
      </c>
      <c r="C88" s="22"/>
      <c r="D88" s="65"/>
      <c r="E88" s="68" t="s">
        <v>276</v>
      </c>
      <c r="F88" s="88"/>
      <c r="G88" s="77"/>
      <c r="H88" s="65"/>
      <c r="I88" s="68" t="s">
        <v>1363</v>
      </c>
      <c r="J88" s="22"/>
      <c r="K88" s="22"/>
      <c r="L88" s="24">
        <v>2024</v>
      </c>
      <c r="M88" s="24"/>
      <c r="N88" s="38">
        <v>10</v>
      </c>
      <c r="O88" s="39"/>
      <c r="P88" s="27">
        <v>5</v>
      </c>
      <c r="Q88" s="28"/>
      <c r="R88" s="28"/>
      <c r="S88" s="29"/>
      <c r="T88" s="24"/>
      <c r="U88" s="24"/>
      <c r="V88" s="24"/>
      <c r="W88" s="24"/>
      <c r="X88" s="24"/>
      <c r="Y88" s="24"/>
      <c r="Z88" s="22"/>
      <c r="AA88" s="22"/>
      <c r="AB88" s="41"/>
      <c r="AC88" s="185" t="s">
        <v>1364</v>
      </c>
      <c r="AD88" s="24">
        <v>2</v>
      </c>
      <c r="AE88" s="24">
        <v>1</v>
      </c>
      <c r="AF88" s="24">
        <v>3</v>
      </c>
      <c r="AG88" s="24">
        <v>3</v>
      </c>
      <c r="AH88" s="24">
        <v>2</v>
      </c>
      <c r="AI88" s="24">
        <v>1</v>
      </c>
      <c r="AJ88" s="24">
        <f>AI88*AH88*AG88*AF88*AE88*AD88</f>
        <v>36</v>
      </c>
      <c r="AK88" s="22" t="s">
        <v>45</v>
      </c>
      <c r="AL88" s="69">
        <v>45078</v>
      </c>
    </row>
    <row r="89" spans="1:16379" s="133" customFormat="1" ht="38.25" x14ac:dyDescent="0.2">
      <c r="A89" s="30" t="s">
        <v>35</v>
      </c>
      <c r="B89" s="30" t="s">
        <v>255</v>
      </c>
      <c r="C89" s="30"/>
      <c r="D89" s="30" t="s">
        <v>37</v>
      </c>
      <c r="E89" s="30" t="s">
        <v>276</v>
      </c>
      <c r="F89" s="72" t="s">
        <v>933</v>
      </c>
      <c r="G89" s="106"/>
      <c r="H89" s="30"/>
      <c r="I89" s="30" t="s">
        <v>428</v>
      </c>
      <c r="J89" s="30" t="s">
        <v>1422</v>
      </c>
      <c r="K89" s="30" t="s">
        <v>1259</v>
      </c>
      <c r="L89" s="31">
        <v>2023</v>
      </c>
      <c r="M89" s="31"/>
      <c r="N89" s="32">
        <v>4400</v>
      </c>
      <c r="O89" s="33"/>
      <c r="P89" s="34">
        <f>N89*O89</f>
        <v>0</v>
      </c>
      <c r="Q89" s="35"/>
      <c r="R89" s="35">
        <f>IF(Q89&lt;4.99,(Q89*12%+4),IF(Q89&lt;10.99,(Q89*12%+8),IF(Q89&lt;14.99,(Q89*12%+12),IF(Q89&lt;879.99,(Q89*12%+16),IF(Q89&lt;2569.99,(Q89*7%+60),240)))))</f>
        <v>4</v>
      </c>
      <c r="S89" s="36">
        <f>R89*P89</f>
        <v>0</v>
      </c>
      <c r="T89" s="31"/>
      <c r="U89" s="31"/>
      <c r="V89" s="31"/>
      <c r="W89" s="31"/>
      <c r="X89" s="31"/>
      <c r="Y89" s="31"/>
      <c r="Z89" s="30" t="s">
        <v>42</v>
      </c>
      <c r="AA89" s="30" t="s">
        <v>182</v>
      </c>
      <c r="AB89" s="37" t="s">
        <v>227</v>
      </c>
      <c r="AC89" s="72" t="s">
        <v>1277</v>
      </c>
      <c r="AD89" s="31">
        <v>3</v>
      </c>
      <c r="AE89" s="31">
        <v>3</v>
      </c>
      <c r="AF89" s="31">
        <v>3</v>
      </c>
      <c r="AG89" s="31">
        <v>3</v>
      </c>
      <c r="AH89" s="31">
        <v>1</v>
      </c>
      <c r="AI89" s="31">
        <v>1</v>
      </c>
      <c r="AJ89" s="31">
        <v>81</v>
      </c>
      <c r="AK89" s="30" t="s">
        <v>45</v>
      </c>
      <c r="AL89" s="30"/>
    </row>
    <row r="90" spans="1:16379" s="133" customFormat="1" x14ac:dyDescent="0.2">
      <c r="A90" s="13" t="s">
        <v>86</v>
      </c>
      <c r="B90" s="13" t="s">
        <v>1238</v>
      </c>
      <c r="C90" s="13"/>
      <c r="D90" s="13" t="s">
        <v>98</v>
      </c>
      <c r="E90" s="13" t="s">
        <v>170</v>
      </c>
      <c r="F90" s="13" t="s">
        <v>933</v>
      </c>
      <c r="G90" s="13"/>
      <c r="H90" s="70"/>
      <c r="I90" s="13" t="s">
        <v>533</v>
      </c>
      <c r="J90" s="13" t="s">
        <v>1439</v>
      </c>
      <c r="K90" s="13" t="s">
        <v>42</v>
      </c>
      <c r="L90" s="14">
        <v>2023</v>
      </c>
      <c r="M90" s="14"/>
      <c r="N90" s="15">
        <f>0.02*8000000</f>
        <v>160000</v>
      </c>
      <c r="O90" s="16"/>
      <c r="P90" s="17">
        <v>40</v>
      </c>
      <c r="Q90" s="18">
        <v>800</v>
      </c>
      <c r="R90" s="18">
        <f>IF(Q90&lt;4.99,(Q90*12%+4),IF(Q90&lt;10.99,(Q90*12%+8),IF(Q90&lt;14.99,(Q90*12%+12),IF(Q90&lt;879.99,(Q90*12%+16),IF(Q90&lt;2569.99,(Q90*7%+60),240)))))</f>
        <v>112</v>
      </c>
      <c r="S90" s="19">
        <f>R90*P90</f>
        <v>4480</v>
      </c>
      <c r="T90" s="14"/>
      <c r="U90" s="14"/>
      <c r="V90" s="14"/>
      <c r="W90" s="14"/>
      <c r="X90" s="14"/>
      <c r="Y90" s="14"/>
      <c r="Z90" s="13" t="s">
        <v>42</v>
      </c>
      <c r="AA90" s="70"/>
      <c r="AB90" s="14"/>
      <c r="AC90" s="14" t="s">
        <v>1237</v>
      </c>
      <c r="AD90" s="14">
        <v>3</v>
      </c>
      <c r="AE90" s="14">
        <v>3</v>
      </c>
      <c r="AF90" s="14">
        <v>3</v>
      </c>
      <c r="AG90" s="14">
        <v>1</v>
      </c>
      <c r="AH90" s="14">
        <v>2</v>
      </c>
      <c r="AI90" s="13">
        <v>1</v>
      </c>
      <c r="AJ90" s="13">
        <v>54</v>
      </c>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c r="AMM90"/>
      <c r="AMN90"/>
      <c r="AMO90"/>
      <c r="AMP90"/>
      <c r="AMQ90"/>
      <c r="AMR90"/>
      <c r="AMS90"/>
      <c r="AMT90"/>
      <c r="AMU90"/>
      <c r="AMV90"/>
      <c r="AMW90"/>
      <c r="AMX90"/>
      <c r="AMY90"/>
      <c r="AMZ90"/>
      <c r="ANA90"/>
      <c r="ANB90"/>
      <c r="ANC90"/>
      <c r="AND90"/>
      <c r="ANE90"/>
      <c r="ANF90"/>
      <c r="ANG90"/>
      <c r="ANH90"/>
      <c r="ANI90"/>
      <c r="ANJ90"/>
      <c r="ANK90"/>
      <c r="ANL90"/>
      <c r="ANM90"/>
      <c r="ANN90"/>
      <c r="ANO90"/>
      <c r="ANP90"/>
      <c r="ANQ90"/>
      <c r="ANR90"/>
      <c r="ANS90"/>
      <c r="ANT90"/>
      <c r="ANU90"/>
      <c r="ANV90"/>
      <c r="ANW90"/>
      <c r="ANX90"/>
      <c r="ANY90"/>
      <c r="ANZ90"/>
      <c r="AOA90"/>
      <c r="AOB90"/>
      <c r="AOC90"/>
      <c r="AOD90"/>
      <c r="AOE90"/>
      <c r="AOF90"/>
      <c r="AOG90"/>
      <c r="AOH90"/>
      <c r="AOI90"/>
      <c r="AOJ90"/>
      <c r="AOK90"/>
      <c r="AOL90"/>
      <c r="AOM90"/>
      <c r="AON90"/>
      <c r="AOO90"/>
      <c r="AOP90"/>
      <c r="AOQ90"/>
      <c r="AOR90"/>
      <c r="AOS90"/>
      <c r="AOT90"/>
      <c r="AOU90"/>
      <c r="AOV90"/>
      <c r="AOW90"/>
      <c r="AOX90"/>
      <c r="AOY90"/>
      <c r="AOZ90"/>
      <c r="APA90"/>
      <c r="APB90"/>
      <c r="APC90"/>
      <c r="APD90"/>
      <c r="APE90"/>
      <c r="APF90"/>
      <c r="APG90"/>
      <c r="APH90"/>
      <c r="API90"/>
      <c r="APJ90"/>
      <c r="APK90"/>
      <c r="APL90"/>
      <c r="APM90"/>
      <c r="APN90"/>
      <c r="APO90"/>
      <c r="APP90"/>
      <c r="APQ90"/>
      <c r="APR90"/>
      <c r="APS90"/>
      <c r="APT90"/>
      <c r="APU90"/>
      <c r="APV90"/>
      <c r="APW90"/>
      <c r="APX90"/>
      <c r="APY90"/>
      <c r="APZ90"/>
      <c r="AQA90"/>
      <c r="AQB90"/>
      <c r="AQC90"/>
      <c r="AQD90"/>
      <c r="AQE90"/>
      <c r="AQF90"/>
      <c r="AQG90"/>
      <c r="AQH90"/>
      <c r="AQI90"/>
      <c r="AQJ90"/>
      <c r="AQK90"/>
      <c r="AQL90"/>
      <c r="AQM90"/>
      <c r="AQN90"/>
      <c r="AQO90"/>
      <c r="AQP90"/>
      <c r="AQQ90"/>
      <c r="AQR90"/>
      <c r="AQS90"/>
      <c r="AQT90"/>
      <c r="AQU90"/>
      <c r="AQV90"/>
      <c r="AQW90"/>
      <c r="AQX90"/>
      <c r="AQY90"/>
      <c r="AQZ90"/>
      <c r="ARA90"/>
      <c r="ARB90"/>
      <c r="ARC90"/>
      <c r="ARD90"/>
      <c r="ARE90"/>
      <c r="ARF90"/>
      <c r="ARG90"/>
      <c r="ARH90"/>
      <c r="ARI90"/>
      <c r="ARJ90"/>
      <c r="ARK90"/>
      <c r="ARL90"/>
      <c r="ARM90"/>
      <c r="ARN90"/>
      <c r="ARO90"/>
      <c r="ARP90"/>
      <c r="ARQ90"/>
      <c r="ARR90"/>
      <c r="ARS90"/>
      <c r="ART90"/>
      <c r="ARU90"/>
      <c r="ARV90"/>
      <c r="ARW90"/>
      <c r="ARX90"/>
      <c r="ARY90"/>
      <c r="ARZ90"/>
      <c r="ASA90"/>
      <c r="ASB90"/>
      <c r="ASC90"/>
      <c r="ASD90"/>
      <c r="ASE90"/>
      <c r="ASF90"/>
      <c r="ASG90"/>
      <c r="ASH90"/>
      <c r="ASI90"/>
      <c r="ASJ90"/>
      <c r="ASK90"/>
      <c r="ASL90"/>
      <c r="ASM90"/>
      <c r="ASN90"/>
      <c r="ASO90"/>
      <c r="ASP90"/>
      <c r="ASQ90"/>
      <c r="ASR90"/>
      <c r="ASS90"/>
      <c r="AST90"/>
      <c r="ASU90"/>
      <c r="ASV90"/>
      <c r="ASW90"/>
      <c r="ASX90"/>
      <c r="ASY90"/>
      <c r="ASZ90"/>
      <c r="ATA90"/>
      <c r="ATB90"/>
      <c r="ATC90"/>
      <c r="ATD90"/>
      <c r="ATE90"/>
      <c r="ATF90"/>
      <c r="ATG90"/>
      <c r="ATH90"/>
      <c r="ATI90"/>
      <c r="ATJ90"/>
      <c r="ATK90"/>
      <c r="ATL90"/>
      <c r="ATM90"/>
      <c r="ATN90"/>
      <c r="ATO90"/>
      <c r="ATP90"/>
      <c r="ATQ90"/>
      <c r="ATR90"/>
      <c r="ATS90"/>
      <c r="ATT90"/>
      <c r="ATU90"/>
      <c r="ATV90"/>
      <c r="ATW90"/>
      <c r="ATX90"/>
      <c r="ATY90"/>
      <c r="ATZ90"/>
      <c r="AUA90"/>
      <c r="AUB90"/>
      <c r="AUC90"/>
      <c r="AUD90"/>
      <c r="AUE90"/>
      <c r="AUF90"/>
      <c r="AUG90"/>
      <c r="AUH90"/>
      <c r="AUI90"/>
      <c r="AUJ90"/>
      <c r="AUK90"/>
      <c r="AUL90"/>
      <c r="AUM90"/>
      <c r="AUN90"/>
      <c r="AUO90"/>
      <c r="AUP90"/>
      <c r="AUQ90"/>
      <c r="AUR90"/>
      <c r="AUS90"/>
      <c r="AUT90"/>
      <c r="AUU90"/>
      <c r="AUV90"/>
      <c r="AUW90"/>
      <c r="AUX90"/>
      <c r="AUY90"/>
      <c r="AUZ90"/>
      <c r="AVA90"/>
      <c r="AVB90"/>
      <c r="AVC90"/>
      <c r="AVD90"/>
      <c r="AVE90"/>
      <c r="AVF90"/>
      <c r="AVG90"/>
      <c r="AVH90"/>
      <c r="AVI90"/>
      <c r="AVJ90"/>
      <c r="AVK90"/>
      <c r="AVL90"/>
      <c r="AVM90"/>
      <c r="AVN90"/>
      <c r="AVO90"/>
      <c r="AVP90"/>
      <c r="AVQ90"/>
      <c r="AVR90"/>
      <c r="AVS90"/>
      <c r="AVT90"/>
      <c r="AVU90"/>
      <c r="AVV90"/>
      <c r="AVW90"/>
      <c r="AVX90"/>
      <c r="AVY90"/>
      <c r="AVZ90"/>
      <c r="AWA90"/>
      <c r="AWB90"/>
      <c r="AWC90"/>
      <c r="AWD90"/>
      <c r="AWE90"/>
      <c r="AWF90"/>
      <c r="AWG90"/>
      <c r="AWH90"/>
      <c r="AWI90"/>
      <c r="AWJ90"/>
      <c r="AWK90"/>
      <c r="AWL90"/>
      <c r="AWM90"/>
      <c r="AWN90"/>
      <c r="AWO90"/>
      <c r="AWP90"/>
      <c r="AWQ90"/>
      <c r="AWR90"/>
      <c r="AWS90"/>
      <c r="AWT90"/>
      <c r="AWU90"/>
      <c r="AWV90"/>
      <c r="AWW90"/>
      <c r="AWX90"/>
      <c r="AWY90"/>
      <c r="AWZ90"/>
      <c r="AXA90"/>
      <c r="AXB90"/>
      <c r="AXC90"/>
      <c r="AXD90"/>
      <c r="AXE90"/>
      <c r="AXF90"/>
      <c r="AXG90"/>
      <c r="AXH90"/>
      <c r="AXI90"/>
      <c r="AXJ90"/>
      <c r="AXK90"/>
      <c r="AXL90"/>
      <c r="AXM90"/>
      <c r="AXN90"/>
      <c r="AXO90"/>
      <c r="AXP90"/>
      <c r="AXQ90"/>
      <c r="AXR90"/>
      <c r="AXS90"/>
      <c r="AXT90"/>
      <c r="AXU90"/>
      <c r="AXV90"/>
      <c r="AXW90"/>
      <c r="AXX90"/>
      <c r="AXY90"/>
      <c r="AXZ90"/>
      <c r="AYA90"/>
      <c r="AYB90"/>
      <c r="AYC90"/>
      <c r="AYD90"/>
      <c r="AYE90"/>
      <c r="AYF90"/>
      <c r="AYG90"/>
      <c r="AYH90"/>
      <c r="AYI90"/>
      <c r="AYJ90"/>
      <c r="AYK90"/>
      <c r="AYL90"/>
      <c r="AYM90"/>
      <c r="AYN90"/>
      <c r="AYO90"/>
      <c r="AYP90"/>
      <c r="AYQ90"/>
      <c r="AYR90"/>
      <c r="AYS90"/>
      <c r="AYT90"/>
      <c r="AYU90"/>
      <c r="AYV90"/>
      <c r="AYW90"/>
      <c r="AYX90"/>
      <c r="AYY90"/>
      <c r="AYZ90"/>
      <c r="AZA90"/>
      <c r="AZB90"/>
      <c r="AZC90"/>
      <c r="AZD90"/>
      <c r="AZE90"/>
      <c r="AZF90"/>
      <c r="AZG90"/>
      <c r="AZH90"/>
      <c r="AZI90"/>
      <c r="AZJ90"/>
      <c r="AZK90"/>
      <c r="AZL90"/>
      <c r="AZM90"/>
      <c r="AZN90"/>
      <c r="AZO90"/>
      <c r="AZP90"/>
      <c r="AZQ90"/>
      <c r="AZR90"/>
      <c r="AZS90"/>
      <c r="AZT90"/>
      <c r="AZU90"/>
      <c r="AZV90"/>
      <c r="AZW90"/>
      <c r="AZX90"/>
      <c r="AZY90"/>
      <c r="AZZ90"/>
      <c r="BAA90"/>
      <c r="BAB90"/>
      <c r="BAC90"/>
      <c r="BAD90"/>
      <c r="BAE90"/>
      <c r="BAF90"/>
      <c r="BAG90"/>
      <c r="BAH90"/>
      <c r="BAI90"/>
      <c r="BAJ90"/>
      <c r="BAK90"/>
      <c r="BAL90"/>
      <c r="BAM90"/>
      <c r="BAN90"/>
      <c r="BAO90"/>
      <c r="BAP90"/>
      <c r="BAQ90"/>
      <c r="BAR90"/>
      <c r="BAS90"/>
      <c r="BAT90"/>
      <c r="BAU90"/>
      <c r="BAV90"/>
      <c r="BAW90"/>
      <c r="BAX90"/>
      <c r="BAY90"/>
      <c r="BAZ90"/>
      <c r="BBA90"/>
      <c r="BBB90"/>
      <c r="BBC90"/>
      <c r="BBD90"/>
      <c r="BBE90"/>
      <c r="BBF90"/>
      <c r="BBG90"/>
      <c r="BBH90"/>
      <c r="BBI90"/>
      <c r="BBJ90"/>
      <c r="BBK90"/>
      <c r="BBL90"/>
      <c r="BBM90"/>
      <c r="BBN90"/>
      <c r="BBO90"/>
      <c r="BBP90"/>
      <c r="BBQ90"/>
      <c r="BBR90"/>
      <c r="BBS90"/>
      <c r="BBT90"/>
      <c r="BBU90"/>
      <c r="BBV90"/>
      <c r="BBW90"/>
      <c r="BBX90"/>
      <c r="BBY90"/>
      <c r="BBZ90"/>
      <c r="BCA90"/>
      <c r="BCB90"/>
      <c r="BCC90"/>
      <c r="BCD90"/>
      <c r="BCE90"/>
      <c r="BCF90"/>
      <c r="BCG90"/>
      <c r="BCH90"/>
      <c r="BCI90"/>
      <c r="BCJ90"/>
      <c r="BCK90"/>
      <c r="BCL90"/>
      <c r="BCM90"/>
      <c r="BCN90"/>
      <c r="BCO90"/>
      <c r="BCP90"/>
      <c r="BCQ90"/>
      <c r="BCR90"/>
      <c r="BCS90"/>
      <c r="BCT90"/>
      <c r="BCU90"/>
      <c r="BCV90"/>
      <c r="BCW90"/>
      <c r="BCX90"/>
      <c r="BCY90"/>
      <c r="BCZ90"/>
      <c r="BDA90"/>
      <c r="BDB90"/>
      <c r="BDC90"/>
      <c r="BDD90"/>
      <c r="BDE90"/>
      <c r="BDF90"/>
      <c r="BDG90"/>
      <c r="BDH90"/>
      <c r="BDI90"/>
      <c r="BDJ90"/>
      <c r="BDK90"/>
      <c r="BDL90"/>
      <c r="BDM90"/>
      <c r="BDN90"/>
      <c r="BDO90"/>
      <c r="BDP90"/>
      <c r="BDQ90"/>
      <c r="BDR90"/>
      <c r="BDS90"/>
      <c r="BDT90"/>
      <c r="BDU90"/>
      <c r="BDV90"/>
      <c r="BDW90"/>
      <c r="BDX90"/>
      <c r="BDY90"/>
      <c r="BDZ90"/>
      <c r="BEA90"/>
      <c r="BEB90"/>
      <c r="BEC90"/>
      <c r="BED90"/>
      <c r="BEE90"/>
      <c r="BEF90"/>
      <c r="BEG90"/>
      <c r="BEH90"/>
      <c r="BEI90"/>
      <c r="BEJ90"/>
      <c r="BEK90"/>
      <c r="BEL90"/>
      <c r="BEM90"/>
      <c r="BEN90"/>
      <c r="BEO90"/>
      <c r="BEP90"/>
      <c r="BEQ90"/>
      <c r="BER90"/>
      <c r="BES90"/>
      <c r="BET90"/>
      <c r="BEU90"/>
      <c r="BEV90"/>
      <c r="BEW90"/>
      <c r="BEX90"/>
      <c r="BEY90"/>
      <c r="BEZ90"/>
      <c r="BFA90"/>
      <c r="BFB90"/>
      <c r="BFC90"/>
      <c r="BFD90"/>
      <c r="BFE90"/>
      <c r="BFF90"/>
      <c r="BFG90"/>
      <c r="BFH90"/>
      <c r="BFI90"/>
      <c r="BFJ90"/>
      <c r="BFK90"/>
      <c r="BFL90"/>
      <c r="BFM90"/>
      <c r="BFN90"/>
      <c r="BFO90"/>
      <c r="BFP90"/>
      <c r="BFQ90"/>
      <c r="BFR90"/>
      <c r="BFS90"/>
      <c r="BFT90"/>
      <c r="BFU90"/>
      <c r="BFV90"/>
      <c r="BFW90"/>
      <c r="BFX90"/>
      <c r="BFY90"/>
      <c r="BFZ90"/>
      <c r="BGA90"/>
      <c r="BGB90"/>
      <c r="BGC90"/>
      <c r="BGD90"/>
      <c r="BGE90"/>
      <c r="BGF90"/>
      <c r="BGG90"/>
      <c r="BGH90"/>
      <c r="BGI90"/>
      <c r="BGJ90"/>
      <c r="BGK90"/>
      <c r="BGL90"/>
      <c r="BGM90"/>
      <c r="BGN90"/>
      <c r="BGO90"/>
      <c r="BGP90"/>
      <c r="BGQ90"/>
      <c r="BGR90"/>
      <c r="BGS90"/>
      <c r="BGT90"/>
      <c r="BGU90"/>
      <c r="BGV90"/>
      <c r="BGW90"/>
      <c r="BGX90"/>
      <c r="BGY90"/>
      <c r="BGZ90"/>
      <c r="BHA90"/>
      <c r="BHB90"/>
      <c r="BHC90"/>
      <c r="BHD90"/>
      <c r="BHE90"/>
      <c r="BHF90"/>
      <c r="BHG90"/>
      <c r="BHH90"/>
      <c r="BHI90"/>
      <c r="BHJ90"/>
      <c r="BHK90"/>
      <c r="BHL90"/>
      <c r="BHM90"/>
      <c r="BHN90"/>
      <c r="BHO90"/>
      <c r="BHP90"/>
      <c r="BHQ90"/>
      <c r="BHR90"/>
      <c r="BHS90"/>
      <c r="BHT90"/>
      <c r="BHU90"/>
      <c r="BHV90"/>
      <c r="BHW90"/>
      <c r="BHX90"/>
      <c r="BHY90"/>
      <c r="BHZ90"/>
      <c r="BIA90"/>
      <c r="BIB90"/>
      <c r="BIC90"/>
      <c r="BID90"/>
      <c r="BIE90"/>
      <c r="BIF90"/>
      <c r="BIG90"/>
      <c r="BIH90"/>
      <c r="BII90"/>
      <c r="BIJ90"/>
      <c r="BIK90"/>
      <c r="BIL90"/>
      <c r="BIM90"/>
      <c r="BIN90"/>
      <c r="BIO90"/>
      <c r="BIP90"/>
      <c r="BIQ90"/>
      <c r="BIR90"/>
      <c r="BIS90"/>
      <c r="BIT90"/>
      <c r="BIU90"/>
      <c r="BIV90"/>
      <c r="BIW90"/>
      <c r="BIX90"/>
      <c r="BIY90"/>
      <c r="BIZ90"/>
      <c r="BJA90"/>
      <c r="BJB90"/>
      <c r="BJC90"/>
      <c r="BJD90"/>
      <c r="BJE90"/>
      <c r="BJF90"/>
      <c r="BJG90"/>
      <c r="BJH90"/>
      <c r="BJI90"/>
      <c r="BJJ90"/>
      <c r="BJK90"/>
      <c r="BJL90"/>
      <c r="BJM90"/>
      <c r="BJN90"/>
      <c r="BJO90"/>
      <c r="BJP90"/>
      <c r="BJQ90"/>
      <c r="BJR90"/>
      <c r="BJS90"/>
      <c r="BJT90"/>
      <c r="BJU90"/>
      <c r="BJV90"/>
      <c r="BJW90"/>
      <c r="BJX90"/>
      <c r="BJY90"/>
      <c r="BJZ90"/>
      <c r="BKA90"/>
      <c r="BKB90"/>
      <c r="BKC90"/>
      <c r="BKD90"/>
      <c r="BKE90"/>
      <c r="BKF90"/>
      <c r="BKG90"/>
      <c r="BKH90"/>
      <c r="BKI90"/>
      <c r="BKJ90"/>
      <c r="BKK90"/>
      <c r="BKL90"/>
      <c r="BKM90"/>
      <c r="BKN90"/>
      <c r="BKO90"/>
      <c r="BKP90"/>
      <c r="BKQ90"/>
      <c r="BKR90"/>
      <c r="BKS90"/>
      <c r="BKT90"/>
      <c r="BKU90"/>
      <c r="BKV90"/>
      <c r="BKW90"/>
      <c r="BKX90"/>
      <c r="BKY90"/>
      <c r="BKZ90"/>
      <c r="BLA90"/>
      <c r="BLB90"/>
      <c r="BLC90"/>
      <c r="BLD90"/>
      <c r="BLE90"/>
      <c r="BLF90"/>
      <c r="BLG90"/>
      <c r="BLH90"/>
      <c r="BLI90"/>
      <c r="BLJ90"/>
      <c r="BLK90"/>
      <c r="BLL90"/>
      <c r="BLM90"/>
      <c r="BLN90"/>
      <c r="BLO90"/>
      <c r="BLP90"/>
      <c r="BLQ90"/>
      <c r="BLR90"/>
      <c r="BLS90"/>
      <c r="BLT90"/>
      <c r="BLU90"/>
      <c r="BLV90"/>
      <c r="BLW90"/>
      <c r="BLX90"/>
      <c r="BLY90"/>
      <c r="BLZ90"/>
      <c r="BMA90"/>
      <c r="BMB90"/>
      <c r="BMC90"/>
      <c r="BMD90"/>
      <c r="BME90"/>
      <c r="BMF90"/>
      <c r="BMG90"/>
      <c r="BMH90"/>
      <c r="BMI90"/>
      <c r="BMJ90"/>
      <c r="BMK90"/>
      <c r="BML90"/>
      <c r="BMM90"/>
      <c r="BMN90"/>
      <c r="BMO90"/>
      <c r="BMP90"/>
      <c r="BMQ90"/>
      <c r="BMR90"/>
      <c r="BMS90"/>
      <c r="BMT90"/>
      <c r="BMU90"/>
      <c r="BMV90"/>
      <c r="BMW90"/>
      <c r="BMX90"/>
      <c r="BMY90"/>
      <c r="BMZ90"/>
      <c r="BNA90"/>
      <c r="BNB90"/>
      <c r="BNC90"/>
      <c r="BND90"/>
      <c r="BNE90"/>
      <c r="BNF90"/>
      <c r="BNG90"/>
      <c r="BNH90"/>
      <c r="BNI90"/>
      <c r="BNJ90"/>
      <c r="BNK90"/>
      <c r="BNL90"/>
      <c r="BNM90"/>
      <c r="BNN90"/>
      <c r="BNO90"/>
      <c r="BNP90"/>
      <c r="BNQ90"/>
      <c r="BNR90"/>
      <c r="BNS90"/>
      <c r="BNT90"/>
      <c r="BNU90"/>
      <c r="BNV90"/>
      <c r="BNW90"/>
      <c r="BNX90"/>
      <c r="BNY90"/>
      <c r="BNZ90"/>
      <c r="BOA90"/>
      <c r="BOB90"/>
      <c r="BOC90"/>
      <c r="BOD90"/>
      <c r="BOE90"/>
      <c r="BOF90"/>
      <c r="BOG90"/>
      <c r="BOH90"/>
      <c r="BOI90"/>
      <c r="BOJ90"/>
      <c r="BOK90"/>
      <c r="BOL90"/>
      <c r="BOM90"/>
      <c r="BON90"/>
      <c r="BOO90"/>
      <c r="BOP90"/>
      <c r="BOQ90"/>
      <c r="BOR90"/>
      <c r="BOS90"/>
      <c r="BOT90"/>
      <c r="BOU90"/>
      <c r="BOV90"/>
      <c r="BOW90"/>
      <c r="BOX90"/>
      <c r="BOY90"/>
      <c r="BOZ90"/>
      <c r="BPA90"/>
      <c r="BPB90"/>
      <c r="BPC90"/>
      <c r="BPD90"/>
      <c r="BPE90"/>
      <c r="BPF90"/>
      <c r="BPG90"/>
      <c r="BPH90"/>
      <c r="BPI90"/>
      <c r="BPJ90"/>
      <c r="BPK90"/>
      <c r="BPL90"/>
      <c r="BPM90"/>
      <c r="BPN90"/>
      <c r="BPO90"/>
      <c r="BPP90"/>
      <c r="BPQ90"/>
      <c r="BPR90"/>
      <c r="BPS90"/>
      <c r="BPT90"/>
      <c r="BPU90"/>
      <c r="BPV90"/>
      <c r="BPW90"/>
      <c r="BPX90"/>
      <c r="BPY90"/>
      <c r="BPZ90"/>
      <c r="BQA90"/>
      <c r="BQB90"/>
      <c r="BQC90"/>
      <c r="BQD90"/>
      <c r="BQE90"/>
      <c r="BQF90"/>
      <c r="BQG90"/>
      <c r="BQH90"/>
      <c r="BQI90"/>
      <c r="BQJ90"/>
      <c r="BQK90"/>
      <c r="BQL90"/>
      <c r="BQM90"/>
      <c r="BQN90"/>
      <c r="BQO90"/>
      <c r="BQP90"/>
      <c r="BQQ90"/>
      <c r="BQR90"/>
      <c r="BQS90"/>
      <c r="BQT90"/>
      <c r="BQU90"/>
      <c r="BQV90"/>
      <c r="BQW90"/>
      <c r="BQX90"/>
      <c r="BQY90"/>
      <c r="BQZ90"/>
      <c r="BRA90"/>
      <c r="BRB90"/>
      <c r="BRC90"/>
      <c r="BRD90"/>
      <c r="BRE90"/>
      <c r="BRF90"/>
      <c r="BRG90"/>
      <c r="BRH90"/>
      <c r="BRI90"/>
      <c r="BRJ90"/>
      <c r="BRK90"/>
      <c r="BRL90"/>
      <c r="BRM90"/>
      <c r="BRN90"/>
      <c r="BRO90"/>
      <c r="BRP90"/>
      <c r="BRQ90"/>
      <c r="BRR90"/>
      <c r="BRS90"/>
      <c r="BRT90"/>
      <c r="BRU90"/>
      <c r="BRV90"/>
      <c r="BRW90"/>
      <c r="BRX90"/>
      <c r="BRY90"/>
      <c r="BRZ90"/>
      <c r="BSA90"/>
      <c r="BSB90"/>
      <c r="BSC90"/>
      <c r="BSD90"/>
      <c r="BSE90"/>
      <c r="BSF90"/>
      <c r="BSG90"/>
      <c r="BSH90"/>
      <c r="BSI90"/>
      <c r="BSJ90"/>
      <c r="BSK90"/>
      <c r="BSL90"/>
      <c r="BSM90"/>
      <c r="BSN90"/>
      <c r="BSO90"/>
      <c r="BSP90"/>
      <c r="BSQ90"/>
      <c r="BSR90"/>
      <c r="BSS90"/>
      <c r="BST90"/>
      <c r="BSU90"/>
      <c r="BSV90"/>
      <c r="BSW90"/>
      <c r="BSX90"/>
      <c r="BSY90"/>
      <c r="BSZ90"/>
      <c r="BTA90"/>
      <c r="BTB90"/>
      <c r="BTC90"/>
      <c r="BTD90"/>
      <c r="BTE90"/>
      <c r="BTF90"/>
      <c r="BTG90"/>
      <c r="BTH90"/>
      <c r="BTI90"/>
      <c r="BTJ90"/>
      <c r="BTK90"/>
      <c r="BTL90"/>
      <c r="BTM90"/>
      <c r="BTN90"/>
      <c r="BTO90"/>
      <c r="BTP90"/>
      <c r="BTQ90"/>
      <c r="BTR90"/>
      <c r="BTS90"/>
      <c r="BTT90"/>
      <c r="BTU90"/>
      <c r="BTV90"/>
      <c r="BTW90"/>
      <c r="BTX90"/>
      <c r="BTY90"/>
      <c r="BTZ90"/>
      <c r="BUA90"/>
      <c r="BUB90"/>
      <c r="BUC90"/>
      <c r="BUD90"/>
      <c r="BUE90"/>
      <c r="BUF90"/>
      <c r="BUG90"/>
      <c r="BUH90"/>
      <c r="BUI90"/>
      <c r="BUJ90"/>
      <c r="BUK90"/>
      <c r="BUL90"/>
      <c r="BUM90"/>
      <c r="BUN90"/>
      <c r="BUO90"/>
      <c r="BUP90"/>
      <c r="BUQ90"/>
      <c r="BUR90"/>
      <c r="BUS90"/>
      <c r="BUT90"/>
      <c r="BUU90"/>
      <c r="BUV90"/>
      <c r="BUW90"/>
      <c r="BUX90"/>
      <c r="BUY90"/>
      <c r="BUZ90"/>
      <c r="BVA90"/>
      <c r="BVB90"/>
      <c r="BVC90"/>
      <c r="BVD90"/>
      <c r="BVE90"/>
      <c r="BVF90"/>
      <c r="BVG90"/>
      <c r="BVH90"/>
      <c r="BVI90"/>
      <c r="BVJ90"/>
      <c r="BVK90"/>
      <c r="BVL90"/>
      <c r="BVM90"/>
      <c r="BVN90"/>
      <c r="BVO90"/>
      <c r="BVP90"/>
      <c r="BVQ90"/>
      <c r="BVR90"/>
      <c r="BVS90"/>
      <c r="BVT90"/>
      <c r="BVU90"/>
      <c r="BVV90"/>
      <c r="BVW90"/>
      <c r="BVX90"/>
      <c r="BVY90"/>
      <c r="BVZ90"/>
      <c r="BWA90"/>
      <c r="BWB90"/>
      <c r="BWC90"/>
      <c r="BWD90"/>
      <c r="BWE90"/>
      <c r="BWF90"/>
      <c r="BWG90"/>
      <c r="BWH90"/>
      <c r="BWI90"/>
      <c r="BWJ90"/>
      <c r="BWK90"/>
      <c r="BWL90"/>
      <c r="BWM90"/>
      <c r="BWN90"/>
      <c r="BWO90"/>
      <c r="BWP90"/>
      <c r="BWQ90"/>
      <c r="BWR90"/>
      <c r="BWS90"/>
      <c r="BWT90"/>
      <c r="BWU90"/>
      <c r="BWV90"/>
      <c r="BWW90"/>
      <c r="BWX90"/>
      <c r="BWY90"/>
      <c r="BWZ90"/>
      <c r="BXA90"/>
      <c r="BXB90"/>
      <c r="BXC90"/>
      <c r="BXD90"/>
      <c r="BXE90"/>
      <c r="BXF90"/>
      <c r="BXG90"/>
      <c r="BXH90"/>
      <c r="BXI90"/>
      <c r="BXJ90"/>
      <c r="BXK90"/>
      <c r="BXL90"/>
      <c r="BXM90"/>
      <c r="BXN90"/>
      <c r="BXO90"/>
      <c r="BXP90"/>
      <c r="BXQ90"/>
      <c r="BXR90"/>
      <c r="BXS90"/>
      <c r="BXT90"/>
      <c r="BXU90"/>
      <c r="BXV90"/>
      <c r="BXW90"/>
      <c r="BXX90"/>
      <c r="BXY90"/>
      <c r="BXZ90"/>
      <c r="BYA90"/>
      <c r="BYB90"/>
      <c r="BYC90"/>
      <c r="BYD90"/>
      <c r="BYE90"/>
      <c r="BYF90"/>
      <c r="BYG90"/>
      <c r="BYH90"/>
      <c r="BYI90"/>
      <c r="BYJ90"/>
      <c r="BYK90"/>
      <c r="BYL90"/>
      <c r="BYM90"/>
      <c r="BYN90"/>
      <c r="BYO90"/>
      <c r="BYP90"/>
      <c r="BYQ90"/>
      <c r="BYR90"/>
      <c r="BYS90"/>
      <c r="BYT90"/>
      <c r="BYU90"/>
      <c r="BYV90"/>
      <c r="BYW90"/>
      <c r="BYX90"/>
      <c r="BYY90"/>
      <c r="BYZ90"/>
      <c r="BZA90"/>
      <c r="BZB90"/>
      <c r="BZC90"/>
      <c r="BZD90"/>
      <c r="BZE90"/>
      <c r="BZF90"/>
      <c r="BZG90"/>
      <c r="BZH90"/>
      <c r="BZI90"/>
      <c r="BZJ90"/>
      <c r="BZK90"/>
      <c r="BZL90"/>
      <c r="BZM90"/>
      <c r="BZN90"/>
      <c r="BZO90"/>
      <c r="BZP90"/>
      <c r="BZQ90"/>
      <c r="BZR90"/>
      <c r="BZS90"/>
      <c r="BZT90"/>
      <c r="BZU90"/>
      <c r="BZV90"/>
      <c r="BZW90"/>
      <c r="BZX90"/>
      <c r="BZY90"/>
      <c r="BZZ90"/>
      <c r="CAA90"/>
      <c r="CAB90"/>
      <c r="CAC90"/>
      <c r="CAD90"/>
      <c r="CAE90"/>
      <c r="CAF90"/>
      <c r="CAG90"/>
      <c r="CAH90"/>
      <c r="CAI90"/>
      <c r="CAJ90"/>
      <c r="CAK90"/>
      <c r="CAL90"/>
      <c r="CAM90"/>
      <c r="CAN90"/>
      <c r="CAO90"/>
      <c r="CAP90"/>
      <c r="CAQ90"/>
      <c r="CAR90"/>
      <c r="CAS90"/>
      <c r="CAT90"/>
      <c r="CAU90"/>
      <c r="CAV90"/>
      <c r="CAW90"/>
      <c r="CAX90"/>
      <c r="CAY90"/>
      <c r="CAZ90"/>
      <c r="CBA90"/>
      <c r="CBB90"/>
      <c r="CBC90"/>
      <c r="CBD90"/>
      <c r="CBE90"/>
      <c r="CBF90"/>
      <c r="CBG90"/>
      <c r="CBH90"/>
      <c r="CBI90"/>
      <c r="CBJ90"/>
      <c r="CBK90"/>
      <c r="CBL90"/>
      <c r="CBM90"/>
      <c r="CBN90"/>
      <c r="CBO90"/>
      <c r="CBP90"/>
      <c r="CBQ90"/>
      <c r="CBR90"/>
      <c r="CBS90"/>
      <c r="CBT90"/>
      <c r="CBU90"/>
      <c r="CBV90"/>
      <c r="CBW90"/>
      <c r="CBX90"/>
      <c r="CBY90"/>
      <c r="CBZ90"/>
      <c r="CCA90"/>
      <c r="CCB90"/>
      <c r="CCC90"/>
      <c r="CCD90"/>
      <c r="CCE90"/>
      <c r="CCF90"/>
      <c r="CCG90"/>
      <c r="CCH90"/>
      <c r="CCI90"/>
      <c r="CCJ90"/>
      <c r="CCK90"/>
      <c r="CCL90"/>
      <c r="CCM90"/>
      <c r="CCN90"/>
      <c r="CCO90"/>
      <c r="CCP90"/>
      <c r="CCQ90"/>
      <c r="CCR90"/>
      <c r="CCS90"/>
      <c r="CCT90"/>
      <c r="CCU90"/>
      <c r="CCV90"/>
      <c r="CCW90"/>
      <c r="CCX90"/>
      <c r="CCY90"/>
      <c r="CCZ90"/>
      <c r="CDA90"/>
      <c r="CDB90"/>
      <c r="CDC90"/>
      <c r="CDD90"/>
      <c r="CDE90"/>
      <c r="CDF90"/>
      <c r="CDG90"/>
      <c r="CDH90"/>
      <c r="CDI90"/>
      <c r="CDJ90"/>
      <c r="CDK90"/>
      <c r="CDL90"/>
      <c r="CDM90"/>
      <c r="CDN90"/>
      <c r="CDO90"/>
      <c r="CDP90"/>
      <c r="CDQ90"/>
      <c r="CDR90"/>
      <c r="CDS90"/>
      <c r="CDT90"/>
      <c r="CDU90"/>
      <c r="CDV90"/>
      <c r="CDW90"/>
      <c r="CDX90"/>
      <c r="CDY90"/>
      <c r="CDZ90"/>
      <c r="CEA90"/>
      <c r="CEB90"/>
      <c r="CEC90"/>
      <c r="CED90"/>
      <c r="CEE90"/>
      <c r="CEF90"/>
      <c r="CEG90"/>
      <c r="CEH90"/>
      <c r="CEI90"/>
      <c r="CEJ90"/>
      <c r="CEK90"/>
      <c r="CEL90"/>
      <c r="CEM90"/>
      <c r="CEN90"/>
      <c r="CEO90"/>
      <c r="CEP90"/>
      <c r="CEQ90"/>
      <c r="CER90"/>
      <c r="CES90"/>
      <c r="CET90"/>
      <c r="CEU90"/>
      <c r="CEV90"/>
      <c r="CEW90"/>
      <c r="CEX90"/>
      <c r="CEY90"/>
      <c r="CEZ90"/>
      <c r="CFA90"/>
      <c r="CFB90"/>
      <c r="CFC90"/>
      <c r="CFD90"/>
      <c r="CFE90"/>
      <c r="CFF90"/>
      <c r="CFG90"/>
      <c r="CFH90"/>
      <c r="CFI90"/>
      <c r="CFJ90"/>
      <c r="CFK90"/>
      <c r="CFL90"/>
      <c r="CFM90"/>
      <c r="CFN90"/>
      <c r="CFO90"/>
      <c r="CFP90"/>
      <c r="CFQ90"/>
      <c r="CFR90"/>
      <c r="CFS90"/>
      <c r="CFT90"/>
      <c r="CFU90"/>
      <c r="CFV90"/>
      <c r="CFW90"/>
      <c r="CFX90"/>
      <c r="CFY90"/>
      <c r="CFZ90"/>
      <c r="CGA90"/>
      <c r="CGB90"/>
      <c r="CGC90"/>
      <c r="CGD90"/>
      <c r="CGE90"/>
      <c r="CGF90"/>
      <c r="CGG90"/>
      <c r="CGH90"/>
      <c r="CGI90"/>
      <c r="CGJ90"/>
      <c r="CGK90"/>
      <c r="CGL90"/>
      <c r="CGM90"/>
      <c r="CGN90"/>
      <c r="CGO90"/>
      <c r="CGP90"/>
      <c r="CGQ90"/>
      <c r="CGR90"/>
      <c r="CGS90"/>
      <c r="CGT90"/>
      <c r="CGU90"/>
      <c r="CGV90"/>
      <c r="CGW90"/>
      <c r="CGX90"/>
      <c r="CGY90"/>
      <c r="CGZ90"/>
      <c r="CHA90"/>
      <c r="CHB90"/>
      <c r="CHC90"/>
      <c r="CHD90"/>
      <c r="CHE90"/>
      <c r="CHF90"/>
      <c r="CHG90"/>
      <c r="CHH90"/>
      <c r="CHI90"/>
      <c r="CHJ90"/>
      <c r="CHK90"/>
      <c r="CHL90"/>
      <c r="CHM90"/>
      <c r="CHN90"/>
      <c r="CHO90"/>
      <c r="CHP90"/>
      <c r="CHQ90"/>
      <c r="CHR90"/>
      <c r="CHS90"/>
      <c r="CHT90"/>
      <c r="CHU90"/>
      <c r="CHV90"/>
      <c r="CHW90"/>
      <c r="CHX90"/>
      <c r="CHY90"/>
      <c r="CHZ90"/>
      <c r="CIA90"/>
      <c r="CIB90"/>
      <c r="CIC90"/>
      <c r="CID90"/>
      <c r="CIE90"/>
      <c r="CIF90"/>
      <c r="CIG90"/>
      <c r="CIH90"/>
      <c r="CII90"/>
      <c r="CIJ90"/>
      <c r="CIK90"/>
      <c r="CIL90"/>
      <c r="CIM90"/>
      <c r="CIN90"/>
      <c r="CIO90"/>
      <c r="CIP90"/>
      <c r="CIQ90"/>
      <c r="CIR90"/>
      <c r="CIS90"/>
      <c r="CIT90"/>
      <c r="CIU90"/>
      <c r="CIV90"/>
      <c r="CIW90"/>
      <c r="CIX90"/>
      <c r="CIY90"/>
      <c r="CIZ90"/>
      <c r="CJA90"/>
      <c r="CJB90"/>
      <c r="CJC90"/>
      <c r="CJD90"/>
      <c r="CJE90"/>
      <c r="CJF90"/>
      <c r="CJG90"/>
      <c r="CJH90"/>
      <c r="CJI90"/>
      <c r="CJJ90"/>
      <c r="CJK90"/>
      <c r="CJL90"/>
      <c r="CJM90"/>
      <c r="CJN90"/>
      <c r="CJO90"/>
      <c r="CJP90"/>
      <c r="CJQ90"/>
      <c r="CJR90"/>
      <c r="CJS90"/>
      <c r="CJT90"/>
      <c r="CJU90"/>
      <c r="CJV90"/>
      <c r="CJW90"/>
      <c r="CJX90"/>
      <c r="CJY90"/>
      <c r="CJZ90"/>
      <c r="CKA90"/>
      <c r="CKB90"/>
      <c r="CKC90"/>
      <c r="CKD90"/>
      <c r="CKE90"/>
      <c r="CKF90"/>
      <c r="CKG90"/>
      <c r="CKH90"/>
      <c r="CKI90"/>
      <c r="CKJ90"/>
      <c r="CKK90"/>
      <c r="CKL90"/>
      <c r="CKM90"/>
      <c r="CKN90"/>
      <c r="CKO90"/>
      <c r="CKP90"/>
      <c r="CKQ90"/>
      <c r="CKR90"/>
      <c r="CKS90"/>
      <c r="CKT90"/>
      <c r="CKU90"/>
      <c r="CKV90"/>
      <c r="CKW90"/>
      <c r="CKX90"/>
      <c r="CKY90"/>
      <c r="CKZ90"/>
      <c r="CLA90"/>
      <c r="CLB90"/>
      <c r="CLC90"/>
      <c r="CLD90"/>
      <c r="CLE90"/>
      <c r="CLF90"/>
      <c r="CLG90"/>
      <c r="CLH90"/>
      <c r="CLI90"/>
      <c r="CLJ90"/>
      <c r="CLK90"/>
      <c r="CLL90"/>
      <c r="CLM90"/>
      <c r="CLN90"/>
      <c r="CLO90"/>
      <c r="CLP90"/>
      <c r="CLQ90"/>
      <c r="CLR90"/>
      <c r="CLS90"/>
      <c r="CLT90"/>
      <c r="CLU90"/>
      <c r="CLV90"/>
      <c r="CLW90"/>
      <c r="CLX90"/>
      <c r="CLY90"/>
      <c r="CLZ90"/>
      <c r="CMA90"/>
      <c r="CMB90"/>
      <c r="CMC90"/>
      <c r="CMD90"/>
      <c r="CME90"/>
      <c r="CMF90"/>
      <c r="CMG90"/>
      <c r="CMH90"/>
      <c r="CMI90"/>
      <c r="CMJ90"/>
      <c r="CMK90"/>
      <c r="CML90"/>
      <c r="CMM90"/>
      <c r="CMN90"/>
      <c r="CMO90"/>
      <c r="CMP90"/>
      <c r="CMQ90"/>
      <c r="CMR90"/>
      <c r="CMS90"/>
      <c r="CMT90"/>
      <c r="CMU90"/>
      <c r="CMV90"/>
      <c r="CMW90"/>
      <c r="CMX90"/>
      <c r="CMY90"/>
      <c r="CMZ90"/>
      <c r="CNA90"/>
      <c r="CNB90"/>
      <c r="CNC90"/>
      <c r="CND90"/>
      <c r="CNE90"/>
      <c r="CNF90"/>
      <c r="CNG90"/>
      <c r="CNH90"/>
      <c r="CNI90"/>
      <c r="CNJ90"/>
      <c r="CNK90"/>
      <c r="CNL90"/>
      <c r="CNM90"/>
      <c r="CNN90"/>
      <c r="CNO90"/>
      <c r="CNP90"/>
      <c r="CNQ90"/>
      <c r="CNR90"/>
      <c r="CNS90"/>
      <c r="CNT90"/>
      <c r="CNU90"/>
      <c r="CNV90"/>
      <c r="CNW90"/>
      <c r="CNX90"/>
      <c r="CNY90"/>
      <c r="CNZ90"/>
      <c r="COA90"/>
      <c r="COB90"/>
      <c r="COC90"/>
      <c r="COD90"/>
      <c r="COE90"/>
      <c r="COF90"/>
      <c r="COG90"/>
      <c r="COH90"/>
      <c r="COI90"/>
      <c r="COJ90"/>
      <c r="COK90"/>
      <c r="COL90"/>
      <c r="COM90"/>
      <c r="CON90"/>
      <c r="COO90"/>
      <c r="COP90"/>
      <c r="COQ90"/>
      <c r="COR90"/>
      <c r="COS90"/>
      <c r="COT90"/>
      <c r="COU90"/>
      <c r="COV90"/>
      <c r="COW90"/>
      <c r="COX90"/>
      <c r="COY90"/>
      <c r="COZ90"/>
      <c r="CPA90"/>
      <c r="CPB90"/>
      <c r="CPC90"/>
      <c r="CPD90"/>
      <c r="CPE90"/>
      <c r="CPF90"/>
      <c r="CPG90"/>
      <c r="CPH90"/>
      <c r="CPI90"/>
      <c r="CPJ90"/>
      <c r="CPK90"/>
      <c r="CPL90"/>
      <c r="CPM90"/>
      <c r="CPN90"/>
      <c r="CPO90"/>
      <c r="CPP90"/>
      <c r="CPQ90"/>
      <c r="CPR90"/>
      <c r="CPS90"/>
      <c r="CPT90"/>
      <c r="CPU90"/>
      <c r="CPV90"/>
      <c r="CPW90"/>
      <c r="CPX90"/>
      <c r="CPY90"/>
      <c r="CPZ90"/>
      <c r="CQA90"/>
      <c r="CQB90"/>
      <c r="CQC90"/>
      <c r="CQD90"/>
      <c r="CQE90"/>
      <c r="CQF90"/>
      <c r="CQG90"/>
      <c r="CQH90"/>
      <c r="CQI90"/>
      <c r="CQJ90"/>
      <c r="CQK90"/>
      <c r="CQL90"/>
      <c r="CQM90"/>
      <c r="CQN90"/>
      <c r="CQO90"/>
      <c r="CQP90"/>
      <c r="CQQ90"/>
      <c r="CQR90"/>
      <c r="CQS90"/>
      <c r="CQT90"/>
      <c r="CQU90"/>
      <c r="CQV90"/>
      <c r="CQW90"/>
      <c r="CQX90"/>
      <c r="CQY90"/>
      <c r="CQZ90"/>
      <c r="CRA90"/>
      <c r="CRB90"/>
      <c r="CRC90"/>
      <c r="CRD90"/>
      <c r="CRE90"/>
      <c r="CRF90"/>
      <c r="CRG90"/>
      <c r="CRH90"/>
      <c r="CRI90"/>
      <c r="CRJ90"/>
      <c r="CRK90"/>
      <c r="CRL90"/>
      <c r="CRM90"/>
      <c r="CRN90"/>
      <c r="CRO90"/>
      <c r="CRP90"/>
      <c r="CRQ90"/>
      <c r="CRR90"/>
      <c r="CRS90"/>
      <c r="CRT90"/>
      <c r="CRU90"/>
      <c r="CRV90"/>
      <c r="CRW90"/>
      <c r="CRX90"/>
      <c r="CRY90"/>
      <c r="CRZ90"/>
      <c r="CSA90"/>
      <c r="CSB90"/>
      <c r="CSC90"/>
      <c r="CSD90"/>
      <c r="CSE90"/>
      <c r="CSF90"/>
      <c r="CSG90"/>
      <c r="CSH90"/>
      <c r="CSI90"/>
      <c r="CSJ90"/>
      <c r="CSK90"/>
      <c r="CSL90"/>
      <c r="CSM90"/>
      <c r="CSN90"/>
      <c r="CSO90"/>
      <c r="CSP90"/>
      <c r="CSQ90"/>
      <c r="CSR90"/>
      <c r="CSS90"/>
      <c r="CST90"/>
      <c r="CSU90"/>
      <c r="CSV90"/>
      <c r="CSW90"/>
      <c r="CSX90"/>
      <c r="CSY90"/>
      <c r="CSZ90"/>
      <c r="CTA90"/>
      <c r="CTB90"/>
      <c r="CTC90"/>
      <c r="CTD90"/>
      <c r="CTE90"/>
      <c r="CTF90"/>
      <c r="CTG90"/>
      <c r="CTH90"/>
      <c r="CTI90"/>
      <c r="CTJ90"/>
      <c r="CTK90"/>
      <c r="CTL90"/>
      <c r="CTM90"/>
      <c r="CTN90"/>
      <c r="CTO90"/>
      <c r="CTP90"/>
      <c r="CTQ90"/>
      <c r="CTR90"/>
      <c r="CTS90"/>
      <c r="CTT90"/>
      <c r="CTU90"/>
      <c r="CTV90"/>
      <c r="CTW90"/>
      <c r="CTX90"/>
      <c r="CTY90"/>
      <c r="CTZ90"/>
      <c r="CUA90"/>
      <c r="CUB90"/>
      <c r="CUC90"/>
      <c r="CUD90"/>
      <c r="CUE90"/>
      <c r="CUF90"/>
      <c r="CUG90"/>
      <c r="CUH90"/>
      <c r="CUI90"/>
      <c r="CUJ90"/>
      <c r="CUK90"/>
      <c r="CUL90"/>
      <c r="CUM90"/>
      <c r="CUN90"/>
      <c r="CUO90"/>
      <c r="CUP90"/>
      <c r="CUQ90"/>
      <c r="CUR90"/>
      <c r="CUS90"/>
      <c r="CUT90"/>
      <c r="CUU90"/>
      <c r="CUV90"/>
      <c r="CUW90"/>
      <c r="CUX90"/>
      <c r="CUY90"/>
      <c r="CUZ90"/>
      <c r="CVA90"/>
      <c r="CVB90"/>
      <c r="CVC90"/>
      <c r="CVD90"/>
      <c r="CVE90"/>
      <c r="CVF90"/>
      <c r="CVG90"/>
      <c r="CVH90"/>
      <c r="CVI90"/>
      <c r="CVJ90"/>
      <c r="CVK90"/>
      <c r="CVL90"/>
      <c r="CVM90"/>
      <c r="CVN90"/>
      <c r="CVO90"/>
      <c r="CVP90"/>
      <c r="CVQ90"/>
      <c r="CVR90"/>
      <c r="CVS90"/>
      <c r="CVT90"/>
      <c r="CVU90"/>
      <c r="CVV90"/>
      <c r="CVW90"/>
      <c r="CVX90"/>
      <c r="CVY90"/>
      <c r="CVZ90"/>
      <c r="CWA90"/>
      <c r="CWB90"/>
      <c r="CWC90"/>
      <c r="CWD90"/>
      <c r="CWE90"/>
      <c r="CWF90"/>
      <c r="CWG90"/>
      <c r="CWH90"/>
      <c r="CWI90"/>
      <c r="CWJ90"/>
      <c r="CWK90"/>
      <c r="CWL90"/>
      <c r="CWM90"/>
      <c r="CWN90"/>
      <c r="CWO90"/>
      <c r="CWP90"/>
      <c r="CWQ90"/>
      <c r="CWR90"/>
      <c r="CWS90"/>
      <c r="CWT90"/>
      <c r="CWU90"/>
      <c r="CWV90"/>
      <c r="CWW90"/>
      <c r="CWX90"/>
      <c r="CWY90"/>
      <c r="CWZ90"/>
      <c r="CXA90"/>
      <c r="CXB90"/>
      <c r="CXC90"/>
      <c r="CXD90"/>
      <c r="CXE90"/>
      <c r="CXF90"/>
      <c r="CXG90"/>
      <c r="CXH90"/>
      <c r="CXI90"/>
      <c r="CXJ90"/>
      <c r="CXK90"/>
      <c r="CXL90"/>
      <c r="CXM90"/>
      <c r="CXN90"/>
      <c r="CXO90"/>
      <c r="CXP90"/>
      <c r="CXQ90"/>
      <c r="CXR90"/>
      <c r="CXS90"/>
      <c r="CXT90"/>
      <c r="CXU90"/>
      <c r="CXV90"/>
      <c r="CXW90"/>
      <c r="CXX90"/>
      <c r="CXY90"/>
      <c r="CXZ90"/>
      <c r="CYA90"/>
      <c r="CYB90"/>
      <c r="CYC90"/>
      <c r="CYD90"/>
      <c r="CYE90"/>
      <c r="CYF90"/>
      <c r="CYG90"/>
      <c r="CYH90"/>
      <c r="CYI90"/>
      <c r="CYJ90"/>
      <c r="CYK90"/>
      <c r="CYL90"/>
      <c r="CYM90"/>
      <c r="CYN90"/>
      <c r="CYO90"/>
      <c r="CYP90"/>
      <c r="CYQ90"/>
      <c r="CYR90"/>
      <c r="CYS90"/>
      <c r="CYT90"/>
      <c r="CYU90"/>
      <c r="CYV90"/>
      <c r="CYW90"/>
      <c r="CYX90"/>
      <c r="CYY90"/>
      <c r="CYZ90"/>
      <c r="CZA90"/>
      <c r="CZB90"/>
      <c r="CZC90"/>
      <c r="CZD90"/>
      <c r="CZE90"/>
      <c r="CZF90"/>
      <c r="CZG90"/>
      <c r="CZH90"/>
      <c r="CZI90"/>
      <c r="CZJ90"/>
      <c r="CZK90"/>
      <c r="CZL90"/>
      <c r="CZM90"/>
      <c r="CZN90"/>
      <c r="CZO90"/>
      <c r="CZP90"/>
      <c r="CZQ90"/>
      <c r="CZR90"/>
      <c r="CZS90"/>
      <c r="CZT90"/>
      <c r="CZU90"/>
      <c r="CZV90"/>
      <c r="CZW90"/>
      <c r="CZX90"/>
      <c r="CZY90"/>
      <c r="CZZ90"/>
      <c r="DAA90"/>
      <c r="DAB90"/>
      <c r="DAC90"/>
      <c r="DAD90"/>
      <c r="DAE90"/>
      <c r="DAF90"/>
      <c r="DAG90"/>
      <c r="DAH90"/>
      <c r="DAI90"/>
      <c r="DAJ90"/>
      <c r="DAK90"/>
      <c r="DAL90"/>
      <c r="DAM90"/>
      <c r="DAN90"/>
      <c r="DAO90"/>
      <c r="DAP90"/>
      <c r="DAQ90"/>
      <c r="DAR90"/>
      <c r="DAS90"/>
      <c r="DAT90"/>
      <c r="DAU90"/>
      <c r="DAV90"/>
      <c r="DAW90"/>
      <c r="DAX90"/>
      <c r="DAY90"/>
      <c r="DAZ90"/>
      <c r="DBA90"/>
      <c r="DBB90"/>
      <c r="DBC90"/>
      <c r="DBD90"/>
      <c r="DBE90"/>
      <c r="DBF90"/>
      <c r="DBG90"/>
      <c r="DBH90"/>
      <c r="DBI90"/>
      <c r="DBJ90"/>
      <c r="DBK90"/>
      <c r="DBL90"/>
      <c r="DBM90"/>
      <c r="DBN90"/>
      <c r="DBO90"/>
      <c r="DBP90"/>
      <c r="DBQ90"/>
      <c r="DBR90"/>
      <c r="DBS90"/>
      <c r="DBT90"/>
      <c r="DBU90"/>
      <c r="DBV90"/>
      <c r="DBW90"/>
      <c r="DBX90"/>
      <c r="DBY90"/>
      <c r="DBZ90"/>
      <c r="DCA90"/>
      <c r="DCB90"/>
      <c r="DCC90"/>
      <c r="DCD90"/>
      <c r="DCE90"/>
      <c r="DCF90"/>
      <c r="DCG90"/>
      <c r="DCH90"/>
      <c r="DCI90"/>
      <c r="DCJ90"/>
      <c r="DCK90"/>
      <c r="DCL90"/>
      <c r="DCM90"/>
      <c r="DCN90"/>
      <c r="DCO90"/>
      <c r="DCP90"/>
      <c r="DCQ90"/>
      <c r="DCR90"/>
      <c r="DCS90"/>
      <c r="DCT90"/>
      <c r="DCU90"/>
      <c r="DCV90"/>
      <c r="DCW90"/>
      <c r="DCX90"/>
      <c r="DCY90"/>
      <c r="DCZ90"/>
      <c r="DDA90"/>
      <c r="DDB90"/>
      <c r="DDC90"/>
      <c r="DDD90"/>
      <c r="DDE90"/>
      <c r="DDF90"/>
      <c r="DDG90"/>
      <c r="DDH90"/>
      <c r="DDI90"/>
      <c r="DDJ90"/>
      <c r="DDK90"/>
      <c r="DDL90"/>
      <c r="DDM90"/>
      <c r="DDN90"/>
      <c r="DDO90"/>
      <c r="DDP90"/>
      <c r="DDQ90"/>
      <c r="DDR90"/>
      <c r="DDS90"/>
      <c r="DDT90"/>
      <c r="DDU90"/>
      <c r="DDV90"/>
      <c r="DDW90"/>
      <c r="DDX90"/>
      <c r="DDY90"/>
      <c r="DDZ90"/>
      <c r="DEA90"/>
      <c r="DEB90"/>
      <c r="DEC90"/>
      <c r="DED90"/>
      <c r="DEE90"/>
      <c r="DEF90"/>
      <c r="DEG90"/>
      <c r="DEH90"/>
      <c r="DEI90"/>
      <c r="DEJ90"/>
      <c r="DEK90"/>
      <c r="DEL90"/>
      <c r="DEM90"/>
      <c r="DEN90"/>
      <c r="DEO90"/>
      <c r="DEP90"/>
      <c r="DEQ90"/>
      <c r="DER90"/>
      <c r="DES90"/>
      <c r="DET90"/>
      <c r="DEU90"/>
      <c r="DEV90"/>
      <c r="DEW90"/>
      <c r="DEX90"/>
      <c r="DEY90"/>
      <c r="DEZ90"/>
      <c r="DFA90"/>
      <c r="DFB90"/>
      <c r="DFC90"/>
      <c r="DFD90"/>
      <c r="DFE90"/>
      <c r="DFF90"/>
      <c r="DFG90"/>
      <c r="DFH90"/>
      <c r="DFI90"/>
      <c r="DFJ90"/>
      <c r="DFK90"/>
      <c r="DFL90"/>
      <c r="DFM90"/>
      <c r="DFN90"/>
      <c r="DFO90"/>
      <c r="DFP90"/>
      <c r="DFQ90"/>
      <c r="DFR90"/>
      <c r="DFS90"/>
      <c r="DFT90"/>
      <c r="DFU90"/>
      <c r="DFV90"/>
      <c r="DFW90"/>
      <c r="DFX90"/>
      <c r="DFY90"/>
      <c r="DFZ90"/>
      <c r="DGA90"/>
      <c r="DGB90"/>
      <c r="DGC90"/>
      <c r="DGD90"/>
      <c r="DGE90"/>
      <c r="DGF90"/>
      <c r="DGG90"/>
      <c r="DGH90"/>
      <c r="DGI90"/>
      <c r="DGJ90"/>
      <c r="DGK90"/>
      <c r="DGL90"/>
      <c r="DGM90"/>
      <c r="DGN90"/>
      <c r="DGO90"/>
      <c r="DGP90"/>
      <c r="DGQ90"/>
      <c r="DGR90"/>
      <c r="DGS90"/>
      <c r="DGT90"/>
      <c r="DGU90"/>
      <c r="DGV90"/>
      <c r="DGW90"/>
      <c r="DGX90"/>
      <c r="DGY90"/>
      <c r="DGZ90"/>
      <c r="DHA90"/>
      <c r="DHB90"/>
      <c r="DHC90"/>
      <c r="DHD90"/>
      <c r="DHE90"/>
      <c r="DHF90"/>
      <c r="DHG90"/>
      <c r="DHH90"/>
      <c r="DHI90"/>
      <c r="DHJ90"/>
      <c r="DHK90"/>
      <c r="DHL90"/>
      <c r="DHM90"/>
      <c r="DHN90"/>
      <c r="DHO90"/>
      <c r="DHP90"/>
      <c r="DHQ90"/>
      <c r="DHR90"/>
      <c r="DHS90"/>
      <c r="DHT90"/>
      <c r="DHU90"/>
      <c r="DHV90"/>
      <c r="DHW90"/>
      <c r="DHX90"/>
      <c r="DHY90"/>
      <c r="DHZ90"/>
      <c r="DIA90"/>
      <c r="DIB90"/>
      <c r="DIC90"/>
      <c r="DID90"/>
      <c r="DIE90"/>
      <c r="DIF90"/>
      <c r="DIG90"/>
      <c r="DIH90"/>
      <c r="DII90"/>
      <c r="DIJ90"/>
      <c r="DIK90"/>
      <c r="DIL90"/>
      <c r="DIM90"/>
      <c r="DIN90"/>
      <c r="DIO90"/>
      <c r="DIP90"/>
      <c r="DIQ90"/>
      <c r="DIR90"/>
      <c r="DIS90"/>
      <c r="DIT90"/>
      <c r="DIU90"/>
      <c r="DIV90"/>
      <c r="DIW90"/>
      <c r="DIX90"/>
      <c r="DIY90"/>
      <c r="DIZ90"/>
      <c r="DJA90"/>
      <c r="DJB90"/>
      <c r="DJC90"/>
      <c r="DJD90"/>
      <c r="DJE90"/>
      <c r="DJF90"/>
      <c r="DJG90"/>
      <c r="DJH90"/>
      <c r="DJI90"/>
      <c r="DJJ90"/>
      <c r="DJK90"/>
      <c r="DJL90"/>
      <c r="DJM90"/>
      <c r="DJN90"/>
      <c r="DJO90"/>
      <c r="DJP90"/>
      <c r="DJQ90"/>
      <c r="DJR90"/>
      <c r="DJS90"/>
      <c r="DJT90"/>
      <c r="DJU90"/>
      <c r="DJV90"/>
      <c r="DJW90"/>
      <c r="DJX90"/>
      <c r="DJY90"/>
      <c r="DJZ90"/>
      <c r="DKA90"/>
      <c r="DKB90"/>
      <c r="DKC90"/>
      <c r="DKD90"/>
      <c r="DKE90"/>
      <c r="DKF90"/>
      <c r="DKG90"/>
      <c r="DKH90"/>
      <c r="DKI90"/>
      <c r="DKJ90"/>
      <c r="DKK90"/>
      <c r="DKL90"/>
      <c r="DKM90"/>
      <c r="DKN90"/>
      <c r="DKO90"/>
      <c r="DKP90"/>
      <c r="DKQ90"/>
      <c r="DKR90"/>
      <c r="DKS90"/>
      <c r="DKT90"/>
      <c r="DKU90"/>
      <c r="DKV90"/>
      <c r="DKW90"/>
      <c r="DKX90"/>
      <c r="DKY90"/>
      <c r="DKZ90"/>
      <c r="DLA90"/>
      <c r="DLB90"/>
      <c r="DLC90"/>
      <c r="DLD90"/>
      <c r="DLE90"/>
      <c r="DLF90"/>
      <c r="DLG90"/>
      <c r="DLH90"/>
      <c r="DLI90"/>
      <c r="DLJ90"/>
      <c r="DLK90"/>
      <c r="DLL90"/>
      <c r="DLM90"/>
      <c r="DLN90"/>
      <c r="DLO90"/>
      <c r="DLP90"/>
      <c r="DLQ90"/>
      <c r="DLR90"/>
      <c r="DLS90"/>
      <c r="DLT90"/>
      <c r="DLU90"/>
      <c r="DLV90"/>
      <c r="DLW90"/>
      <c r="DLX90"/>
      <c r="DLY90"/>
      <c r="DLZ90"/>
      <c r="DMA90"/>
      <c r="DMB90"/>
      <c r="DMC90"/>
      <c r="DMD90"/>
      <c r="DME90"/>
      <c r="DMF90"/>
      <c r="DMG90"/>
      <c r="DMH90"/>
      <c r="DMI90"/>
      <c r="DMJ90"/>
      <c r="DMK90"/>
      <c r="DML90"/>
      <c r="DMM90"/>
      <c r="DMN90"/>
      <c r="DMO90"/>
      <c r="DMP90"/>
      <c r="DMQ90"/>
      <c r="DMR90"/>
      <c r="DMS90"/>
      <c r="DMT90"/>
      <c r="DMU90"/>
      <c r="DMV90"/>
      <c r="DMW90"/>
      <c r="DMX90"/>
      <c r="DMY90"/>
      <c r="DMZ90"/>
      <c r="DNA90"/>
      <c r="DNB90"/>
      <c r="DNC90"/>
      <c r="DND90"/>
      <c r="DNE90"/>
      <c r="DNF90"/>
      <c r="DNG90"/>
      <c r="DNH90"/>
      <c r="DNI90"/>
      <c r="DNJ90"/>
      <c r="DNK90"/>
      <c r="DNL90"/>
      <c r="DNM90"/>
      <c r="DNN90"/>
      <c r="DNO90"/>
      <c r="DNP90"/>
      <c r="DNQ90"/>
      <c r="DNR90"/>
      <c r="DNS90"/>
      <c r="DNT90"/>
      <c r="DNU90"/>
      <c r="DNV90"/>
      <c r="DNW90"/>
      <c r="DNX90"/>
      <c r="DNY90"/>
      <c r="DNZ90"/>
      <c r="DOA90"/>
      <c r="DOB90"/>
      <c r="DOC90"/>
      <c r="DOD90"/>
      <c r="DOE90"/>
      <c r="DOF90"/>
      <c r="DOG90"/>
      <c r="DOH90"/>
      <c r="DOI90"/>
      <c r="DOJ90"/>
      <c r="DOK90"/>
      <c r="DOL90"/>
      <c r="DOM90"/>
      <c r="DON90"/>
      <c r="DOO90"/>
      <c r="DOP90"/>
      <c r="DOQ90"/>
      <c r="DOR90"/>
      <c r="DOS90"/>
      <c r="DOT90"/>
      <c r="DOU90"/>
      <c r="DOV90"/>
      <c r="DOW90"/>
      <c r="DOX90"/>
      <c r="DOY90"/>
      <c r="DOZ90"/>
      <c r="DPA90"/>
      <c r="DPB90"/>
      <c r="DPC90"/>
      <c r="DPD90"/>
      <c r="DPE90"/>
      <c r="DPF90"/>
      <c r="DPG90"/>
      <c r="DPH90"/>
      <c r="DPI90"/>
      <c r="DPJ90"/>
      <c r="DPK90"/>
      <c r="DPL90"/>
      <c r="DPM90"/>
      <c r="DPN90"/>
      <c r="DPO90"/>
      <c r="DPP90"/>
      <c r="DPQ90"/>
      <c r="DPR90"/>
      <c r="DPS90"/>
      <c r="DPT90"/>
      <c r="DPU90"/>
      <c r="DPV90"/>
      <c r="DPW90"/>
      <c r="DPX90"/>
      <c r="DPY90"/>
      <c r="DPZ90"/>
      <c r="DQA90"/>
      <c r="DQB90"/>
      <c r="DQC90"/>
      <c r="DQD90"/>
      <c r="DQE90"/>
      <c r="DQF90"/>
      <c r="DQG90"/>
      <c r="DQH90"/>
      <c r="DQI90"/>
      <c r="DQJ90"/>
      <c r="DQK90"/>
      <c r="DQL90"/>
      <c r="DQM90"/>
      <c r="DQN90"/>
      <c r="DQO90"/>
      <c r="DQP90"/>
      <c r="DQQ90"/>
      <c r="DQR90"/>
      <c r="DQS90"/>
      <c r="DQT90"/>
      <c r="DQU90"/>
      <c r="DQV90"/>
      <c r="DQW90"/>
      <c r="DQX90"/>
      <c r="DQY90"/>
      <c r="DQZ90"/>
      <c r="DRA90"/>
      <c r="DRB90"/>
      <c r="DRC90"/>
      <c r="DRD90"/>
      <c r="DRE90"/>
      <c r="DRF90"/>
      <c r="DRG90"/>
      <c r="DRH90"/>
      <c r="DRI90"/>
      <c r="DRJ90"/>
      <c r="DRK90"/>
      <c r="DRL90"/>
      <c r="DRM90"/>
      <c r="DRN90"/>
      <c r="DRO90"/>
      <c r="DRP90"/>
      <c r="DRQ90"/>
      <c r="DRR90"/>
      <c r="DRS90"/>
      <c r="DRT90"/>
      <c r="DRU90"/>
      <c r="DRV90"/>
      <c r="DRW90"/>
      <c r="DRX90"/>
      <c r="DRY90"/>
      <c r="DRZ90"/>
      <c r="DSA90"/>
      <c r="DSB90"/>
      <c r="DSC90"/>
      <c r="DSD90"/>
      <c r="DSE90"/>
      <c r="DSF90"/>
      <c r="DSG90"/>
      <c r="DSH90"/>
      <c r="DSI90"/>
      <c r="DSJ90"/>
      <c r="DSK90"/>
      <c r="DSL90"/>
      <c r="DSM90"/>
      <c r="DSN90"/>
      <c r="DSO90"/>
      <c r="DSP90"/>
      <c r="DSQ90"/>
      <c r="DSR90"/>
      <c r="DSS90"/>
      <c r="DST90"/>
      <c r="DSU90"/>
      <c r="DSV90"/>
      <c r="DSW90"/>
      <c r="DSX90"/>
      <c r="DSY90"/>
      <c r="DSZ90"/>
      <c r="DTA90"/>
      <c r="DTB90"/>
      <c r="DTC90"/>
      <c r="DTD90"/>
      <c r="DTE90"/>
      <c r="DTF90"/>
      <c r="DTG90"/>
      <c r="DTH90"/>
      <c r="DTI90"/>
      <c r="DTJ90"/>
      <c r="DTK90"/>
      <c r="DTL90"/>
      <c r="DTM90"/>
      <c r="DTN90"/>
      <c r="DTO90"/>
      <c r="DTP90"/>
      <c r="DTQ90"/>
      <c r="DTR90"/>
      <c r="DTS90"/>
      <c r="DTT90"/>
      <c r="DTU90"/>
      <c r="DTV90"/>
      <c r="DTW90"/>
      <c r="DTX90"/>
      <c r="DTY90"/>
      <c r="DTZ90"/>
      <c r="DUA90"/>
      <c r="DUB90"/>
      <c r="DUC90"/>
      <c r="DUD90"/>
      <c r="DUE90"/>
      <c r="DUF90"/>
      <c r="DUG90"/>
      <c r="DUH90"/>
      <c r="DUI90"/>
      <c r="DUJ90"/>
      <c r="DUK90"/>
      <c r="DUL90"/>
      <c r="DUM90"/>
      <c r="DUN90"/>
      <c r="DUO90"/>
      <c r="DUP90"/>
      <c r="DUQ90"/>
      <c r="DUR90"/>
      <c r="DUS90"/>
      <c r="DUT90"/>
      <c r="DUU90"/>
      <c r="DUV90"/>
      <c r="DUW90"/>
      <c r="DUX90"/>
      <c r="DUY90"/>
      <c r="DUZ90"/>
      <c r="DVA90"/>
      <c r="DVB90"/>
      <c r="DVC90"/>
      <c r="DVD90"/>
      <c r="DVE90"/>
      <c r="DVF90"/>
      <c r="DVG90"/>
      <c r="DVH90"/>
      <c r="DVI90"/>
      <c r="DVJ90"/>
      <c r="DVK90"/>
      <c r="DVL90"/>
      <c r="DVM90"/>
      <c r="DVN90"/>
      <c r="DVO90"/>
      <c r="DVP90"/>
      <c r="DVQ90"/>
      <c r="DVR90"/>
      <c r="DVS90"/>
      <c r="DVT90"/>
      <c r="DVU90"/>
      <c r="DVV90"/>
      <c r="DVW90"/>
      <c r="DVX90"/>
      <c r="DVY90"/>
      <c r="DVZ90"/>
      <c r="DWA90"/>
      <c r="DWB90"/>
      <c r="DWC90"/>
      <c r="DWD90"/>
      <c r="DWE90"/>
      <c r="DWF90"/>
      <c r="DWG90"/>
      <c r="DWH90"/>
      <c r="DWI90"/>
      <c r="DWJ90"/>
      <c r="DWK90"/>
      <c r="DWL90"/>
      <c r="DWM90"/>
      <c r="DWN90"/>
      <c r="DWO90"/>
      <c r="DWP90"/>
      <c r="DWQ90"/>
      <c r="DWR90"/>
      <c r="DWS90"/>
      <c r="DWT90"/>
      <c r="DWU90"/>
      <c r="DWV90"/>
      <c r="DWW90"/>
      <c r="DWX90"/>
      <c r="DWY90"/>
      <c r="DWZ90"/>
      <c r="DXA90"/>
      <c r="DXB90"/>
      <c r="DXC90"/>
      <c r="DXD90"/>
      <c r="DXE90"/>
      <c r="DXF90"/>
      <c r="DXG90"/>
      <c r="DXH90"/>
      <c r="DXI90"/>
      <c r="DXJ90"/>
      <c r="DXK90"/>
      <c r="DXL90"/>
      <c r="DXM90"/>
      <c r="DXN90"/>
      <c r="DXO90"/>
      <c r="DXP90"/>
      <c r="DXQ90"/>
      <c r="DXR90"/>
      <c r="DXS90"/>
      <c r="DXT90"/>
      <c r="DXU90"/>
      <c r="DXV90"/>
      <c r="DXW90"/>
      <c r="DXX90"/>
      <c r="DXY90"/>
      <c r="DXZ90"/>
      <c r="DYA90"/>
      <c r="DYB90"/>
      <c r="DYC90"/>
      <c r="DYD90"/>
      <c r="DYE90"/>
      <c r="DYF90"/>
      <c r="DYG90"/>
      <c r="DYH90"/>
      <c r="DYI90"/>
      <c r="DYJ90"/>
      <c r="DYK90"/>
      <c r="DYL90"/>
      <c r="DYM90"/>
      <c r="DYN90"/>
      <c r="DYO90"/>
      <c r="DYP90"/>
      <c r="DYQ90"/>
      <c r="DYR90"/>
      <c r="DYS90"/>
      <c r="DYT90"/>
      <c r="DYU90"/>
      <c r="DYV90"/>
      <c r="DYW90"/>
      <c r="DYX90"/>
      <c r="DYY90"/>
      <c r="DYZ90"/>
      <c r="DZA90"/>
      <c r="DZB90"/>
      <c r="DZC90"/>
      <c r="DZD90"/>
      <c r="DZE90"/>
      <c r="DZF90"/>
      <c r="DZG90"/>
      <c r="DZH90"/>
      <c r="DZI90"/>
      <c r="DZJ90"/>
      <c r="DZK90"/>
      <c r="DZL90"/>
      <c r="DZM90"/>
      <c r="DZN90"/>
      <c r="DZO90"/>
      <c r="DZP90"/>
      <c r="DZQ90"/>
      <c r="DZR90"/>
      <c r="DZS90"/>
      <c r="DZT90"/>
      <c r="DZU90"/>
      <c r="DZV90"/>
      <c r="DZW90"/>
      <c r="DZX90"/>
      <c r="DZY90"/>
      <c r="DZZ90"/>
      <c r="EAA90"/>
      <c r="EAB90"/>
      <c r="EAC90"/>
      <c r="EAD90"/>
      <c r="EAE90"/>
      <c r="EAF90"/>
      <c r="EAG90"/>
      <c r="EAH90"/>
      <c r="EAI90"/>
      <c r="EAJ90"/>
      <c r="EAK90"/>
      <c r="EAL90"/>
      <c r="EAM90"/>
      <c r="EAN90"/>
      <c r="EAO90"/>
      <c r="EAP90"/>
      <c r="EAQ90"/>
      <c r="EAR90"/>
      <c r="EAS90"/>
      <c r="EAT90"/>
      <c r="EAU90"/>
      <c r="EAV90"/>
      <c r="EAW90"/>
      <c r="EAX90"/>
      <c r="EAY90"/>
      <c r="EAZ90"/>
      <c r="EBA90"/>
      <c r="EBB90"/>
      <c r="EBC90"/>
      <c r="EBD90"/>
      <c r="EBE90"/>
      <c r="EBF90"/>
      <c r="EBG90"/>
      <c r="EBH90"/>
      <c r="EBI90"/>
      <c r="EBJ90"/>
      <c r="EBK90"/>
      <c r="EBL90"/>
      <c r="EBM90"/>
      <c r="EBN90"/>
      <c r="EBO90"/>
      <c r="EBP90"/>
      <c r="EBQ90"/>
      <c r="EBR90"/>
      <c r="EBS90"/>
      <c r="EBT90"/>
      <c r="EBU90"/>
      <c r="EBV90"/>
      <c r="EBW90"/>
      <c r="EBX90"/>
      <c r="EBY90"/>
      <c r="EBZ90"/>
      <c r="ECA90"/>
      <c r="ECB90"/>
      <c r="ECC90"/>
      <c r="ECD90"/>
      <c r="ECE90"/>
      <c r="ECF90"/>
      <c r="ECG90"/>
      <c r="ECH90"/>
      <c r="ECI90"/>
      <c r="ECJ90"/>
      <c r="ECK90"/>
      <c r="ECL90"/>
      <c r="ECM90"/>
      <c r="ECN90"/>
      <c r="ECO90"/>
      <c r="ECP90"/>
      <c r="ECQ90"/>
      <c r="ECR90"/>
      <c r="ECS90"/>
      <c r="ECT90"/>
      <c r="ECU90"/>
      <c r="ECV90"/>
      <c r="ECW90"/>
      <c r="ECX90"/>
      <c r="ECY90"/>
      <c r="ECZ90"/>
      <c r="EDA90"/>
      <c r="EDB90"/>
      <c r="EDC90"/>
      <c r="EDD90"/>
      <c r="EDE90"/>
      <c r="EDF90"/>
      <c r="EDG90"/>
      <c r="EDH90"/>
      <c r="EDI90"/>
      <c r="EDJ90"/>
      <c r="EDK90"/>
      <c r="EDL90"/>
      <c r="EDM90"/>
      <c r="EDN90"/>
      <c r="EDO90"/>
      <c r="EDP90"/>
      <c r="EDQ90"/>
      <c r="EDR90"/>
      <c r="EDS90"/>
      <c r="EDT90"/>
      <c r="EDU90"/>
      <c r="EDV90"/>
      <c r="EDW90"/>
      <c r="EDX90"/>
      <c r="EDY90"/>
      <c r="EDZ90"/>
      <c r="EEA90"/>
      <c r="EEB90"/>
      <c r="EEC90"/>
      <c r="EED90"/>
      <c r="EEE90"/>
      <c r="EEF90"/>
      <c r="EEG90"/>
      <c r="EEH90"/>
      <c r="EEI90"/>
      <c r="EEJ90"/>
      <c r="EEK90"/>
      <c r="EEL90"/>
      <c r="EEM90"/>
      <c r="EEN90"/>
      <c r="EEO90"/>
      <c r="EEP90"/>
      <c r="EEQ90"/>
      <c r="EER90"/>
      <c r="EES90"/>
      <c r="EET90"/>
      <c r="EEU90"/>
      <c r="EEV90"/>
      <c r="EEW90"/>
      <c r="EEX90"/>
      <c r="EEY90"/>
      <c r="EEZ90"/>
      <c r="EFA90"/>
      <c r="EFB90"/>
      <c r="EFC90"/>
      <c r="EFD90"/>
      <c r="EFE90"/>
      <c r="EFF90"/>
      <c r="EFG90"/>
      <c r="EFH90"/>
      <c r="EFI90"/>
      <c r="EFJ90"/>
      <c r="EFK90"/>
      <c r="EFL90"/>
      <c r="EFM90"/>
      <c r="EFN90"/>
      <c r="EFO90"/>
      <c r="EFP90"/>
      <c r="EFQ90"/>
      <c r="EFR90"/>
      <c r="EFS90"/>
      <c r="EFT90"/>
      <c r="EFU90"/>
      <c r="EFV90"/>
      <c r="EFW90"/>
      <c r="EFX90"/>
      <c r="EFY90"/>
      <c r="EFZ90"/>
      <c r="EGA90"/>
      <c r="EGB90"/>
      <c r="EGC90"/>
      <c r="EGD90"/>
      <c r="EGE90"/>
      <c r="EGF90"/>
      <c r="EGG90"/>
      <c r="EGH90"/>
      <c r="EGI90"/>
      <c r="EGJ90"/>
      <c r="EGK90"/>
      <c r="EGL90"/>
      <c r="EGM90"/>
      <c r="EGN90"/>
      <c r="EGO90"/>
      <c r="EGP90"/>
      <c r="EGQ90"/>
      <c r="EGR90"/>
      <c r="EGS90"/>
      <c r="EGT90"/>
      <c r="EGU90"/>
      <c r="EGV90"/>
      <c r="EGW90"/>
      <c r="EGX90"/>
      <c r="EGY90"/>
      <c r="EGZ90"/>
      <c r="EHA90"/>
      <c r="EHB90"/>
      <c r="EHC90"/>
      <c r="EHD90"/>
      <c r="EHE90"/>
      <c r="EHF90"/>
      <c r="EHG90"/>
      <c r="EHH90"/>
      <c r="EHI90"/>
      <c r="EHJ90"/>
      <c r="EHK90"/>
      <c r="EHL90"/>
      <c r="EHM90"/>
      <c r="EHN90"/>
      <c r="EHO90"/>
      <c r="EHP90"/>
      <c r="EHQ90"/>
      <c r="EHR90"/>
      <c r="EHS90"/>
      <c r="EHT90"/>
      <c r="EHU90"/>
      <c r="EHV90"/>
      <c r="EHW90"/>
      <c r="EHX90"/>
      <c r="EHY90"/>
      <c r="EHZ90"/>
      <c r="EIA90"/>
      <c r="EIB90"/>
      <c r="EIC90"/>
      <c r="EID90"/>
      <c r="EIE90"/>
      <c r="EIF90"/>
      <c r="EIG90"/>
      <c r="EIH90"/>
      <c r="EII90"/>
      <c r="EIJ90"/>
      <c r="EIK90"/>
      <c r="EIL90"/>
      <c r="EIM90"/>
      <c r="EIN90"/>
      <c r="EIO90"/>
      <c r="EIP90"/>
      <c r="EIQ90"/>
      <c r="EIR90"/>
      <c r="EIS90"/>
      <c r="EIT90"/>
      <c r="EIU90"/>
      <c r="EIV90"/>
      <c r="EIW90"/>
      <c r="EIX90"/>
      <c r="EIY90"/>
      <c r="EIZ90"/>
      <c r="EJA90"/>
      <c r="EJB90"/>
      <c r="EJC90"/>
      <c r="EJD90"/>
      <c r="EJE90"/>
      <c r="EJF90"/>
      <c r="EJG90"/>
      <c r="EJH90"/>
      <c r="EJI90"/>
      <c r="EJJ90"/>
      <c r="EJK90"/>
      <c r="EJL90"/>
      <c r="EJM90"/>
      <c r="EJN90"/>
      <c r="EJO90"/>
      <c r="EJP90"/>
      <c r="EJQ90"/>
      <c r="EJR90"/>
      <c r="EJS90"/>
      <c r="EJT90"/>
      <c r="EJU90"/>
      <c r="EJV90"/>
      <c r="EJW90"/>
      <c r="EJX90"/>
      <c r="EJY90"/>
      <c r="EJZ90"/>
      <c r="EKA90"/>
      <c r="EKB90"/>
      <c r="EKC90"/>
      <c r="EKD90"/>
      <c r="EKE90"/>
      <c r="EKF90"/>
      <c r="EKG90"/>
      <c r="EKH90"/>
      <c r="EKI90"/>
      <c r="EKJ90"/>
      <c r="EKK90"/>
      <c r="EKL90"/>
      <c r="EKM90"/>
      <c r="EKN90"/>
      <c r="EKO90"/>
      <c r="EKP90"/>
      <c r="EKQ90"/>
      <c r="EKR90"/>
      <c r="EKS90"/>
      <c r="EKT90"/>
      <c r="EKU90"/>
      <c r="EKV90"/>
      <c r="EKW90"/>
      <c r="EKX90"/>
      <c r="EKY90"/>
      <c r="EKZ90"/>
      <c r="ELA90"/>
      <c r="ELB90"/>
      <c r="ELC90"/>
      <c r="ELD90"/>
      <c r="ELE90"/>
      <c r="ELF90"/>
      <c r="ELG90"/>
      <c r="ELH90"/>
      <c r="ELI90"/>
      <c r="ELJ90"/>
      <c r="ELK90"/>
      <c r="ELL90"/>
      <c r="ELM90"/>
      <c r="ELN90"/>
      <c r="ELO90"/>
      <c r="ELP90"/>
      <c r="ELQ90"/>
      <c r="ELR90"/>
      <c r="ELS90"/>
      <c r="ELT90"/>
      <c r="ELU90"/>
      <c r="ELV90"/>
      <c r="ELW90"/>
      <c r="ELX90"/>
      <c r="ELY90"/>
      <c r="ELZ90"/>
      <c r="EMA90"/>
      <c r="EMB90"/>
      <c r="EMC90"/>
      <c r="EMD90"/>
      <c r="EME90"/>
      <c r="EMF90"/>
      <c r="EMG90"/>
      <c r="EMH90"/>
      <c r="EMI90"/>
      <c r="EMJ90"/>
      <c r="EMK90"/>
      <c r="EML90"/>
      <c r="EMM90"/>
      <c r="EMN90"/>
      <c r="EMO90"/>
      <c r="EMP90"/>
      <c r="EMQ90"/>
      <c r="EMR90"/>
      <c r="EMS90"/>
      <c r="EMT90"/>
      <c r="EMU90"/>
      <c r="EMV90"/>
      <c r="EMW90"/>
      <c r="EMX90"/>
      <c r="EMY90"/>
      <c r="EMZ90"/>
      <c r="ENA90"/>
      <c r="ENB90"/>
      <c r="ENC90"/>
      <c r="END90"/>
      <c r="ENE90"/>
      <c r="ENF90"/>
      <c r="ENG90"/>
      <c r="ENH90"/>
      <c r="ENI90"/>
      <c r="ENJ90"/>
      <c r="ENK90"/>
      <c r="ENL90"/>
      <c r="ENM90"/>
      <c r="ENN90"/>
      <c r="ENO90"/>
      <c r="ENP90"/>
      <c r="ENQ90"/>
      <c r="ENR90"/>
      <c r="ENS90"/>
      <c r="ENT90"/>
      <c r="ENU90"/>
      <c r="ENV90"/>
      <c r="ENW90"/>
      <c r="ENX90"/>
      <c r="ENY90"/>
      <c r="ENZ90"/>
      <c r="EOA90"/>
      <c r="EOB90"/>
      <c r="EOC90"/>
      <c r="EOD90"/>
      <c r="EOE90"/>
      <c r="EOF90"/>
      <c r="EOG90"/>
      <c r="EOH90"/>
      <c r="EOI90"/>
      <c r="EOJ90"/>
      <c r="EOK90"/>
      <c r="EOL90"/>
      <c r="EOM90"/>
      <c r="EON90"/>
      <c r="EOO90"/>
      <c r="EOP90"/>
      <c r="EOQ90"/>
      <c r="EOR90"/>
      <c r="EOS90"/>
      <c r="EOT90"/>
      <c r="EOU90"/>
      <c r="EOV90"/>
      <c r="EOW90"/>
      <c r="EOX90"/>
      <c r="EOY90"/>
      <c r="EOZ90"/>
      <c r="EPA90"/>
      <c r="EPB90"/>
      <c r="EPC90"/>
      <c r="EPD90"/>
      <c r="EPE90"/>
      <c r="EPF90"/>
      <c r="EPG90"/>
      <c r="EPH90"/>
      <c r="EPI90"/>
      <c r="EPJ90"/>
      <c r="EPK90"/>
      <c r="EPL90"/>
      <c r="EPM90"/>
      <c r="EPN90"/>
      <c r="EPO90"/>
      <c r="EPP90"/>
      <c r="EPQ90"/>
      <c r="EPR90"/>
      <c r="EPS90"/>
      <c r="EPT90"/>
      <c r="EPU90"/>
      <c r="EPV90"/>
      <c r="EPW90"/>
      <c r="EPX90"/>
      <c r="EPY90"/>
      <c r="EPZ90"/>
      <c r="EQA90"/>
      <c r="EQB90"/>
      <c r="EQC90"/>
      <c r="EQD90"/>
      <c r="EQE90"/>
      <c r="EQF90"/>
      <c r="EQG90"/>
      <c r="EQH90"/>
      <c r="EQI90"/>
      <c r="EQJ90"/>
      <c r="EQK90"/>
      <c r="EQL90"/>
      <c r="EQM90"/>
      <c r="EQN90"/>
      <c r="EQO90"/>
      <c r="EQP90"/>
      <c r="EQQ90"/>
      <c r="EQR90"/>
      <c r="EQS90"/>
      <c r="EQT90"/>
      <c r="EQU90"/>
      <c r="EQV90"/>
      <c r="EQW90"/>
      <c r="EQX90"/>
      <c r="EQY90"/>
      <c r="EQZ90"/>
      <c r="ERA90"/>
      <c r="ERB90"/>
      <c r="ERC90"/>
      <c r="ERD90"/>
      <c r="ERE90"/>
      <c r="ERF90"/>
      <c r="ERG90"/>
      <c r="ERH90"/>
      <c r="ERI90"/>
      <c r="ERJ90"/>
      <c r="ERK90"/>
      <c r="ERL90"/>
      <c r="ERM90"/>
      <c r="ERN90"/>
      <c r="ERO90"/>
      <c r="ERP90"/>
      <c r="ERQ90"/>
      <c r="ERR90"/>
      <c r="ERS90"/>
      <c r="ERT90"/>
      <c r="ERU90"/>
      <c r="ERV90"/>
      <c r="ERW90"/>
      <c r="ERX90"/>
      <c r="ERY90"/>
      <c r="ERZ90"/>
      <c r="ESA90"/>
      <c r="ESB90"/>
      <c r="ESC90"/>
      <c r="ESD90"/>
      <c r="ESE90"/>
      <c r="ESF90"/>
      <c r="ESG90"/>
      <c r="ESH90"/>
      <c r="ESI90"/>
      <c r="ESJ90"/>
      <c r="ESK90"/>
      <c r="ESL90"/>
      <c r="ESM90"/>
      <c r="ESN90"/>
      <c r="ESO90"/>
      <c r="ESP90"/>
      <c r="ESQ90"/>
      <c r="ESR90"/>
      <c r="ESS90"/>
      <c r="EST90"/>
      <c r="ESU90"/>
      <c r="ESV90"/>
      <c r="ESW90"/>
      <c r="ESX90"/>
      <c r="ESY90"/>
      <c r="ESZ90"/>
      <c r="ETA90"/>
      <c r="ETB90"/>
      <c r="ETC90"/>
      <c r="ETD90"/>
      <c r="ETE90"/>
      <c r="ETF90"/>
      <c r="ETG90"/>
      <c r="ETH90"/>
      <c r="ETI90"/>
      <c r="ETJ90"/>
      <c r="ETK90"/>
      <c r="ETL90"/>
      <c r="ETM90"/>
      <c r="ETN90"/>
      <c r="ETO90"/>
      <c r="ETP90"/>
      <c r="ETQ90"/>
      <c r="ETR90"/>
      <c r="ETS90"/>
      <c r="ETT90"/>
      <c r="ETU90"/>
      <c r="ETV90"/>
      <c r="ETW90"/>
      <c r="ETX90"/>
      <c r="ETY90"/>
      <c r="ETZ90"/>
      <c r="EUA90"/>
      <c r="EUB90"/>
      <c r="EUC90"/>
      <c r="EUD90"/>
      <c r="EUE90"/>
      <c r="EUF90"/>
      <c r="EUG90"/>
      <c r="EUH90"/>
      <c r="EUI90"/>
      <c r="EUJ90"/>
      <c r="EUK90"/>
      <c r="EUL90"/>
      <c r="EUM90"/>
      <c r="EUN90"/>
      <c r="EUO90"/>
      <c r="EUP90"/>
      <c r="EUQ90"/>
      <c r="EUR90"/>
      <c r="EUS90"/>
      <c r="EUT90"/>
      <c r="EUU90"/>
      <c r="EUV90"/>
      <c r="EUW90"/>
      <c r="EUX90"/>
      <c r="EUY90"/>
      <c r="EUZ90"/>
      <c r="EVA90"/>
      <c r="EVB90"/>
      <c r="EVC90"/>
      <c r="EVD90"/>
      <c r="EVE90"/>
      <c r="EVF90"/>
      <c r="EVG90"/>
      <c r="EVH90"/>
      <c r="EVI90"/>
      <c r="EVJ90"/>
      <c r="EVK90"/>
      <c r="EVL90"/>
      <c r="EVM90"/>
      <c r="EVN90"/>
      <c r="EVO90"/>
      <c r="EVP90"/>
      <c r="EVQ90"/>
      <c r="EVR90"/>
      <c r="EVS90"/>
      <c r="EVT90"/>
      <c r="EVU90"/>
      <c r="EVV90"/>
      <c r="EVW90"/>
      <c r="EVX90"/>
      <c r="EVY90"/>
      <c r="EVZ90"/>
      <c r="EWA90"/>
      <c r="EWB90"/>
      <c r="EWC90"/>
      <c r="EWD90"/>
      <c r="EWE90"/>
      <c r="EWF90"/>
      <c r="EWG90"/>
      <c r="EWH90"/>
      <c r="EWI90"/>
      <c r="EWJ90"/>
      <c r="EWK90"/>
      <c r="EWL90"/>
      <c r="EWM90"/>
      <c r="EWN90"/>
      <c r="EWO90"/>
      <c r="EWP90"/>
      <c r="EWQ90"/>
      <c r="EWR90"/>
      <c r="EWS90"/>
      <c r="EWT90"/>
      <c r="EWU90"/>
      <c r="EWV90"/>
      <c r="EWW90"/>
      <c r="EWX90"/>
      <c r="EWY90"/>
      <c r="EWZ90"/>
      <c r="EXA90"/>
      <c r="EXB90"/>
      <c r="EXC90"/>
      <c r="EXD90"/>
      <c r="EXE90"/>
      <c r="EXF90"/>
      <c r="EXG90"/>
      <c r="EXH90"/>
      <c r="EXI90"/>
      <c r="EXJ90"/>
      <c r="EXK90"/>
      <c r="EXL90"/>
      <c r="EXM90"/>
      <c r="EXN90"/>
      <c r="EXO90"/>
      <c r="EXP90"/>
      <c r="EXQ90"/>
      <c r="EXR90"/>
      <c r="EXS90"/>
      <c r="EXT90"/>
      <c r="EXU90"/>
      <c r="EXV90"/>
      <c r="EXW90"/>
      <c r="EXX90"/>
      <c r="EXY90"/>
      <c r="EXZ90"/>
      <c r="EYA90"/>
      <c r="EYB90"/>
      <c r="EYC90"/>
      <c r="EYD90"/>
      <c r="EYE90"/>
      <c r="EYF90"/>
      <c r="EYG90"/>
      <c r="EYH90"/>
      <c r="EYI90"/>
      <c r="EYJ90"/>
      <c r="EYK90"/>
      <c r="EYL90"/>
      <c r="EYM90"/>
      <c r="EYN90"/>
      <c r="EYO90"/>
      <c r="EYP90"/>
      <c r="EYQ90"/>
      <c r="EYR90"/>
      <c r="EYS90"/>
      <c r="EYT90"/>
      <c r="EYU90"/>
      <c r="EYV90"/>
      <c r="EYW90"/>
      <c r="EYX90"/>
      <c r="EYY90"/>
      <c r="EYZ90"/>
      <c r="EZA90"/>
      <c r="EZB90"/>
      <c r="EZC90"/>
      <c r="EZD90"/>
      <c r="EZE90"/>
      <c r="EZF90"/>
      <c r="EZG90"/>
      <c r="EZH90"/>
      <c r="EZI90"/>
      <c r="EZJ90"/>
      <c r="EZK90"/>
      <c r="EZL90"/>
      <c r="EZM90"/>
      <c r="EZN90"/>
      <c r="EZO90"/>
      <c r="EZP90"/>
      <c r="EZQ90"/>
      <c r="EZR90"/>
      <c r="EZS90"/>
      <c r="EZT90"/>
      <c r="EZU90"/>
      <c r="EZV90"/>
      <c r="EZW90"/>
      <c r="EZX90"/>
      <c r="EZY90"/>
      <c r="EZZ90"/>
      <c r="FAA90"/>
      <c r="FAB90"/>
      <c r="FAC90"/>
      <c r="FAD90"/>
      <c r="FAE90"/>
      <c r="FAF90"/>
      <c r="FAG90"/>
      <c r="FAH90"/>
      <c r="FAI90"/>
      <c r="FAJ90"/>
      <c r="FAK90"/>
      <c r="FAL90"/>
      <c r="FAM90"/>
      <c r="FAN90"/>
      <c r="FAO90"/>
      <c r="FAP90"/>
      <c r="FAQ90"/>
      <c r="FAR90"/>
      <c r="FAS90"/>
      <c r="FAT90"/>
      <c r="FAU90"/>
      <c r="FAV90"/>
      <c r="FAW90"/>
      <c r="FAX90"/>
      <c r="FAY90"/>
      <c r="FAZ90"/>
      <c r="FBA90"/>
      <c r="FBB90"/>
      <c r="FBC90"/>
      <c r="FBD90"/>
      <c r="FBE90"/>
      <c r="FBF90"/>
      <c r="FBG90"/>
      <c r="FBH90"/>
      <c r="FBI90"/>
      <c r="FBJ90"/>
      <c r="FBK90"/>
      <c r="FBL90"/>
      <c r="FBM90"/>
      <c r="FBN90"/>
      <c r="FBO90"/>
      <c r="FBP90"/>
      <c r="FBQ90"/>
      <c r="FBR90"/>
      <c r="FBS90"/>
      <c r="FBT90"/>
      <c r="FBU90"/>
      <c r="FBV90"/>
      <c r="FBW90"/>
      <c r="FBX90"/>
      <c r="FBY90"/>
      <c r="FBZ90"/>
      <c r="FCA90"/>
      <c r="FCB90"/>
      <c r="FCC90"/>
      <c r="FCD90"/>
      <c r="FCE90"/>
      <c r="FCF90"/>
      <c r="FCG90"/>
      <c r="FCH90"/>
      <c r="FCI90"/>
      <c r="FCJ90"/>
      <c r="FCK90"/>
      <c r="FCL90"/>
      <c r="FCM90"/>
      <c r="FCN90"/>
      <c r="FCO90"/>
      <c r="FCP90"/>
      <c r="FCQ90"/>
      <c r="FCR90"/>
      <c r="FCS90"/>
      <c r="FCT90"/>
      <c r="FCU90"/>
      <c r="FCV90"/>
      <c r="FCW90"/>
      <c r="FCX90"/>
      <c r="FCY90"/>
      <c r="FCZ90"/>
      <c r="FDA90"/>
      <c r="FDB90"/>
      <c r="FDC90"/>
      <c r="FDD90"/>
      <c r="FDE90"/>
      <c r="FDF90"/>
      <c r="FDG90"/>
      <c r="FDH90"/>
      <c r="FDI90"/>
      <c r="FDJ90"/>
      <c r="FDK90"/>
      <c r="FDL90"/>
      <c r="FDM90"/>
      <c r="FDN90"/>
      <c r="FDO90"/>
      <c r="FDP90"/>
      <c r="FDQ90"/>
      <c r="FDR90"/>
      <c r="FDS90"/>
      <c r="FDT90"/>
      <c r="FDU90"/>
      <c r="FDV90"/>
      <c r="FDW90"/>
      <c r="FDX90"/>
      <c r="FDY90"/>
      <c r="FDZ90"/>
      <c r="FEA90"/>
      <c r="FEB90"/>
      <c r="FEC90"/>
      <c r="FED90"/>
      <c r="FEE90"/>
      <c r="FEF90"/>
      <c r="FEG90"/>
      <c r="FEH90"/>
      <c r="FEI90"/>
      <c r="FEJ90"/>
      <c r="FEK90"/>
      <c r="FEL90"/>
      <c r="FEM90"/>
      <c r="FEN90"/>
      <c r="FEO90"/>
      <c r="FEP90"/>
      <c r="FEQ90"/>
      <c r="FER90"/>
      <c r="FES90"/>
      <c r="FET90"/>
      <c r="FEU90"/>
      <c r="FEV90"/>
      <c r="FEW90"/>
      <c r="FEX90"/>
      <c r="FEY90"/>
      <c r="FEZ90"/>
      <c r="FFA90"/>
      <c r="FFB90"/>
      <c r="FFC90"/>
      <c r="FFD90"/>
      <c r="FFE90"/>
      <c r="FFF90"/>
      <c r="FFG90"/>
      <c r="FFH90"/>
      <c r="FFI90"/>
      <c r="FFJ90"/>
      <c r="FFK90"/>
      <c r="FFL90"/>
      <c r="FFM90"/>
      <c r="FFN90"/>
      <c r="FFO90"/>
      <c r="FFP90"/>
      <c r="FFQ90"/>
      <c r="FFR90"/>
      <c r="FFS90"/>
      <c r="FFT90"/>
      <c r="FFU90"/>
      <c r="FFV90"/>
      <c r="FFW90"/>
      <c r="FFX90"/>
      <c r="FFY90"/>
      <c r="FFZ90"/>
      <c r="FGA90"/>
      <c r="FGB90"/>
      <c r="FGC90"/>
      <c r="FGD90"/>
      <c r="FGE90"/>
      <c r="FGF90"/>
      <c r="FGG90"/>
      <c r="FGH90"/>
      <c r="FGI90"/>
      <c r="FGJ90"/>
      <c r="FGK90"/>
      <c r="FGL90"/>
      <c r="FGM90"/>
      <c r="FGN90"/>
      <c r="FGO90"/>
      <c r="FGP90"/>
      <c r="FGQ90"/>
      <c r="FGR90"/>
      <c r="FGS90"/>
      <c r="FGT90"/>
      <c r="FGU90"/>
      <c r="FGV90"/>
      <c r="FGW90"/>
      <c r="FGX90"/>
      <c r="FGY90"/>
      <c r="FGZ90"/>
      <c r="FHA90"/>
      <c r="FHB90"/>
      <c r="FHC90"/>
      <c r="FHD90"/>
      <c r="FHE90"/>
      <c r="FHF90"/>
      <c r="FHG90"/>
      <c r="FHH90"/>
      <c r="FHI90"/>
      <c r="FHJ90"/>
      <c r="FHK90"/>
      <c r="FHL90"/>
      <c r="FHM90"/>
      <c r="FHN90"/>
      <c r="FHO90"/>
      <c r="FHP90"/>
      <c r="FHQ90"/>
      <c r="FHR90"/>
      <c r="FHS90"/>
      <c r="FHT90"/>
      <c r="FHU90"/>
      <c r="FHV90"/>
      <c r="FHW90"/>
      <c r="FHX90"/>
      <c r="FHY90"/>
      <c r="FHZ90"/>
      <c r="FIA90"/>
      <c r="FIB90"/>
      <c r="FIC90"/>
      <c r="FID90"/>
      <c r="FIE90"/>
      <c r="FIF90"/>
      <c r="FIG90"/>
      <c r="FIH90"/>
      <c r="FII90"/>
      <c r="FIJ90"/>
      <c r="FIK90"/>
      <c r="FIL90"/>
      <c r="FIM90"/>
      <c r="FIN90"/>
      <c r="FIO90"/>
      <c r="FIP90"/>
      <c r="FIQ90"/>
      <c r="FIR90"/>
      <c r="FIS90"/>
      <c r="FIT90"/>
      <c r="FIU90"/>
      <c r="FIV90"/>
      <c r="FIW90"/>
      <c r="FIX90"/>
      <c r="FIY90"/>
      <c r="FIZ90"/>
      <c r="FJA90"/>
      <c r="FJB90"/>
      <c r="FJC90"/>
      <c r="FJD90"/>
      <c r="FJE90"/>
      <c r="FJF90"/>
      <c r="FJG90"/>
      <c r="FJH90"/>
      <c r="FJI90"/>
      <c r="FJJ90"/>
      <c r="FJK90"/>
      <c r="FJL90"/>
      <c r="FJM90"/>
      <c r="FJN90"/>
      <c r="FJO90"/>
      <c r="FJP90"/>
      <c r="FJQ90"/>
      <c r="FJR90"/>
      <c r="FJS90"/>
      <c r="FJT90"/>
      <c r="FJU90"/>
      <c r="FJV90"/>
      <c r="FJW90"/>
      <c r="FJX90"/>
      <c r="FJY90"/>
      <c r="FJZ90"/>
      <c r="FKA90"/>
      <c r="FKB90"/>
      <c r="FKC90"/>
      <c r="FKD90"/>
      <c r="FKE90"/>
      <c r="FKF90"/>
      <c r="FKG90"/>
      <c r="FKH90"/>
      <c r="FKI90"/>
      <c r="FKJ90"/>
      <c r="FKK90"/>
      <c r="FKL90"/>
      <c r="FKM90"/>
      <c r="FKN90"/>
      <c r="FKO90"/>
      <c r="FKP90"/>
      <c r="FKQ90"/>
      <c r="FKR90"/>
      <c r="FKS90"/>
      <c r="FKT90"/>
      <c r="FKU90"/>
      <c r="FKV90"/>
      <c r="FKW90"/>
      <c r="FKX90"/>
      <c r="FKY90"/>
      <c r="FKZ90"/>
      <c r="FLA90"/>
      <c r="FLB90"/>
      <c r="FLC90"/>
      <c r="FLD90"/>
      <c r="FLE90"/>
      <c r="FLF90"/>
      <c r="FLG90"/>
      <c r="FLH90"/>
      <c r="FLI90"/>
      <c r="FLJ90"/>
      <c r="FLK90"/>
      <c r="FLL90"/>
      <c r="FLM90"/>
      <c r="FLN90"/>
      <c r="FLO90"/>
      <c r="FLP90"/>
      <c r="FLQ90"/>
      <c r="FLR90"/>
      <c r="FLS90"/>
      <c r="FLT90"/>
      <c r="FLU90"/>
      <c r="FLV90"/>
      <c r="FLW90"/>
      <c r="FLX90"/>
      <c r="FLY90"/>
      <c r="FLZ90"/>
      <c r="FMA90"/>
      <c r="FMB90"/>
      <c r="FMC90"/>
      <c r="FMD90"/>
      <c r="FME90"/>
      <c r="FMF90"/>
      <c r="FMG90"/>
      <c r="FMH90"/>
      <c r="FMI90"/>
      <c r="FMJ90"/>
      <c r="FMK90"/>
      <c r="FML90"/>
      <c r="FMM90"/>
      <c r="FMN90"/>
      <c r="FMO90"/>
      <c r="FMP90"/>
      <c r="FMQ90"/>
      <c r="FMR90"/>
      <c r="FMS90"/>
      <c r="FMT90"/>
      <c r="FMU90"/>
      <c r="FMV90"/>
      <c r="FMW90"/>
      <c r="FMX90"/>
      <c r="FMY90"/>
      <c r="FMZ90"/>
      <c r="FNA90"/>
      <c r="FNB90"/>
      <c r="FNC90"/>
      <c r="FND90"/>
      <c r="FNE90"/>
      <c r="FNF90"/>
      <c r="FNG90"/>
      <c r="FNH90"/>
      <c r="FNI90"/>
      <c r="FNJ90"/>
      <c r="FNK90"/>
      <c r="FNL90"/>
      <c r="FNM90"/>
      <c r="FNN90"/>
      <c r="FNO90"/>
      <c r="FNP90"/>
      <c r="FNQ90"/>
      <c r="FNR90"/>
      <c r="FNS90"/>
      <c r="FNT90"/>
      <c r="FNU90"/>
      <c r="FNV90"/>
      <c r="FNW90"/>
      <c r="FNX90"/>
      <c r="FNY90"/>
      <c r="FNZ90"/>
      <c r="FOA90"/>
      <c r="FOB90"/>
      <c r="FOC90"/>
      <c r="FOD90"/>
      <c r="FOE90"/>
      <c r="FOF90"/>
      <c r="FOG90"/>
      <c r="FOH90"/>
      <c r="FOI90"/>
      <c r="FOJ90"/>
      <c r="FOK90"/>
      <c r="FOL90"/>
      <c r="FOM90"/>
      <c r="FON90"/>
      <c r="FOO90"/>
      <c r="FOP90"/>
      <c r="FOQ90"/>
      <c r="FOR90"/>
      <c r="FOS90"/>
      <c r="FOT90"/>
      <c r="FOU90"/>
      <c r="FOV90"/>
      <c r="FOW90"/>
      <c r="FOX90"/>
      <c r="FOY90"/>
      <c r="FOZ90"/>
      <c r="FPA90"/>
      <c r="FPB90"/>
      <c r="FPC90"/>
      <c r="FPD90"/>
      <c r="FPE90"/>
      <c r="FPF90"/>
      <c r="FPG90"/>
      <c r="FPH90"/>
      <c r="FPI90"/>
      <c r="FPJ90"/>
      <c r="FPK90"/>
      <c r="FPL90"/>
      <c r="FPM90"/>
      <c r="FPN90"/>
      <c r="FPO90"/>
      <c r="FPP90"/>
      <c r="FPQ90"/>
      <c r="FPR90"/>
      <c r="FPS90"/>
      <c r="FPT90"/>
      <c r="FPU90"/>
      <c r="FPV90"/>
      <c r="FPW90"/>
      <c r="FPX90"/>
      <c r="FPY90"/>
      <c r="FPZ90"/>
      <c r="FQA90"/>
      <c r="FQB90"/>
      <c r="FQC90"/>
      <c r="FQD90"/>
      <c r="FQE90"/>
      <c r="FQF90"/>
      <c r="FQG90"/>
      <c r="FQH90"/>
      <c r="FQI90"/>
      <c r="FQJ90"/>
      <c r="FQK90"/>
      <c r="FQL90"/>
      <c r="FQM90"/>
      <c r="FQN90"/>
      <c r="FQO90"/>
      <c r="FQP90"/>
      <c r="FQQ90"/>
      <c r="FQR90"/>
      <c r="FQS90"/>
      <c r="FQT90"/>
      <c r="FQU90"/>
      <c r="FQV90"/>
      <c r="FQW90"/>
      <c r="FQX90"/>
      <c r="FQY90"/>
      <c r="FQZ90"/>
      <c r="FRA90"/>
      <c r="FRB90"/>
      <c r="FRC90"/>
      <c r="FRD90"/>
      <c r="FRE90"/>
      <c r="FRF90"/>
      <c r="FRG90"/>
      <c r="FRH90"/>
      <c r="FRI90"/>
      <c r="FRJ90"/>
      <c r="FRK90"/>
      <c r="FRL90"/>
      <c r="FRM90"/>
      <c r="FRN90"/>
      <c r="FRO90"/>
      <c r="FRP90"/>
      <c r="FRQ90"/>
      <c r="FRR90"/>
      <c r="FRS90"/>
      <c r="FRT90"/>
      <c r="FRU90"/>
      <c r="FRV90"/>
      <c r="FRW90"/>
      <c r="FRX90"/>
      <c r="FRY90"/>
      <c r="FRZ90"/>
      <c r="FSA90"/>
      <c r="FSB90"/>
      <c r="FSC90"/>
      <c r="FSD90"/>
      <c r="FSE90"/>
      <c r="FSF90"/>
      <c r="FSG90"/>
      <c r="FSH90"/>
      <c r="FSI90"/>
      <c r="FSJ90"/>
      <c r="FSK90"/>
      <c r="FSL90"/>
      <c r="FSM90"/>
      <c r="FSN90"/>
      <c r="FSO90"/>
      <c r="FSP90"/>
      <c r="FSQ90"/>
      <c r="FSR90"/>
      <c r="FSS90"/>
      <c r="FST90"/>
      <c r="FSU90"/>
      <c r="FSV90"/>
      <c r="FSW90"/>
      <c r="FSX90"/>
      <c r="FSY90"/>
      <c r="FSZ90"/>
      <c r="FTA90"/>
      <c r="FTB90"/>
      <c r="FTC90"/>
      <c r="FTD90"/>
      <c r="FTE90"/>
      <c r="FTF90"/>
      <c r="FTG90"/>
      <c r="FTH90"/>
      <c r="FTI90"/>
      <c r="FTJ90"/>
      <c r="FTK90"/>
      <c r="FTL90"/>
      <c r="FTM90"/>
      <c r="FTN90"/>
      <c r="FTO90"/>
      <c r="FTP90"/>
      <c r="FTQ90"/>
      <c r="FTR90"/>
      <c r="FTS90"/>
      <c r="FTT90"/>
      <c r="FTU90"/>
      <c r="FTV90"/>
      <c r="FTW90"/>
      <c r="FTX90"/>
      <c r="FTY90"/>
      <c r="FTZ90"/>
      <c r="FUA90"/>
      <c r="FUB90"/>
      <c r="FUC90"/>
      <c r="FUD90"/>
      <c r="FUE90"/>
      <c r="FUF90"/>
      <c r="FUG90"/>
      <c r="FUH90"/>
      <c r="FUI90"/>
      <c r="FUJ90"/>
      <c r="FUK90"/>
      <c r="FUL90"/>
      <c r="FUM90"/>
      <c r="FUN90"/>
      <c r="FUO90"/>
      <c r="FUP90"/>
      <c r="FUQ90"/>
      <c r="FUR90"/>
      <c r="FUS90"/>
      <c r="FUT90"/>
      <c r="FUU90"/>
      <c r="FUV90"/>
      <c r="FUW90"/>
      <c r="FUX90"/>
      <c r="FUY90"/>
      <c r="FUZ90"/>
      <c r="FVA90"/>
      <c r="FVB90"/>
      <c r="FVC90"/>
      <c r="FVD90"/>
      <c r="FVE90"/>
      <c r="FVF90"/>
      <c r="FVG90"/>
      <c r="FVH90"/>
      <c r="FVI90"/>
      <c r="FVJ90"/>
      <c r="FVK90"/>
      <c r="FVL90"/>
      <c r="FVM90"/>
      <c r="FVN90"/>
      <c r="FVO90"/>
      <c r="FVP90"/>
      <c r="FVQ90"/>
      <c r="FVR90"/>
      <c r="FVS90"/>
      <c r="FVT90"/>
      <c r="FVU90"/>
      <c r="FVV90"/>
      <c r="FVW90"/>
      <c r="FVX90"/>
      <c r="FVY90"/>
      <c r="FVZ90"/>
      <c r="FWA90"/>
      <c r="FWB90"/>
      <c r="FWC90"/>
      <c r="FWD90"/>
      <c r="FWE90"/>
      <c r="FWF90"/>
      <c r="FWG90"/>
      <c r="FWH90"/>
      <c r="FWI90"/>
      <c r="FWJ90"/>
      <c r="FWK90"/>
      <c r="FWL90"/>
      <c r="FWM90"/>
      <c r="FWN90"/>
      <c r="FWO90"/>
      <c r="FWP90"/>
      <c r="FWQ90"/>
      <c r="FWR90"/>
      <c r="FWS90"/>
      <c r="FWT90"/>
      <c r="FWU90"/>
      <c r="FWV90"/>
      <c r="FWW90"/>
      <c r="FWX90"/>
      <c r="FWY90"/>
      <c r="FWZ90"/>
      <c r="FXA90"/>
      <c r="FXB90"/>
      <c r="FXC90"/>
      <c r="FXD90"/>
      <c r="FXE90"/>
      <c r="FXF90"/>
      <c r="FXG90"/>
      <c r="FXH90"/>
      <c r="FXI90"/>
      <c r="FXJ90"/>
      <c r="FXK90"/>
      <c r="FXL90"/>
      <c r="FXM90"/>
      <c r="FXN90"/>
      <c r="FXO90"/>
      <c r="FXP90"/>
      <c r="FXQ90"/>
      <c r="FXR90"/>
      <c r="FXS90"/>
      <c r="FXT90"/>
      <c r="FXU90"/>
      <c r="FXV90"/>
      <c r="FXW90"/>
      <c r="FXX90"/>
      <c r="FXY90"/>
      <c r="FXZ90"/>
      <c r="FYA90"/>
      <c r="FYB90"/>
      <c r="FYC90"/>
      <c r="FYD90"/>
      <c r="FYE90"/>
      <c r="FYF90"/>
      <c r="FYG90"/>
      <c r="FYH90"/>
      <c r="FYI90"/>
      <c r="FYJ90"/>
      <c r="FYK90"/>
      <c r="FYL90"/>
      <c r="FYM90"/>
      <c r="FYN90"/>
      <c r="FYO90"/>
      <c r="FYP90"/>
      <c r="FYQ90"/>
      <c r="FYR90"/>
      <c r="FYS90"/>
      <c r="FYT90"/>
      <c r="FYU90"/>
      <c r="FYV90"/>
      <c r="FYW90"/>
      <c r="FYX90"/>
      <c r="FYY90"/>
      <c r="FYZ90"/>
      <c r="FZA90"/>
      <c r="FZB90"/>
      <c r="FZC90"/>
      <c r="FZD90"/>
      <c r="FZE90"/>
      <c r="FZF90"/>
      <c r="FZG90"/>
      <c r="FZH90"/>
      <c r="FZI90"/>
      <c r="FZJ90"/>
      <c r="FZK90"/>
      <c r="FZL90"/>
      <c r="FZM90"/>
      <c r="FZN90"/>
      <c r="FZO90"/>
      <c r="FZP90"/>
      <c r="FZQ90"/>
      <c r="FZR90"/>
      <c r="FZS90"/>
      <c r="FZT90"/>
      <c r="FZU90"/>
      <c r="FZV90"/>
      <c r="FZW90"/>
      <c r="FZX90"/>
      <c r="FZY90"/>
      <c r="FZZ90"/>
      <c r="GAA90"/>
      <c r="GAB90"/>
      <c r="GAC90"/>
      <c r="GAD90"/>
      <c r="GAE90"/>
      <c r="GAF90"/>
      <c r="GAG90"/>
      <c r="GAH90"/>
      <c r="GAI90"/>
      <c r="GAJ90"/>
      <c r="GAK90"/>
      <c r="GAL90"/>
      <c r="GAM90"/>
      <c r="GAN90"/>
      <c r="GAO90"/>
      <c r="GAP90"/>
      <c r="GAQ90"/>
      <c r="GAR90"/>
      <c r="GAS90"/>
      <c r="GAT90"/>
      <c r="GAU90"/>
      <c r="GAV90"/>
      <c r="GAW90"/>
      <c r="GAX90"/>
      <c r="GAY90"/>
      <c r="GAZ90"/>
      <c r="GBA90"/>
      <c r="GBB90"/>
      <c r="GBC90"/>
      <c r="GBD90"/>
      <c r="GBE90"/>
      <c r="GBF90"/>
      <c r="GBG90"/>
      <c r="GBH90"/>
      <c r="GBI90"/>
      <c r="GBJ90"/>
      <c r="GBK90"/>
      <c r="GBL90"/>
      <c r="GBM90"/>
      <c r="GBN90"/>
      <c r="GBO90"/>
      <c r="GBP90"/>
      <c r="GBQ90"/>
      <c r="GBR90"/>
      <c r="GBS90"/>
      <c r="GBT90"/>
      <c r="GBU90"/>
      <c r="GBV90"/>
      <c r="GBW90"/>
      <c r="GBX90"/>
      <c r="GBY90"/>
      <c r="GBZ90"/>
      <c r="GCA90"/>
      <c r="GCB90"/>
      <c r="GCC90"/>
      <c r="GCD90"/>
      <c r="GCE90"/>
      <c r="GCF90"/>
      <c r="GCG90"/>
      <c r="GCH90"/>
      <c r="GCI90"/>
      <c r="GCJ90"/>
      <c r="GCK90"/>
      <c r="GCL90"/>
      <c r="GCM90"/>
      <c r="GCN90"/>
      <c r="GCO90"/>
      <c r="GCP90"/>
      <c r="GCQ90"/>
      <c r="GCR90"/>
      <c r="GCS90"/>
      <c r="GCT90"/>
      <c r="GCU90"/>
      <c r="GCV90"/>
      <c r="GCW90"/>
      <c r="GCX90"/>
      <c r="GCY90"/>
      <c r="GCZ90"/>
      <c r="GDA90"/>
      <c r="GDB90"/>
      <c r="GDC90"/>
      <c r="GDD90"/>
      <c r="GDE90"/>
      <c r="GDF90"/>
      <c r="GDG90"/>
      <c r="GDH90"/>
      <c r="GDI90"/>
      <c r="GDJ90"/>
      <c r="GDK90"/>
      <c r="GDL90"/>
      <c r="GDM90"/>
      <c r="GDN90"/>
      <c r="GDO90"/>
      <c r="GDP90"/>
      <c r="GDQ90"/>
      <c r="GDR90"/>
      <c r="GDS90"/>
      <c r="GDT90"/>
      <c r="GDU90"/>
      <c r="GDV90"/>
      <c r="GDW90"/>
      <c r="GDX90"/>
      <c r="GDY90"/>
      <c r="GDZ90"/>
      <c r="GEA90"/>
      <c r="GEB90"/>
      <c r="GEC90"/>
      <c r="GED90"/>
      <c r="GEE90"/>
      <c r="GEF90"/>
      <c r="GEG90"/>
      <c r="GEH90"/>
      <c r="GEI90"/>
      <c r="GEJ90"/>
      <c r="GEK90"/>
      <c r="GEL90"/>
      <c r="GEM90"/>
      <c r="GEN90"/>
      <c r="GEO90"/>
      <c r="GEP90"/>
      <c r="GEQ90"/>
      <c r="GER90"/>
      <c r="GES90"/>
      <c r="GET90"/>
      <c r="GEU90"/>
      <c r="GEV90"/>
      <c r="GEW90"/>
      <c r="GEX90"/>
      <c r="GEY90"/>
      <c r="GEZ90"/>
      <c r="GFA90"/>
      <c r="GFB90"/>
      <c r="GFC90"/>
      <c r="GFD90"/>
      <c r="GFE90"/>
      <c r="GFF90"/>
      <c r="GFG90"/>
      <c r="GFH90"/>
      <c r="GFI90"/>
      <c r="GFJ90"/>
      <c r="GFK90"/>
      <c r="GFL90"/>
      <c r="GFM90"/>
      <c r="GFN90"/>
      <c r="GFO90"/>
      <c r="GFP90"/>
      <c r="GFQ90"/>
      <c r="GFR90"/>
      <c r="GFS90"/>
      <c r="GFT90"/>
      <c r="GFU90"/>
      <c r="GFV90"/>
      <c r="GFW90"/>
      <c r="GFX90"/>
      <c r="GFY90"/>
      <c r="GFZ90"/>
      <c r="GGA90"/>
      <c r="GGB90"/>
      <c r="GGC90"/>
      <c r="GGD90"/>
      <c r="GGE90"/>
      <c r="GGF90"/>
      <c r="GGG90"/>
      <c r="GGH90"/>
      <c r="GGI90"/>
      <c r="GGJ90"/>
      <c r="GGK90"/>
      <c r="GGL90"/>
      <c r="GGM90"/>
      <c r="GGN90"/>
      <c r="GGO90"/>
      <c r="GGP90"/>
      <c r="GGQ90"/>
      <c r="GGR90"/>
      <c r="GGS90"/>
      <c r="GGT90"/>
      <c r="GGU90"/>
      <c r="GGV90"/>
      <c r="GGW90"/>
      <c r="GGX90"/>
      <c r="GGY90"/>
      <c r="GGZ90"/>
      <c r="GHA90"/>
      <c r="GHB90"/>
      <c r="GHC90"/>
      <c r="GHD90"/>
      <c r="GHE90"/>
      <c r="GHF90"/>
      <c r="GHG90"/>
      <c r="GHH90"/>
      <c r="GHI90"/>
      <c r="GHJ90"/>
      <c r="GHK90"/>
      <c r="GHL90"/>
      <c r="GHM90"/>
      <c r="GHN90"/>
      <c r="GHO90"/>
      <c r="GHP90"/>
      <c r="GHQ90"/>
      <c r="GHR90"/>
      <c r="GHS90"/>
      <c r="GHT90"/>
      <c r="GHU90"/>
      <c r="GHV90"/>
      <c r="GHW90"/>
      <c r="GHX90"/>
      <c r="GHY90"/>
      <c r="GHZ90"/>
      <c r="GIA90"/>
      <c r="GIB90"/>
      <c r="GIC90"/>
      <c r="GID90"/>
      <c r="GIE90"/>
      <c r="GIF90"/>
      <c r="GIG90"/>
      <c r="GIH90"/>
      <c r="GII90"/>
      <c r="GIJ90"/>
      <c r="GIK90"/>
      <c r="GIL90"/>
      <c r="GIM90"/>
      <c r="GIN90"/>
      <c r="GIO90"/>
      <c r="GIP90"/>
      <c r="GIQ90"/>
      <c r="GIR90"/>
      <c r="GIS90"/>
      <c r="GIT90"/>
      <c r="GIU90"/>
      <c r="GIV90"/>
      <c r="GIW90"/>
      <c r="GIX90"/>
      <c r="GIY90"/>
      <c r="GIZ90"/>
      <c r="GJA90"/>
      <c r="GJB90"/>
      <c r="GJC90"/>
      <c r="GJD90"/>
      <c r="GJE90"/>
      <c r="GJF90"/>
      <c r="GJG90"/>
      <c r="GJH90"/>
      <c r="GJI90"/>
      <c r="GJJ90"/>
      <c r="GJK90"/>
      <c r="GJL90"/>
      <c r="GJM90"/>
      <c r="GJN90"/>
      <c r="GJO90"/>
      <c r="GJP90"/>
      <c r="GJQ90"/>
      <c r="GJR90"/>
      <c r="GJS90"/>
      <c r="GJT90"/>
      <c r="GJU90"/>
      <c r="GJV90"/>
      <c r="GJW90"/>
      <c r="GJX90"/>
      <c r="GJY90"/>
      <c r="GJZ90"/>
      <c r="GKA90"/>
      <c r="GKB90"/>
      <c r="GKC90"/>
      <c r="GKD90"/>
      <c r="GKE90"/>
      <c r="GKF90"/>
      <c r="GKG90"/>
      <c r="GKH90"/>
      <c r="GKI90"/>
      <c r="GKJ90"/>
      <c r="GKK90"/>
      <c r="GKL90"/>
      <c r="GKM90"/>
      <c r="GKN90"/>
      <c r="GKO90"/>
      <c r="GKP90"/>
      <c r="GKQ90"/>
      <c r="GKR90"/>
      <c r="GKS90"/>
      <c r="GKT90"/>
      <c r="GKU90"/>
      <c r="GKV90"/>
      <c r="GKW90"/>
      <c r="GKX90"/>
      <c r="GKY90"/>
      <c r="GKZ90"/>
      <c r="GLA90"/>
      <c r="GLB90"/>
      <c r="GLC90"/>
      <c r="GLD90"/>
      <c r="GLE90"/>
      <c r="GLF90"/>
      <c r="GLG90"/>
      <c r="GLH90"/>
      <c r="GLI90"/>
      <c r="GLJ90"/>
      <c r="GLK90"/>
      <c r="GLL90"/>
      <c r="GLM90"/>
      <c r="GLN90"/>
      <c r="GLO90"/>
      <c r="GLP90"/>
      <c r="GLQ90"/>
      <c r="GLR90"/>
      <c r="GLS90"/>
      <c r="GLT90"/>
      <c r="GLU90"/>
      <c r="GLV90"/>
      <c r="GLW90"/>
      <c r="GLX90"/>
      <c r="GLY90"/>
      <c r="GLZ90"/>
      <c r="GMA90"/>
      <c r="GMB90"/>
      <c r="GMC90"/>
      <c r="GMD90"/>
      <c r="GME90"/>
      <c r="GMF90"/>
      <c r="GMG90"/>
      <c r="GMH90"/>
      <c r="GMI90"/>
      <c r="GMJ90"/>
      <c r="GMK90"/>
      <c r="GML90"/>
      <c r="GMM90"/>
      <c r="GMN90"/>
      <c r="GMO90"/>
      <c r="GMP90"/>
      <c r="GMQ90"/>
      <c r="GMR90"/>
      <c r="GMS90"/>
      <c r="GMT90"/>
      <c r="GMU90"/>
      <c r="GMV90"/>
      <c r="GMW90"/>
      <c r="GMX90"/>
      <c r="GMY90"/>
      <c r="GMZ90"/>
      <c r="GNA90"/>
      <c r="GNB90"/>
      <c r="GNC90"/>
      <c r="GND90"/>
      <c r="GNE90"/>
      <c r="GNF90"/>
      <c r="GNG90"/>
      <c r="GNH90"/>
      <c r="GNI90"/>
      <c r="GNJ90"/>
      <c r="GNK90"/>
      <c r="GNL90"/>
      <c r="GNM90"/>
      <c r="GNN90"/>
      <c r="GNO90"/>
      <c r="GNP90"/>
      <c r="GNQ90"/>
      <c r="GNR90"/>
      <c r="GNS90"/>
      <c r="GNT90"/>
      <c r="GNU90"/>
      <c r="GNV90"/>
      <c r="GNW90"/>
      <c r="GNX90"/>
      <c r="GNY90"/>
      <c r="GNZ90"/>
      <c r="GOA90"/>
      <c r="GOB90"/>
      <c r="GOC90"/>
      <c r="GOD90"/>
      <c r="GOE90"/>
      <c r="GOF90"/>
      <c r="GOG90"/>
      <c r="GOH90"/>
      <c r="GOI90"/>
      <c r="GOJ90"/>
      <c r="GOK90"/>
      <c r="GOL90"/>
      <c r="GOM90"/>
      <c r="GON90"/>
      <c r="GOO90"/>
      <c r="GOP90"/>
      <c r="GOQ90"/>
      <c r="GOR90"/>
      <c r="GOS90"/>
      <c r="GOT90"/>
      <c r="GOU90"/>
      <c r="GOV90"/>
      <c r="GOW90"/>
      <c r="GOX90"/>
      <c r="GOY90"/>
      <c r="GOZ90"/>
      <c r="GPA90"/>
      <c r="GPB90"/>
      <c r="GPC90"/>
      <c r="GPD90"/>
      <c r="GPE90"/>
      <c r="GPF90"/>
      <c r="GPG90"/>
      <c r="GPH90"/>
      <c r="GPI90"/>
      <c r="GPJ90"/>
      <c r="GPK90"/>
      <c r="GPL90"/>
      <c r="GPM90"/>
      <c r="GPN90"/>
      <c r="GPO90"/>
      <c r="GPP90"/>
      <c r="GPQ90"/>
      <c r="GPR90"/>
      <c r="GPS90"/>
      <c r="GPT90"/>
      <c r="GPU90"/>
      <c r="GPV90"/>
      <c r="GPW90"/>
      <c r="GPX90"/>
      <c r="GPY90"/>
      <c r="GPZ90"/>
      <c r="GQA90"/>
      <c r="GQB90"/>
      <c r="GQC90"/>
      <c r="GQD90"/>
      <c r="GQE90"/>
      <c r="GQF90"/>
      <c r="GQG90"/>
      <c r="GQH90"/>
      <c r="GQI90"/>
      <c r="GQJ90"/>
      <c r="GQK90"/>
      <c r="GQL90"/>
      <c r="GQM90"/>
      <c r="GQN90"/>
      <c r="GQO90"/>
      <c r="GQP90"/>
      <c r="GQQ90"/>
      <c r="GQR90"/>
      <c r="GQS90"/>
      <c r="GQT90"/>
      <c r="GQU90"/>
      <c r="GQV90"/>
      <c r="GQW90"/>
      <c r="GQX90"/>
      <c r="GQY90"/>
      <c r="GQZ90"/>
      <c r="GRA90"/>
      <c r="GRB90"/>
      <c r="GRC90"/>
      <c r="GRD90"/>
      <c r="GRE90"/>
      <c r="GRF90"/>
      <c r="GRG90"/>
      <c r="GRH90"/>
      <c r="GRI90"/>
      <c r="GRJ90"/>
      <c r="GRK90"/>
      <c r="GRL90"/>
      <c r="GRM90"/>
      <c r="GRN90"/>
      <c r="GRO90"/>
      <c r="GRP90"/>
      <c r="GRQ90"/>
      <c r="GRR90"/>
      <c r="GRS90"/>
      <c r="GRT90"/>
      <c r="GRU90"/>
      <c r="GRV90"/>
      <c r="GRW90"/>
      <c r="GRX90"/>
      <c r="GRY90"/>
      <c r="GRZ90"/>
      <c r="GSA90"/>
      <c r="GSB90"/>
      <c r="GSC90"/>
      <c r="GSD90"/>
      <c r="GSE90"/>
      <c r="GSF90"/>
      <c r="GSG90"/>
      <c r="GSH90"/>
      <c r="GSI90"/>
      <c r="GSJ90"/>
      <c r="GSK90"/>
      <c r="GSL90"/>
      <c r="GSM90"/>
      <c r="GSN90"/>
      <c r="GSO90"/>
      <c r="GSP90"/>
      <c r="GSQ90"/>
      <c r="GSR90"/>
      <c r="GSS90"/>
      <c r="GST90"/>
      <c r="GSU90"/>
      <c r="GSV90"/>
      <c r="GSW90"/>
      <c r="GSX90"/>
      <c r="GSY90"/>
      <c r="GSZ90"/>
      <c r="GTA90"/>
      <c r="GTB90"/>
      <c r="GTC90"/>
      <c r="GTD90"/>
      <c r="GTE90"/>
      <c r="GTF90"/>
      <c r="GTG90"/>
      <c r="GTH90"/>
      <c r="GTI90"/>
      <c r="GTJ90"/>
      <c r="GTK90"/>
      <c r="GTL90"/>
      <c r="GTM90"/>
      <c r="GTN90"/>
      <c r="GTO90"/>
      <c r="GTP90"/>
      <c r="GTQ90"/>
      <c r="GTR90"/>
      <c r="GTS90"/>
      <c r="GTT90"/>
      <c r="GTU90"/>
      <c r="GTV90"/>
      <c r="GTW90"/>
      <c r="GTX90"/>
      <c r="GTY90"/>
      <c r="GTZ90"/>
      <c r="GUA90"/>
      <c r="GUB90"/>
      <c r="GUC90"/>
      <c r="GUD90"/>
      <c r="GUE90"/>
      <c r="GUF90"/>
      <c r="GUG90"/>
      <c r="GUH90"/>
      <c r="GUI90"/>
      <c r="GUJ90"/>
      <c r="GUK90"/>
      <c r="GUL90"/>
      <c r="GUM90"/>
      <c r="GUN90"/>
      <c r="GUO90"/>
      <c r="GUP90"/>
      <c r="GUQ90"/>
      <c r="GUR90"/>
      <c r="GUS90"/>
      <c r="GUT90"/>
      <c r="GUU90"/>
      <c r="GUV90"/>
      <c r="GUW90"/>
      <c r="GUX90"/>
      <c r="GUY90"/>
      <c r="GUZ90"/>
      <c r="GVA90"/>
      <c r="GVB90"/>
      <c r="GVC90"/>
      <c r="GVD90"/>
      <c r="GVE90"/>
      <c r="GVF90"/>
      <c r="GVG90"/>
      <c r="GVH90"/>
      <c r="GVI90"/>
      <c r="GVJ90"/>
      <c r="GVK90"/>
      <c r="GVL90"/>
      <c r="GVM90"/>
      <c r="GVN90"/>
      <c r="GVO90"/>
      <c r="GVP90"/>
      <c r="GVQ90"/>
      <c r="GVR90"/>
      <c r="GVS90"/>
      <c r="GVT90"/>
      <c r="GVU90"/>
      <c r="GVV90"/>
      <c r="GVW90"/>
      <c r="GVX90"/>
      <c r="GVY90"/>
      <c r="GVZ90"/>
      <c r="GWA90"/>
      <c r="GWB90"/>
      <c r="GWC90"/>
      <c r="GWD90"/>
      <c r="GWE90"/>
      <c r="GWF90"/>
      <c r="GWG90"/>
      <c r="GWH90"/>
      <c r="GWI90"/>
      <c r="GWJ90"/>
      <c r="GWK90"/>
      <c r="GWL90"/>
      <c r="GWM90"/>
      <c r="GWN90"/>
      <c r="GWO90"/>
      <c r="GWP90"/>
      <c r="GWQ90"/>
      <c r="GWR90"/>
      <c r="GWS90"/>
      <c r="GWT90"/>
      <c r="GWU90"/>
      <c r="GWV90"/>
      <c r="GWW90"/>
      <c r="GWX90"/>
      <c r="GWY90"/>
      <c r="GWZ90"/>
      <c r="GXA90"/>
      <c r="GXB90"/>
      <c r="GXC90"/>
      <c r="GXD90"/>
      <c r="GXE90"/>
      <c r="GXF90"/>
      <c r="GXG90"/>
      <c r="GXH90"/>
      <c r="GXI90"/>
      <c r="GXJ90"/>
      <c r="GXK90"/>
      <c r="GXL90"/>
      <c r="GXM90"/>
      <c r="GXN90"/>
      <c r="GXO90"/>
      <c r="GXP90"/>
      <c r="GXQ90"/>
      <c r="GXR90"/>
      <c r="GXS90"/>
      <c r="GXT90"/>
      <c r="GXU90"/>
      <c r="GXV90"/>
      <c r="GXW90"/>
      <c r="GXX90"/>
      <c r="GXY90"/>
      <c r="GXZ90"/>
      <c r="GYA90"/>
      <c r="GYB90"/>
      <c r="GYC90"/>
      <c r="GYD90"/>
      <c r="GYE90"/>
      <c r="GYF90"/>
      <c r="GYG90"/>
      <c r="GYH90"/>
      <c r="GYI90"/>
      <c r="GYJ90"/>
      <c r="GYK90"/>
      <c r="GYL90"/>
      <c r="GYM90"/>
      <c r="GYN90"/>
      <c r="GYO90"/>
      <c r="GYP90"/>
      <c r="GYQ90"/>
      <c r="GYR90"/>
      <c r="GYS90"/>
      <c r="GYT90"/>
      <c r="GYU90"/>
      <c r="GYV90"/>
      <c r="GYW90"/>
      <c r="GYX90"/>
      <c r="GYY90"/>
      <c r="GYZ90"/>
      <c r="GZA90"/>
      <c r="GZB90"/>
      <c r="GZC90"/>
      <c r="GZD90"/>
      <c r="GZE90"/>
      <c r="GZF90"/>
      <c r="GZG90"/>
      <c r="GZH90"/>
      <c r="GZI90"/>
      <c r="GZJ90"/>
      <c r="GZK90"/>
      <c r="GZL90"/>
      <c r="GZM90"/>
      <c r="GZN90"/>
      <c r="GZO90"/>
      <c r="GZP90"/>
      <c r="GZQ90"/>
      <c r="GZR90"/>
      <c r="GZS90"/>
      <c r="GZT90"/>
      <c r="GZU90"/>
      <c r="GZV90"/>
      <c r="GZW90"/>
      <c r="GZX90"/>
      <c r="GZY90"/>
      <c r="GZZ90"/>
      <c r="HAA90"/>
      <c r="HAB90"/>
      <c r="HAC90"/>
      <c r="HAD90"/>
      <c r="HAE90"/>
      <c r="HAF90"/>
      <c r="HAG90"/>
      <c r="HAH90"/>
      <c r="HAI90"/>
      <c r="HAJ90"/>
      <c r="HAK90"/>
      <c r="HAL90"/>
      <c r="HAM90"/>
      <c r="HAN90"/>
      <c r="HAO90"/>
      <c r="HAP90"/>
      <c r="HAQ90"/>
      <c r="HAR90"/>
      <c r="HAS90"/>
      <c r="HAT90"/>
      <c r="HAU90"/>
      <c r="HAV90"/>
      <c r="HAW90"/>
      <c r="HAX90"/>
      <c r="HAY90"/>
      <c r="HAZ90"/>
      <c r="HBA90"/>
      <c r="HBB90"/>
      <c r="HBC90"/>
      <c r="HBD90"/>
      <c r="HBE90"/>
      <c r="HBF90"/>
      <c r="HBG90"/>
      <c r="HBH90"/>
      <c r="HBI90"/>
      <c r="HBJ90"/>
      <c r="HBK90"/>
      <c r="HBL90"/>
      <c r="HBM90"/>
      <c r="HBN90"/>
      <c r="HBO90"/>
      <c r="HBP90"/>
      <c r="HBQ90"/>
      <c r="HBR90"/>
      <c r="HBS90"/>
      <c r="HBT90"/>
      <c r="HBU90"/>
      <c r="HBV90"/>
      <c r="HBW90"/>
      <c r="HBX90"/>
      <c r="HBY90"/>
      <c r="HBZ90"/>
      <c r="HCA90"/>
      <c r="HCB90"/>
      <c r="HCC90"/>
      <c r="HCD90"/>
      <c r="HCE90"/>
      <c r="HCF90"/>
      <c r="HCG90"/>
      <c r="HCH90"/>
      <c r="HCI90"/>
      <c r="HCJ90"/>
      <c r="HCK90"/>
      <c r="HCL90"/>
      <c r="HCM90"/>
      <c r="HCN90"/>
      <c r="HCO90"/>
      <c r="HCP90"/>
      <c r="HCQ90"/>
      <c r="HCR90"/>
      <c r="HCS90"/>
      <c r="HCT90"/>
      <c r="HCU90"/>
      <c r="HCV90"/>
      <c r="HCW90"/>
      <c r="HCX90"/>
      <c r="HCY90"/>
      <c r="HCZ90"/>
      <c r="HDA90"/>
      <c r="HDB90"/>
      <c r="HDC90"/>
      <c r="HDD90"/>
      <c r="HDE90"/>
      <c r="HDF90"/>
      <c r="HDG90"/>
      <c r="HDH90"/>
      <c r="HDI90"/>
      <c r="HDJ90"/>
      <c r="HDK90"/>
      <c r="HDL90"/>
      <c r="HDM90"/>
      <c r="HDN90"/>
      <c r="HDO90"/>
      <c r="HDP90"/>
      <c r="HDQ90"/>
      <c r="HDR90"/>
      <c r="HDS90"/>
      <c r="HDT90"/>
      <c r="HDU90"/>
      <c r="HDV90"/>
      <c r="HDW90"/>
      <c r="HDX90"/>
      <c r="HDY90"/>
      <c r="HDZ90"/>
      <c r="HEA90"/>
      <c r="HEB90"/>
      <c r="HEC90"/>
      <c r="HED90"/>
      <c r="HEE90"/>
      <c r="HEF90"/>
      <c r="HEG90"/>
      <c r="HEH90"/>
      <c r="HEI90"/>
      <c r="HEJ90"/>
      <c r="HEK90"/>
      <c r="HEL90"/>
      <c r="HEM90"/>
      <c r="HEN90"/>
      <c r="HEO90"/>
      <c r="HEP90"/>
      <c r="HEQ90"/>
      <c r="HER90"/>
      <c r="HES90"/>
      <c r="HET90"/>
      <c r="HEU90"/>
      <c r="HEV90"/>
      <c r="HEW90"/>
      <c r="HEX90"/>
      <c r="HEY90"/>
      <c r="HEZ90"/>
      <c r="HFA90"/>
      <c r="HFB90"/>
      <c r="HFC90"/>
      <c r="HFD90"/>
      <c r="HFE90"/>
      <c r="HFF90"/>
      <c r="HFG90"/>
      <c r="HFH90"/>
      <c r="HFI90"/>
      <c r="HFJ90"/>
      <c r="HFK90"/>
      <c r="HFL90"/>
      <c r="HFM90"/>
      <c r="HFN90"/>
      <c r="HFO90"/>
      <c r="HFP90"/>
      <c r="HFQ90"/>
      <c r="HFR90"/>
      <c r="HFS90"/>
      <c r="HFT90"/>
      <c r="HFU90"/>
      <c r="HFV90"/>
      <c r="HFW90"/>
      <c r="HFX90"/>
      <c r="HFY90"/>
      <c r="HFZ90"/>
      <c r="HGA90"/>
      <c r="HGB90"/>
      <c r="HGC90"/>
      <c r="HGD90"/>
      <c r="HGE90"/>
      <c r="HGF90"/>
      <c r="HGG90"/>
      <c r="HGH90"/>
      <c r="HGI90"/>
      <c r="HGJ90"/>
      <c r="HGK90"/>
      <c r="HGL90"/>
      <c r="HGM90"/>
      <c r="HGN90"/>
      <c r="HGO90"/>
      <c r="HGP90"/>
      <c r="HGQ90"/>
      <c r="HGR90"/>
      <c r="HGS90"/>
      <c r="HGT90"/>
      <c r="HGU90"/>
      <c r="HGV90"/>
      <c r="HGW90"/>
      <c r="HGX90"/>
      <c r="HGY90"/>
      <c r="HGZ90"/>
      <c r="HHA90"/>
      <c r="HHB90"/>
      <c r="HHC90"/>
      <c r="HHD90"/>
      <c r="HHE90"/>
      <c r="HHF90"/>
      <c r="HHG90"/>
      <c r="HHH90"/>
      <c r="HHI90"/>
      <c r="HHJ90"/>
      <c r="HHK90"/>
      <c r="HHL90"/>
      <c r="HHM90"/>
      <c r="HHN90"/>
      <c r="HHO90"/>
      <c r="HHP90"/>
      <c r="HHQ90"/>
      <c r="HHR90"/>
      <c r="HHS90"/>
      <c r="HHT90"/>
      <c r="HHU90"/>
      <c r="HHV90"/>
      <c r="HHW90"/>
      <c r="HHX90"/>
      <c r="HHY90"/>
      <c r="HHZ90"/>
      <c r="HIA90"/>
      <c r="HIB90"/>
      <c r="HIC90"/>
      <c r="HID90"/>
      <c r="HIE90"/>
      <c r="HIF90"/>
      <c r="HIG90"/>
      <c r="HIH90"/>
      <c r="HII90"/>
      <c r="HIJ90"/>
      <c r="HIK90"/>
      <c r="HIL90"/>
      <c r="HIM90"/>
      <c r="HIN90"/>
      <c r="HIO90"/>
      <c r="HIP90"/>
      <c r="HIQ90"/>
      <c r="HIR90"/>
      <c r="HIS90"/>
      <c r="HIT90"/>
      <c r="HIU90"/>
      <c r="HIV90"/>
      <c r="HIW90"/>
      <c r="HIX90"/>
      <c r="HIY90"/>
      <c r="HIZ90"/>
      <c r="HJA90"/>
      <c r="HJB90"/>
      <c r="HJC90"/>
      <c r="HJD90"/>
      <c r="HJE90"/>
      <c r="HJF90"/>
      <c r="HJG90"/>
      <c r="HJH90"/>
      <c r="HJI90"/>
      <c r="HJJ90"/>
      <c r="HJK90"/>
      <c r="HJL90"/>
      <c r="HJM90"/>
      <c r="HJN90"/>
      <c r="HJO90"/>
      <c r="HJP90"/>
      <c r="HJQ90"/>
      <c r="HJR90"/>
      <c r="HJS90"/>
      <c r="HJT90"/>
      <c r="HJU90"/>
      <c r="HJV90"/>
      <c r="HJW90"/>
      <c r="HJX90"/>
      <c r="HJY90"/>
      <c r="HJZ90"/>
      <c r="HKA90"/>
      <c r="HKB90"/>
      <c r="HKC90"/>
      <c r="HKD90"/>
      <c r="HKE90"/>
      <c r="HKF90"/>
      <c r="HKG90"/>
      <c r="HKH90"/>
      <c r="HKI90"/>
      <c r="HKJ90"/>
      <c r="HKK90"/>
      <c r="HKL90"/>
      <c r="HKM90"/>
      <c r="HKN90"/>
      <c r="HKO90"/>
      <c r="HKP90"/>
      <c r="HKQ90"/>
      <c r="HKR90"/>
      <c r="HKS90"/>
      <c r="HKT90"/>
      <c r="HKU90"/>
      <c r="HKV90"/>
      <c r="HKW90"/>
      <c r="HKX90"/>
      <c r="HKY90"/>
      <c r="HKZ90"/>
      <c r="HLA90"/>
      <c r="HLB90"/>
      <c r="HLC90"/>
      <c r="HLD90"/>
      <c r="HLE90"/>
      <c r="HLF90"/>
      <c r="HLG90"/>
      <c r="HLH90"/>
      <c r="HLI90"/>
      <c r="HLJ90"/>
      <c r="HLK90"/>
      <c r="HLL90"/>
      <c r="HLM90"/>
      <c r="HLN90"/>
      <c r="HLO90"/>
      <c r="HLP90"/>
      <c r="HLQ90"/>
      <c r="HLR90"/>
      <c r="HLS90"/>
      <c r="HLT90"/>
      <c r="HLU90"/>
      <c r="HLV90"/>
      <c r="HLW90"/>
      <c r="HLX90"/>
      <c r="HLY90"/>
      <c r="HLZ90"/>
      <c r="HMA90"/>
      <c r="HMB90"/>
      <c r="HMC90"/>
      <c r="HMD90"/>
      <c r="HME90"/>
      <c r="HMF90"/>
      <c r="HMG90"/>
      <c r="HMH90"/>
      <c r="HMI90"/>
      <c r="HMJ90"/>
      <c r="HMK90"/>
      <c r="HML90"/>
      <c r="HMM90"/>
      <c r="HMN90"/>
      <c r="HMO90"/>
      <c r="HMP90"/>
      <c r="HMQ90"/>
      <c r="HMR90"/>
      <c r="HMS90"/>
      <c r="HMT90"/>
      <c r="HMU90"/>
      <c r="HMV90"/>
      <c r="HMW90"/>
      <c r="HMX90"/>
      <c r="HMY90"/>
      <c r="HMZ90"/>
      <c r="HNA90"/>
      <c r="HNB90"/>
      <c r="HNC90"/>
      <c r="HND90"/>
      <c r="HNE90"/>
      <c r="HNF90"/>
      <c r="HNG90"/>
      <c r="HNH90"/>
      <c r="HNI90"/>
      <c r="HNJ90"/>
      <c r="HNK90"/>
      <c r="HNL90"/>
      <c r="HNM90"/>
      <c r="HNN90"/>
      <c r="HNO90"/>
      <c r="HNP90"/>
      <c r="HNQ90"/>
      <c r="HNR90"/>
      <c r="HNS90"/>
      <c r="HNT90"/>
      <c r="HNU90"/>
      <c r="HNV90"/>
      <c r="HNW90"/>
      <c r="HNX90"/>
      <c r="HNY90"/>
      <c r="HNZ90"/>
      <c r="HOA90"/>
      <c r="HOB90"/>
      <c r="HOC90"/>
      <c r="HOD90"/>
      <c r="HOE90"/>
      <c r="HOF90"/>
      <c r="HOG90"/>
      <c r="HOH90"/>
      <c r="HOI90"/>
      <c r="HOJ90"/>
      <c r="HOK90"/>
      <c r="HOL90"/>
      <c r="HOM90"/>
      <c r="HON90"/>
      <c r="HOO90"/>
      <c r="HOP90"/>
      <c r="HOQ90"/>
      <c r="HOR90"/>
      <c r="HOS90"/>
      <c r="HOT90"/>
      <c r="HOU90"/>
      <c r="HOV90"/>
      <c r="HOW90"/>
      <c r="HOX90"/>
      <c r="HOY90"/>
      <c r="HOZ90"/>
      <c r="HPA90"/>
      <c r="HPB90"/>
      <c r="HPC90"/>
      <c r="HPD90"/>
      <c r="HPE90"/>
      <c r="HPF90"/>
      <c r="HPG90"/>
      <c r="HPH90"/>
      <c r="HPI90"/>
      <c r="HPJ90"/>
      <c r="HPK90"/>
      <c r="HPL90"/>
      <c r="HPM90"/>
      <c r="HPN90"/>
      <c r="HPO90"/>
      <c r="HPP90"/>
      <c r="HPQ90"/>
      <c r="HPR90"/>
      <c r="HPS90"/>
      <c r="HPT90"/>
      <c r="HPU90"/>
      <c r="HPV90"/>
      <c r="HPW90"/>
      <c r="HPX90"/>
      <c r="HPY90"/>
      <c r="HPZ90"/>
      <c r="HQA90"/>
      <c r="HQB90"/>
      <c r="HQC90"/>
      <c r="HQD90"/>
      <c r="HQE90"/>
      <c r="HQF90"/>
      <c r="HQG90"/>
      <c r="HQH90"/>
      <c r="HQI90"/>
      <c r="HQJ90"/>
      <c r="HQK90"/>
      <c r="HQL90"/>
      <c r="HQM90"/>
      <c r="HQN90"/>
      <c r="HQO90"/>
      <c r="HQP90"/>
      <c r="HQQ90"/>
      <c r="HQR90"/>
      <c r="HQS90"/>
      <c r="HQT90"/>
      <c r="HQU90"/>
      <c r="HQV90"/>
      <c r="HQW90"/>
      <c r="HQX90"/>
      <c r="HQY90"/>
      <c r="HQZ90"/>
      <c r="HRA90"/>
      <c r="HRB90"/>
      <c r="HRC90"/>
      <c r="HRD90"/>
      <c r="HRE90"/>
      <c r="HRF90"/>
      <c r="HRG90"/>
      <c r="HRH90"/>
      <c r="HRI90"/>
      <c r="HRJ90"/>
      <c r="HRK90"/>
      <c r="HRL90"/>
      <c r="HRM90"/>
      <c r="HRN90"/>
      <c r="HRO90"/>
      <c r="HRP90"/>
      <c r="HRQ90"/>
      <c r="HRR90"/>
      <c r="HRS90"/>
      <c r="HRT90"/>
      <c r="HRU90"/>
      <c r="HRV90"/>
      <c r="HRW90"/>
      <c r="HRX90"/>
      <c r="HRY90"/>
      <c r="HRZ90"/>
      <c r="HSA90"/>
      <c r="HSB90"/>
      <c r="HSC90"/>
      <c r="HSD90"/>
      <c r="HSE90"/>
      <c r="HSF90"/>
      <c r="HSG90"/>
      <c r="HSH90"/>
      <c r="HSI90"/>
      <c r="HSJ90"/>
      <c r="HSK90"/>
      <c r="HSL90"/>
      <c r="HSM90"/>
      <c r="HSN90"/>
      <c r="HSO90"/>
      <c r="HSP90"/>
      <c r="HSQ90"/>
      <c r="HSR90"/>
      <c r="HSS90"/>
      <c r="HST90"/>
      <c r="HSU90"/>
      <c r="HSV90"/>
      <c r="HSW90"/>
      <c r="HSX90"/>
      <c r="HSY90"/>
      <c r="HSZ90"/>
      <c r="HTA90"/>
      <c r="HTB90"/>
      <c r="HTC90"/>
      <c r="HTD90"/>
      <c r="HTE90"/>
      <c r="HTF90"/>
      <c r="HTG90"/>
      <c r="HTH90"/>
      <c r="HTI90"/>
      <c r="HTJ90"/>
      <c r="HTK90"/>
      <c r="HTL90"/>
      <c r="HTM90"/>
      <c r="HTN90"/>
      <c r="HTO90"/>
      <c r="HTP90"/>
      <c r="HTQ90"/>
      <c r="HTR90"/>
      <c r="HTS90"/>
      <c r="HTT90"/>
      <c r="HTU90"/>
      <c r="HTV90"/>
      <c r="HTW90"/>
      <c r="HTX90"/>
      <c r="HTY90"/>
      <c r="HTZ90"/>
      <c r="HUA90"/>
      <c r="HUB90"/>
      <c r="HUC90"/>
      <c r="HUD90"/>
      <c r="HUE90"/>
      <c r="HUF90"/>
      <c r="HUG90"/>
      <c r="HUH90"/>
      <c r="HUI90"/>
      <c r="HUJ90"/>
      <c r="HUK90"/>
      <c r="HUL90"/>
      <c r="HUM90"/>
      <c r="HUN90"/>
      <c r="HUO90"/>
      <c r="HUP90"/>
      <c r="HUQ90"/>
      <c r="HUR90"/>
      <c r="HUS90"/>
      <c r="HUT90"/>
      <c r="HUU90"/>
      <c r="HUV90"/>
      <c r="HUW90"/>
      <c r="HUX90"/>
      <c r="HUY90"/>
      <c r="HUZ90"/>
      <c r="HVA90"/>
      <c r="HVB90"/>
      <c r="HVC90"/>
      <c r="HVD90"/>
      <c r="HVE90"/>
      <c r="HVF90"/>
      <c r="HVG90"/>
      <c r="HVH90"/>
      <c r="HVI90"/>
      <c r="HVJ90"/>
      <c r="HVK90"/>
      <c r="HVL90"/>
      <c r="HVM90"/>
      <c r="HVN90"/>
      <c r="HVO90"/>
      <c r="HVP90"/>
      <c r="HVQ90"/>
      <c r="HVR90"/>
      <c r="HVS90"/>
      <c r="HVT90"/>
      <c r="HVU90"/>
      <c r="HVV90"/>
      <c r="HVW90"/>
      <c r="HVX90"/>
      <c r="HVY90"/>
      <c r="HVZ90"/>
      <c r="HWA90"/>
      <c r="HWB90"/>
      <c r="HWC90"/>
      <c r="HWD90"/>
      <c r="HWE90"/>
      <c r="HWF90"/>
      <c r="HWG90"/>
      <c r="HWH90"/>
      <c r="HWI90"/>
      <c r="HWJ90"/>
      <c r="HWK90"/>
      <c r="HWL90"/>
      <c r="HWM90"/>
      <c r="HWN90"/>
      <c r="HWO90"/>
      <c r="HWP90"/>
      <c r="HWQ90"/>
      <c r="HWR90"/>
      <c r="HWS90"/>
      <c r="HWT90"/>
      <c r="HWU90"/>
      <c r="HWV90"/>
      <c r="HWW90"/>
      <c r="HWX90"/>
      <c r="HWY90"/>
      <c r="HWZ90"/>
      <c r="HXA90"/>
      <c r="HXB90"/>
      <c r="HXC90"/>
      <c r="HXD90"/>
      <c r="HXE90"/>
      <c r="HXF90"/>
      <c r="HXG90"/>
      <c r="HXH90"/>
      <c r="HXI90"/>
      <c r="HXJ90"/>
      <c r="HXK90"/>
      <c r="HXL90"/>
      <c r="HXM90"/>
      <c r="HXN90"/>
      <c r="HXO90"/>
      <c r="HXP90"/>
      <c r="HXQ90"/>
      <c r="HXR90"/>
      <c r="HXS90"/>
      <c r="HXT90"/>
      <c r="HXU90"/>
      <c r="HXV90"/>
      <c r="HXW90"/>
      <c r="HXX90"/>
      <c r="HXY90"/>
      <c r="HXZ90"/>
      <c r="HYA90"/>
      <c r="HYB90"/>
      <c r="HYC90"/>
      <c r="HYD90"/>
      <c r="HYE90"/>
      <c r="HYF90"/>
      <c r="HYG90"/>
      <c r="HYH90"/>
      <c r="HYI90"/>
      <c r="HYJ90"/>
      <c r="HYK90"/>
      <c r="HYL90"/>
      <c r="HYM90"/>
      <c r="HYN90"/>
      <c r="HYO90"/>
      <c r="HYP90"/>
      <c r="HYQ90"/>
      <c r="HYR90"/>
      <c r="HYS90"/>
      <c r="HYT90"/>
      <c r="HYU90"/>
      <c r="HYV90"/>
      <c r="HYW90"/>
      <c r="HYX90"/>
      <c r="HYY90"/>
      <c r="HYZ90"/>
      <c r="HZA90"/>
      <c r="HZB90"/>
      <c r="HZC90"/>
      <c r="HZD90"/>
      <c r="HZE90"/>
      <c r="HZF90"/>
      <c r="HZG90"/>
      <c r="HZH90"/>
      <c r="HZI90"/>
      <c r="HZJ90"/>
      <c r="HZK90"/>
      <c r="HZL90"/>
      <c r="HZM90"/>
      <c r="HZN90"/>
      <c r="HZO90"/>
      <c r="HZP90"/>
      <c r="HZQ90"/>
      <c r="HZR90"/>
      <c r="HZS90"/>
      <c r="HZT90"/>
      <c r="HZU90"/>
      <c r="HZV90"/>
      <c r="HZW90"/>
      <c r="HZX90"/>
      <c r="HZY90"/>
      <c r="HZZ90"/>
      <c r="IAA90"/>
      <c r="IAB90"/>
      <c r="IAC90"/>
      <c r="IAD90"/>
      <c r="IAE90"/>
      <c r="IAF90"/>
      <c r="IAG90"/>
      <c r="IAH90"/>
      <c r="IAI90"/>
      <c r="IAJ90"/>
      <c r="IAK90"/>
      <c r="IAL90"/>
      <c r="IAM90"/>
      <c r="IAN90"/>
      <c r="IAO90"/>
      <c r="IAP90"/>
      <c r="IAQ90"/>
      <c r="IAR90"/>
      <c r="IAS90"/>
      <c r="IAT90"/>
      <c r="IAU90"/>
      <c r="IAV90"/>
      <c r="IAW90"/>
      <c r="IAX90"/>
      <c r="IAY90"/>
      <c r="IAZ90"/>
      <c r="IBA90"/>
      <c r="IBB90"/>
      <c r="IBC90"/>
      <c r="IBD90"/>
      <c r="IBE90"/>
      <c r="IBF90"/>
      <c r="IBG90"/>
      <c r="IBH90"/>
      <c r="IBI90"/>
      <c r="IBJ90"/>
      <c r="IBK90"/>
      <c r="IBL90"/>
      <c r="IBM90"/>
      <c r="IBN90"/>
      <c r="IBO90"/>
      <c r="IBP90"/>
      <c r="IBQ90"/>
      <c r="IBR90"/>
      <c r="IBS90"/>
      <c r="IBT90"/>
      <c r="IBU90"/>
      <c r="IBV90"/>
      <c r="IBW90"/>
      <c r="IBX90"/>
      <c r="IBY90"/>
      <c r="IBZ90"/>
      <c r="ICA90"/>
      <c r="ICB90"/>
      <c r="ICC90"/>
      <c r="ICD90"/>
      <c r="ICE90"/>
      <c r="ICF90"/>
      <c r="ICG90"/>
      <c r="ICH90"/>
      <c r="ICI90"/>
      <c r="ICJ90"/>
      <c r="ICK90"/>
      <c r="ICL90"/>
      <c r="ICM90"/>
      <c r="ICN90"/>
      <c r="ICO90"/>
      <c r="ICP90"/>
      <c r="ICQ90"/>
      <c r="ICR90"/>
      <c r="ICS90"/>
      <c r="ICT90"/>
      <c r="ICU90"/>
      <c r="ICV90"/>
      <c r="ICW90"/>
      <c r="ICX90"/>
      <c r="ICY90"/>
      <c r="ICZ90"/>
      <c r="IDA90"/>
      <c r="IDB90"/>
      <c r="IDC90"/>
      <c r="IDD90"/>
      <c r="IDE90"/>
      <c r="IDF90"/>
      <c r="IDG90"/>
      <c r="IDH90"/>
      <c r="IDI90"/>
      <c r="IDJ90"/>
      <c r="IDK90"/>
      <c r="IDL90"/>
      <c r="IDM90"/>
      <c r="IDN90"/>
      <c r="IDO90"/>
      <c r="IDP90"/>
      <c r="IDQ90"/>
      <c r="IDR90"/>
      <c r="IDS90"/>
      <c r="IDT90"/>
      <c r="IDU90"/>
      <c r="IDV90"/>
      <c r="IDW90"/>
      <c r="IDX90"/>
      <c r="IDY90"/>
      <c r="IDZ90"/>
      <c r="IEA90"/>
      <c r="IEB90"/>
      <c r="IEC90"/>
      <c r="IED90"/>
      <c r="IEE90"/>
      <c r="IEF90"/>
      <c r="IEG90"/>
      <c r="IEH90"/>
      <c r="IEI90"/>
      <c r="IEJ90"/>
      <c r="IEK90"/>
      <c r="IEL90"/>
      <c r="IEM90"/>
      <c r="IEN90"/>
      <c r="IEO90"/>
      <c r="IEP90"/>
      <c r="IEQ90"/>
      <c r="IER90"/>
      <c r="IES90"/>
      <c r="IET90"/>
      <c r="IEU90"/>
      <c r="IEV90"/>
      <c r="IEW90"/>
      <c r="IEX90"/>
      <c r="IEY90"/>
      <c r="IEZ90"/>
      <c r="IFA90"/>
      <c r="IFB90"/>
      <c r="IFC90"/>
      <c r="IFD90"/>
      <c r="IFE90"/>
      <c r="IFF90"/>
      <c r="IFG90"/>
      <c r="IFH90"/>
      <c r="IFI90"/>
      <c r="IFJ90"/>
      <c r="IFK90"/>
      <c r="IFL90"/>
      <c r="IFM90"/>
      <c r="IFN90"/>
      <c r="IFO90"/>
      <c r="IFP90"/>
      <c r="IFQ90"/>
      <c r="IFR90"/>
      <c r="IFS90"/>
      <c r="IFT90"/>
      <c r="IFU90"/>
      <c r="IFV90"/>
      <c r="IFW90"/>
      <c r="IFX90"/>
      <c r="IFY90"/>
      <c r="IFZ90"/>
      <c r="IGA90"/>
      <c r="IGB90"/>
      <c r="IGC90"/>
      <c r="IGD90"/>
      <c r="IGE90"/>
      <c r="IGF90"/>
      <c r="IGG90"/>
      <c r="IGH90"/>
      <c r="IGI90"/>
      <c r="IGJ90"/>
      <c r="IGK90"/>
      <c r="IGL90"/>
      <c r="IGM90"/>
      <c r="IGN90"/>
      <c r="IGO90"/>
      <c r="IGP90"/>
      <c r="IGQ90"/>
      <c r="IGR90"/>
      <c r="IGS90"/>
      <c r="IGT90"/>
      <c r="IGU90"/>
      <c r="IGV90"/>
      <c r="IGW90"/>
      <c r="IGX90"/>
      <c r="IGY90"/>
      <c r="IGZ90"/>
      <c r="IHA90"/>
      <c r="IHB90"/>
      <c r="IHC90"/>
      <c r="IHD90"/>
      <c r="IHE90"/>
      <c r="IHF90"/>
      <c r="IHG90"/>
      <c r="IHH90"/>
      <c r="IHI90"/>
      <c r="IHJ90"/>
      <c r="IHK90"/>
      <c r="IHL90"/>
      <c r="IHM90"/>
      <c r="IHN90"/>
      <c r="IHO90"/>
      <c r="IHP90"/>
      <c r="IHQ90"/>
      <c r="IHR90"/>
      <c r="IHS90"/>
      <c r="IHT90"/>
      <c r="IHU90"/>
      <c r="IHV90"/>
      <c r="IHW90"/>
      <c r="IHX90"/>
      <c r="IHY90"/>
      <c r="IHZ90"/>
      <c r="IIA90"/>
      <c r="IIB90"/>
      <c r="IIC90"/>
      <c r="IID90"/>
      <c r="IIE90"/>
      <c r="IIF90"/>
      <c r="IIG90"/>
      <c r="IIH90"/>
      <c r="III90"/>
      <c r="IIJ90"/>
      <c r="IIK90"/>
      <c r="IIL90"/>
      <c r="IIM90"/>
      <c r="IIN90"/>
      <c r="IIO90"/>
      <c r="IIP90"/>
      <c r="IIQ90"/>
      <c r="IIR90"/>
      <c r="IIS90"/>
      <c r="IIT90"/>
      <c r="IIU90"/>
      <c r="IIV90"/>
      <c r="IIW90"/>
      <c r="IIX90"/>
      <c r="IIY90"/>
      <c r="IIZ90"/>
      <c r="IJA90"/>
      <c r="IJB90"/>
      <c r="IJC90"/>
      <c r="IJD90"/>
      <c r="IJE90"/>
      <c r="IJF90"/>
      <c r="IJG90"/>
      <c r="IJH90"/>
      <c r="IJI90"/>
      <c r="IJJ90"/>
      <c r="IJK90"/>
      <c r="IJL90"/>
      <c r="IJM90"/>
      <c r="IJN90"/>
      <c r="IJO90"/>
      <c r="IJP90"/>
      <c r="IJQ90"/>
      <c r="IJR90"/>
      <c r="IJS90"/>
      <c r="IJT90"/>
      <c r="IJU90"/>
      <c r="IJV90"/>
      <c r="IJW90"/>
      <c r="IJX90"/>
      <c r="IJY90"/>
      <c r="IJZ90"/>
      <c r="IKA90"/>
      <c r="IKB90"/>
      <c r="IKC90"/>
      <c r="IKD90"/>
      <c r="IKE90"/>
      <c r="IKF90"/>
      <c r="IKG90"/>
      <c r="IKH90"/>
      <c r="IKI90"/>
      <c r="IKJ90"/>
      <c r="IKK90"/>
      <c r="IKL90"/>
      <c r="IKM90"/>
      <c r="IKN90"/>
      <c r="IKO90"/>
      <c r="IKP90"/>
      <c r="IKQ90"/>
      <c r="IKR90"/>
      <c r="IKS90"/>
      <c r="IKT90"/>
      <c r="IKU90"/>
      <c r="IKV90"/>
      <c r="IKW90"/>
      <c r="IKX90"/>
      <c r="IKY90"/>
      <c r="IKZ90"/>
      <c r="ILA90"/>
      <c r="ILB90"/>
      <c r="ILC90"/>
      <c r="ILD90"/>
      <c r="ILE90"/>
      <c r="ILF90"/>
      <c r="ILG90"/>
      <c r="ILH90"/>
      <c r="ILI90"/>
      <c r="ILJ90"/>
      <c r="ILK90"/>
      <c r="ILL90"/>
      <c r="ILM90"/>
      <c r="ILN90"/>
      <c r="ILO90"/>
      <c r="ILP90"/>
      <c r="ILQ90"/>
      <c r="ILR90"/>
      <c r="ILS90"/>
      <c r="ILT90"/>
      <c r="ILU90"/>
      <c r="ILV90"/>
      <c r="ILW90"/>
      <c r="ILX90"/>
      <c r="ILY90"/>
      <c r="ILZ90"/>
      <c r="IMA90"/>
      <c r="IMB90"/>
      <c r="IMC90"/>
      <c r="IMD90"/>
      <c r="IME90"/>
      <c r="IMF90"/>
      <c r="IMG90"/>
      <c r="IMH90"/>
      <c r="IMI90"/>
      <c r="IMJ90"/>
      <c r="IMK90"/>
      <c r="IML90"/>
      <c r="IMM90"/>
      <c r="IMN90"/>
      <c r="IMO90"/>
      <c r="IMP90"/>
      <c r="IMQ90"/>
      <c r="IMR90"/>
      <c r="IMS90"/>
      <c r="IMT90"/>
      <c r="IMU90"/>
      <c r="IMV90"/>
      <c r="IMW90"/>
      <c r="IMX90"/>
      <c r="IMY90"/>
      <c r="IMZ90"/>
      <c r="INA90"/>
      <c r="INB90"/>
      <c r="INC90"/>
      <c r="IND90"/>
      <c r="INE90"/>
      <c r="INF90"/>
      <c r="ING90"/>
      <c r="INH90"/>
      <c r="INI90"/>
      <c r="INJ90"/>
      <c r="INK90"/>
      <c r="INL90"/>
      <c r="INM90"/>
      <c r="INN90"/>
      <c r="INO90"/>
      <c r="INP90"/>
      <c r="INQ90"/>
      <c r="INR90"/>
      <c r="INS90"/>
      <c r="INT90"/>
      <c r="INU90"/>
      <c r="INV90"/>
      <c r="INW90"/>
      <c r="INX90"/>
      <c r="INY90"/>
      <c r="INZ90"/>
      <c r="IOA90"/>
      <c r="IOB90"/>
      <c r="IOC90"/>
      <c r="IOD90"/>
      <c r="IOE90"/>
      <c r="IOF90"/>
      <c r="IOG90"/>
      <c r="IOH90"/>
      <c r="IOI90"/>
      <c r="IOJ90"/>
      <c r="IOK90"/>
      <c r="IOL90"/>
      <c r="IOM90"/>
      <c r="ION90"/>
      <c r="IOO90"/>
      <c r="IOP90"/>
      <c r="IOQ90"/>
      <c r="IOR90"/>
      <c r="IOS90"/>
      <c r="IOT90"/>
      <c r="IOU90"/>
      <c r="IOV90"/>
      <c r="IOW90"/>
      <c r="IOX90"/>
      <c r="IOY90"/>
      <c r="IOZ90"/>
      <c r="IPA90"/>
      <c r="IPB90"/>
      <c r="IPC90"/>
      <c r="IPD90"/>
      <c r="IPE90"/>
      <c r="IPF90"/>
      <c r="IPG90"/>
      <c r="IPH90"/>
      <c r="IPI90"/>
      <c r="IPJ90"/>
      <c r="IPK90"/>
      <c r="IPL90"/>
      <c r="IPM90"/>
      <c r="IPN90"/>
      <c r="IPO90"/>
      <c r="IPP90"/>
      <c r="IPQ90"/>
      <c r="IPR90"/>
      <c r="IPS90"/>
      <c r="IPT90"/>
      <c r="IPU90"/>
      <c r="IPV90"/>
      <c r="IPW90"/>
      <c r="IPX90"/>
      <c r="IPY90"/>
      <c r="IPZ90"/>
      <c r="IQA90"/>
      <c r="IQB90"/>
      <c r="IQC90"/>
      <c r="IQD90"/>
      <c r="IQE90"/>
      <c r="IQF90"/>
      <c r="IQG90"/>
      <c r="IQH90"/>
      <c r="IQI90"/>
      <c r="IQJ90"/>
      <c r="IQK90"/>
      <c r="IQL90"/>
      <c r="IQM90"/>
      <c r="IQN90"/>
      <c r="IQO90"/>
      <c r="IQP90"/>
      <c r="IQQ90"/>
      <c r="IQR90"/>
      <c r="IQS90"/>
      <c r="IQT90"/>
      <c r="IQU90"/>
      <c r="IQV90"/>
      <c r="IQW90"/>
      <c r="IQX90"/>
      <c r="IQY90"/>
      <c r="IQZ90"/>
      <c r="IRA90"/>
      <c r="IRB90"/>
      <c r="IRC90"/>
      <c r="IRD90"/>
      <c r="IRE90"/>
      <c r="IRF90"/>
      <c r="IRG90"/>
      <c r="IRH90"/>
      <c r="IRI90"/>
      <c r="IRJ90"/>
      <c r="IRK90"/>
      <c r="IRL90"/>
      <c r="IRM90"/>
      <c r="IRN90"/>
      <c r="IRO90"/>
      <c r="IRP90"/>
      <c r="IRQ90"/>
      <c r="IRR90"/>
      <c r="IRS90"/>
      <c r="IRT90"/>
      <c r="IRU90"/>
      <c r="IRV90"/>
      <c r="IRW90"/>
      <c r="IRX90"/>
      <c r="IRY90"/>
      <c r="IRZ90"/>
      <c r="ISA90"/>
      <c r="ISB90"/>
      <c r="ISC90"/>
      <c r="ISD90"/>
      <c r="ISE90"/>
      <c r="ISF90"/>
      <c r="ISG90"/>
      <c r="ISH90"/>
      <c r="ISI90"/>
      <c r="ISJ90"/>
      <c r="ISK90"/>
      <c r="ISL90"/>
      <c r="ISM90"/>
      <c r="ISN90"/>
      <c r="ISO90"/>
      <c r="ISP90"/>
      <c r="ISQ90"/>
      <c r="ISR90"/>
      <c r="ISS90"/>
      <c r="IST90"/>
      <c r="ISU90"/>
      <c r="ISV90"/>
      <c r="ISW90"/>
      <c r="ISX90"/>
      <c r="ISY90"/>
      <c r="ISZ90"/>
      <c r="ITA90"/>
      <c r="ITB90"/>
      <c r="ITC90"/>
      <c r="ITD90"/>
      <c r="ITE90"/>
      <c r="ITF90"/>
      <c r="ITG90"/>
      <c r="ITH90"/>
      <c r="ITI90"/>
      <c r="ITJ90"/>
      <c r="ITK90"/>
      <c r="ITL90"/>
      <c r="ITM90"/>
      <c r="ITN90"/>
      <c r="ITO90"/>
      <c r="ITP90"/>
      <c r="ITQ90"/>
      <c r="ITR90"/>
      <c r="ITS90"/>
      <c r="ITT90"/>
      <c r="ITU90"/>
      <c r="ITV90"/>
      <c r="ITW90"/>
      <c r="ITX90"/>
      <c r="ITY90"/>
      <c r="ITZ90"/>
      <c r="IUA90"/>
      <c r="IUB90"/>
      <c r="IUC90"/>
      <c r="IUD90"/>
      <c r="IUE90"/>
      <c r="IUF90"/>
      <c r="IUG90"/>
      <c r="IUH90"/>
      <c r="IUI90"/>
      <c r="IUJ90"/>
      <c r="IUK90"/>
      <c r="IUL90"/>
      <c r="IUM90"/>
      <c r="IUN90"/>
      <c r="IUO90"/>
      <c r="IUP90"/>
      <c r="IUQ90"/>
      <c r="IUR90"/>
      <c r="IUS90"/>
      <c r="IUT90"/>
      <c r="IUU90"/>
      <c r="IUV90"/>
      <c r="IUW90"/>
      <c r="IUX90"/>
      <c r="IUY90"/>
      <c r="IUZ90"/>
      <c r="IVA90"/>
      <c r="IVB90"/>
      <c r="IVC90"/>
      <c r="IVD90"/>
      <c r="IVE90"/>
      <c r="IVF90"/>
      <c r="IVG90"/>
      <c r="IVH90"/>
      <c r="IVI90"/>
      <c r="IVJ90"/>
      <c r="IVK90"/>
      <c r="IVL90"/>
      <c r="IVM90"/>
      <c r="IVN90"/>
      <c r="IVO90"/>
      <c r="IVP90"/>
      <c r="IVQ90"/>
      <c r="IVR90"/>
      <c r="IVS90"/>
      <c r="IVT90"/>
      <c r="IVU90"/>
      <c r="IVV90"/>
      <c r="IVW90"/>
      <c r="IVX90"/>
      <c r="IVY90"/>
      <c r="IVZ90"/>
      <c r="IWA90"/>
      <c r="IWB90"/>
      <c r="IWC90"/>
      <c r="IWD90"/>
      <c r="IWE90"/>
      <c r="IWF90"/>
      <c r="IWG90"/>
      <c r="IWH90"/>
      <c r="IWI90"/>
      <c r="IWJ90"/>
      <c r="IWK90"/>
      <c r="IWL90"/>
      <c r="IWM90"/>
      <c r="IWN90"/>
      <c r="IWO90"/>
      <c r="IWP90"/>
      <c r="IWQ90"/>
      <c r="IWR90"/>
      <c r="IWS90"/>
      <c r="IWT90"/>
      <c r="IWU90"/>
      <c r="IWV90"/>
      <c r="IWW90"/>
      <c r="IWX90"/>
      <c r="IWY90"/>
      <c r="IWZ90"/>
      <c r="IXA90"/>
      <c r="IXB90"/>
      <c r="IXC90"/>
      <c r="IXD90"/>
      <c r="IXE90"/>
      <c r="IXF90"/>
      <c r="IXG90"/>
      <c r="IXH90"/>
      <c r="IXI90"/>
      <c r="IXJ90"/>
      <c r="IXK90"/>
      <c r="IXL90"/>
      <c r="IXM90"/>
      <c r="IXN90"/>
      <c r="IXO90"/>
      <c r="IXP90"/>
      <c r="IXQ90"/>
      <c r="IXR90"/>
      <c r="IXS90"/>
      <c r="IXT90"/>
      <c r="IXU90"/>
      <c r="IXV90"/>
      <c r="IXW90"/>
      <c r="IXX90"/>
      <c r="IXY90"/>
      <c r="IXZ90"/>
      <c r="IYA90"/>
      <c r="IYB90"/>
      <c r="IYC90"/>
      <c r="IYD90"/>
      <c r="IYE90"/>
      <c r="IYF90"/>
      <c r="IYG90"/>
      <c r="IYH90"/>
      <c r="IYI90"/>
      <c r="IYJ90"/>
      <c r="IYK90"/>
      <c r="IYL90"/>
      <c r="IYM90"/>
      <c r="IYN90"/>
      <c r="IYO90"/>
      <c r="IYP90"/>
      <c r="IYQ90"/>
      <c r="IYR90"/>
      <c r="IYS90"/>
      <c r="IYT90"/>
      <c r="IYU90"/>
      <c r="IYV90"/>
      <c r="IYW90"/>
      <c r="IYX90"/>
      <c r="IYY90"/>
      <c r="IYZ90"/>
      <c r="IZA90"/>
      <c r="IZB90"/>
      <c r="IZC90"/>
      <c r="IZD90"/>
      <c r="IZE90"/>
      <c r="IZF90"/>
      <c r="IZG90"/>
      <c r="IZH90"/>
      <c r="IZI90"/>
      <c r="IZJ90"/>
      <c r="IZK90"/>
      <c r="IZL90"/>
      <c r="IZM90"/>
      <c r="IZN90"/>
      <c r="IZO90"/>
      <c r="IZP90"/>
      <c r="IZQ90"/>
      <c r="IZR90"/>
      <c r="IZS90"/>
      <c r="IZT90"/>
      <c r="IZU90"/>
      <c r="IZV90"/>
      <c r="IZW90"/>
      <c r="IZX90"/>
      <c r="IZY90"/>
      <c r="IZZ90"/>
      <c r="JAA90"/>
      <c r="JAB90"/>
      <c r="JAC90"/>
      <c r="JAD90"/>
      <c r="JAE90"/>
      <c r="JAF90"/>
      <c r="JAG90"/>
      <c r="JAH90"/>
      <c r="JAI90"/>
      <c r="JAJ90"/>
      <c r="JAK90"/>
      <c r="JAL90"/>
      <c r="JAM90"/>
      <c r="JAN90"/>
      <c r="JAO90"/>
      <c r="JAP90"/>
      <c r="JAQ90"/>
      <c r="JAR90"/>
      <c r="JAS90"/>
      <c r="JAT90"/>
      <c r="JAU90"/>
      <c r="JAV90"/>
      <c r="JAW90"/>
      <c r="JAX90"/>
      <c r="JAY90"/>
      <c r="JAZ90"/>
      <c r="JBA90"/>
      <c r="JBB90"/>
      <c r="JBC90"/>
      <c r="JBD90"/>
      <c r="JBE90"/>
      <c r="JBF90"/>
      <c r="JBG90"/>
      <c r="JBH90"/>
      <c r="JBI90"/>
      <c r="JBJ90"/>
      <c r="JBK90"/>
      <c r="JBL90"/>
      <c r="JBM90"/>
      <c r="JBN90"/>
      <c r="JBO90"/>
      <c r="JBP90"/>
      <c r="JBQ90"/>
      <c r="JBR90"/>
      <c r="JBS90"/>
      <c r="JBT90"/>
      <c r="JBU90"/>
      <c r="JBV90"/>
      <c r="JBW90"/>
      <c r="JBX90"/>
      <c r="JBY90"/>
      <c r="JBZ90"/>
      <c r="JCA90"/>
      <c r="JCB90"/>
      <c r="JCC90"/>
      <c r="JCD90"/>
      <c r="JCE90"/>
      <c r="JCF90"/>
      <c r="JCG90"/>
      <c r="JCH90"/>
      <c r="JCI90"/>
      <c r="JCJ90"/>
      <c r="JCK90"/>
      <c r="JCL90"/>
      <c r="JCM90"/>
      <c r="JCN90"/>
      <c r="JCO90"/>
      <c r="JCP90"/>
      <c r="JCQ90"/>
      <c r="JCR90"/>
      <c r="JCS90"/>
      <c r="JCT90"/>
      <c r="JCU90"/>
      <c r="JCV90"/>
      <c r="JCW90"/>
      <c r="JCX90"/>
      <c r="JCY90"/>
      <c r="JCZ90"/>
      <c r="JDA90"/>
      <c r="JDB90"/>
      <c r="JDC90"/>
      <c r="JDD90"/>
      <c r="JDE90"/>
      <c r="JDF90"/>
      <c r="JDG90"/>
      <c r="JDH90"/>
      <c r="JDI90"/>
      <c r="JDJ90"/>
      <c r="JDK90"/>
      <c r="JDL90"/>
      <c r="JDM90"/>
      <c r="JDN90"/>
      <c r="JDO90"/>
      <c r="JDP90"/>
      <c r="JDQ90"/>
      <c r="JDR90"/>
      <c r="JDS90"/>
      <c r="JDT90"/>
      <c r="JDU90"/>
      <c r="JDV90"/>
      <c r="JDW90"/>
      <c r="JDX90"/>
      <c r="JDY90"/>
      <c r="JDZ90"/>
      <c r="JEA90"/>
      <c r="JEB90"/>
      <c r="JEC90"/>
      <c r="JED90"/>
      <c r="JEE90"/>
      <c r="JEF90"/>
      <c r="JEG90"/>
      <c r="JEH90"/>
      <c r="JEI90"/>
      <c r="JEJ90"/>
      <c r="JEK90"/>
      <c r="JEL90"/>
      <c r="JEM90"/>
      <c r="JEN90"/>
      <c r="JEO90"/>
      <c r="JEP90"/>
      <c r="JEQ90"/>
      <c r="JER90"/>
      <c r="JES90"/>
      <c r="JET90"/>
      <c r="JEU90"/>
      <c r="JEV90"/>
      <c r="JEW90"/>
      <c r="JEX90"/>
      <c r="JEY90"/>
      <c r="JEZ90"/>
      <c r="JFA90"/>
      <c r="JFB90"/>
      <c r="JFC90"/>
      <c r="JFD90"/>
      <c r="JFE90"/>
      <c r="JFF90"/>
      <c r="JFG90"/>
      <c r="JFH90"/>
      <c r="JFI90"/>
      <c r="JFJ90"/>
      <c r="JFK90"/>
      <c r="JFL90"/>
      <c r="JFM90"/>
      <c r="JFN90"/>
      <c r="JFO90"/>
      <c r="JFP90"/>
      <c r="JFQ90"/>
      <c r="JFR90"/>
      <c r="JFS90"/>
      <c r="JFT90"/>
      <c r="JFU90"/>
      <c r="JFV90"/>
      <c r="JFW90"/>
      <c r="JFX90"/>
      <c r="JFY90"/>
      <c r="JFZ90"/>
      <c r="JGA90"/>
      <c r="JGB90"/>
      <c r="JGC90"/>
      <c r="JGD90"/>
      <c r="JGE90"/>
      <c r="JGF90"/>
      <c r="JGG90"/>
      <c r="JGH90"/>
      <c r="JGI90"/>
      <c r="JGJ90"/>
      <c r="JGK90"/>
      <c r="JGL90"/>
      <c r="JGM90"/>
      <c r="JGN90"/>
      <c r="JGO90"/>
      <c r="JGP90"/>
      <c r="JGQ90"/>
      <c r="JGR90"/>
      <c r="JGS90"/>
      <c r="JGT90"/>
      <c r="JGU90"/>
      <c r="JGV90"/>
      <c r="JGW90"/>
      <c r="JGX90"/>
      <c r="JGY90"/>
      <c r="JGZ90"/>
      <c r="JHA90"/>
      <c r="JHB90"/>
      <c r="JHC90"/>
      <c r="JHD90"/>
      <c r="JHE90"/>
      <c r="JHF90"/>
      <c r="JHG90"/>
      <c r="JHH90"/>
      <c r="JHI90"/>
      <c r="JHJ90"/>
      <c r="JHK90"/>
      <c r="JHL90"/>
      <c r="JHM90"/>
      <c r="JHN90"/>
      <c r="JHO90"/>
      <c r="JHP90"/>
      <c r="JHQ90"/>
      <c r="JHR90"/>
      <c r="JHS90"/>
      <c r="JHT90"/>
      <c r="JHU90"/>
      <c r="JHV90"/>
      <c r="JHW90"/>
      <c r="JHX90"/>
      <c r="JHY90"/>
      <c r="JHZ90"/>
      <c r="JIA90"/>
      <c r="JIB90"/>
      <c r="JIC90"/>
      <c r="JID90"/>
      <c r="JIE90"/>
      <c r="JIF90"/>
      <c r="JIG90"/>
      <c r="JIH90"/>
      <c r="JII90"/>
      <c r="JIJ90"/>
      <c r="JIK90"/>
      <c r="JIL90"/>
      <c r="JIM90"/>
      <c r="JIN90"/>
      <c r="JIO90"/>
      <c r="JIP90"/>
      <c r="JIQ90"/>
      <c r="JIR90"/>
      <c r="JIS90"/>
      <c r="JIT90"/>
      <c r="JIU90"/>
      <c r="JIV90"/>
      <c r="JIW90"/>
      <c r="JIX90"/>
      <c r="JIY90"/>
      <c r="JIZ90"/>
      <c r="JJA90"/>
      <c r="JJB90"/>
      <c r="JJC90"/>
      <c r="JJD90"/>
      <c r="JJE90"/>
      <c r="JJF90"/>
      <c r="JJG90"/>
      <c r="JJH90"/>
      <c r="JJI90"/>
      <c r="JJJ90"/>
      <c r="JJK90"/>
      <c r="JJL90"/>
      <c r="JJM90"/>
      <c r="JJN90"/>
      <c r="JJO90"/>
      <c r="JJP90"/>
      <c r="JJQ90"/>
      <c r="JJR90"/>
      <c r="JJS90"/>
      <c r="JJT90"/>
      <c r="JJU90"/>
      <c r="JJV90"/>
      <c r="JJW90"/>
      <c r="JJX90"/>
      <c r="JJY90"/>
      <c r="JJZ90"/>
      <c r="JKA90"/>
      <c r="JKB90"/>
      <c r="JKC90"/>
      <c r="JKD90"/>
      <c r="JKE90"/>
      <c r="JKF90"/>
      <c r="JKG90"/>
      <c r="JKH90"/>
      <c r="JKI90"/>
      <c r="JKJ90"/>
      <c r="JKK90"/>
      <c r="JKL90"/>
      <c r="JKM90"/>
      <c r="JKN90"/>
      <c r="JKO90"/>
      <c r="JKP90"/>
      <c r="JKQ90"/>
      <c r="JKR90"/>
      <c r="JKS90"/>
      <c r="JKT90"/>
      <c r="JKU90"/>
      <c r="JKV90"/>
      <c r="JKW90"/>
      <c r="JKX90"/>
      <c r="JKY90"/>
      <c r="JKZ90"/>
      <c r="JLA90"/>
      <c r="JLB90"/>
      <c r="JLC90"/>
      <c r="JLD90"/>
      <c r="JLE90"/>
      <c r="JLF90"/>
      <c r="JLG90"/>
      <c r="JLH90"/>
      <c r="JLI90"/>
      <c r="JLJ90"/>
      <c r="JLK90"/>
      <c r="JLL90"/>
      <c r="JLM90"/>
      <c r="JLN90"/>
      <c r="JLO90"/>
      <c r="JLP90"/>
      <c r="JLQ90"/>
      <c r="JLR90"/>
      <c r="JLS90"/>
      <c r="JLT90"/>
      <c r="JLU90"/>
      <c r="JLV90"/>
      <c r="JLW90"/>
      <c r="JLX90"/>
      <c r="JLY90"/>
      <c r="JLZ90"/>
      <c r="JMA90"/>
      <c r="JMB90"/>
      <c r="JMC90"/>
      <c r="JMD90"/>
      <c r="JME90"/>
      <c r="JMF90"/>
      <c r="JMG90"/>
      <c r="JMH90"/>
      <c r="JMI90"/>
      <c r="JMJ90"/>
      <c r="JMK90"/>
      <c r="JML90"/>
      <c r="JMM90"/>
      <c r="JMN90"/>
      <c r="JMO90"/>
      <c r="JMP90"/>
      <c r="JMQ90"/>
      <c r="JMR90"/>
      <c r="JMS90"/>
      <c r="JMT90"/>
      <c r="JMU90"/>
      <c r="JMV90"/>
      <c r="JMW90"/>
      <c r="JMX90"/>
      <c r="JMY90"/>
      <c r="JMZ90"/>
      <c r="JNA90"/>
      <c r="JNB90"/>
      <c r="JNC90"/>
      <c r="JND90"/>
      <c r="JNE90"/>
      <c r="JNF90"/>
      <c r="JNG90"/>
      <c r="JNH90"/>
      <c r="JNI90"/>
      <c r="JNJ90"/>
      <c r="JNK90"/>
      <c r="JNL90"/>
      <c r="JNM90"/>
      <c r="JNN90"/>
      <c r="JNO90"/>
      <c r="JNP90"/>
      <c r="JNQ90"/>
      <c r="JNR90"/>
      <c r="JNS90"/>
      <c r="JNT90"/>
      <c r="JNU90"/>
      <c r="JNV90"/>
      <c r="JNW90"/>
      <c r="JNX90"/>
      <c r="JNY90"/>
      <c r="JNZ90"/>
      <c r="JOA90"/>
      <c r="JOB90"/>
      <c r="JOC90"/>
      <c r="JOD90"/>
      <c r="JOE90"/>
      <c r="JOF90"/>
      <c r="JOG90"/>
      <c r="JOH90"/>
      <c r="JOI90"/>
      <c r="JOJ90"/>
      <c r="JOK90"/>
      <c r="JOL90"/>
      <c r="JOM90"/>
      <c r="JON90"/>
      <c r="JOO90"/>
      <c r="JOP90"/>
      <c r="JOQ90"/>
      <c r="JOR90"/>
      <c r="JOS90"/>
      <c r="JOT90"/>
      <c r="JOU90"/>
      <c r="JOV90"/>
      <c r="JOW90"/>
      <c r="JOX90"/>
      <c r="JOY90"/>
      <c r="JOZ90"/>
      <c r="JPA90"/>
      <c r="JPB90"/>
      <c r="JPC90"/>
      <c r="JPD90"/>
      <c r="JPE90"/>
      <c r="JPF90"/>
      <c r="JPG90"/>
      <c r="JPH90"/>
      <c r="JPI90"/>
      <c r="JPJ90"/>
      <c r="JPK90"/>
      <c r="JPL90"/>
      <c r="JPM90"/>
      <c r="JPN90"/>
      <c r="JPO90"/>
      <c r="JPP90"/>
      <c r="JPQ90"/>
      <c r="JPR90"/>
      <c r="JPS90"/>
      <c r="JPT90"/>
      <c r="JPU90"/>
      <c r="JPV90"/>
      <c r="JPW90"/>
      <c r="JPX90"/>
      <c r="JPY90"/>
      <c r="JPZ90"/>
      <c r="JQA90"/>
      <c r="JQB90"/>
      <c r="JQC90"/>
      <c r="JQD90"/>
      <c r="JQE90"/>
      <c r="JQF90"/>
      <c r="JQG90"/>
      <c r="JQH90"/>
      <c r="JQI90"/>
      <c r="JQJ90"/>
      <c r="JQK90"/>
      <c r="JQL90"/>
      <c r="JQM90"/>
      <c r="JQN90"/>
      <c r="JQO90"/>
      <c r="JQP90"/>
      <c r="JQQ90"/>
      <c r="JQR90"/>
      <c r="JQS90"/>
      <c r="JQT90"/>
      <c r="JQU90"/>
      <c r="JQV90"/>
      <c r="JQW90"/>
      <c r="JQX90"/>
      <c r="JQY90"/>
      <c r="JQZ90"/>
      <c r="JRA90"/>
      <c r="JRB90"/>
      <c r="JRC90"/>
      <c r="JRD90"/>
      <c r="JRE90"/>
      <c r="JRF90"/>
      <c r="JRG90"/>
      <c r="JRH90"/>
      <c r="JRI90"/>
      <c r="JRJ90"/>
      <c r="JRK90"/>
      <c r="JRL90"/>
      <c r="JRM90"/>
      <c r="JRN90"/>
      <c r="JRO90"/>
      <c r="JRP90"/>
      <c r="JRQ90"/>
      <c r="JRR90"/>
      <c r="JRS90"/>
      <c r="JRT90"/>
      <c r="JRU90"/>
      <c r="JRV90"/>
      <c r="JRW90"/>
      <c r="JRX90"/>
      <c r="JRY90"/>
      <c r="JRZ90"/>
      <c r="JSA90"/>
      <c r="JSB90"/>
      <c r="JSC90"/>
      <c r="JSD90"/>
      <c r="JSE90"/>
      <c r="JSF90"/>
      <c r="JSG90"/>
      <c r="JSH90"/>
      <c r="JSI90"/>
      <c r="JSJ90"/>
      <c r="JSK90"/>
      <c r="JSL90"/>
      <c r="JSM90"/>
      <c r="JSN90"/>
      <c r="JSO90"/>
      <c r="JSP90"/>
      <c r="JSQ90"/>
      <c r="JSR90"/>
      <c r="JSS90"/>
      <c r="JST90"/>
      <c r="JSU90"/>
      <c r="JSV90"/>
      <c r="JSW90"/>
      <c r="JSX90"/>
      <c r="JSY90"/>
      <c r="JSZ90"/>
      <c r="JTA90"/>
      <c r="JTB90"/>
      <c r="JTC90"/>
      <c r="JTD90"/>
      <c r="JTE90"/>
      <c r="JTF90"/>
      <c r="JTG90"/>
      <c r="JTH90"/>
      <c r="JTI90"/>
      <c r="JTJ90"/>
      <c r="JTK90"/>
      <c r="JTL90"/>
      <c r="JTM90"/>
      <c r="JTN90"/>
      <c r="JTO90"/>
      <c r="JTP90"/>
      <c r="JTQ90"/>
      <c r="JTR90"/>
      <c r="JTS90"/>
      <c r="JTT90"/>
      <c r="JTU90"/>
      <c r="JTV90"/>
      <c r="JTW90"/>
      <c r="JTX90"/>
      <c r="JTY90"/>
      <c r="JTZ90"/>
      <c r="JUA90"/>
      <c r="JUB90"/>
      <c r="JUC90"/>
      <c r="JUD90"/>
      <c r="JUE90"/>
      <c r="JUF90"/>
      <c r="JUG90"/>
      <c r="JUH90"/>
      <c r="JUI90"/>
      <c r="JUJ90"/>
      <c r="JUK90"/>
      <c r="JUL90"/>
      <c r="JUM90"/>
      <c r="JUN90"/>
      <c r="JUO90"/>
      <c r="JUP90"/>
      <c r="JUQ90"/>
      <c r="JUR90"/>
      <c r="JUS90"/>
      <c r="JUT90"/>
      <c r="JUU90"/>
      <c r="JUV90"/>
      <c r="JUW90"/>
      <c r="JUX90"/>
      <c r="JUY90"/>
      <c r="JUZ90"/>
      <c r="JVA90"/>
      <c r="JVB90"/>
      <c r="JVC90"/>
      <c r="JVD90"/>
      <c r="JVE90"/>
      <c r="JVF90"/>
      <c r="JVG90"/>
      <c r="JVH90"/>
      <c r="JVI90"/>
      <c r="JVJ90"/>
      <c r="JVK90"/>
      <c r="JVL90"/>
      <c r="JVM90"/>
      <c r="JVN90"/>
      <c r="JVO90"/>
      <c r="JVP90"/>
      <c r="JVQ90"/>
      <c r="JVR90"/>
      <c r="JVS90"/>
      <c r="JVT90"/>
      <c r="JVU90"/>
      <c r="JVV90"/>
      <c r="JVW90"/>
      <c r="JVX90"/>
      <c r="JVY90"/>
      <c r="JVZ90"/>
      <c r="JWA90"/>
      <c r="JWB90"/>
      <c r="JWC90"/>
      <c r="JWD90"/>
      <c r="JWE90"/>
      <c r="JWF90"/>
      <c r="JWG90"/>
      <c r="JWH90"/>
      <c r="JWI90"/>
      <c r="JWJ90"/>
      <c r="JWK90"/>
      <c r="JWL90"/>
      <c r="JWM90"/>
      <c r="JWN90"/>
      <c r="JWO90"/>
      <c r="JWP90"/>
      <c r="JWQ90"/>
      <c r="JWR90"/>
      <c r="JWS90"/>
      <c r="JWT90"/>
      <c r="JWU90"/>
      <c r="JWV90"/>
      <c r="JWW90"/>
      <c r="JWX90"/>
      <c r="JWY90"/>
      <c r="JWZ90"/>
      <c r="JXA90"/>
      <c r="JXB90"/>
      <c r="JXC90"/>
      <c r="JXD90"/>
      <c r="JXE90"/>
      <c r="JXF90"/>
      <c r="JXG90"/>
      <c r="JXH90"/>
      <c r="JXI90"/>
      <c r="JXJ90"/>
      <c r="JXK90"/>
      <c r="JXL90"/>
      <c r="JXM90"/>
      <c r="JXN90"/>
      <c r="JXO90"/>
      <c r="JXP90"/>
      <c r="JXQ90"/>
      <c r="JXR90"/>
      <c r="JXS90"/>
      <c r="JXT90"/>
      <c r="JXU90"/>
      <c r="JXV90"/>
      <c r="JXW90"/>
      <c r="JXX90"/>
      <c r="JXY90"/>
      <c r="JXZ90"/>
      <c r="JYA90"/>
      <c r="JYB90"/>
      <c r="JYC90"/>
      <c r="JYD90"/>
      <c r="JYE90"/>
      <c r="JYF90"/>
      <c r="JYG90"/>
      <c r="JYH90"/>
      <c r="JYI90"/>
      <c r="JYJ90"/>
      <c r="JYK90"/>
      <c r="JYL90"/>
      <c r="JYM90"/>
      <c r="JYN90"/>
      <c r="JYO90"/>
      <c r="JYP90"/>
      <c r="JYQ90"/>
      <c r="JYR90"/>
      <c r="JYS90"/>
      <c r="JYT90"/>
      <c r="JYU90"/>
      <c r="JYV90"/>
      <c r="JYW90"/>
      <c r="JYX90"/>
      <c r="JYY90"/>
      <c r="JYZ90"/>
      <c r="JZA90"/>
      <c r="JZB90"/>
      <c r="JZC90"/>
      <c r="JZD90"/>
      <c r="JZE90"/>
      <c r="JZF90"/>
      <c r="JZG90"/>
      <c r="JZH90"/>
      <c r="JZI90"/>
      <c r="JZJ90"/>
      <c r="JZK90"/>
      <c r="JZL90"/>
      <c r="JZM90"/>
      <c r="JZN90"/>
      <c r="JZO90"/>
      <c r="JZP90"/>
      <c r="JZQ90"/>
      <c r="JZR90"/>
      <c r="JZS90"/>
      <c r="JZT90"/>
      <c r="JZU90"/>
      <c r="JZV90"/>
      <c r="JZW90"/>
      <c r="JZX90"/>
      <c r="JZY90"/>
      <c r="JZZ90"/>
      <c r="KAA90"/>
      <c r="KAB90"/>
      <c r="KAC90"/>
      <c r="KAD90"/>
      <c r="KAE90"/>
      <c r="KAF90"/>
      <c r="KAG90"/>
      <c r="KAH90"/>
      <c r="KAI90"/>
      <c r="KAJ90"/>
      <c r="KAK90"/>
      <c r="KAL90"/>
      <c r="KAM90"/>
      <c r="KAN90"/>
      <c r="KAO90"/>
      <c r="KAP90"/>
      <c r="KAQ90"/>
      <c r="KAR90"/>
      <c r="KAS90"/>
      <c r="KAT90"/>
      <c r="KAU90"/>
      <c r="KAV90"/>
      <c r="KAW90"/>
      <c r="KAX90"/>
      <c r="KAY90"/>
      <c r="KAZ90"/>
      <c r="KBA90"/>
      <c r="KBB90"/>
      <c r="KBC90"/>
      <c r="KBD90"/>
      <c r="KBE90"/>
      <c r="KBF90"/>
      <c r="KBG90"/>
      <c r="KBH90"/>
      <c r="KBI90"/>
      <c r="KBJ90"/>
      <c r="KBK90"/>
      <c r="KBL90"/>
      <c r="KBM90"/>
      <c r="KBN90"/>
      <c r="KBO90"/>
      <c r="KBP90"/>
      <c r="KBQ90"/>
      <c r="KBR90"/>
      <c r="KBS90"/>
      <c r="KBT90"/>
      <c r="KBU90"/>
      <c r="KBV90"/>
      <c r="KBW90"/>
      <c r="KBX90"/>
      <c r="KBY90"/>
      <c r="KBZ90"/>
      <c r="KCA90"/>
      <c r="KCB90"/>
      <c r="KCC90"/>
      <c r="KCD90"/>
      <c r="KCE90"/>
      <c r="KCF90"/>
      <c r="KCG90"/>
      <c r="KCH90"/>
      <c r="KCI90"/>
      <c r="KCJ90"/>
      <c r="KCK90"/>
      <c r="KCL90"/>
      <c r="KCM90"/>
      <c r="KCN90"/>
      <c r="KCO90"/>
      <c r="KCP90"/>
      <c r="KCQ90"/>
      <c r="KCR90"/>
      <c r="KCS90"/>
      <c r="KCT90"/>
      <c r="KCU90"/>
      <c r="KCV90"/>
      <c r="KCW90"/>
      <c r="KCX90"/>
      <c r="KCY90"/>
      <c r="KCZ90"/>
      <c r="KDA90"/>
      <c r="KDB90"/>
      <c r="KDC90"/>
      <c r="KDD90"/>
      <c r="KDE90"/>
      <c r="KDF90"/>
      <c r="KDG90"/>
      <c r="KDH90"/>
      <c r="KDI90"/>
      <c r="KDJ90"/>
      <c r="KDK90"/>
      <c r="KDL90"/>
      <c r="KDM90"/>
      <c r="KDN90"/>
      <c r="KDO90"/>
      <c r="KDP90"/>
      <c r="KDQ90"/>
      <c r="KDR90"/>
      <c r="KDS90"/>
      <c r="KDT90"/>
      <c r="KDU90"/>
      <c r="KDV90"/>
      <c r="KDW90"/>
      <c r="KDX90"/>
      <c r="KDY90"/>
      <c r="KDZ90"/>
      <c r="KEA90"/>
      <c r="KEB90"/>
      <c r="KEC90"/>
      <c r="KED90"/>
      <c r="KEE90"/>
      <c r="KEF90"/>
      <c r="KEG90"/>
      <c r="KEH90"/>
      <c r="KEI90"/>
      <c r="KEJ90"/>
      <c r="KEK90"/>
      <c r="KEL90"/>
      <c r="KEM90"/>
      <c r="KEN90"/>
      <c r="KEO90"/>
      <c r="KEP90"/>
      <c r="KEQ90"/>
      <c r="KER90"/>
      <c r="KES90"/>
      <c r="KET90"/>
      <c r="KEU90"/>
      <c r="KEV90"/>
      <c r="KEW90"/>
      <c r="KEX90"/>
      <c r="KEY90"/>
      <c r="KEZ90"/>
      <c r="KFA90"/>
      <c r="KFB90"/>
      <c r="KFC90"/>
      <c r="KFD90"/>
      <c r="KFE90"/>
      <c r="KFF90"/>
      <c r="KFG90"/>
      <c r="KFH90"/>
      <c r="KFI90"/>
      <c r="KFJ90"/>
      <c r="KFK90"/>
      <c r="KFL90"/>
      <c r="KFM90"/>
      <c r="KFN90"/>
      <c r="KFO90"/>
      <c r="KFP90"/>
      <c r="KFQ90"/>
      <c r="KFR90"/>
      <c r="KFS90"/>
      <c r="KFT90"/>
      <c r="KFU90"/>
      <c r="KFV90"/>
      <c r="KFW90"/>
      <c r="KFX90"/>
      <c r="KFY90"/>
      <c r="KFZ90"/>
      <c r="KGA90"/>
      <c r="KGB90"/>
      <c r="KGC90"/>
      <c r="KGD90"/>
      <c r="KGE90"/>
      <c r="KGF90"/>
      <c r="KGG90"/>
      <c r="KGH90"/>
      <c r="KGI90"/>
      <c r="KGJ90"/>
      <c r="KGK90"/>
      <c r="KGL90"/>
      <c r="KGM90"/>
      <c r="KGN90"/>
      <c r="KGO90"/>
      <c r="KGP90"/>
      <c r="KGQ90"/>
      <c r="KGR90"/>
      <c r="KGS90"/>
      <c r="KGT90"/>
      <c r="KGU90"/>
      <c r="KGV90"/>
      <c r="KGW90"/>
      <c r="KGX90"/>
      <c r="KGY90"/>
      <c r="KGZ90"/>
      <c r="KHA90"/>
      <c r="KHB90"/>
      <c r="KHC90"/>
      <c r="KHD90"/>
      <c r="KHE90"/>
      <c r="KHF90"/>
      <c r="KHG90"/>
      <c r="KHH90"/>
      <c r="KHI90"/>
      <c r="KHJ90"/>
      <c r="KHK90"/>
      <c r="KHL90"/>
      <c r="KHM90"/>
      <c r="KHN90"/>
      <c r="KHO90"/>
      <c r="KHP90"/>
      <c r="KHQ90"/>
      <c r="KHR90"/>
      <c r="KHS90"/>
      <c r="KHT90"/>
      <c r="KHU90"/>
      <c r="KHV90"/>
      <c r="KHW90"/>
      <c r="KHX90"/>
      <c r="KHY90"/>
      <c r="KHZ90"/>
      <c r="KIA90"/>
      <c r="KIB90"/>
      <c r="KIC90"/>
      <c r="KID90"/>
      <c r="KIE90"/>
      <c r="KIF90"/>
      <c r="KIG90"/>
      <c r="KIH90"/>
      <c r="KII90"/>
      <c r="KIJ90"/>
      <c r="KIK90"/>
      <c r="KIL90"/>
      <c r="KIM90"/>
      <c r="KIN90"/>
      <c r="KIO90"/>
      <c r="KIP90"/>
      <c r="KIQ90"/>
      <c r="KIR90"/>
      <c r="KIS90"/>
      <c r="KIT90"/>
      <c r="KIU90"/>
      <c r="KIV90"/>
      <c r="KIW90"/>
      <c r="KIX90"/>
      <c r="KIY90"/>
      <c r="KIZ90"/>
      <c r="KJA90"/>
      <c r="KJB90"/>
      <c r="KJC90"/>
      <c r="KJD90"/>
      <c r="KJE90"/>
      <c r="KJF90"/>
      <c r="KJG90"/>
      <c r="KJH90"/>
      <c r="KJI90"/>
      <c r="KJJ90"/>
      <c r="KJK90"/>
      <c r="KJL90"/>
      <c r="KJM90"/>
      <c r="KJN90"/>
      <c r="KJO90"/>
      <c r="KJP90"/>
      <c r="KJQ90"/>
      <c r="KJR90"/>
      <c r="KJS90"/>
      <c r="KJT90"/>
      <c r="KJU90"/>
      <c r="KJV90"/>
      <c r="KJW90"/>
      <c r="KJX90"/>
      <c r="KJY90"/>
      <c r="KJZ90"/>
      <c r="KKA90"/>
      <c r="KKB90"/>
      <c r="KKC90"/>
      <c r="KKD90"/>
      <c r="KKE90"/>
      <c r="KKF90"/>
      <c r="KKG90"/>
      <c r="KKH90"/>
      <c r="KKI90"/>
      <c r="KKJ90"/>
      <c r="KKK90"/>
      <c r="KKL90"/>
      <c r="KKM90"/>
      <c r="KKN90"/>
      <c r="KKO90"/>
      <c r="KKP90"/>
      <c r="KKQ90"/>
      <c r="KKR90"/>
      <c r="KKS90"/>
      <c r="KKT90"/>
      <c r="KKU90"/>
      <c r="KKV90"/>
      <c r="KKW90"/>
      <c r="KKX90"/>
      <c r="KKY90"/>
      <c r="KKZ90"/>
      <c r="KLA90"/>
      <c r="KLB90"/>
      <c r="KLC90"/>
      <c r="KLD90"/>
      <c r="KLE90"/>
      <c r="KLF90"/>
      <c r="KLG90"/>
      <c r="KLH90"/>
      <c r="KLI90"/>
      <c r="KLJ90"/>
      <c r="KLK90"/>
      <c r="KLL90"/>
      <c r="KLM90"/>
      <c r="KLN90"/>
      <c r="KLO90"/>
      <c r="KLP90"/>
      <c r="KLQ90"/>
      <c r="KLR90"/>
      <c r="KLS90"/>
      <c r="KLT90"/>
      <c r="KLU90"/>
      <c r="KLV90"/>
      <c r="KLW90"/>
      <c r="KLX90"/>
      <c r="KLY90"/>
      <c r="KLZ90"/>
      <c r="KMA90"/>
      <c r="KMB90"/>
      <c r="KMC90"/>
      <c r="KMD90"/>
      <c r="KME90"/>
      <c r="KMF90"/>
      <c r="KMG90"/>
      <c r="KMH90"/>
      <c r="KMI90"/>
      <c r="KMJ90"/>
      <c r="KMK90"/>
      <c r="KML90"/>
      <c r="KMM90"/>
      <c r="KMN90"/>
      <c r="KMO90"/>
      <c r="KMP90"/>
      <c r="KMQ90"/>
      <c r="KMR90"/>
      <c r="KMS90"/>
      <c r="KMT90"/>
      <c r="KMU90"/>
      <c r="KMV90"/>
      <c r="KMW90"/>
      <c r="KMX90"/>
      <c r="KMY90"/>
      <c r="KMZ90"/>
      <c r="KNA90"/>
      <c r="KNB90"/>
      <c r="KNC90"/>
      <c r="KND90"/>
      <c r="KNE90"/>
      <c r="KNF90"/>
      <c r="KNG90"/>
      <c r="KNH90"/>
      <c r="KNI90"/>
      <c r="KNJ90"/>
      <c r="KNK90"/>
      <c r="KNL90"/>
      <c r="KNM90"/>
      <c r="KNN90"/>
      <c r="KNO90"/>
      <c r="KNP90"/>
      <c r="KNQ90"/>
      <c r="KNR90"/>
      <c r="KNS90"/>
      <c r="KNT90"/>
      <c r="KNU90"/>
      <c r="KNV90"/>
      <c r="KNW90"/>
      <c r="KNX90"/>
      <c r="KNY90"/>
      <c r="KNZ90"/>
      <c r="KOA90"/>
      <c r="KOB90"/>
      <c r="KOC90"/>
      <c r="KOD90"/>
      <c r="KOE90"/>
      <c r="KOF90"/>
      <c r="KOG90"/>
      <c r="KOH90"/>
      <c r="KOI90"/>
      <c r="KOJ90"/>
      <c r="KOK90"/>
      <c r="KOL90"/>
      <c r="KOM90"/>
      <c r="KON90"/>
      <c r="KOO90"/>
      <c r="KOP90"/>
      <c r="KOQ90"/>
      <c r="KOR90"/>
      <c r="KOS90"/>
      <c r="KOT90"/>
      <c r="KOU90"/>
      <c r="KOV90"/>
      <c r="KOW90"/>
      <c r="KOX90"/>
      <c r="KOY90"/>
      <c r="KOZ90"/>
      <c r="KPA90"/>
      <c r="KPB90"/>
      <c r="KPC90"/>
      <c r="KPD90"/>
      <c r="KPE90"/>
      <c r="KPF90"/>
      <c r="KPG90"/>
      <c r="KPH90"/>
      <c r="KPI90"/>
      <c r="KPJ90"/>
      <c r="KPK90"/>
      <c r="KPL90"/>
      <c r="KPM90"/>
      <c r="KPN90"/>
      <c r="KPO90"/>
      <c r="KPP90"/>
      <c r="KPQ90"/>
      <c r="KPR90"/>
      <c r="KPS90"/>
      <c r="KPT90"/>
      <c r="KPU90"/>
      <c r="KPV90"/>
      <c r="KPW90"/>
      <c r="KPX90"/>
      <c r="KPY90"/>
      <c r="KPZ90"/>
      <c r="KQA90"/>
      <c r="KQB90"/>
      <c r="KQC90"/>
      <c r="KQD90"/>
      <c r="KQE90"/>
      <c r="KQF90"/>
      <c r="KQG90"/>
      <c r="KQH90"/>
      <c r="KQI90"/>
      <c r="KQJ90"/>
      <c r="KQK90"/>
      <c r="KQL90"/>
      <c r="KQM90"/>
      <c r="KQN90"/>
      <c r="KQO90"/>
      <c r="KQP90"/>
      <c r="KQQ90"/>
      <c r="KQR90"/>
      <c r="KQS90"/>
      <c r="KQT90"/>
      <c r="KQU90"/>
      <c r="KQV90"/>
      <c r="KQW90"/>
      <c r="KQX90"/>
      <c r="KQY90"/>
      <c r="KQZ90"/>
      <c r="KRA90"/>
      <c r="KRB90"/>
      <c r="KRC90"/>
      <c r="KRD90"/>
      <c r="KRE90"/>
      <c r="KRF90"/>
      <c r="KRG90"/>
      <c r="KRH90"/>
      <c r="KRI90"/>
      <c r="KRJ90"/>
      <c r="KRK90"/>
      <c r="KRL90"/>
      <c r="KRM90"/>
      <c r="KRN90"/>
      <c r="KRO90"/>
      <c r="KRP90"/>
      <c r="KRQ90"/>
      <c r="KRR90"/>
      <c r="KRS90"/>
      <c r="KRT90"/>
      <c r="KRU90"/>
      <c r="KRV90"/>
      <c r="KRW90"/>
      <c r="KRX90"/>
      <c r="KRY90"/>
      <c r="KRZ90"/>
      <c r="KSA90"/>
      <c r="KSB90"/>
      <c r="KSC90"/>
      <c r="KSD90"/>
      <c r="KSE90"/>
      <c r="KSF90"/>
      <c r="KSG90"/>
      <c r="KSH90"/>
      <c r="KSI90"/>
      <c r="KSJ90"/>
      <c r="KSK90"/>
      <c r="KSL90"/>
      <c r="KSM90"/>
      <c r="KSN90"/>
      <c r="KSO90"/>
      <c r="KSP90"/>
      <c r="KSQ90"/>
      <c r="KSR90"/>
      <c r="KSS90"/>
      <c r="KST90"/>
      <c r="KSU90"/>
      <c r="KSV90"/>
      <c r="KSW90"/>
      <c r="KSX90"/>
      <c r="KSY90"/>
      <c r="KSZ90"/>
      <c r="KTA90"/>
      <c r="KTB90"/>
      <c r="KTC90"/>
      <c r="KTD90"/>
      <c r="KTE90"/>
      <c r="KTF90"/>
      <c r="KTG90"/>
      <c r="KTH90"/>
      <c r="KTI90"/>
      <c r="KTJ90"/>
      <c r="KTK90"/>
      <c r="KTL90"/>
      <c r="KTM90"/>
      <c r="KTN90"/>
      <c r="KTO90"/>
      <c r="KTP90"/>
      <c r="KTQ90"/>
      <c r="KTR90"/>
      <c r="KTS90"/>
      <c r="KTT90"/>
      <c r="KTU90"/>
      <c r="KTV90"/>
      <c r="KTW90"/>
      <c r="KTX90"/>
      <c r="KTY90"/>
      <c r="KTZ90"/>
      <c r="KUA90"/>
      <c r="KUB90"/>
      <c r="KUC90"/>
      <c r="KUD90"/>
      <c r="KUE90"/>
      <c r="KUF90"/>
      <c r="KUG90"/>
      <c r="KUH90"/>
      <c r="KUI90"/>
      <c r="KUJ90"/>
      <c r="KUK90"/>
      <c r="KUL90"/>
      <c r="KUM90"/>
      <c r="KUN90"/>
      <c r="KUO90"/>
      <c r="KUP90"/>
      <c r="KUQ90"/>
      <c r="KUR90"/>
      <c r="KUS90"/>
      <c r="KUT90"/>
      <c r="KUU90"/>
      <c r="KUV90"/>
      <c r="KUW90"/>
      <c r="KUX90"/>
      <c r="KUY90"/>
      <c r="KUZ90"/>
      <c r="KVA90"/>
      <c r="KVB90"/>
      <c r="KVC90"/>
      <c r="KVD90"/>
      <c r="KVE90"/>
      <c r="KVF90"/>
      <c r="KVG90"/>
      <c r="KVH90"/>
      <c r="KVI90"/>
      <c r="KVJ90"/>
      <c r="KVK90"/>
      <c r="KVL90"/>
      <c r="KVM90"/>
      <c r="KVN90"/>
      <c r="KVO90"/>
      <c r="KVP90"/>
      <c r="KVQ90"/>
      <c r="KVR90"/>
      <c r="KVS90"/>
      <c r="KVT90"/>
      <c r="KVU90"/>
      <c r="KVV90"/>
      <c r="KVW90"/>
      <c r="KVX90"/>
      <c r="KVY90"/>
      <c r="KVZ90"/>
      <c r="KWA90"/>
      <c r="KWB90"/>
      <c r="KWC90"/>
      <c r="KWD90"/>
      <c r="KWE90"/>
      <c r="KWF90"/>
      <c r="KWG90"/>
      <c r="KWH90"/>
      <c r="KWI90"/>
      <c r="KWJ90"/>
      <c r="KWK90"/>
      <c r="KWL90"/>
      <c r="KWM90"/>
      <c r="KWN90"/>
      <c r="KWO90"/>
      <c r="KWP90"/>
      <c r="KWQ90"/>
      <c r="KWR90"/>
      <c r="KWS90"/>
      <c r="KWT90"/>
      <c r="KWU90"/>
      <c r="KWV90"/>
      <c r="KWW90"/>
      <c r="KWX90"/>
      <c r="KWY90"/>
      <c r="KWZ90"/>
      <c r="KXA90"/>
      <c r="KXB90"/>
      <c r="KXC90"/>
      <c r="KXD90"/>
      <c r="KXE90"/>
      <c r="KXF90"/>
      <c r="KXG90"/>
      <c r="KXH90"/>
      <c r="KXI90"/>
      <c r="KXJ90"/>
      <c r="KXK90"/>
      <c r="KXL90"/>
      <c r="KXM90"/>
      <c r="KXN90"/>
      <c r="KXO90"/>
      <c r="KXP90"/>
      <c r="KXQ90"/>
      <c r="KXR90"/>
      <c r="KXS90"/>
      <c r="KXT90"/>
      <c r="KXU90"/>
      <c r="KXV90"/>
      <c r="KXW90"/>
      <c r="KXX90"/>
      <c r="KXY90"/>
      <c r="KXZ90"/>
      <c r="KYA90"/>
      <c r="KYB90"/>
      <c r="KYC90"/>
      <c r="KYD90"/>
      <c r="KYE90"/>
      <c r="KYF90"/>
      <c r="KYG90"/>
      <c r="KYH90"/>
      <c r="KYI90"/>
      <c r="KYJ90"/>
      <c r="KYK90"/>
      <c r="KYL90"/>
      <c r="KYM90"/>
      <c r="KYN90"/>
      <c r="KYO90"/>
      <c r="KYP90"/>
      <c r="KYQ90"/>
      <c r="KYR90"/>
      <c r="KYS90"/>
      <c r="KYT90"/>
      <c r="KYU90"/>
      <c r="KYV90"/>
      <c r="KYW90"/>
      <c r="KYX90"/>
      <c r="KYY90"/>
      <c r="KYZ90"/>
      <c r="KZA90"/>
      <c r="KZB90"/>
      <c r="KZC90"/>
      <c r="KZD90"/>
      <c r="KZE90"/>
      <c r="KZF90"/>
      <c r="KZG90"/>
      <c r="KZH90"/>
      <c r="KZI90"/>
      <c r="KZJ90"/>
      <c r="KZK90"/>
      <c r="KZL90"/>
      <c r="KZM90"/>
      <c r="KZN90"/>
      <c r="KZO90"/>
      <c r="KZP90"/>
      <c r="KZQ90"/>
      <c r="KZR90"/>
      <c r="KZS90"/>
      <c r="KZT90"/>
      <c r="KZU90"/>
      <c r="KZV90"/>
      <c r="KZW90"/>
      <c r="KZX90"/>
      <c r="KZY90"/>
      <c r="KZZ90"/>
      <c r="LAA90"/>
      <c r="LAB90"/>
      <c r="LAC90"/>
      <c r="LAD90"/>
      <c r="LAE90"/>
      <c r="LAF90"/>
      <c r="LAG90"/>
      <c r="LAH90"/>
      <c r="LAI90"/>
      <c r="LAJ90"/>
      <c r="LAK90"/>
      <c r="LAL90"/>
      <c r="LAM90"/>
      <c r="LAN90"/>
      <c r="LAO90"/>
      <c r="LAP90"/>
      <c r="LAQ90"/>
      <c r="LAR90"/>
      <c r="LAS90"/>
      <c r="LAT90"/>
      <c r="LAU90"/>
      <c r="LAV90"/>
      <c r="LAW90"/>
      <c r="LAX90"/>
      <c r="LAY90"/>
      <c r="LAZ90"/>
      <c r="LBA90"/>
      <c r="LBB90"/>
      <c r="LBC90"/>
      <c r="LBD90"/>
      <c r="LBE90"/>
      <c r="LBF90"/>
      <c r="LBG90"/>
      <c r="LBH90"/>
      <c r="LBI90"/>
      <c r="LBJ90"/>
      <c r="LBK90"/>
      <c r="LBL90"/>
      <c r="LBM90"/>
      <c r="LBN90"/>
      <c r="LBO90"/>
      <c r="LBP90"/>
      <c r="LBQ90"/>
      <c r="LBR90"/>
      <c r="LBS90"/>
      <c r="LBT90"/>
      <c r="LBU90"/>
      <c r="LBV90"/>
      <c r="LBW90"/>
      <c r="LBX90"/>
      <c r="LBY90"/>
      <c r="LBZ90"/>
      <c r="LCA90"/>
      <c r="LCB90"/>
      <c r="LCC90"/>
      <c r="LCD90"/>
      <c r="LCE90"/>
      <c r="LCF90"/>
      <c r="LCG90"/>
      <c r="LCH90"/>
      <c r="LCI90"/>
      <c r="LCJ90"/>
      <c r="LCK90"/>
      <c r="LCL90"/>
      <c r="LCM90"/>
      <c r="LCN90"/>
      <c r="LCO90"/>
      <c r="LCP90"/>
      <c r="LCQ90"/>
      <c r="LCR90"/>
      <c r="LCS90"/>
      <c r="LCT90"/>
      <c r="LCU90"/>
      <c r="LCV90"/>
      <c r="LCW90"/>
      <c r="LCX90"/>
      <c r="LCY90"/>
      <c r="LCZ90"/>
      <c r="LDA90"/>
      <c r="LDB90"/>
      <c r="LDC90"/>
      <c r="LDD90"/>
      <c r="LDE90"/>
      <c r="LDF90"/>
      <c r="LDG90"/>
      <c r="LDH90"/>
      <c r="LDI90"/>
      <c r="LDJ90"/>
      <c r="LDK90"/>
      <c r="LDL90"/>
      <c r="LDM90"/>
      <c r="LDN90"/>
      <c r="LDO90"/>
      <c r="LDP90"/>
      <c r="LDQ90"/>
      <c r="LDR90"/>
      <c r="LDS90"/>
      <c r="LDT90"/>
      <c r="LDU90"/>
      <c r="LDV90"/>
      <c r="LDW90"/>
      <c r="LDX90"/>
      <c r="LDY90"/>
      <c r="LDZ90"/>
      <c r="LEA90"/>
      <c r="LEB90"/>
      <c r="LEC90"/>
      <c r="LED90"/>
      <c r="LEE90"/>
      <c r="LEF90"/>
      <c r="LEG90"/>
      <c r="LEH90"/>
      <c r="LEI90"/>
      <c r="LEJ90"/>
      <c r="LEK90"/>
      <c r="LEL90"/>
      <c r="LEM90"/>
      <c r="LEN90"/>
      <c r="LEO90"/>
      <c r="LEP90"/>
      <c r="LEQ90"/>
      <c r="LER90"/>
      <c r="LES90"/>
      <c r="LET90"/>
      <c r="LEU90"/>
      <c r="LEV90"/>
      <c r="LEW90"/>
      <c r="LEX90"/>
      <c r="LEY90"/>
      <c r="LEZ90"/>
      <c r="LFA90"/>
      <c r="LFB90"/>
      <c r="LFC90"/>
      <c r="LFD90"/>
      <c r="LFE90"/>
      <c r="LFF90"/>
      <c r="LFG90"/>
      <c r="LFH90"/>
      <c r="LFI90"/>
      <c r="LFJ90"/>
      <c r="LFK90"/>
      <c r="LFL90"/>
      <c r="LFM90"/>
      <c r="LFN90"/>
      <c r="LFO90"/>
      <c r="LFP90"/>
      <c r="LFQ90"/>
      <c r="LFR90"/>
      <c r="LFS90"/>
      <c r="LFT90"/>
      <c r="LFU90"/>
      <c r="LFV90"/>
      <c r="LFW90"/>
      <c r="LFX90"/>
      <c r="LFY90"/>
      <c r="LFZ90"/>
      <c r="LGA90"/>
      <c r="LGB90"/>
      <c r="LGC90"/>
      <c r="LGD90"/>
      <c r="LGE90"/>
      <c r="LGF90"/>
      <c r="LGG90"/>
      <c r="LGH90"/>
      <c r="LGI90"/>
      <c r="LGJ90"/>
      <c r="LGK90"/>
      <c r="LGL90"/>
      <c r="LGM90"/>
      <c r="LGN90"/>
      <c r="LGO90"/>
      <c r="LGP90"/>
      <c r="LGQ90"/>
      <c r="LGR90"/>
      <c r="LGS90"/>
      <c r="LGT90"/>
      <c r="LGU90"/>
      <c r="LGV90"/>
      <c r="LGW90"/>
      <c r="LGX90"/>
      <c r="LGY90"/>
      <c r="LGZ90"/>
      <c r="LHA90"/>
      <c r="LHB90"/>
      <c r="LHC90"/>
      <c r="LHD90"/>
      <c r="LHE90"/>
      <c r="LHF90"/>
      <c r="LHG90"/>
      <c r="LHH90"/>
      <c r="LHI90"/>
      <c r="LHJ90"/>
      <c r="LHK90"/>
      <c r="LHL90"/>
      <c r="LHM90"/>
      <c r="LHN90"/>
      <c r="LHO90"/>
      <c r="LHP90"/>
      <c r="LHQ90"/>
      <c r="LHR90"/>
      <c r="LHS90"/>
      <c r="LHT90"/>
      <c r="LHU90"/>
      <c r="LHV90"/>
      <c r="LHW90"/>
      <c r="LHX90"/>
      <c r="LHY90"/>
      <c r="LHZ90"/>
      <c r="LIA90"/>
      <c r="LIB90"/>
      <c r="LIC90"/>
      <c r="LID90"/>
      <c r="LIE90"/>
      <c r="LIF90"/>
      <c r="LIG90"/>
      <c r="LIH90"/>
      <c r="LII90"/>
      <c r="LIJ90"/>
      <c r="LIK90"/>
      <c r="LIL90"/>
      <c r="LIM90"/>
      <c r="LIN90"/>
      <c r="LIO90"/>
      <c r="LIP90"/>
      <c r="LIQ90"/>
      <c r="LIR90"/>
      <c r="LIS90"/>
      <c r="LIT90"/>
      <c r="LIU90"/>
      <c r="LIV90"/>
      <c r="LIW90"/>
      <c r="LIX90"/>
      <c r="LIY90"/>
      <c r="LIZ90"/>
      <c r="LJA90"/>
      <c r="LJB90"/>
      <c r="LJC90"/>
      <c r="LJD90"/>
      <c r="LJE90"/>
      <c r="LJF90"/>
      <c r="LJG90"/>
      <c r="LJH90"/>
      <c r="LJI90"/>
      <c r="LJJ90"/>
      <c r="LJK90"/>
      <c r="LJL90"/>
      <c r="LJM90"/>
      <c r="LJN90"/>
      <c r="LJO90"/>
      <c r="LJP90"/>
      <c r="LJQ90"/>
      <c r="LJR90"/>
      <c r="LJS90"/>
      <c r="LJT90"/>
      <c r="LJU90"/>
      <c r="LJV90"/>
      <c r="LJW90"/>
      <c r="LJX90"/>
      <c r="LJY90"/>
      <c r="LJZ90"/>
      <c r="LKA90"/>
      <c r="LKB90"/>
      <c r="LKC90"/>
      <c r="LKD90"/>
      <c r="LKE90"/>
      <c r="LKF90"/>
      <c r="LKG90"/>
      <c r="LKH90"/>
      <c r="LKI90"/>
      <c r="LKJ90"/>
      <c r="LKK90"/>
      <c r="LKL90"/>
      <c r="LKM90"/>
      <c r="LKN90"/>
      <c r="LKO90"/>
      <c r="LKP90"/>
      <c r="LKQ90"/>
      <c r="LKR90"/>
      <c r="LKS90"/>
      <c r="LKT90"/>
      <c r="LKU90"/>
      <c r="LKV90"/>
      <c r="LKW90"/>
      <c r="LKX90"/>
      <c r="LKY90"/>
      <c r="LKZ90"/>
      <c r="LLA90"/>
      <c r="LLB90"/>
      <c r="LLC90"/>
      <c r="LLD90"/>
      <c r="LLE90"/>
      <c r="LLF90"/>
      <c r="LLG90"/>
      <c r="LLH90"/>
      <c r="LLI90"/>
      <c r="LLJ90"/>
      <c r="LLK90"/>
      <c r="LLL90"/>
      <c r="LLM90"/>
      <c r="LLN90"/>
      <c r="LLO90"/>
      <c r="LLP90"/>
      <c r="LLQ90"/>
      <c r="LLR90"/>
      <c r="LLS90"/>
      <c r="LLT90"/>
      <c r="LLU90"/>
      <c r="LLV90"/>
      <c r="LLW90"/>
      <c r="LLX90"/>
      <c r="LLY90"/>
      <c r="LLZ90"/>
      <c r="LMA90"/>
      <c r="LMB90"/>
      <c r="LMC90"/>
      <c r="LMD90"/>
      <c r="LME90"/>
      <c r="LMF90"/>
      <c r="LMG90"/>
      <c r="LMH90"/>
      <c r="LMI90"/>
      <c r="LMJ90"/>
      <c r="LMK90"/>
      <c r="LML90"/>
      <c r="LMM90"/>
      <c r="LMN90"/>
      <c r="LMO90"/>
      <c r="LMP90"/>
      <c r="LMQ90"/>
      <c r="LMR90"/>
      <c r="LMS90"/>
      <c r="LMT90"/>
      <c r="LMU90"/>
      <c r="LMV90"/>
      <c r="LMW90"/>
      <c r="LMX90"/>
      <c r="LMY90"/>
      <c r="LMZ90"/>
      <c r="LNA90"/>
      <c r="LNB90"/>
      <c r="LNC90"/>
      <c r="LND90"/>
      <c r="LNE90"/>
      <c r="LNF90"/>
      <c r="LNG90"/>
      <c r="LNH90"/>
      <c r="LNI90"/>
      <c r="LNJ90"/>
      <c r="LNK90"/>
      <c r="LNL90"/>
      <c r="LNM90"/>
      <c r="LNN90"/>
      <c r="LNO90"/>
      <c r="LNP90"/>
      <c r="LNQ90"/>
      <c r="LNR90"/>
      <c r="LNS90"/>
      <c r="LNT90"/>
      <c r="LNU90"/>
      <c r="LNV90"/>
      <c r="LNW90"/>
      <c r="LNX90"/>
      <c r="LNY90"/>
      <c r="LNZ90"/>
      <c r="LOA90"/>
      <c r="LOB90"/>
      <c r="LOC90"/>
      <c r="LOD90"/>
      <c r="LOE90"/>
      <c r="LOF90"/>
      <c r="LOG90"/>
      <c r="LOH90"/>
      <c r="LOI90"/>
      <c r="LOJ90"/>
      <c r="LOK90"/>
      <c r="LOL90"/>
      <c r="LOM90"/>
      <c r="LON90"/>
      <c r="LOO90"/>
      <c r="LOP90"/>
      <c r="LOQ90"/>
      <c r="LOR90"/>
      <c r="LOS90"/>
      <c r="LOT90"/>
      <c r="LOU90"/>
      <c r="LOV90"/>
      <c r="LOW90"/>
      <c r="LOX90"/>
      <c r="LOY90"/>
      <c r="LOZ90"/>
      <c r="LPA90"/>
      <c r="LPB90"/>
      <c r="LPC90"/>
      <c r="LPD90"/>
      <c r="LPE90"/>
      <c r="LPF90"/>
      <c r="LPG90"/>
      <c r="LPH90"/>
      <c r="LPI90"/>
      <c r="LPJ90"/>
      <c r="LPK90"/>
      <c r="LPL90"/>
      <c r="LPM90"/>
      <c r="LPN90"/>
      <c r="LPO90"/>
      <c r="LPP90"/>
      <c r="LPQ90"/>
      <c r="LPR90"/>
      <c r="LPS90"/>
      <c r="LPT90"/>
      <c r="LPU90"/>
      <c r="LPV90"/>
      <c r="LPW90"/>
      <c r="LPX90"/>
      <c r="LPY90"/>
      <c r="LPZ90"/>
      <c r="LQA90"/>
      <c r="LQB90"/>
      <c r="LQC90"/>
      <c r="LQD90"/>
      <c r="LQE90"/>
      <c r="LQF90"/>
      <c r="LQG90"/>
      <c r="LQH90"/>
      <c r="LQI90"/>
      <c r="LQJ90"/>
      <c r="LQK90"/>
      <c r="LQL90"/>
      <c r="LQM90"/>
      <c r="LQN90"/>
      <c r="LQO90"/>
      <c r="LQP90"/>
      <c r="LQQ90"/>
      <c r="LQR90"/>
      <c r="LQS90"/>
      <c r="LQT90"/>
      <c r="LQU90"/>
      <c r="LQV90"/>
      <c r="LQW90"/>
      <c r="LQX90"/>
      <c r="LQY90"/>
      <c r="LQZ90"/>
      <c r="LRA90"/>
      <c r="LRB90"/>
      <c r="LRC90"/>
      <c r="LRD90"/>
      <c r="LRE90"/>
      <c r="LRF90"/>
      <c r="LRG90"/>
      <c r="LRH90"/>
      <c r="LRI90"/>
      <c r="LRJ90"/>
      <c r="LRK90"/>
      <c r="LRL90"/>
      <c r="LRM90"/>
      <c r="LRN90"/>
      <c r="LRO90"/>
      <c r="LRP90"/>
      <c r="LRQ90"/>
      <c r="LRR90"/>
      <c r="LRS90"/>
      <c r="LRT90"/>
      <c r="LRU90"/>
      <c r="LRV90"/>
      <c r="LRW90"/>
      <c r="LRX90"/>
      <c r="LRY90"/>
      <c r="LRZ90"/>
      <c r="LSA90"/>
      <c r="LSB90"/>
      <c r="LSC90"/>
      <c r="LSD90"/>
      <c r="LSE90"/>
      <c r="LSF90"/>
      <c r="LSG90"/>
      <c r="LSH90"/>
      <c r="LSI90"/>
      <c r="LSJ90"/>
      <c r="LSK90"/>
      <c r="LSL90"/>
      <c r="LSM90"/>
      <c r="LSN90"/>
      <c r="LSO90"/>
      <c r="LSP90"/>
      <c r="LSQ90"/>
      <c r="LSR90"/>
      <c r="LSS90"/>
      <c r="LST90"/>
      <c r="LSU90"/>
      <c r="LSV90"/>
      <c r="LSW90"/>
      <c r="LSX90"/>
      <c r="LSY90"/>
      <c r="LSZ90"/>
      <c r="LTA90"/>
      <c r="LTB90"/>
      <c r="LTC90"/>
      <c r="LTD90"/>
      <c r="LTE90"/>
      <c r="LTF90"/>
      <c r="LTG90"/>
      <c r="LTH90"/>
      <c r="LTI90"/>
      <c r="LTJ90"/>
      <c r="LTK90"/>
      <c r="LTL90"/>
      <c r="LTM90"/>
      <c r="LTN90"/>
      <c r="LTO90"/>
      <c r="LTP90"/>
      <c r="LTQ90"/>
      <c r="LTR90"/>
      <c r="LTS90"/>
      <c r="LTT90"/>
      <c r="LTU90"/>
      <c r="LTV90"/>
      <c r="LTW90"/>
      <c r="LTX90"/>
      <c r="LTY90"/>
      <c r="LTZ90"/>
      <c r="LUA90"/>
      <c r="LUB90"/>
      <c r="LUC90"/>
      <c r="LUD90"/>
      <c r="LUE90"/>
      <c r="LUF90"/>
      <c r="LUG90"/>
      <c r="LUH90"/>
      <c r="LUI90"/>
      <c r="LUJ90"/>
      <c r="LUK90"/>
      <c r="LUL90"/>
      <c r="LUM90"/>
      <c r="LUN90"/>
      <c r="LUO90"/>
      <c r="LUP90"/>
      <c r="LUQ90"/>
      <c r="LUR90"/>
      <c r="LUS90"/>
      <c r="LUT90"/>
      <c r="LUU90"/>
      <c r="LUV90"/>
      <c r="LUW90"/>
      <c r="LUX90"/>
      <c r="LUY90"/>
      <c r="LUZ90"/>
      <c r="LVA90"/>
      <c r="LVB90"/>
      <c r="LVC90"/>
      <c r="LVD90"/>
      <c r="LVE90"/>
      <c r="LVF90"/>
      <c r="LVG90"/>
      <c r="LVH90"/>
      <c r="LVI90"/>
      <c r="LVJ90"/>
      <c r="LVK90"/>
      <c r="LVL90"/>
      <c r="LVM90"/>
      <c r="LVN90"/>
      <c r="LVO90"/>
      <c r="LVP90"/>
      <c r="LVQ90"/>
      <c r="LVR90"/>
      <c r="LVS90"/>
      <c r="LVT90"/>
      <c r="LVU90"/>
      <c r="LVV90"/>
      <c r="LVW90"/>
      <c r="LVX90"/>
      <c r="LVY90"/>
      <c r="LVZ90"/>
      <c r="LWA90"/>
      <c r="LWB90"/>
      <c r="LWC90"/>
      <c r="LWD90"/>
      <c r="LWE90"/>
      <c r="LWF90"/>
      <c r="LWG90"/>
      <c r="LWH90"/>
      <c r="LWI90"/>
      <c r="LWJ90"/>
      <c r="LWK90"/>
      <c r="LWL90"/>
      <c r="LWM90"/>
      <c r="LWN90"/>
      <c r="LWO90"/>
      <c r="LWP90"/>
      <c r="LWQ90"/>
      <c r="LWR90"/>
      <c r="LWS90"/>
      <c r="LWT90"/>
      <c r="LWU90"/>
      <c r="LWV90"/>
      <c r="LWW90"/>
      <c r="LWX90"/>
      <c r="LWY90"/>
      <c r="LWZ90"/>
      <c r="LXA90"/>
      <c r="LXB90"/>
      <c r="LXC90"/>
      <c r="LXD90"/>
      <c r="LXE90"/>
      <c r="LXF90"/>
      <c r="LXG90"/>
      <c r="LXH90"/>
      <c r="LXI90"/>
      <c r="LXJ90"/>
      <c r="LXK90"/>
      <c r="LXL90"/>
      <c r="LXM90"/>
      <c r="LXN90"/>
      <c r="LXO90"/>
      <c r="LXP90"/>
      <c r="LXQ90"/>
      <c r="LXR90"/>
      <c r="LXS90"/>
      <c r="LXT90"/>
      <c r="LXU90"/>
      <c r="LXV90"/>
      <c r="LXW90"/>
      <c r="LXX90"/>
      <c r="LXY90"/>
      <c r="LXZ90"/>
      <c r="LYA90"/>
      <c r="LYB90"/>
      <c r="LYC90"/>
      <c r="LYD90"/>
      <c r="LYE90"/>
      <c r="LYF90"/>
      <c r="LYG90"/>
      <c r="LYH90"/>
      <c r="LYI90"/>
      <c r="LYJ90"/>
      <c r="LYK90"/>
      <c r="LYL90"/>
      <c r="LYM90"/>
      <c r="LYN90"/>
      <c r="LYO90"/>
      <c r="LYP90"/>
      <c r="LYQ90"/>
      <c r="LYR90"/>
      <c r="LYS90"/>
      <c r="LYT90"/>
      <c r="LYU90"/>
      <c r="LYV90"/>
      <c r="LYW90"/>
      <c r="LYX90"/>
      <c r="LYY90"/>
      <c r="LYZ90"/>
      <c r="LZA90"/>
      <c r="LZB90"/>
      <c r="LZC90"/>
      <c r="LZD90"/>
      <c r="LZE90"/>
      <c r="LZF90"/>
      <c r="LZG90"/>
      <c r="LZH90"/>
      <c r="LZI90"/>
      <c r="LZJ90"/>
      <c r="LZK90"/>
      <c r="LZL90"/>
      <c r="LZM90"/>
      <c r="LZN90"/>
      <c r="LZO90"/>
      <c r="LZP90"/>
      <c r="LZQ90"/>
      <c r="LZR90"/>
      <c r="LZS90"/>
      <c r="LZT90"/>
      <c r="LZU90"/>
      <c r="LZV90"/>
      <c r="LZW90"/>
      <c r="LZX90"/>
      <c r="LZY90"/>
      <c r="LZZ90"/>
      <c r="MAA90"/>
      <c r="MAB90"/>
      <c r="MAC90"/>
      <c r="MAD90"/>
      <c r="MAE90"/>
      <c r="MAF90"/>
      <c r="MAG90"/>
      <c r="MAH90"/>
      <c r="MAI90"/>
      <c r="MAJ90"/>
      <c r="MAK90"/>
      <c r="MAL90"/>
      <c r="MAM90"/>
      <c r="MAN90"/>
      <c r="MAO90"/>
      <c r="MAP90"/>
      <c r="MAQ90"/>
      <c r="MAR90"/>
      <c r="MAS90"/>
      <c r="MAT90"/>
      <c r="MAU90"/>
      <c r="MAV90"/>
      <c r="MAW90"/>
      <c r="MAX90"/>
      <c r="MAY90"/>
      <c r="MAZ90"/>
      <c r="MBA90"/>
      <c r="MBB90"/>
      <c r="MBC90"/>
      <c r="MBD90"/>
      <c r="MBE90"/>
      <c r="MBF90"/>
      <c r="MBG90"/>
      <c r="MBH90"/>
      <c r="MBI90"/>
      <c r="MBJ90"/>
      <c r="MBK90"/>
      <c r="MBL90"/>
      <c r="MBM90"/>
      <c r="MBN90"/>
      <c r="MBO90"/>
      <c r="MBP90"/>
      <c r="MBQ90"/>
      <c r="MBR90"/>
      <c r="MBS90"/>
      <c r="MBT90"/>
      <c r="MBU90"/>
      <c r="MBV90"/>
      <c r="MBW90"/>
      <c r="MBX90"/>
      <c r="MBY90"/>
      <c r="MBZ90"/>
      <c r="MCA90"/>
      <c r="MCB90"/>
      <c r="MCC90"/>
      <c r="MCD90"/>
      <c r="MCE90"/>
      <c r="MCF90"/>
      <c r="MCG90"/>
      <c r="MCH90"/>
      <c r="MCI90"/>
      <c r="MCJ90"/>
      <c r="MCK90"/>
      <c r="MCL90"/>
      <c r="MCM90"/>
      <c r="MCN90"/>
      <c r="MCO90"/>
      <c r="MCP90"/>
      <c r="MCQ90"/>
      <c r="MCR90"/>
      <c r="MCS90"/>
      <c r="MCT90"/>
      <c r="MCU90"/>
      <c r="MCV90"/>
      <c r="MCW90"/>
      <c r="MCX90"/>
      <c r="MCY90"/>
      <c r="MCZ90"/>
      <c r="MDA90"/>
      <c r="MDB90"/>
      <c r="MDC90"/>
      <c r="MDD90"/>
      <c r="MDE90"/>
      <c r="MDF90"/>
      <c r="MDG90"/>
      <c r="MDH90"/>
      <c r="MDI90"/>
      <c r="MDJ90"/>
      <c r="MDK90"/>
      <c r="MDL90"/>
      <c r="MDM90"/>
      <c r="MDN90"/>
      <c r="MDO90"/>
      <c r="MDP90"/>
      <c r="MDQ90"/>
      <c r="MDR90"/>
      <c r="MDS90"/>
      <c r="MDT90"/>
      <c r="MDU90"/>
      <c r="MDV90"/>
      <c r="MDW90"/>
      <c r="MDX90"/>
      <c r="MDY90"/>
      <c r="MDZ90"/>
      <c r="MEA90"/>
      <c r="MEB90"/>
      <c r="MEC90"/>
      <c r="MED90"/>
      <c r="MEE90"/>
      <c r="MEF90"/>
      <c r="MEG90"/>
      <c r="MEH90"/>
      <c r="MEI90"/>
      <c r="MEJ90"/>
      <c r="MEK90"/>
      <c r="MEL90"/>
      <c r="MEM90"/>
      <c r="MEN90"/>
      <c r="MEO90"/>
      <c r="MEP90"/>
      <c r="MEQ90"/>
      <c r="MER90"/>
      <c r="MES90"/>
      <c r="MET90"/>
      <c r="MEU90"/>
      <c r="MEV90"/>
      <c r="MEW90"/>
      <c r="MEX90"/>
      <c r="MEY90"/>
      <c r="MEZ90"/>
      <c r="MFA90"/>
      <c r="MFB90"/>
      <c r="MFC90"/>
      <c r="MFD90"/>
      <c r="MFE90"/>
      <c r="MFF90"/>
      <c r="MFG90"/>
      <c r="MFH90"/>
      <c r="MFI90"/>
      <c r="MFJ90"/>
      <c r="MFK90"/>
      <c r="MFL90"/>
      <c r="MFM90"/>
      <c r="MFN90"/>
      <c r="MFO90"/>
      <c r="MFP90"/>
      <c r="MFQ90"/>
      <c r="MFR90"/>
      <c r="MFS90"/>
      <c r="MFT90"/>
      <c r="MFU90"/>
      <c r="MFV90"/>
      <c r="MFW90"/>
      <c r="MFX90"/>
      <c r="MFY90"/>
      <c r="MFZ90"/>
      <c r="MGA90"/>
      <c r="MGB90"/>
      <c r="MGC90"/>
      <c r="MGD90"/>
      <c r="MGE90"/>
      <c r="MGF90"/>
      <c r="MGG90"/>
      <c r="MGH90"/>
      <c r="MGI90"/>
      <c r="MGJ90"/>
      <c r="MGK90"/>
      <c r="MGL90"/>
      <c r="MGM90"/>
      <c r="MGN90"/>
      <c r="MGO90"/>
      <c r="MGP90"/>
      <c r="MGQ90"/>
      <c r="MGR90"/>
      <c r="MGS90"/>
      <c r="MGT90"/>
      <c r="MGU90"/>
      <c r="MGV90"/>
      <c r="MGW90"/>
      <c r="MGX90"/>
      <c r="MGY90"/>
      <c r="MGZ90"/>
      <c r="MHA90"/>
      <c r="MHB90"/>
      <c r="MHC90"/>
      <c r="MHD90"/>
      <c r="MHE90"/>
      <c r="MHF90"/>
      <c r="MHG90"/>
      <c r="MHH90"/>
      <c r="MHI90"/>
      <c r="MHJ90"/>
      <c r="MHK90"/>
      <c r="MHL90"/>
      <c r="MHM90"/>
      <c r="MHN90"/>
      <c r="MHO90"/>
      <c r="MHP90"/>
      <c r="MHQ90"/>
      <c r="MHR90"/>
      <c r="MHS90"/>
      <c r="MHT90"/>
      <c r="MHU90"/>
      <c r="MHV90"/>
      <c r="MHW90"/>
      <c r="MHX90"/>
      <c r="MHY90"/>
      <c r="MHZ90"/>
      <c r="MIA90"/>
      <c r="MIB90"/>
      <c r="MIC90"/>
      <c r="MID90"/>
      <c r="MIE90"/>
      <c r="MIF90"/>
      <c r="MIG90"/>
      <c r="MIH90"/>
      <c r="MII90"/>
      <c r="MIJ90"/>
      <c r="MIK90"/>
      <c r="MIL90"/>
      <c r="MIM90"/>
      <c r="MIN90"/>
      <c r="MIO90"/>
      <c r="MIP90"/>
      <c r="MIQ90"/>
      <c r="MIR90"/>
      <c r="MIS90"/>
      <c r="MIT90"/>
      <c r="MIU90"/>
      <c r="MIV90"/>
      <c r="MIW90"/>
      <c r="MIX90"/>
      <c r="MIY90"/>
      <c r="MIZ90"/>
      <c r="MJA90"/>
      <c r="MJB90"/>
      <c r="MJC90"/>
      <c r="MJD90"/>
      <c r="MJE90"/>
      <c r="MJF90"/>
      <c r="MJG90"/>
      <c r="MJH90"/>
      <c r="MJI90"/>
      <c r="MJJ90"/>
      <c r="MJK90"/>
      <c r="MJL90"/>
      <c r="MJM90"/>
      <c r="MJN90"/>
      <c r="MJO90"/>
      <c r="MJP90"/>
      <c r="MJQ90"/>
      <c r="MJR90"/>
      <c r="MJS90"/>
      <c r="MJT90"/>
      <c r="MJU90"/>
      <c r="MJV90"/>
      <c r="MJW90"/>
      <c r="MJX90"/>
      <c r="MJY90"/>
      <c r="MJZ90"/>
      <c r="MKA90"/>
      <c r="MKB90"/>
      <c r="MKC90"/>
      <c r="MKD90"/>
      <c r="MKE90"/>
      <c r="MKF90"/>
      <c r="MKG90"/>
      <c r="MKH90"/>
      <c r="MKI90"/>
      <c r="MKJ90"/>
      <c r="MKK90"/>
      <c r="MKL90"/>
      <c r="MKM90"/>
      <c r="MKN90"/>
      <c r="MKO90"/>
      <c r="MKP90"/>
      <c r="MKQ90"/>
      <c r="MKR90"/>
      <c r="MKS90"/>
      <c r="MKT90"/>
      <c r="MKU90"/>
      <c r="MKV90"/>
      <c r="MKW90"/>
      <c r="MKX90"/>
      <c r="MKY90"/>
      <c r="MKZ90"/>
      <c r="MLA90"/>
      <c r="MLB90"/>
      <c r="MLC90"/>
      <c r="MLD90"/>
      <c r="MLE90"/>
      <c r="MLF90"/>
      <c r="MLG90"/>
      <c r="MLH90"/>
      <c r="MLI90"/>
      <c r="MLJ90"/>
      <c r="MLK90"/>
      <c r="MLL90"/>
      <c r="MLM90"/>
      <c r="MLN90"/>
      <c r="MLO90"/>
      <c r="MLP90"/>
      <c r="MLQ90"/>
      <c r="MLR90"/>
      <c r="MLS90"/>
      <c r="MLT90"/>
      <c r="MLU90"/>
      <c r="MLV90"/>
      <c r="MLW90"/>
      <c r="MLX90"/>
      <c r="MLY90"/>
      <c r="MLZ90"/>
      <c r="MMA90"/>
      <c r="MMB90"/>
      <c r="MMC90"/>
      <c r="MMD90"/>
      <c r="MME90"/>
      <c r="MMF90"/>
      <c r="MMG90"/>
      <c r="MMH90"/>
      <c r="MMI90"/>
      <c r="MMJ90"/>
      <c r="MMK90"/>
      <c r="MML90"/>
      <c r="MMM90"/>
      <c r="MMN90"/>
      <c r="MMO90"/>
      <c r="MMP90"/>
      <c r="MMQ90"/>
      <c r="MMR90"/>
      <c r="MMS90"/>
      <c r="MMT90"/>
      <c r="MMU90"/>
      <c r="MMV90"/>
      <c r="MMW90"/>
      <c r="MMX90"/>
      <c r="MMY90"/>
      <c r="MMZ90"/>
      <c r="MNA90"/>
      <c r="MNB90"/>
      <c r="MNC90"/>
      <c r="MND90"/>
      <c r="MNE90"/>
      <c r="MNF90"/>
      <c r="MNG90"/>
      <c r="MNH90"/>
      <c r="MNI90"/>
      <c r="MNJ90"/>
      <c r="MNK90"/>
      <c r="MNL90"/>
      <c r="MNM90"/>
      <c r="MNN90"/>
      <c r="MNO90"/>
      <c r="MNP90"/>
      <c r="MNQ90"/>
      <c r="MNR90"/>
      <c r="MNS90"/>
      <c r="MNT90"/>
      <c r="MNU90"/>
      <c r="MNV90"/>
      <c r="MNW90"/>
      <c r="MNX90"/>
      <c r="MNY90"/>
      <c r="MNZ90"/>
      <c r="MOA90"/>
      <c r="MOB90"/>
      <c r="MOC90"/>
      <c r="MOD90"/>
      <c r="MOE90"/>
      <c r="MOF90"/>
      <c r="MOG90"/>
      <c r="MOH90"/>
      <c r="MOI90"/>
      <c r="MOJ90"/>
      <c r="MOK90"/>
      <c r="MOL90"/>
      <c r="MOM90"/>
      <c r="MON90"/>
      <c r="MOO90"/>
      <c r="MOP90"/>
      <c r="MOQ90"/>
      <c r="MOR90"/>
      <c r="MOS90"/>
      <c r="MOT90"/>
      <c r="MOU90"/>
      <c r="MOV90"/>
      <c r="MOW90"/>
      <c r="MOX90"/>
      <c r="MOY90"/>
      <c r="MOZ90"/>
      <c r="MPA90"/>
      <c r="MPB90"/>
      <c r="MPC90"/>
      <c r="MPD90"/>
      <c r="MPE90"/>
      <c r="MPF90"/>
      <c r="MPG90"/>
      <c r="MPH90"/>
      <c r="MPI90"/>
      <c r="MPJ90"/>
      <c r="MPK90"/>
      <c r="MPL90"/>
      <c r="MPM90"/>
      <c r="MPN90"/>
      <c r="MPO90"/>
      <c r="MPP90"/>
      <c r="MPQ90"/>
      <c r="MPR90"/>
      <c r="MPS90"/>
      <c r="MPT90"/>
      <c r="MPU90"/>
      <c r="MPV90"/>
      <c r="MPW90"/>
      <c r="MPX90"/>
      <c r="MPY90"/>
      <c r="MPZ90"/>
      <c r="MQA90"/>
      <c r="MQB90"/>
      <c r="MQC90"/>
      <c r="MQD90"/>
      <c r="MQE90"/>
      <c r="MQF90"/>
      <c r="MQG90"/>
      <c r="MQH90"/>
      <c r="MQI90"/>
      <c r="MQJ90"/>
      <c r="MQK90"/>
      <c r="MQL90"/>
      <c r="MQM90"/>
      <c r="MQN90"/>
      <c r="MQO90"/>
      <c r="MQP90"/>
      <c r="MQQ90"/>
      <c r="MQR90"/>
      <c r="MQS90"/>
      <c r="MQT90"/>
      <c r="MQU90"/>
      <c r="MQV90"/>
      <c r="MQW90"/>
      <c r="MQX90"/>
      <c r="MQY90"/>
      <c r="MQZ90"/>
      <c r="MRA90"/>
      <c r="MRB90"/>
      <c r="MRC90"/>
      <c r="MRD90"/>
      <c r="MRE90"/>
      <c r="MRF90"/>
      <c r="MRG90"/>
      <c r="MRH90"/>
      <c r="MRI90"/>
      <c r="MRJ90"/>
      <c r="MRK90"/>
      <c r="MRL90"/>
      <c r="MRM90"/>
      <c r="MRN90"/>
      <c r="MRO90"/>
      <c r="MRP90"/>
      <c r="MRQ90"/>
      <c r="MRR90"/>
      <c r="MRS90"/>
      <c r="MRT90"/>
      <c r="MRU90"/>
      <c r="MRV90"/>
      <c r="MRW90"/>
      <c r="MRX90"/>
      <c r="MRY90"/>
      <c r="MRZ90"/>
      <c r="MSA90"/>
      <c r="MSB90"/>
      <c r="MSC90"/>
      <c r="MSD90"/>
      <c r="MSE90"/>
      <c r="MSF90"/>
      <c r="MSG90"/>
      <c r="MSH90"/>
      <c r="MSI90"/>
      <c r="MSJ90"/>
      <c r="MSK90"/>
      <c r="MSL90"/>
      <c r="MSM90"/>
      <c r="MSN90"/>
      <c r="MSO90"/>
      <c r="MSP90"/>
      <c r="MSQ90"/>
      <c r="MSR90"/>
      <c r="MSS90"/>
      <c r="MST90"/>
      <c r="MSU90"/>
      <c r="MSV90"/>
      <c r="MSW90"/>
      <c r="MSX90"/>
      <c r="MSY90"/>
      <c r="MSZ90"/>
      <c r="MTA90"/>
      <c r="MTB90"/>
      <c r="MTC90"/>
      <c r="MTD90"/>
      <c r="MTE90"/>
      <c r="MTF90"/>
      <c r="MTG90"/>
      <c r="MTH90"/>
      <c r="MTI90"/>
      <c r="MTJ90"/>
      <c r="MTK90"/>
      <c r="MTL90"/>
      <c r="MTM90"/>
      <c r="MTN90"/>
      <c r="MTO90"/>
      <c r="MTP90"/>
      <c r="MTQ90"/>
      <c r="MTR90"/>
      <c r="MTS90"/>
      <c r="MTT90"/>
      <c r="MTU90"/>
      <c r="MTV90"/>
      <c r="MTW90"/>
      <c r="MTX90"/>
      <c r="MTY90"/>
      <c r="MTZ90"/>
      <c r="MUA90"/>
      <c r="MUB90"/>
      <c r="MUC90"/>
      <c r="MUD90"/>
      <c r="MUE90"/>
      <c r="MUF90"/>
      <c r="MUG90"/>
      <c r="MUH90"/>
      <c r="MUI90"/>
      <c r="MUJ90"/>
      <c r="MUK90"/>
      <c r="MUL90"/>
      <c r="MUM90"/>
      <c r="MUN90"/>
      <c r="MUO90"/>
      <c r="MUP90"/>
      <c r="MUQ90"/>
      <c r="MUR90"/>
      <c r="MUS90"/>
      <c r="MUT90"/>
      <c r="MUU90"/>
      <c r="MUV90"/>
      <c r="MUW90"/>
      <c r="MUX90"/>
      <c r="MUY90"/>
      <c r="MUZ90"/>
      <c r="MVA90"/>
      <c r="MVB90"/>
      <c r="MVC90"/>
      <c r="MVD90"/>
      <c r="MVE90"/>
      <c r="MVF90"/>
      <c r="MVG90"/>
      <c r="MVH90"/>
      <c r="MVI90"/>
      <c r="MVJ90"/>
      <c r="MVK90"/>
      <c r="MVL90"/>
      <c r="MVM90"/>
      <c r="MVN90"/>
      <c r="MVO90"/>
      <c r="MVP90"/>
      <c r="MVQ90"/>
      <c r="MVR90"/>
      <c r="MVS90"/>
      <c r="MVT90"/>
      <c r="MVU90"/>
      <c r="MVV90"/>
      <c r="MVW90"/>
      <c r="MVX90"/>
      <c r="MVY90"/>
      <c r="MVZ90"/>
      <c r="MWA90"/>
      <c r="MWB90"/>
      <c r="MWC90"/>
      <c r="MWD90"/>
      <c r="MWE90"/>
      <c r="MWF90"/>
      <c r="MWG90"/>
      <c r="MWH90"/>
      <c r="MWI90"/>
      <c r="MWJ90"/>
      <c r="MWK90"/>
      <c r="MWL90"/>
      <c r="MWM90"/>
      <c r="MWN90"/>
      <c r="MWO90"/>
      <c r="MWP90"/>
      <c r="MWQ90"/>
      <c r="MWR90"/>
      <c r="MWS90"/>
      <c r="MWT90"/>
      <c r="MWU90"/>
      <c r="MWV90"/>
      <c r="MWW90"/>
      <c r="MWX90"/>
      <c r="MWY90"/>
      <c r="MWZ90"/>
      <c r="MXA90"/>
      <c r="MXB90"/>
      <c r="MXC90"/>
      <c r="MXD90"/>
      <c r="MXE90"/>
      <c r="MXF90"/>
      <c r="MXG90"/>
      <c r="MXH90"/>
      <c r="MXI90"/>
      <c r="MXJ90"/>
      <c r="MXK90"/>
      <c r="MXL90"/>
      <c r="MXM90"/>
      <c r="MXN90"/>
      <c r="MXO90"/>
      <c r="MXP90"/>
      <c r="MXQ90"/>
      <c r="MXR90"/>
      <c r="MXS90"/>
      <c r="MXT90"/>
      <c r="MXU90"/>
      <c r="MXV90"/>
      <c r="MXW90"/>
      <c r="MXX90"/>
      <c r="MXY90"/>
      <c r="MXZ90"/>
      <c r="MYA90"/>
      <c r="MYB90"/>
      <c r="MYC90"/>
      <c r="MYD90"/>
      <c r="MYE90"/>
      <c r="MYF90"/>
      <c r="MYG90"/>
      <c r="MYH90"/>
      <c r="MYI90"/>
      <c r="MYJ90"/>
      <c r="MYK90"/>
      <c r="MYL90"/>
      <c r="MYM90"/>
      <c r="MYN90"/>
      <c r="MYO90"/>
      <c r="MYP90"/>
      <c r="MYQ90"/>
      <c r="MYR90"/>
      <c r="MYS90"/>
      <c r="MYT90"/>
      <c r="MYU90"/>
      <c r="MYV90"/>
      <c r="MYW90"/>
      <c r="MYX90"/>
      <c r="MYY90"/>
      <c r="MYZ90"/>
      <c r="MZA90"/>
      <c r="MZB90"/>
      <c r="MZC90"/>
      <c r="MZD90"/>
      <c r="MZE90"/>
      <c r="MZF90"/>
      <c r="MZG90"/>
      <c r="MZH90"/>
      <c r="MZI90"/>
      <c r="MZJ90"/>
      <c r="MZK90"/>
      <c r="MZL90"/>
      <c r="MZM90"/>
      <c r="MZN90"/>
      <c r="MZO90"/>
      <c r="MZP90"/>
      <c r="MZQ90"/>
      <c r="MZR90"/>
      <c r="MZS90"/>
      <c r="MZT90"/>
      <c r="MZU90"/>
      <c r="MZV90"/>
      <c r="MZW90"/>
      <c r="MZX90"/>
      <c r="MZY90"/>
      <c r="MZZ90"/>
      <c r="NAA90"/>
      <c r="NAB90"/>
      <c r="NAC90"/>
      <c r="NAD90"/>
      <c r="NAE90"/>
      <c r="NAF90"/>
      <c r="NAG90"/>
      <c r="NAH90"/>
      <c r="NAI90"/>
      <c r="NAJ90"/>
      <c r="NAK90"/>
      <c r="NAL90"/>
      <c r="NAM90"/>
      <c r="NAN90"/>
      <c r="NAO90"/>
      <c r="NAP90"/>
      <c r="NAQ90"/>
      <c r="NAR90"/>
      <c r="NAS90"/>
      <c r="NAT90"/>
      <c r="NAU90"/>
      <c r="NAV90"/>
      <c r="NAW90"/>
      <c r="NAX90"/>
      <c r="NAY90"/>
      <c r="NAZ90"/>
      <c r="NBA90"/>
      <c r="NBB90"/>
      <c r="NBC90"/>
      <c r="NBD90"/>
      <c r="NBE90"/>
      <c r="NBF90"/>
      <c r="NBG90"/>
      <c r="NBH90"/>
      <c r="NBI90"/>
      <c r="NBJ90"/>
      <c r="NBK90"/>
      <c r="NBL90"/>
      <c r="NBM90"/>
      <c r="NBN90"/>
      <c r="NBO90"/>
      <c r="NBP90"/>
      <c r="NBQ90"/>
      <c r="NBR90"/>
      <c r="NBS90"/>
      <c r="NBT90"/>
      <c r="NBU90"/>
      <c r="NBV90"/>
      <c r="NBW90"/>
      <c r="NBX90"/>
      <c r="NBY90"/>
      <c r="NBZ90"/>
      <c r="NCA90"/>
      <c r="NCB90"/>
      <c r="NCC90"/>
      <c r="NCD90"/>
      <c r="NCE90"/>
      <c r="NCF90"/>
      <c r="NCG90"/>
      <c r="NCH90"/>
      <c r="NCI90"/>
      <c r="NCJ90"/>
      <c r="NCK90"/>
      <c r="NCL90"/>
      <c r="NCM90"/>
      <c r="NCN90"/>
      <c r="NCO90"/>
      <c r="NCP90"/>
      <c r="NCQ90"/>
      <c r="NCR90"/>
      <c r="NCS90"/>
      <c r="NCT90"/>
      <c r="NCU90"/>
      <c r="NCV90"/>
      <c r="NCW90"/>
      <c r="NCX90"/>
      <c r="NCY90"/>
      <c r="NCZ90"/>
      <c r="NDA90"/>
      <c r="NDB90"/>
      <c r="NDC90"/>
      <c r="NDD90"/>
      <c r="NDE90"/>
      <c r="NDF90"/>
      <c r="NDG90"/>
      <c r="NDH90"/>
      <c r="NDI90"/>
      <c r="NDJ90"/>
      <c r="NDK90"/>
      <c r="NDL90"/>
      <c r="NDM90"/>
      <c r="NDN90"/>
      <c r="NDO90"/>
      <c r="NDP90"/>
      <c r="NDQ90"/>
      <c r="NDR90"/>
      <c r="NDS90"/>
      <c r="NDT90"/>
      <c r="NDU90"/>
      <c r="NDV90"/>
      <c r="NDW90"/>
      <c r="NDX90"/>
      <c r="NDY90"/>
      <c r="NDZ90"/>
      <c r="NEA90"/>
      <c r="NEB90"/>
      <c r="NEC90"/>
      <c r="NED90"/>
      <c r="NEE90"/>
      <c r="NEF90"/>
      <c r="NEG90"/>
      <c r="NEH90"/>
      <c r="NEI90"/>
      <c r="NEJ90"/>
      <c r="NEK90"/>
      <c r="NEL90"/>
      <c r="NEM90"/>
      <c r="NEN90"/>
      <c r="NEO90"/>
      <c r="NEP90"/>
      <c r="NEQ90"/>
      <c r="NER90"/>
      <c r="NES90"/>
      <c r="NET90"/>
      <c r="NEU90"/>
      <c r="NEV90"/>
      <c r="NEW90"/>
      <c r="NEX90"/>
      <c r="NEY90"/>
      <c r="NEZ90"/>
      <c r="NFA90"/>
      <c r="NFB90"/>
      <c r="NFC90"/>
      <c r="NFD90"/>
      <c r="NFE90"/>
      <c r="NFF90"/>
      <c r="NFG90"/>
      <c r="NFH90"/>
      <c r="NFI90"/>
      <c r="NFJ90"/>
      <c r="NFK90"/>
      <c r="NFL90"/>
      <c r="NFM90"/>
      <c r="NFN90"/>
      <c r="NFO90"/>
      <c r="NFP90"/>
      <c r="NFQ90"/>
      <c r="NFR90"/>
      <c r="NFS90"/>
      <c r="NFT90"/>
      <c r="NFU90"/>
      <c r="NFV90"/>
      <c r="NFW90"/>
      <c r="NFX90"/>
      <c r="NFY90"/>
      <c r="NFZ90"/>
      <c r="NGA90"/>
      <c r="NGB90"/>
      <c r="NGC90"/>
      <c r="NGD90"/>
      <c r="NGE90"/>
      <c r="NGF90"/>
      <c r="NGG90"/>
      <c r="NGH90"/>
      <c r="NGI90"/>
      <c r="NGJ90"/>
      <c r="NGK90"/>
      <c r="NGL90"/>
      <c r="NGM90"/>
      <c r="NGN90"/>
      <c r="NGO90"/>
      <c r="NGP90"/>
      <c r="NGQ90"/>
      <c r="NGR90"/>
      <c r="NGS90"/>
      <c r="NGT90"/>
      <c r="NGU90"/>
      <c r="NGV90"/>
      <c r="NGW90"/>
      <c r="NGX90"/>
      <c r="NGY90"/>
      <c r="NGZ90"/>
      <c r="NHA90"/>
      <c r="NHB90"/>
      <c r="NHC90"/>
      <c r="NHD90"/>
      <c r="NHE90"/>
      <c r="NHF90"/>
      <c r="NHG90"/>
      <c r="NHH90"/>
      <c r="NHI90"/>
      <c r="NHJ90"/>
      <c r="NHK90"/>
      <c r="NHL90"/>
      <c r="NHM90"/>
      <c r="NHN90"/>
      <c r="NHO90"/>
      <c r="NHP90"/>
      <c r="NHQ90"/>
      <c r="NHR90"/>
      <c r="NHS90"/>
      <c r="NHT90"/>
      <c r="NHU90"/>
      <c r="NHV90"/>
      <c r="NHW90"/>
      <c r="NHX90"/>
      <c r="NHY90"/>
      <c r="NHZ90"/>
      <c r="NIA90"/>
      <c r="NIB90"/>
      <c r="NIC90"/>
      <c r="NID90"/>
      <c r="NIE90"/>
      <c r="NIF90"/>
      <c r="NIG90"/>
      <c r="NIH90"/>
      <c r="NII90"/>
      <c r="NIJ90"/>
      <c r="NIK90"/>
      <c r="NIL90"/>
      <c r="NIM90"/>
      <c r="NIN90"/>
      <c r="NIO90"/>
      <c r="NIP90"/>
      <c r="NIQ90"/>
      <c r="NIR90"/>
      <c r="NIS90"/>
      <c r="NIT90"/>
      <c r="NIU90"/>
      <c r="NIV90"/>
      <c r="NIW90"/>
      <c r="NIX90"/>
      <c r="NIY90"/>
      <c r="NIZ90"/>
      <c r="NJA90"/>
      <c r="NJB90"/>
      <c r="NJC90"/>
      <c r="NJD90"/>
      <c r="NJE90"/>
      <c r="NJF90"/>
      <c r="NJG90"/>
      <c r="NJH90"/>
      <c r="NJI90"/>
      <c r="NJJ90"/>
      <c r="NJK90"/>
      <c r="NJL90"/>
      <c r="NJM90"/>
      <c r="NJN90"/>
      <c r="NJO90"/>
      <c r="NJP90"/>
      <c r="NJQ90"/>
      <c r="NJR90"/>
      <c r="NJS90"/>
      <c r="NJT90"/>
      <c r="NJU90"/>
      <c r="NJV90"/>
      <c r="NJW90"/>
      <c r="NJX90"/>
      <c r="NJY90"/>
      <c r="NJZ90"/>
      <c r="NKA90"/>
      <c r="NKB90"/>
      <c r="NKC90"/>
      <c r="NKD90"/>
      <c r="NKE90"/>
      <c r="NKF90"/>
      <c r="NKG90"/>
      <c r="NKH90"/>
      <c r="NKI90"/>
      <c r="NKJ90"/>
      <c r="NKK90"/>
      <c r="NKL90"/>
      <c r="NKM90"/>
      <c r="NKN90"/>
      <c r="NKO90"/>
      <c r="NKP90"/>
      <c r="NKQ90"/>
      <c r="NKR90"/>
      <c r="NKS90"/>
      <c r="NKT90"/>
      <c r="NKU90"/>
      <c r="NKV90"/>
      <c r="NKW90"/>
      <c r="NKX90"/>
      <c r="NKY90"/>
      <c r="NKZ90"/>
      <c r="NLA90"/>
      <c r="NLB90"/>
      <c r="NLC90"/>
      <c r="NLD90"/>
      <c r="NLE90"/>
      <c r="NLF90"/>
      <c r="NLG90"/>
      <c r="NLH90"/>
      <c r="NLI90"/>
      <c r="NLJ90"/>
      <c r="NLK90"/>
      <c r="NLL90"/>
      <c r="NLM90"/>
      <c r="NLN90"/>
      <c r="NLO90"/>
      <c r="NLP90"/>
      <c r="NLQ90"/>
      <c r="NLR90"/>
      <c r="NLS90"/>
      <c r="NLT90"/>
      <c r="NLU90"/>
      <c r="NLV90"/>
      <c r="NLW90"/>
      <c r="NLX90"/>
      <c r="NLY90"/>
      <c r="NLZ90"/>
      <c r="NMA90"/>
      <c r="NMB90"/>
      <c r="NMC90"/>
      <c r="NMD90"/>
      <c r="NME90"/>
      <c r="NMF90"/>
      <c r="NMG90"/>
      <c r="NMH90"/>
      <c r="NMI90"/>
      <c r="NMJ90"/>
      <c r="NMK90"/>
      <c r="NML90"/>
      <c r="NMM90"/>
      <c r="NMN90"/>
      <c r="NMO90"/>
      <c r="NMP90"/>
      <c r="NMQ90"/>
      <c r="NMR90"/>
      <c r="NMS90"/>
      <c r="NMT90"/>
      <c r="NMU90"/>
      <c r="NMV90"/>
      <c r="NMW90"/>
      <c r="NMX90"/>
      <c r="NMY90"/>
      <c r="NMZ90"/>
      <c r="NNA90"/>
      <c r="NNB90"/>
      <c r="NNC90"/>
      <c r="NND90"/>
      <c r="NNE90"/>
      <c r="NNF90"/>
      <c r="NNG90"/>
      <c r="NNH90"/>
      <c r="NNI90"/>
      <c r="NNJ90"/>
      <c r="NNK90"/>
      <c r="NNL90"/>
      <c r="NNM90"/>
      <c r="NNN90"/>
      <c r="NNO90"/>
      <c r="NNP90"/>
      <c r="NNQ90"/>
      <c r="NNR90"/>
      <c r="NNS90"/>
      <c r="NNT90"/>
      <c r="NNU90"/>
      <c r="NNV90"/>
      <c r="NNW90"/>
      <c r="NNX90"/>
      <c r="NNY90"/>
      <c r="NNZ90"/>
      <c r="NOA90"/>
      <c r="NOB90"/>
      <c r="NOC90"/>
      <c r="NOD90"/>
      <c r="NOE90"/>
      <c r="NOF90"/>
      <c r="NOG90"/>
      <c r="NOH90"/>
      <c r="NOI90"/>
      <c r="NOJ90"/>
      <c r="NOK90"/>
      <c r="NOL90"/>
      <c r="NOM90"/>
      <c r="NON90"/>
      <c r="NOO90"/>
      <c r="NOP90"/>
      <c r="NOQ90"/>
      <c r="NOR90"/>
      <c r="NOS90"/>
      <c r="NOT90"/>
      <c r="NOU90"/>
      <c r="NOV90"/>
      <c r="NOW90"/>
      <c r="NOX90"/>
      <c r="NOY90"/>
      <c r="NOZ90"/>
      <c r="NPA90"/>
      <c r="NPB90"/>
      <c r="NPC90"/>
      <c r="NPD90"/>
      <c r="NPE90"/>
      <c r="NPF90"/>
      <c r="NPG90"/>
      <c r="NPH90"/>
      <c r="NPI90"/>
      <c r="NPJ90"/>
      <c r="NPK90"/>
      <c r="NPL90"/>
      <c r="NPM90"/>
      <c r="NPN90"/>
      <c r="NPO90"/>
      <c r="NPP90"/>
      <c r="NPQ90"/>
      <c r="NPR90"/>
      <c r="NPS90"/>
      <c r="NPT90"/>
      <c r="NPU90"/>
      <c r="NPV90"/>
      <c r="NPW90"/>
      <c r="NPX90"/>
      <c r="NPY90"/>
      <c r="NPZ90"/>
      <c r="NQA90"/>
      <c r="NQB90"/>
      <c r="NQC90"/>
      <c r="NQD90"/>
      <c r="NQE90"/>
      <c r="NQF90"/>
      <c r="NQG90"/>
      <c r="NQH90"/>
      <c r="NQI90"/>
      <c r="NQJ90"/>
      <c r="NQK90"/>
      <c r="NQL90"/>
      <c r="NQM90"/>
      <c r="NQN90"/>
      <c r="NQO90"/>
      <c r="NQP90"/>
      <c r="NQQ90"/>
      <c r="NQR90"/>
      <c r="NQS90"/>
      <c r="NQT90"/>
      <c r="NQU90"/>
      <c r="NQV90"/>
      <c r="NQW90"/>
      <c r="NQX90"/>
      <c r="NQY90"/>
      <c r="NQZ90"/>
      <c r="NRA90"/>
      <c r="NRB90"/>
      <c r="NRC90"/>
      <c r="NRD90"/>
      <c r="NRE90"/>
      <c r="NRF90"/>
      <c r="NRG90"/>
      <c r="NRH90"/>
      <c r="NRI90"/>
      <c r="NRJ90"/>
      <c r="NRK90"/>
      <c r="NRL90"/>
      <c r="NRM90"/>
      <c r="NRN90"/>
      <c r="NRO90"/>
      <c r="NRP90"/>
      <c r="NRQ90"/>
      <c r="NRR90"/>
      <c r="NRS90"/>
      <c r="NRT90"/>
      <c r="NRU90"/>
      <c r="NRV90"/>
      <c r="NRW90"/>
      <c r="NRX90"/>
      <c r="NRY90"/>
      <c r="NRZ90"/>
      <c r="NSA90"/>
      <c r="NSB90"/>
      <c r="NSC90"/>
      <c r="NSD90"/>
      <c r="NSE90"/>
      <c r="NSF90"/>
      <c r="NSG90"/>
      <c r="NSH90"/>
      <c r="NSI90"/>
      <c r="NSJ90"/>
      <c r="NSK90"/>
      <c r="NSL90"/>
      <c r="NSM90"/>
      <c r="NSN90"/>
      <c r="NSO90"/>
      <c r="NSP90"/>
      <c r="NSQ90"/>
      <c r="NSR90"/>
      <c r="NSS90"/>
      <c r="NST90"/>
      <c r="NSU90"/>
      <c r="NSV90"/>
      <c r="NSW90"/>
      <c r="NSX90"/>
      <c r="NSY90"/>
      <c r="NSZ90"/>
      <c r="NTA90"/>
      <c r="NTB90"/>
      <c r="NTC90"/>
      <c r="NTD90"/>
      <c r="NTE90"/>
      <c r="NTF90"/>
      <c r="NTG90"/>
      <c r="NTH90"/>
      <c r="NTI90"/>
      <c r="NTJ90"/>
      <c r="NTK90"/>
      <c r="NTL90"/>
      <c r="NTM90"/>
      <c r="NTN90"/>
      <c r="NTO90"/>
      <c r="NTP90"/>
      <c r="NTQ90"/>
      <c r="NTR90"/>
      <c r="NTS90"/>
      <c r="NTT90"/>
      <c r="NTU90"/>
      <c r="NTV90"/>
      <c r="NTW90"/>
      <c r="NTX90"/>
      <c r="NTY90"/>
      <c r="NTZ90"/>
      <c r="NUA90"/>
      <c r="NUB90"/>
      <c r="NUC90"/>
      <c r="NUD90"/>
      <c r="NUE90"/>
      <c r="NUF90"/>
      <c r="NUG90"/>
      <c r="NUH90"/>
      <c r="NUI90"/>
      <c r="NUJ90"/>
      <c r="NUK90"/>
      <c r="NUL90"/>
      <c r="NUM90"/>
      <c r="NUN90"/>
      <c r="NUO90"/>
      <c r="NUP90"/>
      <c r="NUQ90"/>
      <c r="NUR90"/>
      <c r="NUS90"/>
      <c r="NUT90"/>
      <c r="NUU90"/>
      <c r="NUV90"/>
      <c r="NUW90"/>
      <c r="NUX90"/>
      <c r="NUY90"/>
      <c r="NUZ90"/>
      <c r="NVA90"/>
      <c r="NVB90"/>
      <c r="NVC90"/>
      <c r="NVD90"/>
      <c r="NVE90"/>
      <c r="NVF90"/>
      <c r="NVG90"/>
      <c r="NVH90"/>
      <c r="NVI90"/>
      <c r="NVJ90"/>
      <c r="NVK90"/>
      <c r="NVL90"/>
      <c r="NVM90"/>
      <c r="NVN90"/>
      <c r="NVO90"/>
      <c r="NVP90"/>
      <c r="NVQ90"/>
      <c r="NVR90"/>
      <c r="NVS90"/>
      <c r="NVT90"/>
      <c r="NVU90"/>
      <c r="NVV90"/>
      <c r="NVW90"/>
      <c r="NVX90"/>
      <c r="NVY90"/>
      <c r="NVZ90"/>
      <c r="NWA90"/>
      <c r="NWB90"/>
      <c r="NWC90"/>
      <c r="NWD90"/>
      <c r="NWE90"/>
      <c r="NWF90"/>
      <c r="NWG90"/>
      <c r="NWH90"/>
      <c r="NWI90"/>
      <c r="NWJ90"/>
      <c r="NWK90"/>
      <c r="NWL90"/>
      <c r="NWM90"/>
      <c r="NWN90"/>
      <c r="NWO90"/>
      <c r="NWP90"/>
      <c r="NWQ90"/>
      <c r="NWR90"/>
      <c r="NWS90"/>
      <c r="NWT90"/>
      <c r="NWU90"/>
      <c r="NWV90"/>
      <c r="NWW90"/>
      <c r="NWX90"/>
      <c r="NWY90"/>
      <c r="NWZ90"/>
      <c r="NXA90"/>
      <c r="NXB90"/>
      <c r="NXC90"/>
      <c r="NXD90"/>
      <c r="NXE90"/>
      <c r="NXF90"/>
      <c r="NXG90"/>
      <c r="NXH90"/>
      <c r="NXI90"/>
      <c r="NXJ90"/>
      <c r="NXK90"/>
      <c r="NXL90"/>
      <c r="NXM90"/>
      <c r="NXN90"/>
      <c r="NXO90"/>
      <c r="NXP90"/>
      <c r="NXQ90"/>
      <c r="NXR90"/>
      <c r="NXS90"/>
      <c r="NXT90"/>
      <c r="NXU90"/>
      <c r="NXV90"/>
      <c r="NXW90"/>
      <c r="NXX90"/>
      <c r="NXY90"/>
      <c r="NXZ90"/>
      <c r="NYA90"/>
      <c r="NYB90"/>
      <c r="NYC90"/>
      <c r="NYD90"/>
      <c r="NYE90"/>
      <c r="NYF90"/>
      <c r="NYG90"/>
      <c r="NYH90"/>
      <c r="NYI90"/>
      <c r="NYJ90"/>
      <c r="NYK90"/>
      <c r="NYL90"/>
      <c r="NYM90"/>
      <c r="NYN90"/>
      <c r="NYO90"/>
      <c r="NYP90"/>
      <c r="NYQ90"/>
      <c r="NYR90"/>
      <c r="NYS90"/>
      <c r="NYT90"/>
      <c r="NYU90"/>
      <c r="NYV90"/>
      <c r="NYW90"/>
      <c r="NYX90"/>
      <c r="NYY90"/>
      <c r="NYZ90"/>
      <c r="NZA90"/>
      <c r="NZB90"/>
      <c r="NZC90"/>
      <c r="NZD90"/>
      <c r="NZE90"/>
      <c r="NZF90"/>
      <c r="NZG90"/>
      <c r="NZH90"/>
      <c r="NZI90"/>
      <c r="NZJ90"/>
      <c r="NZK90"/>
      <c r="NZL90"/>
      <c r="NZM90"/>
      <c r="NZN90"/>
      <c r="NZO90"/>
      <c r="NZP90"/>
      <c r="NZQ90"/>
      <c r="NZR90"/>
      <c r="NZS90"/>
      <c r="NZT90"/>
      <c r="NZU90"/>
      <c r="NZV90"/>
      <c r="NZW90"/>
      <c r="NZX90"/>
      <c r="NZY90"/>
      <c r="NZZ90"/>
      <c r="OAA90"/>
      <c r="OAB90"/>
      <c r="OAC90"/>
      <c r="OAD90"/>
      <c r="OAE90"/>
      <c r="OAF90"/>
      <c r="OAG90"/>
      <c r="OAH90"/>
      <c r="OAI90"/>
      <c r="OAJ90"/>
      <c r="OAK90"/>
      <c r="OAL90"/>
      <c r="OAM90"/>
      <c r="OAN90"/>
      <c r="OAO90"/>
      <c r="OAP90"/>
      <c r="OAQ90"/>
      <c r="OAR90"/>
      <c r="OAS90"/>
      <c r="OAT90"/>
      <c r="OAU90"/>
      <c r="OAV90"/>
      <c r="OAW90"/>
      <c r="OAX90"/>
      <c r="OAY90"/>
      <c r="OAZ90"/>
      <c r="OBA90"/>
      <c r="OBB90"/>
      <c r="OBC90"/>
      <c r="OBD90"/>
      <c r="OBE90"/>
      <c r="OBF90"/>
      <c r="OBG90"/>
      <c r="OBH90"/>
      <c r="OBI90"/>
      <c r="OBJ90"/>
      <c r="OBK90"/>
      <c r="OBL90"/>
      <c r="OBM90"/>
      <c r="OBN90"/>
      <c r="OBO90"/>
      <c r="OBP90"/>
      <c r="OBQ90"/>
      <c r="OBR90"/>
      <c r="OBS90"/>
      <c r="OBT90"/>
      <c r="OBU90"/>
      <c r="OBV90"/>
      <c r="OBW90"/>
      <c r="OBX90"/>
      <c r="OBY90"/>
      <c r="OBZ90"/>
      <c r="OCA90"/>
      <c r="OCB90"/>
      <c r="OCC90"/>
      <c r="OCD90"/>
      <c r="OCE90"/>
      <c r="OCF90"/>
      <c r="OCG90"/>
      <c r="OCH90"/>
      <c r="OCI90"/>
      <c r="OCJ90"/>
      <c r="OCK90"/>
      <c r="OCL90"/>
      <c r="OCM90"/>
      <c r="OCN90"/>
      <c r="OCO90"/>
      <c r="OCP90"/>
      <c r="OCQ90"/>
      <c r="OCR90"/>
      <c r="OCS90"/>
      <c r="OCT90"/>
      <c r="OCU90"/>
      <c r="OCV90"/>
      <c r="OCW90"/>
      <c r="OCX90"/>
      <c r="OCY90"/>
      <c r="OCZ90"/>
      <c r="ODA90"/>
      <c r="ODB90"/>
      <c r="ODC90"/>
      <c r="ODD90"/>
      <c r="ODE90"/>
      <c r="ODF90"/>
      <c r="ODG90"/>
      <c r="ODH90"/>
      <c r="ODI90"/>
      <c r="ODJ90"/>
      <c r="ODK90"/>
      <c r="ODL90"/>
      <c r="ODM90"/>
      <c r="ODN90"/>
      <c r="ODO90"/>
      <c r="ODP90"/>
      <c r="ODQ90"/>
      <c r="ODR90"/>
      <c r="ODS90"/>
      <c r="ODT90"/>
      <c r="ODU90"/>
      <c r="ODV90"/>
      <c r="ODW90"/>
      <c r="ODX90"/>
      <c r="ODY90"/>
      <c r="ODZ90"/>
      <c r="OEA90"/>
      <c r="OEB90"/>
      <c r="OEC90"/>
      <c r="OED90"/>
      <c r="OEE90"/>
      <c r="OEF90"/>
      <c r="OEG90"/>
      <c r="OEH90"/>
      <c r="OEI90"/>
      <c r="OEJ90"/>
      <c r="OEK90"/>
      <c r="OEL90"/>
      <c r="OEM90"/>
      <c r="OEN90"/>
      <c r="OEO90"/>
      <c r="OEP90"/>
      <c r="OEQ90"/>
      <c r="OER90"/>
      <c r="OES90"/>
      <c r="OET90"/>
      <c r="OEU90"/>
      <c r="OEV90"/>
      <c r="OEW90"/>
      <c r="OEX90"/>
      <c r="OEY90"/>
      <c r="OEZ90"/>
      <c r="OFA90"/>
      <c r="OFB90"/>
      <c r="OFC90"/>
      <c r="OFD90"/>
      <c r="OFE90"/>
      <c r="OFF90"/>
      <c r="OFG90"/>
      <c r="OFH90"/>
      <c r="OFI90"/>
      <c r="OFJ90"/>
      <c r="OFK90"/>
      <c r="OFL90"/>
      <c r="OFM90"/>
      <c r="OFN90"/>
      <c r="OFO90"/>
      <c r="OFP90"/>
      <c r="OFQ90"/>
      <c r="OFR90"/>
      <c r="OFS90"/>
      <c r="OFT90"/>
      <c r="OFU90"/>
      <c r="OFV90"/>
      <c r="OFW90"/>
      <c r="OFX90"/>
      <c r="OFY90"/>
      <c r="OFZ90"/>
      <c r="OGA90"/>
      <c r="OGB90"/>
      <c r="OGC90"/>
      <c r="OGD90"/>
      <c r="OGE90"/>
      <c r="OGF90"/>
      <c r="OGG90"/>
      <c r="OGH90"/>
      <c r="OGI90"/>
      <c r="OGJ90"/>
      <c r="OGK90"/>
      <c r="OGL90"/>
      <c r="OGM90"/>
      <c r="OGN90"/>
      <c r="OGO90"/>
      <c r="OGP90"/>
      <c r="OGQ90"/>
      <c r="OGR90"/>
      <c r="OGS90"/>
      <c r="OGT90"/>
      <c r="OGU90"/>
      <c r="OGV90"/>
      <c r="OGW90"/>
      <c r="OGX90"/>
      <c r="OGY90"/>
      <c r="OGZ90"/>
      <c r="OHA90"/>
      <c r="OHB90"/>
      <c r="OHC90"/>
      <c r="OHD90"/>
      <c r="OHE90"/>
      <c r="OHF90"/>
      <c r="OHG90"/>
      <c r="OHH90"/>
      <c r="OHI90"/>
      <c r="OHJ90"/>
      <c r="OHK90"/>
      <c r="OHL90"/>
      <c r="OHM90"/>
      <c r="OHN90"/>
      <c r="OHO90"/>
      <c r="OHP90"/>
      <c r="OHQ90"/>
      <c r="OHR90"/>
      <c r="OHS90"/>
      <c r="OHT90"/>
      <c r="OHU90"/>
      <c r="OHV90"/>
      <c r="OHW90"/>
      <c r="OHX90"/>
      <c r="OHY90"/>
      <c r="OHZ90"/>
      <c r="OIA90"/>
      <c r="OIB90"/>
      <c r="OIC90"/>
      <c r="OID90"/>
      <c r="OIE90"/>
      <c r="OIF90"/>
      <c r="OIG90"/>
      <c r="OIH90"/>
      <c r="OII90"/>
      <c r="OIJ90"/>
      <c r="OIK90"/>
      <c r="OIL90"/>
      <c r="OIM90"/>
      <c r="OIN90"/>
      <c r="OIO90"/>
      <c r="OIP90"/>
      <c r="OIQ90"/>
      <c r="OIR90"/>
      <c r="OIS90"/>
      <c r="OIT90"/>
      <c r="OIU90"/>
      <c r="OIV90"/>
      <c r="OIW90"/>
      <c r="OIX90"/>
      <c r="OIY90"/>
      <c r="OIZ90"/>
      <c r="OJA90"/>
      <c r="OJB90"/>
      <c r="OJC90"/>
      <c r="OJD90"/>
      <c r="OJE90"/>
      <c r="OJF90"/>
      <c r="OJG90"/>
      <c r="OJH90"/>
      <c r="OJI90"/>
      <c r="OJJ90"/>
      <c r="OJK90"/>
      <c r="OJL90"/>
      <c r="OJM90"/>
      <c r="OJN90"/>
      <c r="OJO90"/>
      <c r="OJP90"/>
      <c r="OJQ90"/>
      <c r="OJR90"/>
      <c r="OJS90"/>
      <c r="OJT90"/>
      <c r="OJU90"/>
      <c r="OJV90"/>
      <c r="OJW90"/>
      <c r="OJX90"/>
      <c r="OJY90"/>
      <c r="OJZ90"/>
      <c r="OKA90"/>
      <c r="OKB90"/>
      <c r="OKC90"/>
      <c r="OKD90"/>
      <c r="OKE90"/>
      <c r="OKF90"/>
      <c r="OKG90"/>
      <c r="OKH90"/>
      <c r="OKI90"/>
      <c r="OKJ90"/>
      <c r="OKK90"/>
      <c r="OKL90"/>
      <c r="OKM90"/>
      <c r="OKN90"/>
      <c r="OKO90"/>
      <c r="OKP90"/>
      <c r="OKQ90"/>
      <c r="OKR90"/>
      <c r="OKS90"/>
      <c r="OKT90"/>
      <c r="OKU90"/>
      <c r="OKV90"/>
      <c r="OKW90"/>
      <c r="OKX90"/>
      <c r="OKY90"/>
      <c r="OKZ90"/>
      <c r="OLA90"/>
      <c r="OLB90"/>
      <c r="OLC90"/>
      <c r="OLD90"/>
      <c r="OLE90"/>
      <c r="OLF90"/>
      <c r="OLG90"/>
      <c r="OLH90"/>
      <c r="OLI90"/>
      <c r="OLJ90"/>
      <c r="OLK90"/>
      <c r="OLL90"/>
      <c r="OLM90"/>
      <c r="OLN90"/>
      <c r="OLO90"/>
      <c r="OLP90"/>
      <c r="OLQ90"/>
      <c r="OLR90"/>
      <c r="OLS90"/>
      <c r="OLT90"/>
      <c r="OLU90"/>
      <c r="OLV90"/>
      <c r="OLW90"/>
      <c r="OLX90"/>
      <c r="OLY90"/>
      <c r="OLZ90"/>
      <c r="OMA90"/>
      <c r="OMB90"/>
      <c r="OMC90"/>
      <c r="OMD90"/>
      <c r="OME90"/>
      <c r="OMF90"/>
      <c r="OMG90"/>
      <c r="OMH90"/>
      <c r="OMI90"/>
      <c r="OMJ90"/>
      <c r="OMK90"/>
      <c r="OML90"/>
      <c r="OMM90"/>
      <c r="OMN90"/>
      <c r="OMO90"/>
      <c r="OMP90"/>
      <c r="OMQ90"/>
      <c r="OMR90"/>
      <c r="OMS90"/>
      <c r="OMT90"/>
      <c r="OMU90"/>
      <c r="OMV90"/>
      <c r="OMW90"/>
      <c r="OMX90"/>
      <c r="OMY90"/>
      <c r="OMZ90"/>
      <c r="ONA90"/>
      <c r="ONB90"/>
      <c r="ONC90"/>
      <c r="OND90"/>
      <c r="ONE90"/>
      <c r="ONF90"/>
      <c r="ONG90"/>
      <c r="ONH90"/>
      <c r="ONI90"/>
      <c r="ONJ90"/>
      <c r="ONK90"/>
      <c r="ONL90"/>
      <c r="ONM90"/>
      <c r="ONN90"/>
      <c r="ONO90"/>
      <c r="ONP90"/>
      <c r="ONQ90"/>
      <c r="ONR90"/>
      <c r="ONS90"/>
      <c r="ONT90"/>
      <c r="ONU90"/>
      <c r="ONV90"/>
      <c r="ONW90"/>
      <c r="ONX90"/>
      <c r="ONY90"/>
      <c r="ONZ90"/>
      <c r="OOA90"/>
      <c r="OOB90"/>
      <c r="OOC90"/>
      <c r="OOD90"/>
      <c r="OOE90"/>
      <c r="OOF90"/>
      <c r="OOG90"/>
      <c r="OOH90"/>
      <c r="OOI90"/>
      <c r="OOJ90"/>
      <c r="OOK90"/>
      <c r="OOL90"/>
      <c r="OOM90"/>
      <c r="OON90"/>
      <c r="OOO90"/>
      <c r="OOP90"/>
      <c r="OOQ90"/>
      <c r="OOR90"/>
      <c r="OOS90"/>
      <c r="OOT90"/>
      <c r="OOU90"/>
      <c r="OOV90"/>
      <c r="OOW90"/>
      <c r="OOX90"/>
      <c r="OOY90"/>
      <c r="OOZ90"/>
      <c r="OPA90"/>
      <c r="OPB90"/>
      <c r="OPC90"/>
      <c r="OPD90"/>
      <c r="OPE90"/>
      <c r="OPF90"/>
      <c r="OPG90"/>
      <c r="OPH90"/>
      <c r="OPI90"/>
      <c r="OPJ90"/>
      <c r="OPK90"/>
      <c r="OPL90"/>
      <c r="OPM90"/>
      <c r="OPN90"/>
      <c r="OPO90"/>
      <c r="OPP90"/>
      <c r="OPQ90"/>
      <c r="OPR90"/>
      <c r="OPS90"/>
      <c r="OPT90"/>
      <c r="OPU90"/>
      <c r="OPV90"/>
      <c r="OPW90"/>
      <c r="OPX90"/>
      <c r="OPY90"/>
      <c r="OPZ90"/>
      <c r="OQA90"/>
      <c r="OQB90"/>
      <c r="OQC90"/>
      <c r="OQD90"/>
      <c r="OQE90"/>
      <c r="OQF90"/>
      <c r="OQG90"/>
      <c r="OQH90"/>
      <c r="OQI90"/>
      <c r="OQJ90"/>
      <c r="OQK90"/>
      <c r="OQL90"/>
      <c r="OQM90"/>
      <c r="OQN90"/>
      <c r="OQO90"/>
      <c r="OQP90"/>
      <c r="OQQ90"/>
      <c r="OQR90"/>
      <c r="OQS90"/>
      <c r="OQT90"/>
      <c r="OQU90"/>
      <c r="OQV90"/>
      <c r="OQW90"/>
      <c r="OQX90"/>
      <c r="OQY90"/>
      <c r="OQZ90"/>
      <c r="ORA90"/>
      <c r="ORB90"/>
      <c r="ORC90"/>
      <c r="ORD90"/>
      <c r="ORE90"/>
      <c r="ORF90"/>
      <c r="ORG90"/>
      <c r="ORH90"/>
      <c r="ORI90"/>
      <c r="ORJ90"/>
      <c r="ORK90"/>
      <c r="ORL90"/>
      <c r="ORM90"/>
      <c r="ORN90"/>
      <c r="ORO90"/>
      <c r="ORP90"/>
      <c r="ORQ90"/>
      <c r="ORR90"/>
      <c r="ORS90"/>
      <c r="ORT90"/>
      <c r="ORU90"/>
      <c r="ORV90"/>
      <c r="ORW90"/>
      <c r="ORX90"/>
      <c r="ORY90"/>
      <c r="ORZ90"/>
      <c r="OSA90"/>
      <c r="OSB90"/>
      <c r="OSC90"/>
      <c r="OSD90"/>
      <c r="OSE90"/>
      <c r="OSF90"/>
      <c r="OSG90"/>
      <c r="OSH90"/>
      <c r="OSI90"/>
      <c r="OSJ90"/>
      <c r="OSK90"/>
      <c r="OSL90"/>
      <c r="OSM90"/>
      <c r="OSN90"/>
      <c r="OSO90"/>
      <c r="OSP90"/>
      <c r="OSQ90"/>
      <c r="OSR90"/>
      <c r="OSS90"/>
      <c r="OST90"/>
      <c r="OSU90"/>
      <c r="OSV90"/>
      <c r="OSW90"/>
      <c r="OSX90"/>
      <c r="OSY90"/>
      <c r="OSZ90"/>
      <c r="OTA90"/>
      <c r="OTB90"/>
      <c r="OTC90"/>
      <c r="OTD90"/>
      <c r="OTE90"/>
      <c r="OTF90"/>
      <c r="OTG90"/>
      <c r="OTH90"/>
      <c r="OTI90"/>
      <c r="OTJ90"/>
      <c r="OTK90"/>
      <c r="OTL90"/>
      <c r="OTM90"/>
      <c r="OTN90"/>
      <c r="OTO90"/>
      <c r="OTP90"/>
      <c r="OTQ90"/>
      <c r="OTR90"/>
      <c r="OTS90"/>
      <c r="OTT90"/>
      <c r="OTU90"/>
      <c r="OTV90"/>
      <c r="OTW90"/>
      <c r="OTX90"/>
      <c r="OTY90"/>
      <c r="OTZ90"/>
      <c r="OUA90"/>
      <c r="OUB90"/>
      <c r="OUC90"/>
      <c r="OUD90"/>
      <c r="OUE90"/>
      <c r="OUF90"/>
      <c r="OUG90"/>
      <c r="OUH90"/>
      <c r="OUI90"/>
      <c r="OUJ90"/>
      <c r="OUK90"/>
      <c r="OUL90"/>
      <c r="OUM90"/>
      <c r="OUN90"/>
      <c r="OUO90"/>
      <c r="OUP90"/>
      <c r="OUQ90"/>
      <c r="OUR90"/>
      <c r="OUS90"/>
      <c r="OUT90"/>
      <c r="OUU90"/>
      <c r="OUV90"/>
      <c r="OUW90"/>
      <c r="OUX90"/>
      <c r="OUY90"/>
      <c r="OUZ90"/>
      <c r="OVA90"/>
      <c r="OVB90"/>
      <c r="OVC90"/>
      <c r="OVD90"/>
      <c r="OVE90"/>
      <c r="OVF90"/>
      <c r="OVG90"/>
      <c r="OVH90"/>
      <c r="OVI90"/>
      <c r="OVJ90"/>
      <c r="OVK90"/>
      <c r="OVL90"/>
      <c r="OVM90"/>
      <c r="OVN90"/>
      <c r="OVO90"/>
      <c r="OVP90"/>
      <c r="OVQ90"/>
      <c r="OVR90"/>
      <c r="OVS90"/>
      <c r="OVT90"/>
      <c r="OVU90"/>
      <c r="OVV90"/>
      <c r="OVW90"/>
      <c r="OVX90"/>
      <c r="OVY90"/>
      <c r="OVZ90"/>
      <c r="OWA90"/>
      <c r="OWB90"/>
      <c r="OWC90"/>
      <c r="OWD90"/>
      <c r="OWE90"/>
      <c r="OWF90"/>
      <c r="OWG90"/>
      <c r="OWH90"/>
      <c r="OWI90"/>
      <c r="OWJ90"/>
      <c r="OWK90"/>
      <c r="OWL90"/>
      <c r="OWM90"/>
      <c r="OWN90"/>
      <c r="OWO90"/>
      <c r="OWP90"/>
      <c r="OWQ90"/>
      <c r="OWR90"/>
      <c r="OWS90"/>
      <c r="OWT90"/>
      <c r="OWU90"/>
      <c r="OWV90"/>
      <c r="OWW90"/>
      <c r="OWX90"/>
      <c r="OWY90"/>
      <c r="OWZ90"/>
      <c r="OXA90"/>
      <c r="OXB90"/>
      <c r="OXC90"/>
      <c r="OXD90"/>
      <c r="OXE90"/>
      <c r="OXF90"/>
      <c r="OXG90"/>
      <c r="OXH90"/>
      <c r="OXI90"/>
      <c r="OXJ90"/>
      <c r="OXK90"/>
      <c r="OXL90"/>
      <c r="OXM90"/>
      <c r="OXN90"/>
      <c r="OXO90"/>
      <c r="OXP90"/>
      <c r="OXQ90"/>
      <c r="OXR90"/>
      <c r="OXS90"/>
      <c r="OXT90"/>
      <c r="OXU90"/>
      <c r="OXV90"/>
      <c r="OXW90"/>
      <c r="OXX90"/>
      <c r="OXY90"/>
      <c r="OXZ90"/>
      <c r="OYA90"/>
      <c r="OYB90"/>
      <c r="OYC90"/>
      <c r="OYD90"/>
      <c r="OYE90"/>
      <c r="OYF90"/>
      <c r="OYG90"/>
      <c r="OYH90"/>
      <c r="OYI90"/>
      <c r="OYJ90"/>
      <c r="OYK90"/>
      <c r="OYL90"/>
      <c r="OYM90"/>
      <c r="OYN90"/>
      <c r="OYO90"/>
      <c r="OYP90"/>
      <c r="OYQ90"/>
      <c r="OYR90"/>
      <c r="OYS90"/>
      <c r="OYT90"/>
      <c r="OYU90"/>
      <c r="OYV90"/>
      <c r="OYW90"/>
      <c r="OYX90"/>
      <c r="OYY90"/>
      <c r="OYZ90"/>
      <c r="OZA90"/>
      <c r="OZB90"/>
      <c r="OZC90"/>
      <c r="OZD90"/>
      <c r="OZE90"/>
      <c r="OZF90"/>
      <c r="OZG90"/>
      <c r="OZH90"/>
      <c r="OZI90"/>
      <c r="OZJ90"/>
      <c r="OZK90"/>
      <c r="OZL90"/>
      <c r="OZM90"/>
      <c r="OZN90"/>
      <c r="OZO90"/>
      <c r="OZP90"/>
      <c r="OZQ90"/>
      <c r="OZR90"/>
      <c r="OZS90"/>
      <c r="OZT90"/>
      <c r="OZU90"/>
      <c r="OZV90"/>
      <c r="OZW90"/>
      <c r="OZX90"/>
      <c r="OZY90"/>
      <c r="OZZ90"/>
      <c r="PAA90"/>
      <c r="PAB90"/>
      <c r="PAC90"/>
      <c r="PAD90"/>
      <c r="PAE90"/>
      <c r="PAF90"/>
      <c r="PAG90"/>
      <c r="PAH90"/>
      <c r="PAI90"/>
      <c r="PAJ90"/>
      <c r="PAK90"/>
      <c r="PAL90"/>
      <c r="PAM90"/>
      <c r="PAN90"/>
      <c r="PAO90"/>
      <c r="PAP90"/>
      <c r="PAQ90"/>
      <c r="PAR90"/>
      <c r="PAS90"/>
      <c r="PAT90"/>
      <c r="PAU90"/>
      <c r="PAV90"/>
      <c r="PAW90"/>
      <c r="PAX90"/>
      <c r="PAY90"/>
      <c r="PAZ90"/>
      <c r="PBA90"/>
      <c r="PBB90"/>
      <c r="PBC90"/>
      <c r="PBD90"/>
      <c r="PBE90"/>
      <c r="PBF90"/>
      <c r="PBG90"/>
      <c r="PBH90"/>
      <c r="PBI90"/>
      <c r="PBJ90"/>
      <c r="PBK90"/>
      <c r="PBL90"/>
      <c r="PBM90"/>
      <c r="PBN90"/>
      <c r="PBO90"/>
      <c r="PBP90"/>
      <c r="PBQ90"/>
      <c r="PBR90"/>
      <c r="PBS90"/>
      <c r="PBT90"/>
      <c r="PBU90"/>
      <c r="PBV90"/>
      <c r="PBW90"/>
      <c r="PBX90"/>
      <c r="PBY90"/>
      <c r="PBZ90"/>
      <c r="PCA90"/>
      <c r="PCB90"/>
      <c r="PCC90"/>
      <c r="PCD90"/>
      <c r="PCE90"/>
      <c r="PCF90"/>
      <c r="PCG90"/>
      <c r="PCH90"/>
      <c r="PCI90"/>
      <c r="PCJ90"/>
      <c r="PCK90"/>
      <c r="PCL90"/>
      <c r="PCM90"/>
      <c r="PCN90"/>
      <c r="PCO90"/>
      <c r="PCP90"/>
      <c r="PCQ90"/>
      <c r="PCR90"/>
      <c r="PCS90"/>
      <c r="PCT90"/>
      <c r="PCU90"/>
      <c r="PCV90"/>
      <c r="PCW90"/>
      <c r="PCX90"/>
      <c r="PCY90"/>
      <c r="PCZ90"/>
      <c r="PDA90"/>
      <c r="PDB90"/>
      <c r="PDC90"/>
      <c r="PDD90"/>
      <c r="PDE90"/>
      <c r="PDF90"/>
      <c r="PDG90"/>
      <c r="PDH90"/>
      <c r="PDI90"/>
      <c r="PDJ90"/>
      <c r="PDK90"/>
      <c r="PDL90"/>
      <c r="PDM90"/>
      <c r="PDN90"/>
      <c r="PDO90"/>
      <c r="PDP90"/>
      <c r="PDQ90"/>
      <c r="PDR90"/>
      <c r="PDS90"/>
      <c r="PDT90"/>
      <c r="PDU90"/>
      <c r="PDV90"/>
      <c r="PDW90"/>
      <c r="PDX90"/>
      <c r="PDY90"/>
      <c r="PDZ90"/>
      <c r="PEA90"/>
      <c r="PEB90"/>
      <c r="PEC90"/>
      <c r="PED90"/>
      <c r="PEE90"/>
      <c r="PEF90"/>
      <c r="PEG90"/>
      <c r="PEH90"/>
      <c r="PEI90"/>
      <c r="PEJ90"/>
      <c r="PEK90"/>
      <c r="PEL90"/>
      <c r="PEM90"/>
      <c r="PEN90"/>
      <c r="PEO90"/>
      <c r="PEP90"/>
      <c r="PEQ90"/>
      <c r="PER90"/>
      <c r="PES90"/>
      <c r="PET90"/>
      <c r="PEU90"/>
      <c r="PEV90"/>
      <c r="PEW90"/>
      <c r="PEX90"/>
      <c r="PEY90"/>
      <c r="PEZ90"/>
      <c r="PFA90"/>
      <c r="PFB90"/>
      <c r="PFC90"/>
      <c r="PFD90"/>
      <c r="PFE90"/>
      <c r="PFF90"/>
      <c r="PFG90"/>
      <c r="PFH90"/>
      <c r="PFI90"/>
      <c r="PFJ90"/>
      <c r="PFK90"/>
      <c r="PFL90"/>
      <c r="PFM90"/>
      <c r="PFN90"/>
      <c r="PFO90"/>
      <c r="PFP90"/>
      <c r="PFQ90"/>
      <c r="PFR90"/>
      <c r="PFS90"/>
      <c r="PFT90"/>
      <c r="PFU90"/>
      <c r="PFV90"/>
      <c r="PFW90"/>
      <c r="PFX90"/>
      <c r="PFY90"/>
      <c r="PFZ90"/>
      <c r="PGA90"/>
      <c r="PGB90"/>
      <c r="PGC90"/>
      <c r="PGD90"/>
      <c r="PGE90"/>
      <c r="PGF90"/>
      <c r="PGG90"/>
      <c r="PGH90"/>
      <c r="PGI90"/>
      <c r="PGJ90"/>
      <c r="PGK90"/>
      <c r="PGL90"/>
      <c r="PGM90"/>
      <c r="PGN90"/>
      <c r="PGO90"/>
      <c r="PGP90"/>
      <c r="PGQ90"/>
      <c r="PGR90"/>
      <c r="PGS90"/>
      <c r="PGT90"/>
      <c r="PGU90"/>
      <c r="PGV90"/>
      <c r="PGW90"/>
      <c r="PGX90"/>
      <c r="PGY90"/>
      <c r="PGZ90"/>
      <c r="PHA90"/>
      <c r="PHB90"/>
      <c r="PHC90"/>
      <c r="PHD90"/>
      <c r="PHE90"/>
      <c r="PHF90"/>
      <c r="PHG90"/>
      <c r="PHH90"/>
      <c r="PHI90"/>
      <c r="PHJ90"/>
      <c r="PHK90"/>
      <c r="PHL90"/>
      <c r="PHM90"/>
      <c r="PHN90"/>
      <c r="PHO90"/>
      <c r="PHP90"/>
      <c r="PHQ90"/>
      <c r="PHR90"/>
      <c r="PHS90"/>
      <c r="PHT90"/>
      <c r="PHU90"/>
      <c r="PHV90"/>
      <c r="PHW90"/>
      <c r="PHX90"/>
      <c r="PHY90"/>
      <c r="PHZ90"/>
      <c r="PIA90"/>
      <c r="PIB90"/>
      <c r="PIC90"/>
      <c r="PID90"/>
      <c r="PIE90"/>
      <c r="PIF90"/>
      <c r="PIG90"/>
      <c r="PIH90"/>
      <c r="PII90"/>
      <c r="PIJ90"/>
      <c r="PIK90"/>
      <c r="PIL90"/>
      <c r="PIM90"/>
      <c r="PIN90"/>
      <c r="PIO90"/>
      <c r="PIP90"/>
      <c r="PIQ90"/>
      <c r="PIR90"/>
      <c r="PIS90"/>
      <c r="PIT90"/>
      <c r="PIU90"/>
      <c r="PIV90"/>
      <c r="PIW90"/>
      <c r="PIX90"/>
      <c r="PIY90"/>
      <c r="PIZ90"/>
      <c r="PJA90"/>
      <c r="PJB90"/>
      <c r="PJC90"/>
      <c r="PJD90"/>
      <c r="PJE90"/>
      <c r="PJF90"/>
      <c r="PJG90"/>
      <c r="PJH90"/>
      <c r="PJI90"/>
      <c r="PJJ90"/>
      <c r="PJK90"/>
      <c r="PJL90"/>
      <c r="PJM90"/>
      <c r="PJN90"/>
      <c r="PJO90"/>
      <c r="PJP90"/>
      <c r="PJQ90"/>
      <c r="PJR90"/>
      <c r="PJS90"/>
      <c r="PJT90"/>
      <c r="PJU90"/>
      <c r="PJV90"/>
      <c r="PJW90"/>
      <c r="PJX90"/>
      <c r="PJY90"/>
      <c r="PJZ90"/>
      <c r="PKA90"/>
      <c r="PKB90"/>
      <c r="PKC90"/>
      <c r="PKD90"/>
      <c r="PKE90"/>
      <c r="PKF90"/>
      <c r="PKG90"/>
      <c r="PKH90"/>
      <c r="PKI90"/>
      <c r="PKJ90"/>
      <c r="PKK90"/>
      <c r="PKL90"/>
      <c r="PKM90"/>
      <c r="PKN90"/>
      <c r="PKO90"/>
      <c r="PKP90"/>
      <c r="PKQ90"/>
      <c r="PKR90"/>
      <c r="PKS90"/>
      <c r="PKT90"/>
      <c r="PKU90"/>
      <c r="PKV90"/>
      <c r="PKW90"/>
      <c r="PKX90"/>
      <c r="PKY90"/>
      <c r="PKZ90"/>
      <c r="PLA90"/>
      <c r="PLB90"/>
      <c r="PLC90"/>
      <c r="PLD90"/>
      <c r="PLE90"/>
      <c r="PLF90"/>
      <c r="PLG90"/>
      <c r="PLH90"/>
      <c r="PLI90"/>
      <c r="PLJ90"/>
      <c r="PLK90"/>
      <c r="PLL90"/>
      <c r="PLM90"/>
      <c r="PLN90"/>
      <c r="PLO90"/>
      <c r="PLP90"/>
      <c r="PLQ90"/>
      <c r="PLR90"/>
      <c r="PLS90"/>
      <c r="PLT90"/>
      <c r="PLU90"/>
      <c r="PLV90"/>
      <c r="PLW90"/>
      <c r="PLX90"/>
      <c r="PLY90"/>
      <c r="PLZ90"/>
      <c r="PMA90"/>
      <c r="PMB90"/>
      <c r="PMC90"/>
      <c r="PMD90"/>
      <c r="PME90"/>
      <c r="PMF90"/>
      <c r="PMG90"/>
      <c r="PMH90"/>
      <c r="PMI90"/>
      <c r="PMJ90"/>
      <c r="PMK90"/>
      <c r="PML90"/>
      <c r="PMM90"/>
      <c r="PMN90"/>
      <c r="PMO90"/>
      <c r="PMP90"/>
      <c r="PMQ90"/>
      <c r="PMR90"/>
      <c r="PMS90"/>
      <c r="PMT90"/>
      <c r="PMU90"/>
      <c r="PMV90"/>
      <c r="PMW90"/>
      <c r="PMX90"/>
      <c r="PMY90"/>
      <c r="PMZ90"/>
      <c r="PNA90"/>
      <c r="PNB90"/>
      <c r="PNC90"/>
      <c r="PND90"/>
      <c r="PNE90"/>
      <c r="PNF90"/>
      <c r="PNG90"/>
      <c r="PNH90"/>
      <c r="PNI90"/>
      <c r="PNJ90"/>
      <c r="PNK90"/>
      <c r="PNL90"/>
      <c r="PNM90"/>
      <c r="PNN90"/>
      <c r="PNO90"/>
      <c r="PNP90"/>
      <c r="PNQ90"/>
      <c r="PNR90"/>
      <c r="PNS90"/>
      <c r="PNT90"/>
      <c r="PNU90"/>
      <c r="PNV90"/>
      <c r="PNW90"/>
      <c r="PNX90"/>
      <c r="PNY90"/>
      <c r="PNZ90"/>
      <c r="POA90"/>
      <c r="POB90"/>
      <c r="POC90"/>
      <c r="POD90"/>
      <c r="POE90"/>
      <c r="POF90"/>
      <c r="POG90"/>
      <c r="POH90"/>
      <c r="POI90"/>
      <c r="POJ90"/>
      <c r="POK90"/>
      <c r="POL90"/>
      <c r="POM90"/>
      <c r="PON90"/>
      <c r="POO90"/>
      <c r="POP90"/>
      <c r="POQ90"/>
      <c r="POR90"/>
      <c r="POS90"/>
      <c r="POT90"/>
      <c r="POU90"/>
      <c r="POV90"/>
      <c r="POW90"/>
      <c r="POX90"/>
      <c r="POY90"/>
      <c r="POZ90"/>
      <c r="PPA90"/>
      <c r="PPB90"/>
      <c r="PPC90"/>
      <c r="PPD90"/>
      <c r="PPE90"/>
      <c r="PPF90"/>
      <c r="PPG90"/>
      <c r="PPH90"/>
      <c r="PPI90"/>
      <c r="PPJ90"/>
      <c r="PPK90"/>
      <c r="PPL90"/>
      <c r="PPM90"/>
      <c r="PPN90"/>
      <c r="PPO90"/>
      <c r="PPP90"/>
      <c r="PPQ90"/>
      <c r="PPR90"/>
      <c r="PPS90"/>
      <c r="PPT90"/>
      <c r="PPU90"/>
      <c r="PPV90"/>
      <c r="PPW90"/>
      <c r="PPX90"/>
      <c r="PPY90"/>
      <c r="PPZ90"/>
      <c r="PQA90"/>
      <c r="PQB90"/>
      <c r="PQC90"/>
      <c r="PQD90"/>
      <c r="PQE90"/>
      <c r="PQF90"/>
      <c r="PQG90"/>
      <c r="PQH90"/>
      <c r="PQI90"/>
      <c r="PQJ90"/>
      <c r="PQK90"/>
      <c r="PQL90"/>
      <c r="PQM90"/>
      <c r="PQN90"/>
      <c r="PQO90"/>
      <c r="PQP90"/>
      <c r="PQQ90"/>
      <c r="PQR90"/>
      <c r="PQS90"/>
      <c r="PQT90"/>
      <c r="PQU90"/>
      <c r="PQV90"/>
      <c r="PQW90"/>
      <c r="PQX90"/>
      <c r="PQY90"/>
      <c r="PQZ90"/>
      <c r="PRA90"/>
      <c r="PRB90"/>
      <c r="PRC90"/>
      <c r="PRD90"/>
      <c r="PRE90"/>
      <c r="PRF90"/>
      <c r="PRG90"/>
      <c r="PRH90"/>
      <c r="PRI90"/>
      <c r="PRJ90"/>
      <c r="PRK90"/>
      <c r="PRL90"/>
      <c r="PRM90"/>
      <c r="PRN90"/>
      <c r="PRO90"/>
      <c r="PRP90"/>
      <c r="PRQ90"/>
      <c r="PRR90"/>
      <c r="PRS90"/>
      <c r="PRT90"/>
      <c r="PRU90"/>
      <c r="PRV90"/>
      <c r="PRW90"/>
      <c r="PRX90"/>
      <c r="PRY90"/>
      <c r="PRZ90"/>
      <c r="PSA90"/>
      <c r="PSB90"/>
      <c r="PSC90"/>
      <c r="PSD90"/>
      <c r="PSE90"/>
      <c r="PSF90"/>
      <c r="PSG90"/>
      <c r="PSH90"/>
      <c r="PSI90"/>
      <c r="PSJ90"/>
      <c r="PSK90"/>
      <c r="PSL90"/>
      <c r="PSM90"/>
      <c r="PSN90"/>
      <c r="PSO90"/>
      <c r="PSP90"/>
      <c r="PSQ90"/>
      <c r="PSR90"/>
      <c r="PSS90"/>
      <c r="PST90"/>
      <c r="PSU90"/>
      <c r="PSV90"/>
      <c r="PSW90"/>
      <c r="PSX90"/>
      <c r="PSY90"/>
      <c r="PSZ90"/>
      <c r="PTA90"/>
      <c r="PTB90"/>
      <c r="PTC90"/>
      <c r="PTD90"/>
      <c r="PTE90"/>
      <c r="PTF90"/>
      <c r="PTG90"/>
      <c r="PTH90"/>
      <c r="PTI90"/>
      <c r="PTJ90"/>
      <c r="PTK90"/>
      <c r="PTL90"/>
      <c r="PTM90"/>
      <c r="PTN90"/>
      <c r="PTO90"/>
      <c r="PTP90"/>
      <c r="PTQ90"/>
      <c r="PTR90"/>
      <c r="PTS90"/>
      <c r="PTT90"/>
      <c r="PTU90"/>
      <c r="PTV90"/>
      <c r="PTW90"/>
      <c r="PTX90"/>
      <c r="PTY90"/>
      <c r="PTZ90"/>
      <c r="PUA90"/>
      <c r="PUB90"/>
      <c r="PUC90"/>
      <c r="PUD90"/>
      <c r="PUE90"/>
      <c r="PUF90"/>
      <c r="PUG90"/>
      <c r="PUH90"/>
      <c r="PUI90"/>
      <c r="PUJ90"/>
      <c r="PUK90"/>
      <c r="PUL90"/>
      <c r="PUM90"/>
      <c r="PUN90"/>
      <c r="PUO90"/>
      <c r="PUP90"/>
      <c r="PUQ90"/>
      <c r="PUR90"/>
      <c r="PUS90"/>
      <c r="PUT90"/>
      <c r="PUU90"/>
      <c r="PUV90"/>
      <c r="PUW90"/>
      <c r="PUX90"/>
      <c r="PUY90"/>
      <c r="PUZ90"/>
      <c r="PVA90"/>
      <c r="PVB90"/>
      <c r="PVC90"/>
      <c r="PVD90"/>
      <c r="PVE90"/>
      <c r="PVF90"/>
      <c r="PVG90"/>
      <c r="PVH90"/>
      <c r="PVI90"/>
      <c r="PVJ90"/>
      <c r="PVK90"/>
      <c r="PVL90"/>
      <c r="PVM90"/>
      <c r="PVN90"/>
      <c r="PVO90"/>
      <c r="PVP90"/>
      <c r="PVQ90"/>
      <c r="PVR90"/>
      <c r="PVS90"/>
      <c r="PVT90"/>
      <c r="PVU90"/>
      <c r="PVV90"/>
      <c r="PVW90"/>
      <c r="PVX90"/>
      <c r="PVY90"/>
      <c r="PVZ90"/>
      <c r="PWA90"/>
      <c r="PWB90"/>
      <c r="PWC90"/>
      <c r="PWD90"/>
      <c r="PWE90"/>
      <c r="PWF90"/>
      <c r="PWG90"/>
      <c r="PWH90"/>
      <c r="PWI90"/>
      <c r="PWJ90"/>
      <c r="PWK90"/>
      <c r="PWL90"/>
      <c r="PWM90"/>
      <c r="PWN90"/>
      <c r="PWO90"/>
      <c r="PWP90"/>
      <c r="PWQ90"/>
      <c r="PWR90"/>
      <c r="PWS90"/>
      <c r="PWT90"/>
      <c r="PWU90"/>
      <c r="PWV90"/>
      <c r="PWW90"/>
      <c r="PWX90"/>
      <c r="PWY90"/>
      <c r="PWZ90"/>
      <c r="PXA90"/>
      <c r="PXB90"/>
      <c r="PXC90"/>
      <c r="PXD90"/>
      <c r="PXE90"/>
      <c r="PXF90"/>
      <c r="PXG90"/>
      <c r="PXH90"/>
      <c r="PXI90"/>
      <c r="PXJ90"/>
      <c r="PXK90"/>
      <c r="PXL90"/>
      <c r="PXM90"/>
      <c r="PXN90"/>
      <c r="PXO90"/>
      <c r="PXP90"/>
      <c r="PXQ90"/>
      <c r="PXR90"/>
      <c r="PXS90"/>
      <c r="PXT90"/>
      <c r="PXU90"/>
      <c r="PXV90"/>
      <c r="PXW90"/>
      <c r="PXX90"/>
      <c r="PXY90"/>
      <c r="PXZ90"/>
      <c r="PYA90"/>
      <c r="PYB90"/>
      <c r="PYC90"/>
      <c r="PYD90"/>
      <c r="PYE90"/>
      <c r="PYF90"/>
      <c r="PYG90"/>
      <c r="PYH90"/>
      <c r="PYI90"/>
      <c r="PYJ90"/>
      <c r="PYK90"/>
      <c r="PYL90"/>
      <c r="PYM90"/>
      <c r="PYN90"/>
      <c r="PYO90"/>
      <c r="PYP90"/>
      <c r="PYQ90"/>
      <c r="PYR90"/>
      <c r="PYS90"/>
      <c r="PYT90"/>
      <c r="PYU90"/>
      <c r="PYV90"/>
      <c r="PYW90"/>
      <c r="PYX90"/>
      <c r="PYY90"/>
      <c r="PYZ90"/>
      <c r="PZA90"/>
      <c r="PZB90"/>
      <c r="PZC90"/>
      <c r="PZD90"/>
      <c r="PZE90"/>
      <c r="PZF90"/>
      <c r="PZG90"/>
      <c r="PZH90"/>
      <c r="PZI90"/>
      <c r="PZJ90"/>
      <c r="PZK90"/>
      <c r="PZL90"/>
      <c r="PZM90"/>
      <c r="PZN90"/>
      <c r="PZO90"/>
      <c r="PZP90"/>
      <c r="PZQ90"/>
      <c r="PZR90"/>
      <c r="PZS90"/>
      <c r="PZT90"/>
      <c r="PZU90"/>
      <c r="PZV90"/>
      <c r="PZW90"/>
      <c r="PZX90"/>
      <c r="PZY90"/>
      <c r="PZZ90"/>
      <c r="QAA90"/>
      <c r="QAB90"/>
      <c r="QAC90"/>
      <c r="QAD90"/>
      <c r="QAE90"/>
      <c r="QAF90"/>
      <c r="QAG90"/>
      <c r="QAH90"/>
      <c r="QAI90"/>
      <c r="QAJ90"/>
      <c r="QAK90"/>
      <c r="QAL90"/>
      <c r="QAM90"/>
      <c r="QAN90"/>
      <c r="QAO90"/>
      <c r="QAP90"/>
      <c r="QAQ90"/>
      <c r="QAR90"/>
      <c r="QAS90"/>
      <c r="QAT90"/>
      <c r="QAU90"/>
      <c r="QAV90"/>
      <c r="QAW90"/>
      <c r="QAX90"/>
      <c r="QAY90"/>
      <c r="QAZ90"/>
      <c r="QBA90"/>
      <c r="QBB90"/>
      <c r="QBC90"/>
      <c r="QBD90"/>
      <c r="QBE90"/>
      <c r="QBF90"/>
      <c r="QBG90"/>
      <c r="QBH90"/>
      <c r="QBI90"/>
      <c r="QBJ90"/>
      <c r="QBK90"/>
      <c r="QBL90"/>
      <c r="QBM90"/>
      <c r="QBN90"/>
      <c r="QBO90"/>
      <c r="QBP90"/>
      <c r="QBQ90"/>
      <c r="QBR90"/>
      <c r="QBS90"/>
      <c r="QBT90"/>
      <c r="QBU90"/>
      <c r="QBV90"/>
      <c r="QBW90"/>
      <c r="QBX90"/>
      <c r="QBY90"/>
      <c r="QBZ90"/>
      <c r="QCA90"/>
      <c r="QCB90"/>
      <c r="QCC90"/>
      <c r="QCD90"/>
      <c r="QCE90"/>
      <c r="QCF90"/>
      <c r="QCG90"/>
      <c r="QCH90"/>
      <c r="QCI90"/>
      <c r="QCJ90"/>
      <c r="QCK90"/>
      <c r="QCL90"/>
      <c r="QCM90"/>
      <c r="QCN90"/>
      <c r="QCO90"/>
      <c r="QCP90"/>
      <c r="QCQ90"/>
      <c r="QCR90"/>
      <c r="QCS90"/>
      <c r="QCT90"/>
      <c r="QCU90"/>
      <c r="QCV90"/>
      <c r="QCW90"/>
      <c r="QCX90"/>
      <c r="QCY90"/>
      <c r="QCZ90"/>
      <c r="QDA90"/>
      <c r="QDB90"/>
      <c r="QDC90"/>
      <c r="QDD90"/>
      <c r="QDE90"/>
      <c r="QDF90"/>
      <c r="QDG90"/>
      <c r="QDH90"/>
      <c r="QDI90"/>
      <c r="QDJ90"/>
      <c r="QDK90"/>
      <c r="QDL90"/>
      <c r="QDM90"/>
      <c r="QDN90"/>
      <c r="QDO90"/>
      <c r="QDP90"/>
      <c r="QDQ90"/>
      <c r="QDR90"/>
      <c r="QDS90"/>
      <c r="QDT90"/>
      <c r="QDU90"/>
      <c r="QDV90"/>
      <c r="QDW90"/>
      <c r="QDX90"/>
      <c r="QDY90"/>
      <c r="QDZ90"/>
      <c r="QEA90"/>
      <c r="QEB90"/>
      <c r="QEC90"/>
      <c r="QED90"/>
      <c r="QEE90"/>
      <c r="QEF90"/>
      <c r="QEG90"/>
      <c r="QEH90"/>
      <c r="QEI90"/>
      <c r="QEJ90"/>
      <c r="QEK90"/>
      <c r="QEL90"/>
      <c r="QEM90"/>
      <c r="QEN90"/>
      <c r="QEO90"/>
      <c r="QEP90"/>
      <c r="QEQ90"/>
      <c r="QER90"/>
      <c r="QES90"/>
      <c r="QET90"/>
      <c r="QEU90"/>
      <c r="QEV90"/>
      <c r="QEW90"/>
      <c r="QEX90"/>
      <c r="QEY90"/>
      <c r="QEZ90"/>
      <c r="QFA90"/>
      <c r="QFB90"/>
      <c r="QFC90"/>
      <c r="QFD90"/>
      <c r="QFE90"/>
      <c r="QFF90"/>
      <c r="QFG90"/>
      <c r="QFH90"/>
      <c r="QFI90"/>
      <c r="QFJ90"/>
      <c r="QFK90"/>
      <c r="QFL90"/>
      <c r="QFM90"/>
      <c r="QFN90"/>
      <c r="QFO90"/>
      <c r="QFP90"/>
      <c r="QFQ90"/>
      <c r="QFR90"/>
      <c r="QFS90"/>
      <c r="QFT90"/>
      <c r="QFU90"/>
      <c r="QFV90"/>
      <c r="QFW90"/>
      <c r="QFX90"/>
      <c r="QFY90"/>
      <c r="QFZ90"/>
      <c r="QGA90"/>
      <c r="QGB90"/>
      <c r="QGC90"/>
      <c r="QGD90"/>
      <c r="QGE90"/>
      <c r="QGF90"/>
      <c r="QGG90"/>
      <c r="QGH90"/>
      <c r="QGI90"/>
      <c r="QGJ90"/>
      <c r="QGK90"/>
      <c r="QGL90"/>
      <c r="QGM90"/>
      <c r="QGN90"/>
      <c r="QGO90"/>
      <c r="QGP90"/>
      <c r="QGQ90"/>
      <c r="QGR90"/>
      <c r="QGS90"/>
      <c r="QGT90"/>
      <c r="QGU90"/>
      <c r="QGV90"/>
      <c r="QGW90"/>
      <c r="QGX90"/>
      <c r="QGY90"/>
      <c r="QGZ90"/>
      <c r="QHA90"/>
      <c r="QHB90"/>
      <c r="QHC90"/>
      <c r="QHD90"/>
      <c r="QHE90"/>
      <c r="QHF90"/>
      <c r="QHG90"/>
      <c r="QHH90"/>
      <c r="QHI90"/>
      <c r="QHJ90"/>
      <c r="QHK90"/>
      <c r="QHL90"/>
      <c r="QHM90"/>
      <c r="QHN90"/>
      <c r="QHO90"/>
      <c r="QHP90"/>
      <c r="QHQ90"/>
      <c r="QHR90"/>
      <c r="QHS90"/>
      <c r="QHT90"/>
      <c r="QHU90"/>
      <c r="QHV90"/>
      <c r="QHW90"/>
      <c r="QHX90"/>
      <c r="QHY90"/>
      <c r="QHZ90"/>
      <c r="QIA90"/>
      <c r="QIB90"/>
      <c r="QIC90"/>
      <c r="QID90"/>
      <c r="QIE90"/>
      <c r="QIF90"/>
      <c r="QIG90"/>
      <c r="QIH90"/>
      <c r="QII90"/>
      <c r="QIJ90"/>
      <c r="QIK90"/>
      <c r="QIL90"/>
      <c r="QIM90"/>
      <c r="QIN90"/>
      <c r="QIO90"/>
      <c r="QIP90"/>
      <c r="QIQ90"/>
      <c r="QIR90"/>
      <c r="QIS90"/>
      <c r="QIT90"/>
      <c r="QIU90"/>
      <c r="QIV90"/>
      <c r="QIW90"/>
      <c r="QIX90"/>
      <c r="QIY90"/>
      <c r="QIZ90"/>
      <c r="QJA90"/>
      <c r="QJB90"/>
      <c r="QJC90"/>
      <c r="QJD90"/>
      <c r="QJE90"/>
      <c r="QJF90"/>
      <c r="QJG90"/>
      <c r="QJH90"/>
      <c r="QJI90"/>
      <c r="QJJ90"/>
      <c r="QJK90"/>
      <c r="QJL90"/>
      <c r="QJM90"/>
      <c r="QJN90"/>
      <c r="QJO90"/>
      <c r="QJP90"/>
      <c r="QJQ90"/>
      <c r="QJR90"/>
      <c r="QJS90"/>
      <c r="QJT90"/>
      <c r="QJU90"/>
      <c r="QJV90"/>
      <c r="QJW90"/>
      <c r="QJX90"/>
      <c r="QJY90"/>
      <c r="QJZ90"/>
      <c r="QKA90"/>
      <c r="QKB90"/>
      <c r="QKC90"/>
      <c r="QKD90"/>
      <c r="QKE90"/>
      <c r="QKF90"/>
      <c r="QKG90"/>
      <c r="QKH90"/>
      <c r="QKI90"/>
      <c r="QKJ90"/>
      <c r="QKK90"/>
      <c r="QKL90"/>
      <c r="QKM90"/>
      <c r="QKN90"/>
      <c r="QKO90"/>
      <c r="QKP90"/>
      <c r="QKQ90"/>
      <c r="QKR90"/>
      <c r="QKS90"/>
      <c r="QKT90"/>
      <c r="QKU90"/>
      <c r="QKV90"/>
      <c r="QKW90"/>
      <c r="QKX90"/>
      <c r="QKY90"/>
      <c r="QKZ90"/>
      <c r="QLA90"/>
      <c r="QLB90"/>
      <c r="QLC90"/>
      <c r="QLD90"/>
      <c r="QLE90"/>
      <c r="QLF90"/>
      <c r="QLG90"/>
      <c r="QLH90"/>
      <c r="QLI90"/>
      <c r="QLJ90"/>
      <c r="QLK90"/>
      <c r="QLL90"/>
      <c r="QLM90"/>
      <c r="QLN90"/>
      <c r="QLO90"/>
      <c r="QLP90"/>
      <c r="QLQ90"/>
      <c r="QLR90"/>
      <c r="QLS90"/>
      <c r="QLT90"/>
      <c r="QLU90"/>
      <c r="QLV90"/>
      <c r="QLW90"/>
      <c r="QLX90"/>
      <c r="QLY90"/>
      <c r="QLZ90"/>
      <c r="QMA90"/>
      <c r="QMB90"/>
      <c r="QMC90"/>
      <c r="QMD90"/>
      <c r="QME90"/>
      <c r="QMF90"/>
      <c r="QMG90"/>
      <c r="QMH90"/>
      <c r="QMI90"/>
      <c r="QMJ90"/>
      <c r="QMK90"/>
      <c r="QML90"/>
      <c r="QMM90"/>
      <c r="QMN90"/>
      <c r="QMO90"/>
      <c r="QMP90"/>
      <c r="QMQ90"/>
      <c r="QMR90"/>
      <c r="QMS90"/>
      <c r="QMT90"/>
      <c r="QMU90"/>
      <c r="QMV90"/>
      <c r="QMW90"/>
      <c r="QMX90"/>
      <c r="QMY90"/>
      <c r="QMZ90"/>
      <c r="QNA90"/>
      <c r="QNB90"/>
      <c r="QNC90"/>
      <c r="QND90"/>
      <c r="QNE90"/>
      <c r="QNF90"/>
      <c r="QNG90"/>
      <c r="QNH90"/>
      <c r="QNI90"/>
      <c r="QNJ90"/>
      <c r="QNK90"/>
      <c r="QNL90"/>
      <c r="QNM90"/>
      <c r="QNN90"/>
      <c r="QNO90"/>
      <c r="QNP90"/>
      <c r="QNQ90"/>
      <c r="QNR90"/>
      <c r="QNS90"/>
      <c r="QNT90"/>
      <c r="QNU90"/>
      <c r="QNV90"/>
      <c r="QNW90"/>
      <c r="QNX90"/>
      <c r="QNY90"/>
      <c r="QNZ90"/>
      <c r="QOA90"/>
      <c r="QOB90"/>
      <c r="QOC90"/>
      <c r="QOD90"/>
      <c r="QOE90"/>
      <c r="QOF90"/>
      <c r="QOG90"/>
      <c r="QOH90"/>
      <c r="QOI90"/>
      <c r="QOJ90"/>
      <c r="QOK90"/>
      <c r="QOL90"/>
      <c r="QOM90"/>
      <c r="QON90"/>
      <c r="QOO90"/>
      <c r="QOP90"/>
      <c r="QOQ90"/>
      <c r="QOR90"/>
      <c r="QOS90"/>
      <c r="QOT90"/>
      <c r="QOU90"/>
      <c r="QOV90"/>
      <c r="QOW90"/>
      <c r="QOX90"/>
      <c r="QOY90"/>
      <c r="QOZ90"/>
      <c r="QPA90"/>
      <c r="QPB90"/>
      <c r="QPC90"/>
      <c r="QPD90"/>
      <c r="QPE90"/>
      <c r="QPF90"/>
      <c r="QPG90"/>
      <c r="QPH90"/>
      <c r="QPI90"/>
      <c r="QPJ90"/>
      <c r="QPK90"/>
      <c r="QPL90"/>
      <c r="QPM90"/>
      <c r="QPN90"/>
      <c r="QPO90"/>
      <c r="QPP90"/>
      <c r="QPQ90"/>
      <c r="QPR90"/>
      <c r="QPS90"/>
      <c r="QPT90"/>
      <c r="QPU90"/>
      <c r="QPV90"/>
      <c r="QPW90"/>
      <c r="QPX90"/>
      <c r="QPY90"/>
      <c r="QPZ90"/>
      <c r="QQA90"/>
      <c r="QQB90"/>
      <c r="QQC90"/>
      <c r="QQD90"/>
      <c r="QQE90"/>
      <c r="QQF90"/>
      <c r="QQG90"/>
      <c r="QQH90"/>
      <c r="QQI90"/>
      <c r="QQJ90"/>
      <c r="QQK90"/>
      <c r="QQL90"/>
      <c r="QQM90"/>
      <c r="QQN90"/>
      <c r="QQO90"/>
      <c r="QQP90"/>
      <c r="QQQ90"/>
      <c r="QQR90"/>
      <c r="QQS90"/>
      <c r="QQT90"/>
      <c r="QQU90"/>
      <c r="QQV90"/>
      <c r="QQW90"/>
      <c r="QQX90"/>
      <c r="QQY90"/>
      <c r="QQZ90"/>
      <c r="QRA90"/>
      <c r="QRB90"/>
      <c r="QRC90"/>
      <c r="QRD90"/>
      <c r="QRE90"/>
      <c r="QRF90"/>
      <c r="QRG90"/>
      <c r="QRH90"/>
      <c r="QRI90"/>
      <c r="QRJ90"/>
      <c r="QRK90"/>
      <c r="QRL90"/>
      <c r="QRM90"/>
      <c r="QRN90"/>
      <c r="QRO90"/>
      <c r="QRP90"/>
      <c r="QRQ90"/>
      <c r="QRR90"/>
      <c r="QRS90"/>
      <c r="QRT90"/>
      <c r="QRU90"/>
      <c r="QRV90"/>
      <c r="QRW90"/>
      <c r="QRX90"/>
      <c r="QRY90"/>
      <c r="QRZ90"/>
      <c r="QSA90"/>
      <c r="QSB90"/>
      <c r="QSC90"/>
      <c r="QSD90"/>
      <c r="QSE90"/>
      <c r="QSF90"/>
      <c r="QSG90"/>
      <c r="QSH90"/>
      <c r="QSI90"/>
      <c r="QSJ90"/>
      <c r="QSK90"/>
      <c r="QSL90"/>
      <c r="QSM90"/>
      <c r="QSN90"/>
      <c r="QSO90"/>
      <c r="QSP90"/>
      <c r="QSQ90"/>
      <c r="QSR90"/>
      <c r="QSS90"/>
      <c r="QST90"/>
      <c r="QSU90"/>
      <c r="QSV90"/>
      <c r="QSW90"/>
      <c r="QSX90"/>
      <c r="QSY90"/>
      <c r="QSZ90"/>
      <c r="QTA90"/>
      <c r="QTB90"/>
      <c r="QTC90"/>
      <c r="QTD90"/>
      <c r="QTE90"/>
      <c r="QTF90"/>
      <c r="QTG90"/>
      <c r="QTH90"/>
      <c r="QTI90"/>
      <c r="QTJ90"/>
      <c r="QTK90"/>
      <c r="QTL90"/>
      <c r="QTM90"/>
      <c r="QTN90"/>
      <c r="QTO90"/>
      <c r="QTP90"/>
      <c r="QTQ90"/>
      <c r="QTR90"/>
      <c r="QTS90"/>
      <c r="QTT90"/>
      <c r="QTU90"/>
      <c r="QTV90"/>
      <c r="QTW90"/>
      <c r="QTX90"/>
      <c r="QTY90"/>
      <c r="QTZ90"/>
      <c r="QUA90"/>
      <c r="QUB90"/>
      <c r="QUC90"/>
      <c r="QUD90"/>
      <c r="QUE90"/>
      <c r="QUF90"/>
      <c r="QUG90"/>
      <c r="QUH90"/>
      <c r="QUI90"/>
      <c r="QUJ90"/>
      <c r="QUK90"/>
      <c r="QUL90"/>
      <c r="QUM90"/>
      <c r="QUN90"/>
      <c r="QUO90"/>
      <c r="QUP90"/>
      <c r="QUQ90"/>
      <c r="QUR90"/>
      <c r="QUS90"/>
      <c r="QUT90"/>
      <c r="QUU90"/>
      <c r="QUV90"/>
      <c r="QUW90"/>
      <c r="QUX90"/>
      <c r="QUY90"/>
      <c r="QUZ90"/>
      <c r="QVA90"/>
      <c r="QVB90"/>
      <c r="QVC90"/>
      <c r="QVD90"/>
      <c r="QVE90"/>
      <c r="QVF90"/>
      <c r="QVG90"/>
      <c r="QVH90"/>
      <c r="QVI90"/>
      <c r="QVJ90"/>
      <c r="QVK90"/>
      <c r="QVL90"/>
      <c r="QVM90"/>
      <c r="QVN90"/>
      <c r="QVO90"/>
      <c r="QVP90"/>
      <c r="QVQ90"/>
      <c r="QVR90"/>
      <c r="QVS90"/>
      <c r="QVT90"/>
      <c r="QVU90"/>
      <c r="QVV90"/>
      <c r="QVW90"/>
      <c r="QVX90"/>
      <c r="QVY90"/>
      <c r="QVZ90"/>
      <c r="QWA90"/>
      <c r="QWB90"/>
      <c r="QWC90"/>
      <c r="QWD90"/>
      <c r="QWE90"/>
      <c r="QWF90"/>
      <c r="QWG90"/>
      <c r="QWH90"/>
      <c r="QWI90"/>
      <c r="QWJ90"/>
      <c r="QWK90"/>
      <c r="QWL90"/>
      <c r="QWM90"/>
      <c r="QWN90"/>
      <c r="QWO90"/>
      <c r="QWP90"/>
      <c r="QWQ90"/>
      <c r="QWR90"/>
      <c r="QWS90"/>
      <c r="QWT90"/>
      <c r="QWU90"/>
      <c r="QWV90"/>
      <c r="QWW90"/>
      <c r="QWX90"/>
      <c r="QWY90"/>
      <c r="QWZ90"/>
      <c r="QXA90"/>
      <c r="QXB90"/>
      <c r="QXC90"/>
      <c r="QXD90"/>
      <c r="QXE90"/>
      <c r="QXF90"/>
      <c r="QXG90"/>
      <c r="QXH90"/>
      <c r="QXI90"/>
      <c r="QXJ90"/>
      <c r="QXK90"/>
      <c r="QXL90"/>
      <c r="QXM90"/>
      <c r="QXN90"/>
      <c r="QXO90"/>
      <c r="QXP90"/>
      <c r="QXQ90"/>
      <c r="QXR90"/>
      <c r="QXS90"/>
      <c r="QXT90"/>
      <c r="QXU90"/>
      <c r="QXV90"/>
      <c r="QXW90"/>
      <c r="QXX90"/>
      <c r="QXY90"/>
      <c r="QXZ90"/>
      <c r="QYA90"/>
      <c r="QYB90"/>
      <c r="QYC90"/>
      <c r="QYD90"/>
      <c r="QYE90"/>
      <c r="QYF90"/>
      <c r="QYG90"/>
      <c r="QYH90"/>
      <c r="QYI90"/>
      <c r="QYJ90"/>
      <c r="QYK90"/>
      <c r="QYL90"/>
      <c r="QYM90"/>
      <c r="QYN90"/>
      <c r="QYO90"/>
      <c r="QYP90"/>
      <c r="QYQ90"/>
      <c r="QYR90"/>
      <c r="QYS90"/>
      <c r="QYT90"/>
      <c r="QYU90"/>
      <c r="QYV90"/>
      <c r="QYW90"/>
      <c r="QYX90"/>
      <c r="QYY90"/>
      <c r="QYZ90"/>
      <c r="QZA90"/>
      <c r="QZB90"/>
      <c r="QZC90"/>
      <c r="QZD90"/>
      <c r="QZE90"/>
      <c r="QZF90"/>
      <c r="QZG90"/>
      <c r="QZH90"/>
      <c r="QZI90"/>
      <c r="QZJ90"/>
      <c r="QZK90"/>
      <c r="QZL90"/>
      <c r="QZM90"/>
      <c r="QZN90"/>
      <c r="QZO90"/>
      <c r="QZP90"/>
      <c r="QZQ90"/>
      <c r="QZR90"/>
      <c r="QZS90"/>
      <c r="QZT90"/>
      <c r="QZU90"/>
      <c r="QZV90"/>
      <c r="QZW90"/>
      <c r="QZX90"/>
      <c r="QZY90"/>
      <c r="QZZ90"/>
      <c r="RAA90"/>
      <c r="RAB90"/>
      <c r="RAC90"/>
      <c r="RAD90"/>
      <c r="RAE90"/>
      <c r="RAF90"/>
      <c r="RAG90"/>
      <c r="RAH90"/>
      <c r="RAI90"/>
      <c r="RAJ90"/>
      <c r="RAK90"/>
      <c r="RAL90"/>
      <c r="RAM90"/>
      <c r="RAN90"/>
      <c r="RAO90"/>
      <c r="RAP90"/>
      <c r="RAQ90"/>
      <c r="RAR90"/>
      <c r="RAS90"/>
      <c r="RAT90"/>
      <c r="RAU90"/>
      <c r="RAV90"/>
      <c r="RAW90"/>
      <c r="RAX90"/>
      <c r="RAY90"/>
      <c r="RAZ90"/>
      <c r="RBA90"/>
      <c r="RBB90"/>
      <c r="RBC90"/>
      <c r="RBD90"/>
      <c r="RBE90"/>
      <c r="RBF90"/>
      <c r="RBG90"/>
      <c r="RBH90"/>
      <c r="RBI90"/>
      <c r="RBJ90"/>
      <c r="RBK90"/>
      <c r="RBL90"/>
      <c r="RBM90"/>
      <c r="RBN90"/>
      <c r="RBO90"/>
      <c r="RBP90"/>
      <c r="RBQ90"/>
      <c r="RBR90"/>
      <c r="RBS90"/>
      <c r="RBT90"/>
      <c r="RBU90"/>
      <c r="RBV90"/>
      <c r="RBW90"/>
      <c r="RBX90"/>
      <c r="RBY90"/>
      <c r="RBZ90"/>
      <c r="RCA90"/>
      <c r="RCB90"/>
      <c r="RCC90"/>
      <c r="RCD90"/>
      <c r="RCE90"/>
      <c r="RCF90"/>
      <c r="RCG90"/>
      <c r="RCH90"/>
      <c r="RCI90"/>
      <c r="RCJ90"/>
      <c r="RCK90"/>
      <c r="RCL90"/>
      <c r="RCM90"/>
      <c r="RCN90"/>
      <c r="RCO90"/>
      <c r="RCP90"/>
      <c r="RCQ90"/>
      <c r="RCR90"/>
      <c r="RCS90"/>
      <c r="RCT90"/>
      <c r="RCU90"/>
      <c r="RCV90"/>
      <c r="RCW90"/>
      <c r="RCX90"/>
      <c r="RCY90"/>
      <c r="RCZ90"/>
      <c r="RDA90"/>
      <c r="RDB90"/>
      <c r="RDC90"/>
      <c r="RDD90"/>
      <c r="RDE90"/>
      <c r="RDF90"/>
      <c r="RDG90"/>
      <c r="RDH90"/>
      <c r="RDI90"/>
      <c r="RDJ90"/>
      <c r="RDK90"/>
      <c r="RDL90"/>
      <c r="RDM90"/>
      <c r="RDN90"/>
      <c r="RDO90"/>
      <c r="RDP90"/>
      <c r="RDQ90"/>
      <c r="RDR90"/>
      <c r="RDS90"/>
      <c r="RDT90"/>
      <c r="RDU90"/>
      <c r="RDV90"/>
      <c r="RDW90"/>
      <c r="RDX90"/>
      <c r="RDY90"/>
      <c r="RDZ90"/>
      <c r="REA90"/>
      <c r="REB90"/>
      <c r="REC90"/>
      <c r="RED90"/>
      <c r="REE90"/>
      <c r="REF90"/>
      <c r="REG90"/>
      <c r="REH90"/>
      <c r="REI90"/>
      <c r="REJ90"/>
      <c r="REK90"/>
      <c r="REL90"/>
      <c r="REM90"/>
      <c r="REN90"/>
      <c r="REO90"/>
      <c r="REP90"/>
      <c r="REQ90"/>
      <c r="RER90"/>
      <c r="RES90"/>
      <c r="RET90"/>
      <c r="REU90"/>
      <c r="REV90"/>
      <c r="REW90"/>
      <c r="REX90"/>
      <c r="REY90"/>
      <c r="REZ90"/>
      <c r="RFA90"/>
      <c r="RFB90"/>
      <c r="RFC90"/>
      <c r="RFD90"/>
      <c r="RFE90"/>
      <c r="RFF90"/>
      <c r="RFG90"/>
      <c r="RFH90"/>
      <c r="RFI90"/>
      <c r="RFJ90"/>
      <c r="RFK90"/>
      <c r="RFL90"/>
      <c r="RFM90"/>
      <c r="RFN90"/>
      <c r="RFO90"/>
      <c r="RFP90"/>
      <c r="RFQ90"/>
      <c r="RFR90"/>
      <c r="RFS90"/>
      <c r="RFT90"/>
      <c r="RFU90"/>
      <c r="RFV90"/>
      <c r="RFW90"/>
      <c r="RFX90"/>
      <c r="RFY90"/>
      <c r="RFZ90"/>
      <c r="RGA90"/>
      <c r="RGB90"/>
      <c r="RGC90"/>
      <c r="RGD90"/>
      <c r="RGE90"/>
      <c r="RGF90"/>
      <c r="RGG90"/>
      <c r="RGH90"/>
      <c r="RGI90"/>
      <c r="RGJ90"/>
      <c r="RGK90"/>
      <c r="RGL90"/>
      <c r="RGM90"/>
      <c r="RGN90"/>
      <c r="RGO90"/>
      <c r="RGP90"/>
      <c r="RGQ90"/>
      <c r="RGR90"/>
      <c r="RGS90"/>
      <c r="RGT90"/>
      <c r="RGU90"/>
      <c r="RGV90"/>
      <c r="RGW90"/>
      <c r="RGX90"/>
      <c r="RGY90"/>
      <c r="RGZ90"/>
      <c r="RHA90"/>
      <c r="RHB90"/>
      <c r="RHC90"/>
      <c r="RHD90"/>
      <c r="RHE90"/>
      <c r="RHF90"/>
      <c r="RHG90"/>
      <c r="RHH90"/>
      <c r="RHI90"/>
      <c r="RHJ90"/>
      <c r="RHK90"/>
      <c r="RHL90"/>
      <c r="RHM90"/>
      <c r="RHN90"/>
      <c r="RHO90"/>
      <c r="RHP90"/>
      <c r="RHQ90"/>
      <c r="RHR90"/>
      <c r="RHS90"/>
      <c r="RHT90"/>
      <c r="RHU90"/>
      <c r="RHV90"/>
      <c r="RHW90"/>
      <c r="RHX90"/>
      <c r="RHY90"/>
      <c r="RHZ90"/>
      <c r="RIA90"/>
      <c r="RIB90"/>
      <c r="RIC90"/>
      <c r="RID90"/>
      <c r="RIE90"/>
      <c r="RIF90"/>
      <c r="RIG90"/>
      <c r="RIH90"/>
      <c r="RII90"/>
      <c r="RIJ90"/>
      <c r="RIK90"/>
      <c r="RIL90"/>
      <c r="RIM90"/>
      <c r="RIN90"/>
      <c r="RIO90"/>
      <c r="RIP90"/>
      <c r="RIQ90"/>
      <c r="RIR90"/>
      <c r="RIS90"/>
      <c r="RIT90"/>
      <c r="RIU90"/>
      <c r="RIV90"/>
      <c r="RIW90"/>
      <c r="RIX90"/>
      <c r="RIY90"/>
      <c r="RIZ90"/>
      <c r="RJA90"/>
      <c r="RJB90"/>
      <c r="RJC90"/>
      <c r="RJD90"/>
      <c r="RJE90"/>
      <c r="RJF90"/>
      <c r="RJG90"/>
      <c r="RJH90"/>
      <c r="RJI90"/>
      <c r="RJJ90"/>
      <c r="RJK90"/>
      <c r="RJL90"/>
      <c r="RJM90"/>
      <c r="RJN90"/>
      <c r="RJO90"/>
      <c r="RJP90"/>
      <c r="RJQ90"/>
      <c r="RJR90"/>
      <c r="RJS90"/>
      <c r="RJT90"/>
      <c r="RJU90"/>
      <c r="RJV90"/>
      <c r="RJW90"/>
      <c r="RJX90"/>
      <c r="RJY90"/>
      <c r="RJZ90"/>
      <c r="RKA90"/>
      <c r="RKB90"/>
      <c r="RKC90"/>
      <c r="RKD90"/>
      <c r="RKE90"/>
      <c r="RKF90"/>
      <c r="RKG90"/>
      <c r="RKH90"/>
      <c r="RKI90"/>
      <c r="RKJ90"/>
      <c r="RKK90"/>
      <c r="RKL90"/>
      <c r="RKM90"/>
      <c r="RKN90"/>
      <c r="RKO90"/>
      <c r="RKP90"/>
      <c r="RKQ90"/>
      <c r="RKR90"/>
      <c r="RKS90"/>
      <c r="RKT90"/>
      <c r="RKU90"/>
      <c r="RKV90"/>
      <c r="RKW90"/>
      <c r="RKX90"/>
      <c r="RKY90"/>
      <c r="RKZ90"/>
      <c r="RLA90"/>
      <c r="RLB90"/>
      <c r="RLC90"/>
      <c r="RLD90"/>
      <c r="RLE90"/>
      <c r="RLF90"/>
      <c r="RLG90"/>
      <c r="RLH90"/>
      <c r="RLI90"/>
      <c r="RLJ90"/>
      <c r="RLK90"/>
      <c r="RLL90"/>
      <c r="RLM90"/>
      <c r="RLN90"/>
      <c r="RLO90"/>
      <c r="RLP90"/>
      <c r="RLQ90"/>
      <c r="RLR90"/>
      <c r="RLS90"/>
      <c r="RLT90"/>
      <c r="RLU90"/>
      <c r="RLV90"/>
      <c r="RLW90"/>
      <c r="RLX90"/>
      <c r="RLY90"/>
      <c r="RLZ90"/>
      <c r="RMA90"/>
      <c r="RMB90"/>
      <c r="RMC90"/>
      <c r="RMD90"/>
      <c r="RME90"/>
      <c r="RMF90"/>
      <c r="RMG90"/>
      <c r="RMH90"/>
      <c r="RMI90"/>
      <c r="RMJ90"/>
      <c r="RMK90"/>
      <c r="RML90"/>
      <c r="RMM90"/>
      <c r="RMN90"/>
      <c r="RMO90"/>
      <c r="RMP90"/>
      <c r="RMQ90"/>
      <c r="RMR90"/>
      <c r="RMS90"/>
      <c r="RMT90"/>
      <c r="RMU90"/>
      <c r="RMV90"/>
      <c r="RMW90"/>
      <c r="RMX90"/>
      <c r="RMY90"/>
      <c r="RMZ90"/>
      <c r="RNA90"/>
      <c r="RNB90"/>
      <c r="RNC90"/>
      <c r="RND90"/>
      <c r="RNE90"/>
      <c r="RNF90"/>
      <c r="RNG90"/>
      <c r="RNH90"/>
      <c r="RNI90"/>
      <c r="RNJ90"/>
      <c r="RNK90"/>
      <c r="RNL90"/>
      <c r="RNM90"/>
      <c r="RNN90"/>
      <c r="RNO90"/>
      <c r="RNP90"/>
      <c r="RNQ90"/>
      <c r="RNR90"/>
      <c r="RNS90"/>
      <c r="RNT90"/>
      <c r="RNU90"/>
      <c r="RNV90"/>
      <c r="RNW90"/>
      <c r="RNX90"/>
      <c r="RNY90"/>
      <c r="RNZ90"/>
      <c r="ROA90"/>
      <c r="ROB90"/>
      <c r="ROC90"/>
      <c r="ROD90"/>
      <c r="ROE90"/>
      <c r="ROF90"/>
      <c r="ROG90"/>
      <c r="ROH90"/>
      <c r="ROI90"/>
      <c r="ROJ90"/>
      <c r="ROK90"/>
      <c r="ROL90"/>
      <c r="ROM90"/>
      <c r="RON90"/>
      <c r="ROO90"/>
      <c r="ROP90"/>
      <c r="ROQ90"/>
      <c r="ROR90"/>
      <c r="ROS90"/>
      <c r="ROT90"/>
      <c r="ROU90"/>
      <c r="ROV90"/>
      <c r="ROW90"/>
      <c r="ROX90"/>
      <c r="ROY90"/>
      <c r="ROZ90"/>
      <c r="RPA90"/>
      <c r="RPB90"/>
      <c r="RPC90"/>
      <c r="RPD90"/>
      <c r="RPE90"/>
      <c r="RPF90"/>
      <c r="RPG90"/>
      <c r="RPH90"/>
      <c r="RPI90"/>
      <c r="RPJ90"/>
      <c r="RPK90"/>
      <c r="RPL90"/>
      <c r="RPM90"/>
      <c r="RPN90"/>
      <c r="RPO90"/>
      <c r="RPP90"/>
      <c r="RPQ90"/>
      <c r="RPR90"/>
      <c r="RPS90"/>
      <c r="RPT90"/>
      <c r="RPU90"/>
      <c r="RPV90"/>
      <c r="RPW90"/>
      <c r="RPX90"/>
      <c r="RPY90"/>
      <c r="RPZ90"/>
      <c r="RQA90"/>
      <c r="RQB90"/>
      <c r="RQC90"/>
      <c r="RQD90"/>
      <c r="RQE90"/>
      <c r="RQF90"/>
      <c r="RQG90"/>
      <c r="RQH90"/>
      <c r="RQI90"/>
      <c r="RQJ90"/>
      <c r="RQK90"/>
      <c r="RQL90"/>
      <c r="RQM90"/>
      <c r="RQN90"/>
      <c r="RQO90"/>
      <c r="RQP90"/>
      <c r="RQQ90"/>
      <c r="RQR90"/>
      <c r="RQS90"/>
      <c r="RQT90"/>
      <c r="RQU90"/>
      <c r="RQV90"/>
      <c r="RQW90"/>
      <c r="RQX90"/>
      <c r="RQY90"/>
      <c r="RQZ90"/>
      <c r="RRA90"/>
      <c r="RRB90"/>
      <c r="RRC90"/>
      <c r="RRD90"/>
      <c r="RRE90"/>
      <c r="RRF90"/>
      <c r="RRG90"/>
      <c r="RRH90"/>
      <c r="RRI90"/>
      <c r="RRJ90"/>
      <c r="RRK90"/>
      <c r="RRL90"/>
      <c r="RRM90"/>
      <c r="RRN90"/>
      <c r="RRO90"/>
      <c r="RRP90"/>
      <c r="RRQ90"/>
      <c r="RRR90"/>
      <c r="RRS90"/>
      <c r="RRT90"/>
      <c r="RRU90"/>
      <c r="RRV90"/>
      <c r="RRW90"/>
      <c r="RRX90"/>
      <c r="RRY90"/>
      <c r="RRZ90"/>
      <c r="RSA90"/>
      <c r="RSB90"/>
      <c r="RSC90"/>
      <c r="RSD90"/>
      <c r="RSE90"/>
      <c r="RSF90"/>
      <c r="RSG90"/>
      <c r="RSH90"/>
      <c r="RSI90"/>
      <c r="RSJ90"/>
      <c r="RSK90"/>
      <c r="RSL90"/>
      <c r="RSM90"/>
      <c r="RSN90"/>
      <c r="RSO90"/>
      <c r="RSP90"/>
      <c r="RSQ90"/>
      <c r="RSR90"/>
      <c r="RSS90"/>
      <c r="RST90"/>
      <c r="RSU90"/>
      <c r="RSV90"/>
      <c r="RSW90"/>
      <c r="RSX90"/>
      <c r="RSY90"/>
      <c r="RSZ90"/>
      <c r="RTA90"/>
      <c r="RTB90"/>
      <c r="RTC90"/>
      <c r="RTD90"/>
      <c r="RTE90"/>
      <c r="RTF90"/>
      <c r="RTG90"/>
      <c r="RTH90"/>
      <c r="RTI90"/>
      <c r="RTJ90"/>
      <c r="RTK90"/>
      <c r="RTL90"/>
      <c r="RTM90"/>
      <c r="RTN90"/>
      <c r="RTO90"/>
      <c r="RTP90"/>
      <c r="RTQ90"/>
      <c r="RTR90"/>
      <c r="RTS90"/>
      <c r="RTT90"/>
      <c r="RTU90"/>
      <c r="RTV90"/>
      <c r="RTW90"/>
      <c r="RTX90"/>
      <c r="RTY90"/>
      <c r="RTZ90"/>
      <c r="RUA90"/>
      <c r="RUB90"/>
      <c r="RUC90"/>
      <c r="RUD90"/>
      <c r="RUE90"/>
      <c r="RUF90"/>
      <c r="RUG90"/>
      <c r="RUH90"/>
      <c r="RUI90"/>
      <c r="RUJ90"/>
      <c r="RUK90"/>
      <c r="RUL90"/>
      <c r="RUM90"/>
      <c r="RUN90"/>
      <c r="RUO90"/>
      <c r="RUP90"/>
      <c r="RUQ90"/>
      <c r="RUR90"/>
      <c r="RUS90"/>
      <c r="RUT90"/>
      <c r="RUU90"/>
      <c r="RUV90"/>
      <c r="RUW90"/>
      <c r="RUX90"/>
      <c r="RUY90"/>
      <c r="RUZ90"/>
      <c r="RVA90"/>
      <c r="RVB90"/>
      <c r="RVC90"/>
      <c r="RVD90"/>
      <c r="RVE90"/>
      <c r="RVF90"/>
      <c r="RVG90"/>
      <c r="RVH90"/>
      <c r="RVI90"/>
      <c r="RVJ90"/>
      <c r="RVK90"/>
      <c r="RVL90"/>
      <c r="RVM90"/>
      <c r="RVN90"/>
      <c r="RVO90"/>
      <c r="RVP90"/>
      <c r="RVQ90"/>
      <c r="RVR90"/>
      <c r="RVS90"/>
      <c r="RVT90"/>
      <c r="RVU90"/>
      <c r="RVV90"/>
      <c r="RVW90"/>
      <c r="RVX90"/>
      <c r="RVY90"/>
      <c r="RVZ90"/>
      <c r="RWA90"/>
      <c r="RWB90"/>
      <c r="RWC90"/>
      <c r="RWD90"/>
      <c r="RWE90"/>
      <c r="RWF90"/>
      <c r="RWG90"/>
      <c r="RWH90"/>
      <c r="RWI90"/>
      <c r="RWJ90"/>
      <c r="RWK90"/>
      <c r="RWL90"/>
      <c r="RWM90"/>
      <c r="RWN90"/>
      <c r="RWO90"/>
      <c r="RWP90"/>
      <c r="RWQ90"/>
      <c r="RWR90"/>
      <c r="RWS90"/>
      <c r="RWT90"/>
      <c r="RWU90"/>
      <c r="RWV90"/>
      <c r="RWW90"/>
      <c r="RWX90"/>
      <c r="RWY90"/>
      <c r="RWZ90"/>
      <c r="RXA90"/>
      <c r="RXB90"/>
      <c r="RXC90"/>
      <c r="RXD90"/>
      <c r="RXE90"/>
      <c r="RXF90"/>
      <c r="RXG90"/>
      <c r="RXH90"/>
      <c r="RXI90"/>
      <c r="RXJ90"/>
      <c r="RXK90"/>
      <c r="RXL90"/>
      <c r="RXM90"/>
      <c r="RXN90"/>
      <c r="RXO90"/>
      <c r="RXP90"/>
      <c r="RXQ90"/>
      <c r="RXR90"/>
      <c r="RXS90"/>
      <c r="RXT90"/>
      <c r="RXU90"/>
      <c r="RXV90"/>
      <c r="RXW90"/>
      <c r="RXX90"/>
      <c r="RXY90"/>
      <c r="RXZ90"/>
      <c r="RYA90"/>
      <c r="RYB90"/>
      <c r="RYC90"/>
      <c r="RYD90"/>
      <c r="RYE90"/>
      <c r="RYF90"/>
      <c r="RYG90"/>
      <c r="RYH90"/>
      <c r="RYI90"/>
      <c r="RYJ90"/>
      <c r="RYK90"/>
      <c r="RYL90"/>
      <c r="RYM90"/>
      <c r="RYN90"/>
      <c r="RYO90"/>
      <c r="RYP90"/>
      <c r="RYQ90"/>
      <c r="RYR90"/>
      <c r="RYS90"/>
      <c r="RYT90"/>
      <c r="RYU90"/>
      <c r="RYV90"/>
      <c r="RYW90"/>
      <c r="RYX90"/>
      <c r="RYY90"/>
      <c r="RYZ90"/>
      <c r="RZA90"/>
      <c r="RZB90"/>
      <c r="RZC90"/>
      <c r="RZD90"/>
      <c r="RZE90"/>
      <c r="RZF90"/>
      <c r="RZG90"/>
      <c r="RZH90"/>
      <c r="RZI90"/>
      <c r="RZJ90"/>
      <c r="RZK90"/>
      <c r="RZL90"/>
      <c r="RZM90"/>
      <c r="RZN90"/>
      <c r="RZO90"/>
      <c r="RZP90"/>
      <c r="RZQ90"/>
      <c r="RZR90"/>
      <c r="RZS90"/>
      <c r="RZT90"/>
      <c r="RZU90"/>
      <c r="RZV90"/>
      <c r="RZW90"/>
      <c r="RZX90"/>
      <c r="RZY90"/>
      <c r="RZZ90"/>
      <c r="SAA90"/>
      <c r="SAB90"/>
      <c r="SAC90"/>
      <c r="SAD90"/>
      <c r="SAE90"/>
      <c r="SAF90"/>
      <c r="SAG90"/>
      <c r="SAH90"/>
      <c r="SAI90"/>
      <c r="SAJ90"/>
      <c r="SAK90"/>
      <c r="SAL90"/>
      <c r="SAM90"/>
      <c r="SAN90"/>
      <c r="SAO90"/>
      <c r="SAP90"/>
      <c r="SAQ90"/>
      <c r="SAR90"/>
      <c r="SAS90"/>
      <c r="SAT90"/>
      <c r="SAU90"/>
      <c r="SAV90"/>
      <c r="SAW90"/>
      <c r="SAX90"/>
      <c r="SAY90"/>
      <c r="SAZ90"/>
      <c r="SBA90"/>
      <c r="SBB90"/>
      <c r="SBC90"/>
      <c r="SBD90"/>
      <c r="SBE90"/>
      <c r="SBF90"/>
      <c r="SBG90"/>
      <c r="SBH90"/>
      <c r="SBI90"/>
      <c r="SBJ90"/>
      <c r="SBK90"/>
      <c r="SBL90"/>
      <c r="SBM90"/>
      <c r="SBN90"/>
      <c r="SBO90"/>
      <c r="SBP90"/>
      <c r="SBQ90"/>
      <c r="SBR90"/>
      <c r="SBS90"/>
      <c r="SBT90"/>
      <c r="SBU90"/>
      <c r="SBV90"/>
      <c r="SBW90"/>
      <c r="SBX90"/>
      <c r="SBY90"/>
      <c r="SBZ90"/>
      <c r="SCA90"/>
      <c r="SCB90"/>
      <c r="SCC90"/>
      <c r="SCD90"/>
      <c r="SCE90"/>
      <c r="SCF90"/>
      <c r="SCG90"/>
      <c r="SCH90"/>
      <c r="SCI90"/>
      <c r="SCJ90"/>
      <c r="SCK90"/>
      <c r="SCL90"/>
      <c r="SCM90"/>
      <c r="SCN90"/>
      <c r="SCO90"/>
      <c r="SCP90"/>
      <c r="SCQ90"/>
      <c r="SCR90"/>
      <c r="SCS90"/>
      <c r="SCT90"/>
      <c r="SCU90"/>
      <c r="SCV90"/>
      <c r="SCW90"/>
      <c r="SCX90"/>
      <c r="SCY90"/>
      <c r="SCZ90"/>
      <c r="SDA90"/>
      <c r="SDB90"/>
      <c r="SDC90"/>
      <c r="SDD90"/>
      <c r="SDE90"/>
      <c r="SDF90"/>
      <c r="SDG90"/>
      <c r="SDH90"/>
      <c r="SDI90"/>
      <c r="SDJ90"/>
      <c r="SDK90"/>
      <c r="SDL90"/>
      <c r="SDM90"/>
      <c r="SDN90"/>
      <c r="SDO90"/>
      <c r="SDP90"/>
      <c r="SDQ90"/>
      <c r="SDR90"/>
      <c r="SDS90"/>
      <c r="SDT90"/>
      <c r="SDU90"/>
      <c r="SDV90"/>
      <c r="SDW90"/>
      <c r="SDX90"/>
      <c r="SDY90"/>
      <c r="SDZ90"/>
      <c r="SEA90"/>
      <c r="SEB90"/>
      <c r="SEC90"/>
      <c r="SED90"/>
      <c r="SEE90"/>
      <c r="SEF90"/>
      <c r="SEG90"/>
      <c r="SEH90"/>
      <c r="SEI90"/>
      <c r="SEJ90"/>
      <c r="SEK90"/>
      <c r="SEL90"/>
      <c r="SEM90"/>
      <c r="SEN90"/>
      <c r="SEO90"/>
      <c r="SEP90"/>
      <c r="SEQ90"/>
      <c r="SER90"/>
      <c r="SES90"/>
      <c r="SET90"/>
      <c r="SEU90"/>
      <c r="SEV90"/>
      <c r="SEW90"/>
      <c r="SEX90"/>
      <c r="SEY90"/>
      <c r="SEZ90"/>
      <c r="SFA90"/>
      <c r="SFB90"/>
      <c r="SFC90"/>
      <c r="SFD90"/>
      <c r="SFE90"/>
      <c r="SFF90"/>
      <c r="SFG90"/>
      <c r="SFH90"/>
      <c r="SFI90"/>
      <c r="SFJ90"/>
      <c r="SFK90"/>
      <c r="SFL90"/>
      <c r="SFM90"/>
      <c r="SFN90"/>
      <c r="SFO90"/>
      <c r="SFP90"/>
      <c r="SFQ90"/>
      <c r="SFR90"/>
      <c r="SFS90"/>
      <c r="SFT90"/>
      <c r="SFU90"/>
      <c r="SFV90"/>
      <c r="SFW90"/>
      <c r="SFX90"/>
      <c r="SFY90"/>
      <c r="SFZ90"/>
      <c r="SGA90"/>
      <c r="SGB90"/>
      <c r="SGC90"/>
      <c r="SGD90"/>
      <c r="SGE90"/>
      <c r="SGF90"/>
      <c r="SGG90"/>
      <c r="SGH90"/>
      <c r="SGI90"/>
      <c r="SGJ90"/>
      <c r="SGK90"/>
      <c r="SGL90"/>
      <c r="SGM90"/>
      <c r="SGN90"/>
      <c r="SGO90"/>
      <c r="SGP90"/>
      <c r="SGQ90"/>
      <c r="SGR90"/>
      <c r="SGS90"/>
      <c r="SGT90"/>
      <c r="SGU90"/>
      <c r="SGV90"/>
      <c r="SGW90"/>
      <c r="SGX90"/>
      <c r="SGY90"/>
      <c r="SGZ90"/>
      <c r="SHA90"/>
      <c r="SHB90"/>
      <c r="SHC90"/>
      <c r="SHD90"/>
      <c r="SHE90"/>
      <c r="SHF90"/>
      <c r="SHG90"/>
      <c r="SHH90"/>
      <c r="SHI90"/>
      <c r="SHJ90"/>
      <c r="SHK90"/>
      <c r="SHL90"/>
      <c r="SHM90"/>
      <c r="SHN90"/>
      <c r="SHO90"/>
      <c r="SHP90"/>
      <c r="SHQ90"/>
      <c r="SHR90"/>
      <c r="SHS90"/>
      <c r="SHT90"/>
      <c r="SHU90"/>
      <c r="SHV90"/>
      <c r="SHW90"/>
      <c r="SHX90"/>
      <c r="SHY90"/>
      <c r="SHZ90"/>
      <c r="SIA90"/>
      <c r="SIB90"/>
      <c r="SIC90"/>
      <c r="SID90"/>
      <c r="SIE90"/>
      <c r="SIF90"/>
      <c r="SIG90"/>
      <c r="SIH90"/>
      <c r="SII90"/>
      <c r="SIJ90"/>
      <c r="SIK90"/>
      <c r="SIL90"/>
      <c r="SIM90"/>
      <c r="SIN90"/>
      <c r="SIO90"/>
      <c r="SIP90"/>
      <c r="SIQ90"/>
      <c r="SIR90"/>
      <c r="SIS90"/>
      <c r="SIT90"/>
      <c r="SIU90"/>
      <c r="SIV90"/>
      <c r="SIW90"/>
      <c r="SIX90"/>
      <c r="SIY90"/>
      <c r="SIZ90"/>
      <c r="SJA90"/>
      <c r="SJB90"/>
      <c r="SJC90"/>
      <c r="SJD90"/>
      <c r="SJE90"/>
      <c r="SJF90"/>
      <c r="SJG90"/>
      <c r="SJH90"/>
      <c r="SJI90"/>
      <c r="SJJ90"/>
      <c r="SJK90"/>
      <c r="SJL90"/>
      <c r="SJM90"/>
      <c r="SJN90"/>
      <c r="SJO90"/>
      <c r="SJP90"/>
      <c r="SJQ90"/>
      <c r="SJR90"/>
      <c r="SJS90"/>
      <c r="SJT90"/>
      <c r="SJU90"/>
      <c r="SJV90"/>
      <c r="SJW90"/>
      <c r="SJX90"/>
      <c r="SJY90"/>
      <c r="SJZ90"/>
      <c r="SKA90"/>
      <c r="SKB90"/>
      <c r="SKC90"/>
      <c r="SKD90"/>
      <c r="SKE90"/>
      <c r="SKF90"/>
      <c r="SKG90"/>
      <c r="SKH90"/>
      <c r="SKI90"/>
      <c r="SKJ90"/>
      <c r="SKK90"/>
      <c r="SKL90"/>
      <c r="SKM90"/>
      <c r="SKN90"/>
      <c r="SKO90"/>
      <c r="SKP90"/>
      <c r="SKQ90"/>
      <c r="SKR90"/>
      <c r="SKS90"/>
      <c r="SKT90"/>
      <c r="SKU90"/>
      <c r="SKV90"/>
      <c r="SKW90"/>
      <c r="SKX90"/>
      <c r="SKY90"/>
      <c r="SKZ90"/>
      <c r="SLA90"/>
      <c r="SLB90"/>
      <c r="SLC90"/>
      <c r="SLD90"/>
      <c r="SLE90"/>
      <c r="SLF90"/>
      <c r="SLG90"/>
      <c r="SLH90"/>
      <c r="SLI90"/>
      <c r="SLJ90"/>
      <c r="SLK90"/>
      <c r="SLL90"/>
      <c r="SLM90"/>
      <c r="SLN90"/>
      <c r="SLO90"/>
      <c r="SLP90"/>
      <c r="SLQ90"/>
      <c r="SLR90"/>
      <c r="SLS90"/>
      <c r="SLT90"/>
      <c r="SLU90"/>
      <c r="SLV90"/>
      <c r="SLW90"/>
      <c r="SLX90"/>
      <c r="SLY90"/>
      <c r="SLZ90"/>
      <c r="SMA90"/>
      <c r="SMB90"/>
      <c r="SMC90"/>
      <c r="SMD90"/>
      <c r="SME90"/>
      <c r="SMF90"/>
      <c r="SMG90"/>
      <c r="SMH90"/>
      <c r="SMI90"/>
      <c r="SMJ90"/>
      <c r="SMK90"/>
      <c r="SML90"/>
      <c r="SMM90"/>
      <c r="SMN90"/>
      <c r="SMO90"/>
      <c r="SMP90"/>
      <c r="SMQ90"/>
      <c r="SMR90"/>
      <c r="SMS90"/>
      <c r="SMT90"/>
      <c r="SMU90"/>
      <c r="SMV90"/>
      <c r="SMW90"/>
      <c r="SMX90"/>
      <c r="SMY90"/>
      <c r="SMZ90"/>
      <c r="SNA90"/>
      <c r="SNB90"/>
      <c r="SNC90"/>
      <c r="SND90"/>
      <c r="SNE90"/>
      <c r="SNF90"/>
      <c r="SNG90"/>
      <c r="SNH90"/>
      <c r="SNI90"/>
      <c r="SNJ90"/>
      <c r="SNK90"/>
      <c r="SNL90"/>
      <c r="SNM90"/>
      <c r="SNN90"/>
      <c r="SNO90"/>
      <c r="SNP90"/>
      <c r="SNQ90"/>
      <c r="SNR90"/>
      <c r="SNS90"/>
      <c r="SNT90"/>
      <c r="SNU90"/>
      <c r="SNV90"/>
      <c r="SNW90"/>
      <c r="SNX90"/>
      <c r="SNY90"/>
      <c r="SNZ90"/>
      <c r="SOA90"/>
      <c r="SOB90"/>
      <c r="SOC90"/>
      <c r="SOD90"/>
      <c r="SOE90"/>
      <c r="SOF90"/>
      <c r="SOG90"/>
      <c r="SOH90"/>
      <c r="SOI90"/>
      <c r="SOJ90"/>
      <c r="SOK90"/>
      <c r="SOL90"/>
      <c r="SOM90"/>
      <c r="SON90"/>
      <c r="SOO90"/>
      <c r="SOP90"/>
      <c r="SOQ90"/>
      <c r="SOR90"/>
      <c r="SOS90"/>
      <c r="SOT90"/>
      <c r="SOU90"/>
      <c r="SOV90"/>
      <c r="SOW90"/>
      <c r="SOX90"/>
      <c r="SOY90"/>
      <c r="SOZ90"/>
      <c r="SPA90"/>
      <c r="SPB90"/>
      <c r="SPC90"/>
      <c r="SPD90"/>
      <c r="SPE90"/>
      <c r="SPF90"/>
      <c r="SPG90"/>
      <c r="SPH90"/>
      <c r="SPI90"/>
      <c r="SPJ90"/>
      <c r="SPK90"/>
      <c r="SPL90"/>
      <c r="SPM90"/>
      <c r="SPN90"/>
      <c r="SPO90"/>
      <c r="SPP90"/>
      <c r="SPQ90"/>
      <c r="SPR90"/>
      <c r="SPS90"/>
      <c r="SPT90"/>
      <c r="SPU90"/>
      <c r="SPV90"/>
      <c r="SPW90"/>
      <c r="SPX90"/>
      <c r="SPY90"/>
      <c r="SPZ90"/>
      <c r="SQA90"/>
      <c r="SQB90"/>
      <c r="SQC90"/>
      <c r="SQD90"/>
      <c r="SQE90"/>
      <c r="SQF90"/>
      <c r="SQG90"/>
      <c r="SQH90"/>
      <c r="SQI90"/>
      <c r="SQJ90"/>
      <c r="SQK90"/>
      <c r="SQL90"/>
      <c r="SQM90"/>
      <c r="SQN90"/>
      <c r="SQO90"/>
      <c r="SQP90"/>
      <c r="SQQ90"/>
      <c r="SQR90"/>
      <c r="SQS90"/>
      <c r="SQT90"/>
      <c r="SQU90"/>
      <c r="SQV90"/>
      <c r="SQW90"/>
      <c r="SQX90"/>
      <c r="SQY90"/>
      <c r="SQZ90"/>
      <c r="SRA90"/>
      <c r="SRB90"/>
      <c r="SRC90"/>
      <c r="SRD90"/>
      <c r="SRE90"/>
      <c r="SRF90"/>
      <c r="SRG90"/>
      <c r="SRH90"/>
      <c r="SRI90"/>
      <c r="SRJ90"/>
      <c r="SRK90"/>
      <c r="SRL90"/>
      <c r="SRM90"/>
      <c r="SRN90"/>
      <c r="SRO90"/>
      <c r="SRP90"/>
      <c r="SRQ90"/>
      <c r="SRR90"/>
      <c r="SRS90"/>
      <c r="SRT90"/>
      <c r="SRU90"/>
      <c r="SRV90"/>
      <c r="SRW90"/>
      <c r="SRX90"/>
      <c r="SRY90"/>
      <c r="SRZ90"/>
      <c r="SSA90"/>
      <c r="SSB90"/>
      <c r="SSC90"/>
      <c r="SSD90"/>
      <c r="SSE90"/>
      <c r="SSF90"/>
      <c r="SSG90"/>
      <c r="SSH90"/>
      <c r="SSI90"/>
      <c r="SSJ90"/>
      <c r="SSK90"/>
      <c r="SSL90"/>
      <c r="SSM90"/>
      <c r="SSN90"/>
      <c r="SSO90"/>
      <c r="SSP90"/>
      <c r="SSQ90"/>
      <c r="SSR90"/>
      <c r="SSS90"/>
      <c r="SST90"/>
      <c r="SSU90"/>
      <c r="SSV90"/>
      <c r="SSW90"/>
      <c r="SSX90"/>
      <c r="SSY90"/>
      <c r="SSZ90"/>
      <c r="STA90"/>
      <c r="STB90"/>
      <c r="STC90"/>
      <c r="STD90"/>
      <c r="STE90"/>
      <c r="STF90"/>
      <c r="STG90"/>
      <c r="STH90"/>
      <c r="STI90"/>
      <c r="STJ90"/>
      <c r="STK90"/>
      <c r="STL90"/>
      <c r="STM90"/>
      <c r="STN90"/>
      <c r="STO90"/>
      <c r="STP90"/>
      <c r="STQ90"/>
      <c r="STR90"/>
      <c r="STS90"/>
      <c r="STT90"/>
      <c r="STU90"/>
      <c r="STV90"/>
      <c r="STW90"/>
      <c r="STX90"/>
      <c r="STY90"/>
      <c r="STZ90"/>
      <c r="SUA90"/>
      <c r="SUB90"/>
      <c r="SUC90"/>
      <c r="SUD90"/>
      <c r="SUE90"/>
      <c r="SUF90"/>
      <c r="SUG90"/>
      <c r="SUH90"/>
      <c r="SUI90"/>
      <c r="SUJ90"/>
      <c r="SUK90"/>
      <c r="SUL90"/>
      <c r="SUM90"/>
      <c r="SUN90"/>
      <c r="SUO90"/>
      <c r="SUP90"/>
      <c r="SUQ90"/>
      <c r="SUR90"/>
      <c r="SUS90"/>
      <c r="SUT90"/>
      <c r="SUU90"/>
      <c r="SUV90"/>
      <c r="SUW90"/>
      <c r="SUX90"/>
      <c r="SUY90"/>
      <c r="SUZ90"/>
      <c r="SVA90"/>
      <c r="SVB90"/>
      <c r="SVC90"/>
      <c r="SVD90"/>
      <c r="SVE90"/>
      <c r="SVF90"/>
      <c r="SVG90"/>
      <c r="SVH90"/>
      <c r="SVI90"/>
      <c r="SVJ90"/>
      <c r="SVK90"/>
      <c r="SVL90"/>
      <c r="SVM90"/>
      <c r="SVN90"/>
      <c r="SVO90"/>
      <c r="SVP90"/>
      <c r="SVQ90"/>
      <c r="SVR90"/>
      <c r="SVS90"/>
      <c r="SVT90"/>
      <c r="SVU90"/>
      <c r="SVV90"/>
      <c r="SVW90"/>
      <c r="SVX90"/>
      <c r="SVY90"/>
      <c r="SVZ90"/>
      <c r="SWA90"/>
      <c r="SWB90"/>
      <c r="SWC90"/>
      <c r="SWD90"/>
      <c r="SWE90"/>
      <c r="SWF90"/>
      <c r="SWG90"/>
      <c r="SWH90"/>
      <c r="SWI90"/>
      <c r="SWJ90"/>
      <c r="SWK90"/>
      <c r="SWL90"/>
      <c r="SWM90"/>
      <c r="SWN90"/>
      <c r="SWO90"/>
      <c r="SWP90"/>
      <c r="SWQ90"/>
      <c r="SWR90"/>
      <c r="SWS90"/>
      <c r="SWT90"/>
      <c r="SWU90"/>
      <c r="SWV90"/>
      <c r="SWW90"/>
      <c r="SWX90"/>
      <c r="SWY90"/>
      <c r="SWZ90"/>
      <c r="SXA90"/>
      <c r="SXB90"/>
      <c r="SXC90"/>
      <c r="SXD90"/>
      <c r="SXE90"/>
      <c r="SXF90"/>
      <c r="SXG90"/>
      <c r="SXH90"/>
      <c r="SXI90"/>
      <c r="SXJ90"/>
      <c r="SXK90"/>
      <c r="SXL90"/>
      <c r="SXM90"/>
      <c r="SXN90"/>
      <c r="SXO90"/>
      <c r="SXP90"/>
      <c r="SXQ90"/>
      <c r="SXR90"/>
      <c r="SXS90"/>
      <c r="SXT90"/>
      <c r="SXU90"/>
      <c r="SXV90"/>
      <c r="SXW90"/>
      <c r="SXX90"/>
      <c r="SXY90"/>
      <c r="SXZ90"/>
      <c r="SYA90"/>
      <c r="SYB90"/>
      <c r="SYC90"/>
      <c r="SYD90"/>
      <c r="SYE90"/>
      <c r="SYF90"/>
      <c r="SYG90"/>
      <c r="SYH90"/>
      <c r="SYI90"/>
      <c r="SYJ90"/>
      <c r="SYK90"/>
      <c r="SYL90"/>
      <c r="SYM90"/>
      <c r="SYN90"/>
      <c r="SYO90"/>
      <c r="SYP90"/>
      <c r="SYQ90"/>
      <c r="SYR90"/>
      <c r="SYS90"/>
      <c r="SYT90"/>
      <c r="SYU90"/>
      <c r="SYV90"/>
      <c r="SYW90"/>
      <c r="SYX90"/>
      <c r="SYY90"/>
      <c r="SYZ90"/>
      <c r="SZA90"/>
      <c r="SZB90"/>
      <c r="SZC90"/>
      <c r="SZD90"/>
      <c r="SZE90"/>
      <c r="SZF90"/>
      <c r="SZG90"/>
      <c r="SZH90"/>
      <c r="SZI90"/>
      <c r="SZJ90"/>
      <c r="SZK90"/>
      <c r="SZL90"/>
      <c r="SZM90"/>
      <c r="SZN90"/>
      <c r="SZO90"/>
      <c r="SZP90"/>
      <c r="SZQ90"/>
      <c r="SZR90"/>
      <c r="SZS90"/>
      <c r="SZT90"/>
      <c r="SZU90"/>
      <c r="SZV90"/>
      <c r="SZW90"/>
      <c r="SZX90"/>
      <c r="SZY90"/>
      <c r="SZZ90"/>
      <c r="TAA90"/>
      <c r="TAB90"/>
      <c r="TAC90"/>
      <c r="TAD90"/>
      <c r="TAE90"/>
      <c r="TAF90"/>
      <c r="TAG90"/>
      <c r="TAH90"/>
      <c r="TAI90"/>
      <c r="TAJ90"/>
      <c r="TAK90"/>
      <c r="TAL90"/>
      <c r="TAM90"/>
      <c r="TAN90"/>
      <c r="TAO90"/>
      <c r="TAP90"/>
      <c r="TAQ90"/>
      <c r="TAR90"/>
      <c r="TAS90"/>
      <c r="TAT90"/>
      <c r="TAU90"/>
      <c r="TAV90"/>
      <c r="TAW90"/>
      <c r="TAX90"/>
      <c r="TAY90"/>
      <c r="TAZ90"/>
      <c r="TBA90"/>
      <c r="TBB90"/>
      <c r="TBC90"/>
      <c r="TBD90"/>
      <c r="TBE90"/>
      <c r="TBF90"/>
      <c r="TBG90"/>
      <c r="TBH90"/>
      <c r="TBI90"/>
      <c r="TBJ90"/>
      <c r="TBK90"/>
      <c r="TBL90"/>
      <c r="TBM90"/>
      <c r="TBN90"/>
      <c r="TBO90"/>
      <c r="TBP90"/>
      <c r="TBQ90"/>
      <c r="TBR90"/>
      <c r="TBS90"/>
      <c r="TBT90"/>
      <c r="TBU90"/>
      <c r="TBV90"/>
      <c r="TBW90"/>
      <c r="TBX90"/>
      <c r="TBY90"/>
      <c r="TBZ90"/>
      <c r="TCA90"/>
      <c r="TCB90"/>
      <c r="TCC90"/>
      <c r="TCD90"/>
      <c r="TCE90"/>
      <c r="TCF90"/>
      <c r="TCG90"/>
      <c r="TCH90"/>
      <c r="TCI90"/>
      <c r="TCJ90"/>
      <c r="TCK90"/>
      <c r="TCL90"/>
      <c r="TCM90"/>
      <c r="TCN90"/>
      <c r="TCO90"/>
      <c r="TCP90"/>
      <c r="TCQ90"/>
      <c r="TCR90"/>
      <c r="TCS90"/>
      <c r="TCT90"/>
      <c r="TCU90"/>
      <c r="TCV90"/>
      <c r="TCW90"/>
      <c r="TCX90"/>
      <c r="TCY90"/>
      <c r="TCZ90"/>
      <c r="TDA90"/>
      <c r="TDB90"/>
      <c r="TDC90"/>
      <c r="TDD90"/>
      <c r="TDE90"/>
      <c r="TDF90"/>
      <c r="TDG90"/>
      <c r="TDH90"/>
      <c r="TDI90"/>
      <c r="TDJ90"/>
      <c r="TDK90"/>
      <c r="TDL90"/>
      <c r="TDM90"/>
      <c r="TDN90"/>
      <c r="TDO90"/>
      <c r="TDP90"/>
      <c r="TDQ90"/>
      <c r="TDR90"/>
      <c r="TDS90"/>
      <c r="TDT90"/>
      <c r="TDU90"/>
      <c r="TDV90"/>
      <c r="TDW90"/>
      <c r="TDX90"/>
      <c r="TDY90"/>
      <c r="TDZ90"/>
      <c r="TEA90"/>
      <c r="TEB90"/>
      <c r="TEC90"/>
      <c r="TED90"/>
      <c r="TEE90"/>
      <c r="TEF90"/>
      <c r="TEG90"/>
      <c r="TEH90"/>
      <c r="TEI90"/>
      <c r="TEJ90"/>
      <c r="TEK90"/>
      <c r="TEL90"/>
      <c r="TEM90"/>
      <c r="TEN90"/>
      <c r="TEO90"/>
      <c r="TEP90"/>
      <c r="TEQ90"/>
      <c r="TER90"/>
      <c r="TES90"/>
      <c r="TET90"/>
      <c r="TEU90"/>
      <c r="TEV90"/>
      <c r="TEW90"/>
      <c r="TEX90"/>
      <c r="TEY90"/>
      <c r="TEZ90"/>
      <c r="TFA90"/>
      <c r="TFB90"/>
      <c r="TFC90"/>
      <c r="TFD90"/>
      <c r="TFE90"/>
      <c r="TFF90"/>
      <c r="TFG90"/>
      <c r="TFH90"/>
      <c r="TFI90"/>
      <c r="TFJ90"/>
      <c r="TFK90"/>
      <c r="TFL90"/>
      <c r="TFM90"/>
      <c r="TFN90"/>
      <c r="TFO90"/>
      <c r="TFP90"/>
      <c r="TFQ90"/>
      <c r="TFR90"/>
      <c r="TFS90"/>
      <c r="TFT90"/>
      <c r="TFU90"/>
      <c r="TFV90"/>
      <c r="TFW90"/>
      <c r="TFX90"/>
      <c r="TFY90"/>
      <c r="TFZ90"/>
      <c r="TGA90"/>
      <c r="TGB90"/>
      <c r="TGC90"/>
      <c r="TGD90"/>
      <c r="TGE90"/>
      <c r="TGF90"/>
      <c r="TGG90"/>
      <c r="TGH90"/>
      <c r="TGI90"/>
      <c r="TGJ90"/>
      <c r="TGK90"/>
      <c r="TGL90"/>
      <c r="TGM90"/>
      <c r="TGN90"/>
      <c r="TGO90"/>
      <c r="TGP90"/>
      <c r="TGQ90"/>
      <c r="TGR90"/>
      <c r="TGS90"/>
      <c r="TGT90"/>
      <c r="TGU90"/>
      <c r="TGV90"/>
      <c r="TGW90"/>
      <c r="TGX90"/>
      <c r="TGY90"/>
      <c r="TGZ90"/>
      <c r="THA90"/>
      <c r="THB90"/>
      <c r="THC90"/>
      <c r="THD90"/>
      <c r="THE90"/>
      <c r="THF90"/>
      <c r="THG90"/>
      <c r="THH90"/>
      <c r="THI90"/>
      <c r="THJ90"/>
      <c r="THK90"/>
      <c r="THL90"/>
      <c r="THM90"/>
      <c r="THN90"/>
      <c r="THO90"/>
      <c r="THP90"/>
      <c r="THQ90"/>
      <c r="THR90"/>
      <c r="THS90"/>
      <c r="THT90"/>
      <c r="THU90"/>
      <c r="THV90"/>
      <c r="THW90"/>
      <c r="THX90"/>
      <c r="THY90"/>
      <c r="THZ90"/>
      <c r="TIA90"/>
      <c r="TIB90"/>
      <c r="TIC90"/>
      <c r="TID90"/>
      <c r="TIE90"/>
      <c r="TIF90"/>
      <c r="TIG90"/>
      <c r="TIH90"/>
      <c r="TII90"/>
      <c r="TIJ90"/>
      <c r="TIK90"/>
      <c r="TIL90"/>
      <c r="TIM90"/>
      <c r="TIN90"/>
      <c r="TIO90"/>
      <c r="TIP90"/>
      <c r="TIQ90"/>
      <c r="TIR90"/>
      <c r="TIS90"/>
      <c r="TIT90"/>
      <c r="TIU90"/>
      <c r="TIV90"/>
      <c r="TIW90"/>
      <c r="TIX90"/>
      <c r="TIY90"/>
      <c r="TIZ90"/>
      <c r="TJA90"/>
      <c r="TJB90"/>
      <c r="TJC90"/>
      <c r="TJD90"/>
      <c r="TJE90"/>
      <c r="TJF90"/>
      <c r="TJG90"/>
      <c r="TJH90"/>
      <c r="TJI90"/>
      <c r="TJJ90"/>
      <c r="TJK90"/>
      <c r="TJL90"/>
      <c r="TJM90"/>
      <c r="TJN90"/>
      <c r="TJO90"/>
      <c r="TJP90"/>
      <c r="TJQ90"/>
      <c r="TJR90"/>
      <c r="TJS90"/>
      <c r="TJT90"/>
      <c r="TJU90"/>
      <c r="TJV90"/>
      <c r="TJW90"/>
      <c r="TJX90"/>
      <c r="TJY90"/>
      <c r="TJZ90"/>
      <c r="TKA90"/>
      <c r="TKB90"/>
      <c r="TKC90"/>
      <c r="TKD90"/>
      <c r="TKE90"/>
      <c r="TKF90"/>
      <c r="TKG90"/>
      <c r="TKH90"/>
      <c r="TKI90"/>
      <c r="TKJ90"/>
      <c r="TKK90"/>
      <c r="TKL90"/>
      <c r="TKM90"/>
      <c r="TKN90"/>
      <c r="TKO90"/>
      <c r="TKP90"/>
      <c r="TKQ90"/>
      <c r="TKR90"/>
      <c r="TKS90"/>
      <c r="TKT90"/>
      <c r="TKU90"/>
      <c r="TKV90"/>
      <c r="TKW90"/>
      <c r="TKX90"/>
      <c r="TKY90"/>
      <c r="TKZ90"/>
      <c r="TLA90"/>
      <c r="TLB90"/>
      <c r="TLC90"/>
      <c r="TLD90"/>
      <c r="TLE90"/>
      <c r="TLF90"/>
      <c r="TLG90"/>
      <c r="TLH90"/>
      <c r="TLI90"/>
      <c r="TLJ90"/>
      <c r="TLK90"/>
      <c r="TLL90"/>
      <c r="TLM90"/>
      <c r="TLN90"/>
      <c r="TLO90"/>
      <c r="TLP90"/>
      <c r="TLQ90"/>
      <c r="TLR90"/>
      <c r="TLS90"/>
      <c r="TLT90"/>
      <c r="TLU90"/>
      <c r="TLV90"/>
      <c r="TLW90"/>
      <c r="TLX90"/>
      <c r="TLY90"/>
      <c r="TLZ90"/>
      <c r="TMA90"/>
      <c r="TMB90"/>
      <c r="TMC90"/>
      <c r="TMD90"/>
      <c r="TME90"/>
      <c r="TMF90"/>
      <c r="TMG90"/>
      <c r="TMH90"/>
      <c r="TMI90"/>
      <c r="TMJ90"/>
      <c r="TMK90"/>
      <c r="TML90"/>
      <c r="TMM90"/>
      <c r="TMN90"/>
      <c r="TMO90"/>
      <c r="TMP90"/>
      <c r="TMQ90"/>
      <c r="TMR90"/>
      <c r="TMS90"/>
      <c r="TMT90"/>
      <c r="TMU90"/>
      <c r="TMV90"/>
      <c r="TMW90"/>
      <c r="TMX90"/>
      <c r="TMY90"/>
      <c r="TMZ90"/>
      <c r="TNA90"/>
      <c r="TNB90"/>
      <c r="TNC90"/>
      <c r="TND90"/>
      <c r="TNE90"/>
      <c r="TNF90"/>
      <c r="TNG90"/>
      <c r="TNH90"/>
      <c r="TNI90"/>
      <c r="TNJ90"/>
      <c r="TNK90"/>
      <c r="TNL90"/>
      <c r="TNM90"/>
      <c r="TNN90"/>
      <c r="TNO90"/>
      <c r="TNP90"/>
      <c r="TNQ90"/>
      <c r="TNR90"/>
      <c r="TNS90"/>
      <c r="TNT90"/>
      <c r="TNU90"/>
      <c r="TNV90"/>
      <c r="TNW90"/>
      <c r="TNX90"/>
      <c r="TNY90"/>
      <c r="TNZ90"/>
      <c r="TOA90"/>
      <c r="TOB90"/>
      <c r="TOC90"/>
      <c r="TOD90"/>
      <c r="TOE90"/>
      <c r="TOF90"/>
      <c r="TOG90"/>
      <c r="TOH90"/>
      <c r="TOI90"/>
      <c r="TOJ90"/>
      <c r="TOK90"/>
      <c r="TOL90"/>
      <c r="TOM90"/>
      <c r="TON90"/>
      <c r="TOO90"/>
      <c r="TOP90"/>
      <c r="TOQ90"/>
      <c r="TOR90"/>
      <c r="TOS90"/>
      <c r="TOT90"/>
      <c r="TOU90"/>
      <c r="TOV90"/>
      <c r="TOW90"/>
      <c r="TOX90"/>
      <c r="TOY90"/>
      <c r="TOZ90"/>
      <c r="TPA90"/>
      <c r="TPB90"/>
      <c r="TPC90"/>
      <c r="TPD90"/>
      <c r="TPE90"/>
      <c r="TPF90"/>
      <c r="TPG90"/>
      <c r="TPH90"/>
      <c r="TPI90"/>
      <c r="TPJ90"/>
      <c r="TPK90"/>
      <c r="TPL90"/>
      <c r="TPM90"/>
      <c r="TPN90"/>
      <c r="TPO90"/>
      <c r="TPP90"/>
      <c r="TPQ90"/>
      <c r="TPR90"/>
      <c r="TPS90"/>
      <c r="TPT90"/>
      <c r="TPU90"/>
      <c r="TPV90"/>
      <c r="TPW90"/>
      <c r="TPX90"/>
      <c r="TPY90"/>
      <c r="TPZ90"/>
      <c r="TQA90"/>
      <c r="TQB90"/>
      <c r="TQC90"/>
      <c r="TQD90"/>
      <c r="TQE90"/>
      <c r="TQF90"/>
      <c r="TQG90"/>
      <c r="TQH90"/>
      <c r="TQI90"/>
      <c r="TQJ90"/>
      <c r="TQK90"/>
      <c r="TQL90"/>
      <c r="TQM90"/>
      <c r="TQN90"/>
      <c r="TQO90"/>
      <c r="TQP90"/>
      <c r="TQQ90"/>
      <c r="TQR90"/>
      <c r="TQS90"/>
      <c r="TQT90"/>
      <c r="TQU90"/>
      <c r="TQV90"/>
      <c r="TQW90"/>
      <c r="TQX90"/>
      <c r="TQY90"/>
      <c r="TQZ90"/>
      <c r="TRA90"/>
      <c r="TRB90"/>
      <c r="TRC90"/>
      <c r="TRD90"/>
      <c r="TRE90"/>
      <c r="TRF90"/>
      <c r="TRG90"/>
      <c r="TRH90"/>
      <c r="TRI90"/>
      <c r="TRJ90"/>
      <c r="TRK90"/>
      <c r="TRL90"/>
      <c r="TRM90"/>
      <c r="TRN90"/>
      <c r="TRO90"/>
      <c r="TRP90"/>
      <c r="TRQ90"/>
      <c r="TRR90"/>
      <c r="TRS90"/>
      <c r="TRT90"/>
      <c r="TRU90"/>
      <c r="TRV90"/>
      <c r="TRW90"/>
      <c r="TRX90"/>
      <c r="TRY90"/>
      <c r="TRZ90"/>
      <c r="TSA90"/>
      <c r="TSB90"/>
      <c r="TSC90"/>
      <c r="TSD90"/>
      <c r="TSE90"/>
      <c r="TSF90"/>
      <c r="TSG90"/>
      <c r="TSH90"/>
      <c r="TSI90"/>
      <c r="TSJ90"/>
      <c r="TSK90"/>
      <c r="TSL90"/>
      <c r="TSM90"/>
      <c r="TSN90"/>
      <c r="TSO90"/>
      <c r="TSP90"/>
      <c r="TSQ90"/>
      <c r="TSR90"/>
      <c r="TSS90"/>
      <c r="TST90"/>
      <c r="TSU90"/>
      <c r="TSV90"/>
      <c r="TSW90"/>
      <c r="TSX90"/>
      <c r="TSY90"/>
      <c r="TSZ90"/>
      <c r="TTA90"/>
      <c r="TTB90"/>
      <c r="TTC90"/>
      <c r="TTD90"/>
      <c r="TTE90"/>
      <c r="TTF90"/>
      <c r="TTG90"/>
      <c r="TTH90"/>
      <c r="TTI90"/>
      <c r="TTJ90"/>
      <c r="TTK90"/>
      <c r="TTL90"/>
      <c r="TTM90"/>
      <c r="TTN90"/>
      <c r="TTO90"/>
      <c r="TTP90"/>
      <c r="TTQ90"/>
      <c r="TTR90"/>
      <c r="TTS90"/>
      <c r="TTT90"/>
      <c r="TTU90"/>
      <c r="TTV90"/>
      <c r="TTW90"/>
      <c r="TTX90"/>
      <c r="TTY90"/>
      <c r="TTZ90"/>
      <c r="TUA90"/>
      <c r="TUB90"/>
      <c r="TUC90"/>
      <c r="TUD90"/>
      <c r="TUE90"/>
      <c r="TUF90"/>
      <c r="TUG90"/>
      <c r="TUH90"/>
      <c r="TUI90"/>
      <c r="TUJ90"/>
      <c r="TUK90"/>
      <c r="TUL90"/>
      <c r="TUM90"/>
      <c r="TUN90"/>
      <c r="TUO90"/>
      <c r="TUP90"/>
      <c r="TUQ90"/>
      <c r="TUR90"/>
      <c r="TUS90"/>
      <c r="TUT90"/>
      <c r="TUU90"/>
      <c r="TUV90"/>
      <c r="TUW90"/>
      <c r="TUX90"/>
      <c r="TUY90"/>
      <c r="TUZ90"/>
      <c r="TVA90"/>
      <c r="TVB90"/>
      <c r="TVC90"/>
      <c r="TVD90"/>
      <c r="TVE90"/>
      <c r="TVF90"/>
      <c r="TVG90"/>
      <c r="TVH90"/>
      <c r="TVI90"/>
      <c r="TVJ90"/>
      <c r="TVK90"/>
      <c r="TVL90"/>
      <c r="TVM90"/>
      <c r="TVN90"/>
      <c r="TVO90"/>
      <c r="TVP90"/>
      <c r="TVQ90"/>
      <c r="TVR90"/>
      <c r="TVS90"/>
      <c r="TVT90"/>
      <c r="TVU90"/>
      <c r="TVV90"/>
      <c r="TVW90"/>
      <c r="TVX90"/>
      <c r="TVY90"/>
      <c r="TVZ90"/>
      <c r="TWA90"/>
      <c r="TWB90"/>
      <c r="TWC90"/>
      <c r="TWD90"/>
      <c r="TWE90"/>
      <c r="TWF90"/>
      <c r="TWG90"/>
      <c r="TWH90"/>
      <c r="TWI90"/>
      <c r="TWJ90"/>
      <c r="TWK90"/>
      <c r="TWL90"/>
      <c r="TWM90"/>
      <c r="TWN90"/>
      <c r="TWO90"/>
      <c r="TWP90"/>
      <c r="TWQ90"/>
      <c r="TWR90"/>
      <c r="TWS90"/>
      <c r="TWT90"/>
      <c r="TWU90"/>
      <c r="TWV90"/>
      <c r="TWW90"/>
      <c r="TWX90"/>
      <c r="TWY90"/>
      <c r="TWZ90"/>
      <c r="TXA90"/>
      <c r="TXB90"/>
      <c r="TXC90"/>
      <c r="TXD90"/>
      <c r="TXE90"/>
      <c r="TXF90"/>
      <c r="TXG90"/>
      <c r="TXH90"/>
      <c r="TXI90"/>
      <c r="TXJ90"/>
      <c r="TXK90"/>
      <c r="TXL90"/>
      <c r="TXM90"/>
      <c r="TXN90"/>
      <c r="TXO90"/>
      <c r="TXP90"/>
      <c r="TXQ90"/>
      <c r="TXR90"/>
      <c r="TXS90"/>
      <c r="TXT90"/>
      <c r="TXU90"/>
      <c r="TXV90"/>
      <c r="TXW90"/>
      <c r="TXX90"/>
      <c r="TXY90"/>
      <c r="TXZ90"/>
      <c r="TYA90"/>
      <c r="TYB90"/>
      <c r="TYC90"/>
      <c r="TYD90"/>
      <c r="TYE90"/>
      <c r="TYF90"/>
      <c r="TYG90"/>
      <c r="TYH90"/>
      <c r="TYI90"/>
      <c r="TYJ90"/>
      <c r="TYK90"/>
      <c r="TYL90"/>
      <c r="TYM90"/>
      <c r="TYN90"/>
      <c r="TYO90"/>
      <c r="TYP90"/>
      <c r="TYQ90"/>
      <c r="TYR90"/>
      <c r="TYS90"/>
      <c r="TYT90"/>
      <c r="TYU90"/>
      <c r="TYV90"/>
      <c r="TYW90"/>
      <c r="TYX90"/>
      <c r="TYY90"/>
      <c r="TYZ90"/>
      <c r="TZA90"/>
      <c r="TZB90"/>
      <c r="TZC90"/>
      <c r="TZD90"/>
      <c r="TZE90"/>
      <c r="TZF90"/>
      <c r="TZG90"/>
      <c r="TZH90"/>
      <c r="TZI90"/>
      <c r="TZJ90"/>
      <c r="TZK90"/>
      <c r="TZL90"/>
      <c r="TZM90"/>
      <c r="TZN90"/>
      <c r="TZO90"/>
      <c r="TZP90"/>
      <c r="TZQ90"/>
      <c r="TZR90"/>
      <c r="TZS90"/>
      <c r="TZT90"/>
      <c r="TZU90"/>
      <c r="TZV90"/>
      <c r="TZW90"/>
      <c r="TZX90"/>
      <c r="TZY90"/>
      <c r="TZZ90"/>
      <c r="UAA90"/>
      <c r="UAB90"/>
      <c r="UAC90"/>
      <c r="UAD90"/>
      <c r="UAE90"/>
      <c r="UAF90"/>
      <c r="UAG90"/>
      <c r="UAH90"/>
      <c r="UAI90"/>
      <c r="UAJ90"/>
      <c r="UAK90"/>
      <c r="UAL90"/>
      <c r="UAM90"/>
      <c r="UAN90"/>
      <c r="UAO90"/>
      <c r="UAP90"/>
      <c r="UAQ90"/>
      <c r="UAR90"/>
      <c r="UAS90"/>
      <c r="UAT90"/>
      <c r="UAU90"/>
      <c r="UAV90"/>
      <c r="UAW90"/>
      <c r="UAX90"/>
      <c r="UAY90"/>
      <c r="UAZ90"/>
      <c r="UBA90"/>
      <c r="UBB90"/>
      <c r="UBC90"/>
      <c r="UBD90"/>
      <c r="UBE90"/>
      <c r="UBF90"/>
      <c r="UBG90"/>
      <c r="UBH90"/>
      <c r="UBI90"/>
      <c r="UBJ90"/>
      <c r="UBK90"/>
      <c r="UBL90"/>
      <c r="UBM90"/>
      <c r="UBN90"/>
      <c r="UBO90"/>
      <c r="UBP90"/>
      <c r="UBQ90"/>
      <c r="UBR90"/>
      <c r="UBS90"/>
      <c r="UBT90"/>
      <c r="UBU90"/>
      <c r="UBV90"/>
      <c r="UBW90"/>
      <c r="UBX90"/>
      <c r="UBY90"/>
      <c r="UBZ90"/>
      <c r="UCA90"/>
      <c r="UCB90"/>
      <c r="UCC90"/>
      <c r="UCD90"/>
      <c r="UCE90"/>
      <c r="UCF90"/>
      <c r="UCG90"/>
      <c r="UCH90"/>
      <c r="UCI90"/>
      <c r="UCJ90"/>
      <c r="UCK90"/>
      <c r="UCL90"/>
      <c r="UCM90"/>
      <c r="UCN90"/>
      <c r="UCO90"/>
      <c r="UCP90"/>
      <c r="UCQ90"/>
      <c r="UCR90"/>
      <c r="UCS90"/>
      <c r="UCT90"/>
      <c r="UCU90"/>
      <c r="UCV90"/>
      <c r="UCW90"/>
      <c r="UCX90"/>
      <c r="UCY90"/>
      <c r="UCZ90"/>
      <c r="UDA90"/>
      <c r="UDB90"/>
      <c r="UDC90"/>
      <c r="UDD90"/>
      <c r="UDE90"/>
      <c r="UDF90"/>
      <c r="UDG90"/>
      <c r="UDH90"/>
      <c r="UDI90"/>
      <c r="UDJ90"/>
      <c r="UDK90"/>
      <c r="UDL90"/>
      <c r="UDM90"/>
      <c r="UDN90"/>
      <c r="UDO90"/>
      <c r="UDP90"/>
      <c r="UDQ90"/>
      <c r="UDR90"/>
      <c r="UDS90"/>
      <c r="UDT90"/>
      <c r="UDU90"/>
      <c r="UDV90"/>
      <c r="UDW90"/>
      <c r="UDX90"/>
      <c r="UDY90"/>
      <c r="UDZ90"/>
      <c r="UEA90"/>
      <c r="UEB90"/>
      <c r="UEC90"/>
      <c r="UED90"/>
      <c r="UEE90"/>
      <c r="UEF90"/>
      <c r="UEG90"/>
      <c r="UEH90"/>
      <c r="UEI90"/>
      <c r="UEJ90"/>
      <c r="UEK90"/>
      <c r="UEL90"/>
      <c r="UEM90"/>
      <c r="UEN90"/>
      <c r="UEO90"/>
      <c r="UEP90"/>
      <c r="UEQ90"/>
      <c r="UER90"/>
      <c r="UES90"/>
      <c r="UET90"/>
      <c r="UEU90"/>
      <c r="UEV90"/>
      <c r="UEW90"/>
      <c r="UEX90"/>
      <c r="UEY90"/>
      <c r="UEZ90"/>
      <c r="UFA90"/>
      <c r="UFB90"/>
      <c r="UFC90"/>
      <c r="UFD90"/>
      <c r="UFE90"/>
      <c r="UFF90"/>
      <c r="UFG90"/>
      <c r="UFH90"/>
      <c r="UFI90"/>
      <c r="UFJ90"/>
      <c r="UFK90"/>
      <c r="UFL90"/>
      <c r="UFM90"/>
      <c r="UFN90"/>
      <c r="UFO90"/>
      <c r="UFP90"/>
      <c r="UFQ90"/>
      <c r="UFR90"/>
      <c r="UFS90"/>
      <c r="UFT90"/>
      <c r="UFU90"/>
      <c r="UFV90"/>
      <c r="UFW90"/>
      <c r="UFX90"/>
      <c r="UFY90"/>
      <c r="UFZ90"/>
      <c r="UGA90"/>
      <c r="UGB90"/>
      <c r="UGC90"/>
      <c r="UGD90"/>
      <c r="UGE90"/>
      <c r="UGF90"/>
      <c r="UGG90"/>
      <c r="UGH90"/>
      <c r="UGI90"/>
      <c r="UGJ90"/>
      <c r="UGK90"/>
      <c r="UGL90"/>
      <c r="UGM90"/>
      <c r="UGN90"/>
      <c r="UGO90"/>
      <c r="UGP90"/>
      <c r="UGQ90"/>
      <c r="UGR90"/>
      <c r="UGS90"/>
      <c r="UGT90"/>
      <c r="UGU90"/>
      <c r="UGV90"/>
      <c r="UGW90"/>
      <c r="UGX90"/>
      <c r="UGY90"/>
      <c r="UGZ90"/>
      <c r="UHA90"/>
      <c r="UHB90"/>
      <c r="UHC90"/>
      <c r="UHD90"/>
      <c r="UHE90"/>
      <c r="UHF90"/>
      <c r="UHG90"/>
      <c r="UHH90"/>
      <c r="UHI90"/>
      <c r="UHJ90"/>
      <c r="UHK90"/>
      <c r="UHL90"/>
      <c r="UHM90"/>
      <c r="UHN90"/>
      <c r="UHO90"/>
      <c r="UHP90"/>
      <c r="UHQ90"/>
      <c r="UHR90"/>
      <c r="UHS90"/>
      <c r="UHT90"/>
      <c r="UHU90"/>
      <c r="UHV90"/>
      <c r="UHW90"/>
      <c r="UHX90"/>
      <c r="UHY90"/>
      <c r="UHZ90"/>
      <c r="UIA90"/>
      <c r="UIB90"/>
      <c r="UIC90"/>
      <c r="UID90"/>
      <c r="UIE90"/>
      <c r="UIF90"/>
      <c r="UIG90"/>
      <c r="UIH90"/>
      <c r="UII90"/>
      <c r="UIJ90"/>
      <c r="UIK90"/>
      <c r="UIL90"/>
      <c r="UIM90"/>
      <c r="UIN90"/>
      <c r="UIO90"/>
      <c r="UIP90"/>
      <c r="UIQ90"/>
      <c r="UIR90"/>
      <c r="UIS90"/>
      <c r="UIT90"/>
      <c r="UIU90"/>
      <c r="UIV90"/>
      <c r="UIW90"/>
      <c r="UIX90"/>
      <c r="UIY90"/>
      <c r="UIZ90"/>
      <c r="UJA90"/>
      <c r="UJB90"/>
      <c r="UJC90"/>
      <c r="UJD90"/>
      <c r="UJE90"/>
      <c r="UJF90"/>
      <c r="UJG90"/>
      <c r="UJH90"/>
      <c r="UJI90"/>
      <c r="UJJ90"/>
      <c r="UJK90"/>
      <c r="UJL90"/>
      <c r="UJM90"/>
      <c r="UJN90"/>
      <c r="UJO90"/>
      <c r="UJP90"/>
      <c r="UJQ90"/>
      <c r="UJR90"/>
      <c r="UJS90"/>
      <c r="UJT90"/>
      <c r="UJU90"/>
      <c r="UJV90"/>
      <c r="UJW90"/>
      <c r="UJX90"/>
      <c r="UJY90"/>
      <c r="UJZ90"/>
      <c r="UKA90"/>
      <c r="UKB90"/>
      <c r="UKC90"/>
      <c r="UKD90"/>
      <c r="UKE90"/>
      <c r="UKF90"/>
      <c r="UKG90"/>
      <c r="UKH90"/>
      <c r="UKI90"/>
      <c r="UKJ90"/>
      <c r="UKK90"/>
      <c r="UKL90"/>
      <c r="UKM90"/>
      <c r="UKN90"/>
      <c r="UKO90"/>
      <c r="UKP90"/>
      <c r="UKQ90"/>
      <c r="UKR90"/>
      <c r="UKS90"/>
      <c r="UKT90"/>
      <c r="UKU90"/>
      <c r="UKV90"/>
      <c r="UKW90"/>
      <c r="UKX90"/>
      <c r="UKY90"/>
      <c r="UKZ90"/>
      <c r="ULA90"/>
      <c r="ULB90"/>
      <c r="ULC90"/>
      <c r="ULD90"/>
      <c r="ULE90"/>
      <c r="ULF90"/>
      <c r="ULG90"/>
      <c r="ULH90"/>
      <c r="ULI90"/>
      <c r="ULJ90"/>
      <c r="ULK90"/>
      <c r="ULL90"/>
      <c r="ULM90"/>
      <c r="ULN90"/>
      <c r="ULO90"/>
      <c r="ULP90"/>
      <c r="ULQ90"/>
      <c r="ULR90"/>
      <c r="ULS90"/>
      <c r="ULT90"/>
      <c r="ULU90"/>
      <c r="ULV90"/>
      <c r="ULW90"/>
      <c r="ULX90"/>
      <c r="ULY90"/>
      <c r="ULZ90"/>
      <c r="UMA90"/>
      <c r="UMB90"/>
      <c r="UMC90"/>
      <c r="UMD90"/>
      <c r="UME90"/>
      <c r="UMF90"/>
      <c r="UMG90"/>
      <c r="UMH90"/>
      <c r="UMI90"/>
      <c r="UMJ90"/>
      <c r="UMK90"/>
      <c r="UML90"/>
      <c r="UMM90"/>
      <c r="UMN90"/>
      <c r="UMO90"/>
      <c r="UMP90"/>
      <c r="UMQ90"/>
      <c r="UMR90"/>
      <c r="UMS90"/>
      <c r="UMT90"/>
      <c r="UMU90"/>
      <c r="UMV90"/>
      <c r="UMW90"/>
      <c r="UMX90"/>
      <c r="UMY90"/>
      <c r="UMZ90"/>
      <c r="UNA90"/>
      <c r="UNB90"/>
      <c r="UNC90"/>
      <c r="UND90"/>
      <c r="UNE90"/>
      <c r="UNF90"/>
      <c r="UNG90"/>
      <c r="UNH90"/>
      <c r="UNI90"/>
      <c r="UNJ90"/>
      <c r="UNK90"/>
      <c r="UNL90"/>
      <c r="UNM90"/>
      <c r="UNN90"/>
      <c r="UNO90"/>
      <c r="UNP90"/>
      <c r="UNQ90"/>
      <c r="UNR90"/>
      <c r="UNS90"/>
      <c r="UNT90"/>
      <c r="UNU90"/>
      <c r="UNV90"/>
      <c r="UNW90"/>
      <c r="UNX90"/>
      <c r="UNY90"/>
      <c r="UNZ90"/>
      <c r="UOA90"/>
      <c r="UOB90"/>
      <c r="UOC90"/>
      <c r="UOD90"/>
      <c r="UOE90"/>
      <c r="UOF90"/>
      <c r="UOG90"/>
      <c r="UOH90"/>
      <c r="UOI90"/>
      <c r="UOJ90"/>
      <c r="UOK90"/>
      <c r="UOL90"/>
      <c r="UOM90"/>
      <c r="UON90"/>
      <c r="UOO90"/>
      <c r="UOP90"/>
      <c r="UOQ90"/>
      <c r="UOR90"/>
      <c r="UOS90"/>
      <c r="UOT90"/>
      <c r="UOU90"/>
      <c r="UOV90"/>
      <c r="UOW90"/>
      <c r="UOX90"/>
      <c r="UOY90"/>
      <c r="UOZ90"/>
      <c r="UPA90"/>
      <c r="UPB90"/>
      <c r="UPC90"/>
      <c r="UPD90"/>
      <c r="UPE90"/>
      <c r="UPF90"/>
      <c r="UPG90"/>
      <c r="UPH90"/>
      <c r="UPI90"/>
      <c r="UPJ90"/>
      <c r="UPK90"/>
      <c r="UPL90"/>
      <c r="UPM90"/>
      <c r="UPN90"/>
      <c r="UPO90"/>
      <c r="UPP90"/>
      <c r="UPQ90"/>
      <c r="UPR90"/>
      <c r="UPS90"/>
      <c r="UPT90"/>
      <c r="UPU90"/>
      <c r="UPV90"/>
      <c r="UPW90"/>
      <c r="UPX90"/>
      <c r="UPY90"/>
      <c r="UPZ90"/>
      <c r="UQA90"/>
      <c r="UQB90"/>
      <c r="UQC90"/>
      <c r="UQD90"/>
      <c r="UQE90"/>
      <c r="UQF90"/>
      <c r="UQG90"/>
      <c r="UQH90"/>
      <c r="UQI90"/>
      <c r="UQJ90"/>
      <c r="UQK90"/>
      <c r="UQL90"/>
      <c r="UQM90"/>
      <c r="UQN90"/>
      <c r="UQO90"/>
      <c r="UQP90"/>
      <c r="UQQ90"/>
      <c r="UQR90"/>
      <c r="UQS90"/>
      <c r="UQT90"/>
      <c r="UQU90"/>
      <c r="UQV90"/>
      <c r="UQW90"/>
      <c r="UQX90"/>
      <c r="UQY90"/>
      <c r="UQZ90"/>
      <c r="URA90"/>
      <c r="URB90"/>
      <c r="URC90"/>
      <c r="URD90"/>
      <c r="URE90"/>
      <c r="URF90"/>
      <c r="URG90"/>
      <c r="URH90"/>
      <c r="URI90"/>
      <c r="URJ90"/>
      <c r="URK90"/>
      <c r="URL90"/>
      <c r="URM90"/>
      <c r="URN90"/>
      <c r="URO90"/>
      <c r="URP90"/>
      <c r="URQ90"/>
      <c r="URR90"/>
      <c r="URS90"/>
      <c r="URT90"/>
      <c r="URU90"/>
      <c r="URV90"/>
      <c r="URW90"/>
      <c r="URX90"/>
      <c r="URY90"/>
      <c r="URZ90"/>
      <c r="USA90"/>
      <c r="USB90"/>
      <c r="USC90"/>
      <c r="USD90"/>
      <c r="USE90"/>
      <c r="USF90"/>
      <c r="USG90"/>
      <c r="USH90"/>
      <c r="USI90"/>
      <c r="USJ90"/>
      <c r="USK90"/>
      <c r="USL90"/>
      <c r="USM90"/>
      <c r="USN90"/>
      <c r="USO90"/>
      <c r="USP90"/>
      <c r="USQ90"/>
      <c r="USR90"/>
      <c r="USS90"/>
      <c r="UST90"/>
      <c r="USU90"/>
      <c r="USV90"/>
      <c r="USW90"/>
      <c r="USX90"/>
      <c r="USY90"/>
      <c r="USZ90"/>
      <c r="UTA90"/>
      <c r="UTB90"/>
      <c r="UTC90"/>
      <c r="UTD90"/>
      <c r="UTE90"/>
      <c r="UTF90"/>
      <c r="UTG90"/>
      <c r="UTH90"/>
      <c r="UTI90"/>
      <c r="UTJ90"/>
      <c r="UTK90"/>
      <c r="UTL90"/>
      <c r="UTM90"/>
      <c r="UTN90"/>
      <c r="UTO90"/>
      <c r="UTP90"/>
      <c r="UTQ90"/>
      <c r="UTR90"/>
      <c r="UTS90"/>
      <c r="UTT90"/>
      <c r="UTU90"/>
      <c r="UTV90"/>
      <c r="UTW90"/>
      <c r="UTX90"/>
      <c r="UTY90"/>
      <c r="UTZ90"/>
      <c r="UUA90"/>
      <c r="UUB90"/>
      <c r="UUC90"/>
      <c r="UUD90"/>
      <c r="UUE90"/>
      <c r="UUF90"/>
      <c r="UUG90"/>
      <c r="UUH90"/>
      <c r="UUI90"/>
      <c r="UUJ90"/>
      <c r="UUK90"/>
      <c r="UUL90"/>
      <c r="UUM90"/>
      <c r="UUN90"/>
      <c r="UUO90"/>
      <c r="UUP90"/>
      <c r="UUQ90"/>
      <c r="UUR90"/>
      <c r="UUS90"/>
      <c r="UUT90"/>
      <c r="UUU90"/>
      <c r="UUV90"/>
      <c r="UUW90"/>
      <c r="UUX90"/>
      <c r="UUY90"/>
      <c r="UUZ90"/>
      <c r="UVA90"/>
      <c r="UVB90"/>
      <c r="UVC90"/>
      <c r="UVD90"/>
      <c r="UVE90"/>
      <c r="UVF90"/>
      <c r="UVG90"/>
      <c r="UVH90"/>
      <c r="UVI90"/>
      <c r="UVJ90"/>
      <c r="UVK90"/>
      <c r="UVL90"/>
      <c r="UVM90"/>
      <c r="UVN90"/>
      <c r="UVO90"/>
      <c r="UVP90"/>
      <c r="UVQ90"/>
      <c r="UVR90"/>
      <c r="UVS90"/>
      <c r="UVT90"/>
      <c r="UVU90"/>
      <c r="UVV90"/>
      <c r="UVW90"/>
      <c r="UVX90"/>
      <c r="UVY90"/>
      <c r="UVZ90"/>
      <c r="UWA90"/>
      <c r="UWB90"/>
      <c r="UWC90"/>
      <c r="UWD90"/>
      <c r="UWE90"/>
      <c r="UWF90"/>
      <c r="UWG90"/>
      <c r="UWH90"/>
      <c r="UWI90"/>
      <c r="UWJ90"/>
      <c r="UWK90"/>
      <c r="UWL90"/>
      <c r="UWM90"/>
      <c r="UWN90"/>
      <c r="UWO90"/>
      <c r="UWP90"/>
      <c r="UWQ90"/>
      <c r="UWR90"/>
      <c r="UWS90"/>
      <c r="UWT90"/>
      <c r="UWU90"/>
      <c r="UWV90"/>
      <c r="UWW90"/>
      <c r="UWX90"/>
      <c r="UWY90"/>
      <c r="UWZ90"/>
      <c r="UXA90"/>
      <c r="UXB90"/>
      <c r="UXC90"/>
      <c r="UXD90"/>
      <c r="UXE90"/>
      <c r="UXF90"/>
      <c r="UXG90"/>
      <c r="UXH90"/>
      <c r="UXI90"/>
      <c r="UXJ90"/>
      <c r="UXK90"/>
      <c r="UXL90"/>
      <c r="UXM90"/>
      <c r="UXN90"/>
      <c r="UXO90"/>
      <c r="UXP90"/>
      <c r="UXQ90"/>
      <c r="UXR90"/>
      <c r="UXS90"/>
      <c r="UXT90"/>
      <c r="UXU90"/>
      <c r="UXV90"/>
      <c r="UXW90"/>
      <c r="UXX90"/>
      <c r="UXY90"/>
      <c r="UXZ90"/>
      <c r="UYA90"/>
      <c r="UYB90"/>
      <c r="UYC90"/>
      <c r="UYD90"/>
      <c r="UYE90"/>
      <c r="UYF90"/>
      <c r="UYG90"/>
      <c r="UYH90"/>
      <c r="UYI90"/>
      <c r="UYJ90"/>
      <c r="UYK90"/>
      <c r="UYL90"/>
      <c r="UYM90"/>
      <c r="UYN90"/>
      <c r="UYO90"/>
      <c r="UYP90"/>
      <c r="UYQ90"/>
      <c r="UYR90"/>
      <c r="UYS90"/>
      <c r="UYT90"/>
      <c r="UYU90"/>
      <c r="UYV90"/>
      <c r="UYW90"/>
      <c r="UYX90"/>
      <c r="UYY90"/>
      <c r="UYZ90"/>
      <c r="UZA90"/>
      <c r="UZB90"/>
      <c r="UZC90"/>
      <c r="UZD90"/>
      <c r="UZE90"/>
      <c r="UZF90"/>
      <c r="UZG90"/>
      <c r="UZH90"/>
      <c r="UZI90"/>
      <c r="UZJ90"/>
      <c r="UZK90"/>
      <c r="UZL90"/>
      <c r="UZM90"/>
      <c r="UZN90"/>
      <c r="UZO90"/>
      <c r="UZP90"/>
      <c r="UZQ90"/>
      <c r="UZR90"/>
      <c r="UZS90"/>
      <c r="UZT90"/>
      <c r="UZU90"/>
      <c r="UZV90"/>
      <c r="UZW90"/>
      <c r="UZX90"/>
      <c r="UZY90"/>
      <c r="UZZ90"/>
      <c r="VAA90"/>
      <c r="VAB90"/>
      <c r="VAC90"/>
      <c r="VAD90"/>
      <c r="VAE90"/>
      <c r="VAF90"/>
      <c r="VAG90"/>
      <c r="VAH90"/>
      <c r="VAI90"/>
      <c r="VAJ90"/>
      <c r="VAK90"/>
      <c r="VAL90"/>
      <c r="VAM90"/>
      <c r="VAN90"/>
      <c r="VAO90"/>
      <c r="VAP90"/>
      <c r="VAQ90"/>
      <c r="VAR90"/>
      <c r="VAS90"/>
      <c r="VAT90"/>
      <c r="VAU90"/>
      <c r="VAV90"/>
      <c r="VAW90"/>
      <c r="VAX90"/>
      <c r="VAY90"/>
      <c r="VAZ90"/>
      <c r="VBA90"/>
      <c r="VBB90"/>
      <c r="VBC90"/>
      <c r="VBD90"/>
      <c r="VBE90"/>
      <c r="VBF90"/>
      <c r="VBG90"/>
      <c r="VBH90"/>
      <c r="VBI90"/>
      <c r="VBJ90"/>
      <c r="VBK90"/>
      <c r="VBL90"/>
      <c r="VBM90"/>
      <c r="VBN90"/>
      <c r="VBO90"/>
      <c r="VBP90"/>
      <c r="VBQ90"/>
      <c r="VBR90"/>
      <c r="VBS90"/>
      <c r="VBT90"/>
      <c r="VBU90"/>
      <c r="VBV90"/>
      <c r="VBW90"/>
      <c r="VBX90"/>
      <c r="VBY90"/>
      <c r="VBZ90"/>
      <c r="VCA90"/>
      <c r="VCB90"/>
      <c r="VCC90"/>
      <c r="VCD90"/>
      <c r="VCE90"/>
      <c r="VCF90"/>
      <c r="VCG90"/>
      <c r="VCH90"/>
      <c r="VCI90"/>
      <c r="VCJ90"/>
      <c r="VCK90"/>
      <c r="VCL90"/>
      <c r="VCM90"/>
      <c r="VCN90"/>
      <c r="VCO90"/>
      <c r="VCP90"/>
      <c r="VCQ90"/>
      <c r="VCR90"/>
      <c r="VCS90"/>
      <c r="VCT90"/>
      <c r="VCU90"/>
      <c r="VCV90"/>
      <c r="VCW90"/>
      <c r="VCX90"/>
      <c r="VCY90"/>
      <c r="VCZ90"/>
      <c r="VDA90"/>
      <c r="VDB90"/>
      <c r="VDC90"/>
      <c r="VDD90"/>
      <c r="VDE90"/>
      <c r="VDF90"/>
      <c r="VDG90"/>
      <c r="VDH90"/>
      <c r="VDI90"/>
      <c r="VDJ90"/>
      <c r="VDK90"/>
      <c r="VDL90"/>
      <c r="VDM90"/>
      <c r="VDN90"/>
      <c r="VDO90"/>
      <c r="VDP90"/>
      <c r="VDQ90"/>
      <c r="VDR90"/>
      <c r="VDS90"/>
      <c r="VDT90"/>
      <c r="VDU90"/>
      <c r="VDV90"/>
      <c r="VDW90"/>
      <c r="VDX90"/>
      <c r="VDY90"/>
      <c r="VDZ90"/>
      <c r="VEA90"/>
      <c r="VEB90"/>
      <c r="VEC90"/>
      <c r="VED90"/>
      <c r="VEE90"/>
      <c r="VEF90"/>
      <c r="VEG90"/>
      <c r="VEH90"/>
      <c r="VEI90"/>
      <c r="VEJ90"/>
      <c r="VEK90"/>
      <c r="VEL90"/>
      <c r="VEM90"/>
      <c r="VEN90"/>
      <c r="VEO90"/>
      <c r="VEP90"/>
      <c r="VEQ90"/>
      <c r="VER90"/>
      <c r="VES90"/>
      <c r="VET90"/>
      <c r="VEU90"/>
      <c r="VEV90"/>
      <c r="VEW90"/>
      <c r="VEX90"/>
      <c r="VEY90"/>
      <c r="VEZ90"/>
      <c r="VFA90"/>
      <c r="VFB90"/>
      <c r="VFC90"/>
      <c r="VFD90"/>
      <c r="VFE90"/>
      <c r="VFF90"/>
      <c r="VFG90"/>
      <c r="VFH90"/>
      <c r="VFI90"/>
      <c r="VFJ90"/>
      <c r="VFK90"/>
      <c r="VFL90"/>
      <c r="VFM90"/>
      <c r="VFN90"/>
      <c r="VFO90"/>
      <c r="VFP90"/>
      <c r="VFQ90"/>
      <c r="VFR90"/>
      <c r="VFS90"/>
      <c r="VFT90"/>
      <c r="VFU90"/>
      <c r="VFV90"/>
      <c r="VFW90"/>
      <c r="VFX90"/>
      <c r="VFY90"/>
      <c r="VFZ90"/>
      <c r="VGA90"/>
      <c r="VGB90"/>
      <c r="VGC90"/>
      <c r="VGD90"/>
      <c r="VGE90"/>
      <c r="VGF90"/>
      <c r="VGG90"/>
      <c r="VGH90"/>
      <c r="VGI90"/>
      <c r="VGJ90"/>
      <c r="VGK90"/>
      <c r="VGL90"/>
      <c r="VGM90"/>
      <c r="VGN90"/>
      <c r="VGO90"/>
      <c r="VGP90"/>
      <c r="VGQ90"/>
      <c r="VGR90"/>
      <c r="VGS90"/>
      <c r="VGT90"/>
      <c r="VGU90"/>
      <c r="VGV90"/>
      <c r="VGW90"/>
      <c r="VGX90"/>
      <c r="VGY90"/>
      <c r="VGZ90"/>
      <c r="VHA90"/>
      <c r="VHB90"/>
      <c r="VHC90"/>
      <c r="VHD90"/>
      <c r="VHE90"/>
      <c r="VHF90"/>
      <c r="VHG90"/>
      <c r="VHH90"/>
      <c r="VHI90"/>
      <c r="VHJ90"/>
      <c r="VHK90"/>
      <c r="VHL90"/>
      <c r="VHM90"/>
      <c r="VHN90"/>
      <c r="VHO90"/>
      <c r="VHP90"/>
      <c r="VHQ90"/>
      <c r="VHR90"/>
      <c r="VHS90"/>
      <c r="VHT90"/>
      <c r="VHU90"/>
      <c r="VHV90"/>
      <c r="VHW90"/>
      <c r="VHX90"/>
      <c r="VHY90"/>
      <c r="VHZ90"/>
      <c r="VIA90"/>
      <c r="VIB90"/>
      <c r="VIC90"/>
      <c r="VID90"/>
      <c r="VIE90"/>
      <c r="VIF90"/>
      <c r="VIG90"/>
      <c r="VIH90"/>
      <c r="VII90"/>
      <c r="VIJ90"/>
      <c r="VIK90"/>
      <c r="VIL90"/>
      <c r="VIM90"/>
      <c r="VIN90"/>
      <c r="VIO90"/>
      <c r="VIP90"/>
      <c r="VIQ90"/>
      <c r="VIR90"/>
      <c r="VIS90"/>
      <c r="VIT90"/>
      <c r="VIU90"/>
      <c r="VIV90"/>
      <c r="VIW90"/>
      <c r="VIX90"/>
      <c r="VIY90"/>
      <c r="VIZ90"/>
      <c r="VJA90"/>
      <c r="VJB90"/>
      <c r="VJC90"/>
      <c r="VJD90"/>
      <c r="VJE90"/>
      <c r="VJF90"/>
      <c r="VJG90"/>
      <c r="VJH90"/>
      <c r="VJI90"/>
      <c r="VJJ90"/>
      <c r="VJK90"/>
      <c r="VJL90"/>
      <c r="VJM90"/>
      <c r="VJN90"/>
      <c r="VJO90"/>
      <c r="VJP90"/>
      <c r="VJQ90"/>
      <c r="VJR90"/>
      <c r="VJS90"/>
      <c r="VJT90"/>
      <c r="VJU90"/>
      <c r="VJV90"/>
      <c r="VJW90"/>
      <c r="VJX90"/>
      <c r="VJY90"/>
      <c r="VJZ90"/>
      <c r="VKA90"/>
      <c r="VKB90"/>
      <c r="VKC90"/>
      <c r="VKD90"/>
      <c r="VKE90"/>
      <c r="VKF90"/>
      <c r="VKG90"/>
      <c r="VKH90"/>
      <c r="VKI90"/>
      <c r="VKJ90"/>
      <c r="VKK90"/>
      <c r="VKL90"/>
      <c r="VKM90"/>
      <c r="VKN90"/>
      <c r="VKO90"/>
      <c r="VKP90"/>
      <c r="VKQ90"/>
      <c r="VKR90"/>
      <c r="VKS90"/>
      <c r="VKT90"/>
      <c r="VKU90"/>
      <c r="VKV90"/>
      <c r="VKW90"/>
      <c r="VKX90"/>
      <c r="VKY90"/>
      <c r="VKZ90"/>
      <c r="VLA90"/>
      <c r="VLB90"/>
      <c r="VLC90"/>
      <c r="VLD90"/>
      <c r="VLE90"/>
      <c r="VLF90"/>
      <c r="VLG90"/>
      <c r="VLH90"/>
      <c r="VLI90"/>
      <c r="VLJ90"/>
      <c r="VLK90"/>
      <c r="VLL90"/>
      <c r="VLM90"/>
      <c r="VLN90"/>
      <c r="VLO90"/>
      <c r="VLP90"/>
      <c r="VLQ90"/>
      <c r="VLR90"/>
      <c r="VLS90"/>
      <c r="VLT90"/>
      <c r="VLU90"/>
      <c r="VLV90"/>
      <c r="VLW90"/>
      <c r="VLX90"/>
      <c r="VLY90"/>
      <c r="VLZ90"/>
      <c r="VMA90"/>
      <c r="VMB90"/>
      <c r="VMC90"/>
      <c r="VMD90"/>
      <c r="VME90"/>
      <c r="VMF90"/>
      <c r="VMG90"/>
      <c r="VMH90"/>
      <c r="VMI90"/>
      <c r="VMJ90"/>
      <c r="VMK90"/>
      <c r="VML90"/>
      <c r="VMM90"/>
      <c r="VMN90"/>
      <c r="VMO90"/>
      <c r="VMP90"/>
      <c r="VMQ90"/>
      <c r="VMR90"/>
      <c r="VMS90"/>
      <c r="VMT90"/>
      <c r="VMU90"/>
      <c r="VMV90"/>
      <c r="VMW90"/>
      <c r="VMX90"/>
      <c r="VMY90"/>
      <c r="VMZ90"/>
      <c r="VNA90"/>
      <c r="VNB90"/>
      <c r="VNC90"/>
      <c r="VND90"/>
      <c r="VNE90"/>
      <c r="VNF90"/>
      <c r="VNG90"/>
      <c r="VNH90"/>
      <c r="VNI90"/>
      <c r="VNJ90"/>
      <c r="VNK90"/>
      <c r="VNL90"/>
      <c r="VNM90"/>
      <c r="VNN90"/>
      <c r="VNO90"/>
      <c r="VNP90"/>
      <c r="VNQ90"/>
      <c r="VNR90"/>
      <c r="VNS90"/>
      <c r="VNT90"/>
      <c r="VNU90"/>
      <c r="VNV90"/>
      <c r="VNW90"/>
      <c r="VNX90"/>
      <c r="VNY90"/>
      <c r="VNZ90"/>
      <c r="VOA90"/>
      <c r="VOB90"/>
      <c r="VOC90"/>
      <c r="VOD90"/>
      <c r="VOE90"/>
      <c r="VOF90"/>
      <c r="VOG90"/>
      <c r="VOH90"/>
      <c r="VOI90"/>
      <c r="VOJ90"/>
      <c r="VOK90"/>
      <c r="VOL90"/>
      <c r="VOM90"/>
      <c r="VON90"/>
      <c r="VOO90"/>
      <c r="VOP90"/>
      <c r="VOQ90"/>
      <c r="VOR90"/>
      <c r="VOS90"/>
      <c r="VOT90"/>
      <c r="VOU90"/>
      <c r="VOV90"/>
      <c r="VOW90"/>
      <c r="VOX90"/>
      <c r="VOY90"/>
      <c r="VOZ90"/>
      <c r="VPA90"/>
      <c r="VPB90"/>
      <c r="VPC90"/>
      <c r="VPD90"/>
      <c r="VPE90"/>
      <c r="VPF90"/>
      <c r="VPG90"/>
      <c r="VPH90"/>
      <c r="VPI90"/>
      <c r="VPJ90"/>
      <c r="VPK90"/>
      <c r="VPL90"/>
      <c r="VPM90"/>
      <c r="VPN90"/>
      <c r="VPO90"/>
      <c r="VPP90"/>
      <c r="VPQ90"/>
      <c r="VPR90"/>
      <c r="VPS90"/>
      <c r="VPT90"/>
      <c r="VPU90"/>
      <c r="VPV90"/>
      <c r="VPW90"/>
      <c r="VPX90"/>
      <c r="VPY90"/>
      <c r="VPZ90"/>
      <c r="VQA90"/>
      <c r="VQB90"/>
      <c r="VQC90"/>
      <c r="VQD90"/>
      <c r="VQE90"/>
      <c r="VQF90"/>
      <c r="VQG90"/>
      <c r="VQH90"/>
      <c r="VQI90"/>
      <c r="VQJ90"/>
      <c r="VQK90"/>
      <c r="VQL90"/>
      <c r="VQM90"/>
      <c r="VQN90"/>
      <c r="VQO90"/>
      <c r="VQP90"/>
      <c r="VQQ90"/>
      <c r="VQR90"/>
      <c r="VQS90"/>
      <c r="VQT90"/>
      <c r="VQU90"/>
      <c r="VQV90"/>
      <c r="VQW90"/>
      <c r="VQX90"/>
      <c r="VQY90"/>
      <c r="VQZ90"/>
      <c r="VRA90"/>
      <c r="VRB90"/>
      <c r="VRC90"/>
      <c r="VRD90"/>
      <c r="VRE90"/>
      <c r="VRF90"/>
      <c r="VRG90"/>
      <c r="VRH90"/>
      <c r="VRI90"/>
      <c r="VRJ90"/>
      <c r="VRK90"/>
      <c r="VRL90"/>
      <c r="VRM90"/>
      <c r="VRN90"/>
      <c r="VRO90"/>
      <c r="VRP90"/>
      <c r="VRQ90"/>
      <c r="VRR90"/>
      <c r="VRS90"/>
      <c r="VRT90"/>
      <c r="VRU90"/>
      <c r="VRV90"/>
      <c r="VRW90"/>
      <c r="VRX90"/>
      <c r="VRY90"/>
      <c r="VRZ90"/>
      <c r="VSA90"/>
      <c r="VSB90"/>
      <c r="VSC90"/>
      <c r="VSD90"/>
      <c r="VSE90"/>
      <c r="VSF90"/>
      <c r="VSG90"/>
      <c r="VSH90"/>
      <c r="VSI90"/>
      <c r="VSJ90"/>
      <c r="VSK90"/>
      <c r="VSL90"/>
      <c r="VSM90"/>
      <c r="VSN90"/>
      <c r="VSO90"/>
      <c r="VSP90"/>
      <c r="VSQ90"/>
      <c r="VSR90"/>
      <c r="VSS90"/>
      <c r="VST90"/>
      <c r="VSU90"/>
      <c r="VSV90"/>
      <c r="VSW90"/>
      <c r="VSX90"/>
      <c r="VSY90"/>
      <c r="VSZ90"/>
      <c r="VTA90"/>
      <c r="VTB90"/>
      <c r="VTC90"/>
      <c r="VTD90"/>
      <c r="VTE90"/>
      <c r="VTF90"/>
      <c r="VTG90"/>
      <c r="VTH90"/>
      <c r="VTI90"/>
      <c r="VTJ90"/>
      <c r="VTK90"/>
      <c r="VTL90"/>
      <c r="VTM90"/>
      <c r="VTN90"/>
      <c r="VTO90"/>
      <c r="VTP90"/>
      <c r="VTQ90"/>
      <c r="VTR90"/>
      <c r="VTS90"/>
      <c r="VTT90"/>
      <c r="VTU90"/>
      <c r="VTV90"/>
      <c r="VTW90"/>
      <c r="VTX90"/>
      <c r="VTY90"/>
      <c r="VTZ90"/>
      <c r="VUA90"/>
      <c r="VUB90"/>
      <c r="VUC90"/>
      <c r="VUD90"/>
      <c r="VUE90"/>
      <c r="VUF90"/>
      <c r="VUG90"/>
      <c r="VUH90"/>
      <c r="VUI90"/>
      <c r="VUJ90"/>
      <c r="VUK90"/>
      <c r="VUL90"/>
      <c r="VUM90"/>
      <c r="VUN90"/>
      <c r="VUO90"/>
      <c r="VUP90"/>
      <c r="VUQ90"/>
      <c r="VUR90"/>
      <c r="VUS90"/>
      <c r="VUT90"/>
      <c r="VUU90"/>
      <c r="VUV90"/>
      <c r="VUW90"/>
      <c r="VUX90"/>
      <c r="VUY90"/>
      <c r="VUZ90"/>
      <c r="VVA90"/>
      <c r="VVB90"/>
      <c r="VVC90"/>
      <c r="VVD90"/>
      <c r="VVE90"/>
      <c r="VVF90"/>
      <c r="VVG90"/>
      <c r="VVH90"/>
      <c r="VVI90"/>
      <c r="VVJ90"/>
      <c r="VVK90"/>
      <c r="VVL90"/>
      <c r="VVM90"/>
      <c r="VVN90"/>
      <c r="VVO90"/>
      <c r="VVP90"/>
      <c r="VVQ90"/>
      <c r="VVR90"/>
      <c r="VVS90"/>
      <c r="VVT90"/>
      <c r="VVU90"/>
      <c r="VVV90"/>
      <c r="VVW90"/>
      <c r="VVX90"/>
      <c r="VVY90"/>
      <c r="VVZ90"/>
      <c r="VWA90"/>
      <c r="VWB90"/>
      <c r="VWC90"/>
      <c r="VWD90"/>
      <c r="VWE90"/>
      <c r="VWF90"/>
      <c r="VWG90"/>
      <c r="VWH90"/>
      <c r="VWI90"/>
      <c r="VWJ90"/>
      <c r="VWK90"/>
      <c r="VWL90"/>
      <c r="VWM90"/>
      <c r="VWN90"/>
      <c r="VWO90"/>
      <c r="VWP90"/>
      <c r="VWQ90"/>
      <c r="VWR90"/>
      <c r="VWS90"/>
      <c r="VWT90"/>
      <c r="VWU90"/>
      <c r="VWV90"/>
      <c r="VWW90"/>
      <c r="VWX90"/>
      <c r="VWY90"/>
      <c r="VWZ90"/>
      <c r="VXA90"/>
      <c r="VXB90"/>
      <c r="VXC90"/>
      <c r="VXD90"/>
      <c r="VXE90"/>
      <c r="VXF90"/>
      <c r="VXG90"/>
      <c r="VXH90"/>
      <c r="VXI90"/>
      <c r="VXJ90"/>
      <c r="VXK90"/>
      <c r="VXL90"/>
      <c r="VXM90"/>
      <c r="VXN90"/>
      <c r="VXO90"/>
      <c r="VXP90"/>
      <c r="VXQ90"/>
      <c r="VXR90"/>
      <c r="VXS90"/>
      <c r="VXT90"/>
      <c r="VXU90"/>
      <c r="VXV90"/>
      <c r="VXW90"/>
      <c r="VXX90"/>
      <c r="VXY90"/>
      <c r="VXZ90"/>
      <c r="VYA90"/>
      <c r="VYB90"/>
      <c r="VYC90"/>
      <c r="VYD90"/>
      <c r="VYE90"/>
      <c r="VYF90"/>
      <c r="VYG90"/>
      <c r="VYH90"/>
      <c r="VYI90"/>
      <c r="VYJ90"/>
      <c r="VYK90"/>
      <c r="VYL90"/>
      <c r="VYM90"/>
      <c r="VYN90"/>
      <c r="VYO90"/>
      <c r="VYP90"/>
      <c r="VYQ90"/>
      <c r="VYR90"/>
      <c r="VYS90"/>
      <c r="VYT90"/>
      <c r="VYU90"/>
      <c r="VYV90"/>
      <c r="VYW90"/>
      <c r="VYX90"/>
      <c r="VYY90"/>
      <c r="VYZ90"/>
      <c r="VZA90"/>
      <c r="VZB90"/>
      <c r="VZC90"/>
      <c r="VZD90"/>
      <c r="VZE90"/>
      <c r="VZF90"/>
      <c r="VZG90"/>
      <c r="VZH90"/>
      <c r="VZI90"/>
      <c r="VZJ90"/>
      <c r="VZK90"/>
      <c r="VZL90"/>
      <c r="VZM90"/>
      <c r="VZN90"/>
      <c r="VZO90"/>
      <c r="VZP90"/>
      <c r="VZQ90"/>
      <c r="VZR90"/>
      <c r="VZS90"/>
      <c r="VZT90"/>
      <c r="VZU90"/>
      <c r="VZV90"/>
      <c r="VZW90"/>
      <c r="VZX90"/>
      <c r="VZY90"/>
      <c r="VZZ90"/>
      <c r="WAA90"/>
      <c r="WAB90"/>
      <c r="WAC90"/>
      <c r="WAD90"/>
      <c r="WAE90"/>
      <c r="WAF90"/>
      <c r="WAG90"/>
      <c r="WAH90"/>
      <c r="WAI90"/>
      <c r="WAJ90"/>
      <c r="WAK90"/>
      <c r="WAL90"/>
      <c r="WAM90"/>
      <c r="WAN90"/>
      <c r="WAO90"/>
      <c r="WAP90"/>
      <c r="WAQ90"/>
      <c r="WAR90"/>
      <c r="WAS90"/>
      <c r="WAT90"/>
      <c r="WAU90"/>
      <c r="WAV90"/>
      <c r="WAW90"/>
      <c r="WAX90"/>
      <c r="WAY90"/>
      <c r="WAZ90"/>
      <c r="WBA90"/>
      <c r="WBB90"/>
      <c r="WBC90"/>
      <c r="WBD90"/>
      <c r="WBE90"/>
      <c r="WBF90"/>
      <c r="WBG90"/>
      <c r="WBH90"/>
      <c r="WBI90"/>
      <c r="WBJ90"/>
      <c r="WBK90"/>
      <c r="WBL90"/>
      <c r="WBM90"/>
      <c r="WBN90"/>
      <c r="WBO90"/>
      <c r="WBP90"/>
      <c r="WBQ90"/>
      <c r="WBR90"/>
      <c r="WBS90"/>
      <c r="WBT90"/>
      <c r="WBU90"/>
      <c r="WBV90"/>
      <c r="WBW90"/>
      <c r="WBX90"/>
      <c r="WBY90"/>
      <c r="WBZ90"/>
      <c r="WCA90"/>
      <c r="WCB90"/>
      <c r="WCC90"/>
      <c r="WCD90"/>
      <c r="WCE90"/>
      <c r="WCF90"/>
      <c r="WCG90"/>
      <c r="WCH90"/>
      <c r="WCI90"/>
      <c r="WCJ90"/>
      <c r="WCK90"/>
      <c r="WCL90"/>
      <c r="WCM90"/>
      <c r="WCN90"/>
      <c r="WCO90"/>
      <c r="WCP90"/>
      <c r="WCQ90"/>
      <c r="WCR90"/>
      <c r="WCS90"/>
      <c r="WCT90"/>
      <c r="WCU90"/>
      <c r="WCV90"/>
      <c r="WCW90"/>
      <c r="WCX90"/>
      <c r="WCY90"/>
      <c r="WCZ90"/>
      <c r="WDA90"/>
      <c r="WDB90"/>
      <c r="WDC90"/>
      <c r="WDD90"/>
      <c r="WDE90"/>
      <c r="WDF90"/>
      <c r="WDG90"/>
      <c r="WDH90"/>
      <c r="WDI90"/>
      <c r="WDJ90"/>
      <c r="WDK90"/>
      <c r="WDL90"/>
      <c r="WDM90"/>
      <c r="WDN90"/>
      <c r="WDO90"/>
      <c r="WDP90"/>
      <c r="WDQ90"/>
      <c r="WDR90"/>
      <c r="WDS90"/>
      <c r="WDT90"/>
      <c r="WDU90"/>
      <c r="WDV90"/>
      <c r="WDW90"/>
      <c r="WDX90"/>
      <c r="WDY90"/>
      <c r="WDZ90"/>
      <c r="WEA90"/>
      <c r="WEB90"/>
      <c r="WEC90"/>
      <c r="WED90"/>
      <c r="WEE90"/>
      <c r="WEF90"/>
      <c r="WEG90"/>
      <c r="WEH90"/>
      <c r="WEI90"/>
      <c r="WEJ90"/>
      <c r="WEK90"/>
      <c r="WEL90"/>
      <c r="WEM90"/>
      <c r="WEN90"/>
      <c r="WEO90"/>
      <c r="WEP90"/>
      <c r="WEQ90"/>
      <c r="WER90"/>
      <c r="WES90"/>
      <c r="WET90"/>
      <c r="WEU90"/>
      <c r="WEV90"/>
      <c r="WEW90"/>
      <c r="WEX90"/>
      <c r="WEY90"/>
      <c r="WEZ90"/>
      <c r="WFA90"/>
      <c r="WFB90"/>
      <c r="WFC90"/>
      <c r="WFD90"/>
      <c r="WFE90"/>
      <c r="WFF90"/>
      <c r="WFG90"/>
      <c r="WFH90"/>
      <c r="WFI90"/>
      <c r="WFJ90"/>
      <c r="WFK90"/>
      <c r="WFL90"/>
      <c r="WFM90"/>
      <c r="WFN90"/>
      <c r="WFO90"/>
      <c r="WFP90"/>
      <c r="WFQ90"/>
      <c r="WFR90"/>
      <c r="WFS90"/>
      <c r="WFT90"/>
      <c r="WFU90"/>
      <c r="WFV90"/>
      <c r="WFW90"/>
      <c r="WFX90"/>
      <c r="WFY90"/>
      <c r="WFZ90"/>
      <c r="WGA90"/>
      <c r="WGB90"/>
      <c r="WGC90"/>
      <c r="WGD90"/>
      <c r="WGE90"/>
      <c r="WGF90"/>
      <c r="WGG90"/>
      <c r="WGH90"/>
      <c r="WGI90"/>
      <c r="WGJ90"/>
      <c r="WGK90"/>
      <c r="WGL90"/>
      <c r="WGM90"/>
      <c r="WGN90"/>
      <c r="WGO90"/>
      <c r="WGP90"/>
      <c r="WGQ90"/>
      <c r="WGR90"/>
      <c r="WGS90"/>
      <c r="WGT90"/>
      <c r="WGU90"/>
      <c r="WGV90"/>
      <c r="WGW90"/>
      <c r="WGX90"/>
      <c r="WGY90"/>
      <c r="WGZ90"/>
      <c r="WHA90"/>
      <c r="WHB90"/>
      <c r="WHC90"/>
      <c r="WHD90"/>
      <c r="WHE90"/>
      <c r="WHF90"/>
      <c r="WHG90"/>
      <c r="WHH90"/>
      <c r="WHI90"/>
      <c r="WHJ90"/>
      <c r="WHK90"/>
      <c r="WHL90"/>
      <c r="WHM90"/>
      <c r="WHN90"/>
      <c r="WHO90"/>
      <c r="WHP90"/>
      <c r="WHQ90"/>
      <c r="WHR90"/>
      <c r="WHS90"/>
      <c r="WHT90"/>
      <c r="WHU90"/>
      <c r="WHV90"/>
      <c r="WHW90"/>
      <c r="WHX90"/>
      <c r="WHY90"/>
      <c r="WHZ90"/>
      <c r="WIA90"/>
      <c r="WIB90"/>
      <c r="WIC90"/>
      <c r="WID90"/>
      <c r="WIE90"/>
      <c r="WIF90"/>
      <c r="WIG90"/>
      <c r="WIH90"/>
      <c r="WII90"/>
      <c r="WIJ90"/>
      <c r="WIK90"/>
      <c r="WIL90"/>
      <c r="WIM90"/>
      <c r="WIN90"/>
      <c r="WIO90"/>
      <c r="WIP90"/>
      <c r="WIQ90"/>
      <c r="WIR90"/>
      <c r="WIS90"/>
      <c r="WIT90"/>
      <c r="WIU90"/>
      <c r="WIV90"/>
      <c r="WIW90"/>
      <c r="WIX90"/>
      <c r="WIY90"/>
      <c r="WIZ90"/>
      <c r="WJA90"/>
      <c r="WJB90"/>
      <c r="WJC90"/>
      <c r="WJD90"/>
      <c r="WJE90"/>
      <c r="WJF90"/>
      <c r="WJG90"/>
      <c r="WJH90"/>
      <c r="WJI90"/>
      <c r="WJJ90"/>
      <c r="WJK90"/>
      <c r="WJL90"/>
      <c r="WJM90"/>
      <c r="WJN90"/>
      <c r="WJO90"/>
      <c r="WJP90"/>
      <c r="WJQ90"/>
      <c r="WJR90"/>
      <c r="WJS90"/>
      <c r="WJT90"/>
      <c r="WJU90"/>
      <c r="WJV90"/>
      <c r="WJW90"/>
      <c r="WJX90"/>
      <c r="WJY90"/>
      <c r="WJZ90"/>
      <c r="WKA90"/>
      <c r="WKB90"/>
      <c r="WKC90"/>
      <c r="WKD90"/>
      <c r="WKE90"/>
      <c r="WKF90"/>
      <c r="WKG90"/>
      <c r="WKH90"/>
      <c r="WKI90"/>
      <c r="WKJ90"/>
      <c r="WKK90"/>
      <c r="WKL90"/>
      <c r="WKM90"/>
      <c r="WKN90"/>
      <c r="WKO90"/>
      <c r="WKP90"/>
      <c r="WKQ90"/>
      <c r="WKR90"/>
      <c r="WKS90"/>
      <c r="WKT90"/>
      <c r="WKU90"/>
      <c r="WKV90"/>
      <c r="WKW90"/>
      <c r="WKX90"/>
      <c r="WKY90"/>
      <c r="WKZ90"/>
      <c r="WLA90"/>
      <c r="WLB90"/>
      <c r="WLC90"/>
      <c r="WLD90"/>
      <c r="WLE90"/>
      <c r="WLF90"/>
      <c r="WLG90"/>
      <c r="WLH90"/>
      <c r="WLI90"/>
      <c r="WLJ90"/>
      <c r="WLK90"/>
      <c r="WLL90"/>
      <c r="WLM90"/>
      <c r="WLN90"/>
      <c r="WLO90"/>
      <c r="WLP90"/>
      <c r="WLQ90"/>
      <c r="WLR90"/>
      <c r="WLS90"/>
      <c r="WLT90"/>
      <c r="WLU90"/>
      <c r="WLV90"/>
      <c r="WLW90"/>
      <c r="WLX90"/>
      <c r="WLY90"/>
      <c r="WLZ90"/>
      <c r="WMA90"/>
      <c r="WMB90"/>
      <c r="WMC90"/>
      <c r="WMD90"/>
      <c r="WME90"/>
      <c r="WMF90"/>
      <c r="WMG90"/>
      <c r="WMH90"/>
      <c r="WMI90"/>
      <c r="WMJ90"/>
      <c r="WMK90"/>
      <c r="WML90"/>
      <c r="WMM90"/>
      <c r="WMN90"/>
      <c r="WMO90"/>
      <c r="WMP90"/>
      <c r="WMQ90"/>
      <c r="WMR90"/>
      <c r="WMS90"/>
      <c r="WMT90"/>
      <c r="WMU90"/>
      <c r="WMV90"/>
      <c r="WMW90"/>
      <c r="WMX90"/>
      <c r="WMY90"/>
      <c r="WMZ90"/>
      <c r="WNA90"/>
      <c r="WNB90"/>
      <c r="WNC90"/>
      <c r="WND90"/>
      <c r="WNE90"/>
      <c r="WNF90"/>
      <c r="WNG90"/>
      <c r="WNH90"/>
      <c r="WNI90"/>
      <c r="WNJ90"/>
      <c r="WNK90"/>
      <c r="WNL90"/>
      <c r="WNM90"/>
      <c r="WNN90"/>
      <c r="WNO90"/>
      <c r="WNP90"/>
      <c r="WNQ90"/>
      <c r="WNR90"/>
      <c r="WNS90"/>
      <c r="WNT90"/>
      <c r="WNU90"/>
      <c r="WNV90"/>
      <c r="WNW90"/>
      <c r="WNX90"/>
      <c r="WNY90"/>
      <c r="WNZ90"/>
      <c r="WOA90"/>
      <c r="WOB90"/>
      <c r="WOC90"/>
      <c r="WOD90"/>
      <c r="WOE90"/>
      <c r="WOF90"/>
      <c r="WOG90"/>
      <c r="WOH90"/>
      <c r="WOI90"/>
      <c r="WOJ90"/>
      <c r="WOK90"/>
      <c r="WOL90"/>
      <c r="WOM90"/>
      <c r="WON90"/>
      <c r="WOO90"/>
      <c r="WOP90"/>
      <c r="WOQ90"/>
      <c r="WOR90"/>
      <c r="WOS90"/>
      <c r="WOT90"/>
      <c r="WOU90"/>
      <c r="WOV90"/>
      <c r="WOW90"/>
      <c r="WOX90"/>
      <c r="WOY90"/>
      <c r="WOZ90"/>
      <c r="WPA90"/>
      <c r="WPB90"/>
      <c r="WPC90"/>
      <c r="WPD90"/>
      <c r="WPE90"/>
      <c r="WPF90"/>
      <c r="WPG90"/>
      <c r="WPH90"/>
      <c r="WPI90"/>
      <c r="WPJ90"/>
      <c r="WPK90"/>
      <c r="WPL90"/>
      <c r="WPM90"/>
      <c r="WPN90"/>
      <c r="WPO90"/>
      <c r="WPP90"/>
      <c r="WPQ90"/>
      <c r="WPR90"/>
      <c r="WPS90"/>
      <c r="WPT90"/>
      <c r="WPU90"/>
      <c r="WPV90"/>
      <c r="WPW90"/>
      <c r="WPX90"/>
      <c r="WPY90"/>
      <c r="WPZ90"/>
      <c r="WQA90"/>
      <c r="WQB90"/>
      <c r="WQC90"/>
      <c r="WQD90"/>
      <c r="WQE90"/>
      <c r="WQF90"/>
      <c r="WQG90"/>
      <c r="WQH90"/>
      <c r="WQI90"/>
      <c r="WQJ90"/>
      <c r="WQK90"/>
      <c r="WQL90"/>
      <c r="WQM90"/>
      <c r="WQN90"/>
      <c r="WQO90"/>
      <c r="WQP90"/>
      <c r="WQQ90"/>
      <c r="WQR90"/>
      <c r="WQS90"/>
      <c r="WQT90"/>
      <c r="WQU90"/>
      <c r="WQV90"/>
      <c r="WQW90"/>
      <c r="WQX90"/>
      <c r="WQY90"/>
      <c r="WQZ90"/>
      <c r="WRA90"/>
      <c r="WRB90"/>
      <c r="WRC90"/>
      <c r="WRD90"/>
      <c r="WRE90"/>
      <c r="WRF90"/>
      <c r="WRG90"/>
      <c r="WRH90"/>
      <c r="WRI90"/>
      <c r="WRJ90"/>
      <c r="WRK90"/>
      <c r="WRL90"/>
      <c r="WRM90"/>
      <c r="WRN90"/>
      <c r="WRO90"/>
      <c r="WRP90"/>
      <c r="WRQ90"/>
      <c r="WRR90"/>
      <c r="WRS90"/>
      <c r="WRT90"/>
      <c r="WRU90"/>
      <c r="WRV90"/>
      <c r="WRW90"/>
      <c r="WRX90"/>
      <c r="WRY90"/>
      <c r="WRZ90"/>
      <c r="WSA90"/>
      <c r="WSB90"/>
      <c r="WSC90"/>
      <c r="WSD90"/>
      <c r="WSE90"/>
      <c r="WSF90"/>
      <c r="WSG90"/>
      <c r="WSH90"/>
      <c r="WSI90"/>
      <c r="WSJ90"/>
      <c r="WSK90"/>
      <c r="WSL90"/>
      <c r="WSM90"/>
      <c r="WSN90"/>
      <c r="WSO90"/>
      <c r="WSP90"/>
      <c r="WSQ90"/>
      <c r="WSR90"/>
      <c r="WSS90"/>
      <c r="WST90"/>
      <c r="WSU90"/>
      <c r="WSV90"/>
      <c r="WSW90"/>
      <c r="WSX90"/>
      <c r="WSY90"/>
      <c r="WSZ90"/>
      <c r="WTA90"/>
      <c r="WTB90"/>
      <c r="WTC90"/>
      <c r="WTD90"/>
      <c r="WTE90"/>
      <c r="WTF90"/>
      <c r="WTG90"/>
      <c r="WTH90"/>
      <c r="WTI90"/>
      <c r="WTJ90"/>
      <c r="WTK90"/>
      <c r="WTL90"/>
      <c r="WTM90"/>
      <c r="WTN90"/>
      <c r="WTO90"/>
      <c r="WTP90"/>
      <c r="WTQ90"/>
      <c r="WTR90"/>
      <c r="WTS90"/>
      <c r="WTT90"/>
      <c r="WTU90"/>
      <c r="WTV90"/>
      <c r="WTW90"/>
      <c r="WTX90"/>
      <c r="WTY90"/>
      <c r="WTZ90"/>
      <c r="WUA90"/>
      <c r="WUB90"/>
      <c r="WUC90"/>
      <c r="WUD90"/>
      <c r="WUE90"/>
      <c r="WUF90"/>
      <c r="WUG90"/>
      <c r="WUH90"/>
      <c r="WUI90"/>
      <c r="WUJ90"/>
      <c r="WUK90"/>
      <c r="WUL90"/>
      <c r="WUM90"/>
      <c r="WUN90"/>
      <c r="WUO90"/>
      <c r="WUP90"/>
      <c r="WUQ90"/>
      <c r="WUR90"/>
      <c r="WUS90"/>
      <c r="WUT90"/>
      <c r="WUU90"/>
      <c r="WUV90"/>
      <c r="WUW90"/>
      <c r="WUX90"/>
      <c r="WUY90"/>
      <c r="WUZ90"/>
      <c r="WVA90"/>
      <c r="WVB90"/>
      <c r="WVC90"/>
      <c r="WVD90"/>
      <c r="WVE90"/>
      <c r="WVF90"/>
      <c r="WVG90"/>
      <c r="WVH90"/>
      <c r="WVI90"/>
      <c r="WVJ90"/>
      <c r="WVK90"/>
      <c r="WVL90"/>
      <c r="WVM90"/>
      <c r="WVN90"/>
      <c r="WVO90"/>
      <c r="WVP90"/>
      <c r="WVQ90"/>
      <c r="WVR90"/>
      <c r="WVS90"/>
      <c r="WVT90"/>
      <c r="WVU90"/>
      <c r="WVV90"/>
      <c r="WVW90"/>
      <c r="WVX90"/>
      <c r="WVY90"/>
      <c r="WVZ90"/>
      <c r="WWA90"/>
      <c r="WWB90"/>
      <c r="WWC90"/>
      <c r="WWD90"/>
      <c r="WWE90"/>
      <c r="WWF90"/>
      <c r="WWG90"/>
      <c r="WWH90"/>
      <c r="WWI90"/>
      <c r="WWJ90"/>
      <c r="WWK90"/>
      <c r="WWL90"/>
      <c r="WWM90"/>
      <c r="WWN90"/>
      <c r="WWO90"/>
      <c r="WWP90"/>
      <c r="WWQ90"/>
      <c r="WWR90"/>
      <c r="WWS90"/>
      <c r="WWT90"/>
      <c r="WWU90"/>
      <c r="WWV90"/>
      <c r="WWW90"/>
      <c r="WWX90"/>
      <c r="WWY90"/>
      <c r="WWZ90"/>
      <c r="WXA90"/>
      <c r="WXB90"/>
      <c r="WXC90"/>
      <c r="WXD90"/>
      <c r="WXE90"/>
      <c r="WXF90"/>
      <c r="WXG90"/>
      <c r="WXH90"/>
      <c r="WXI90"/>
      <c r="WXJ90"/>
      <c r="WXK90"/>
      <c r="WXL90"/>
      <c r="WXM90"/>
      <c r="WXN90"/>
      <c r="WXO90"/>
      <c r="WXP90"/>
      <c r="WXQ90"/>
      <c r="WXR90"/>
      <c r="WXS90"/>
      <c r="WXT90"/>
      <c r="WXU90"/>
      <c r="WXV90"/>
      <c r="WXW90"/>
      <c r="WXX90"/>
      <c r="WXY90"/>
      <c r="WXZ90"/>
      <c r="WYA90"/>
      <c r="WYB90"/>
      <c r="WYC90"/>
      <c r="WYD90"/>
      <c r="WYE90"/>
      <c r="WYF90"/>
      <c r="WYG90"/>
      <c r="WYH90"/>
      <c r="WYI90"/>
      <c r="WYJ90"/>
      <c r="WYK90"/>
      <c r="WYL90"/>
      <c r="WYM90"/>
      <c r="WYN90"/>
      <c r="WYO90"/>
      <c r="WYP90"/>
      <c r="WYQ90"/>
      <c r="WYR90"/>
      <c r="WYS90"/>
      <c r="WYT90"/>
      <c r="WYU90"/>
      <c r="WYV90"/>
      <c r="WYW90"/>
      <c r="WYX90"/>
      <c r="WYY90"/>
      <c r="WYZ90"/>
      <c r="WZA90"/>
      <c r="WZB90"/>
      <c r="WZC90"/>
      <c r="WZD90"/>
      <c r="WZE90"/>
      <c r="WZF90"/>
      <c r="WZG90"/>
      <c r="WZH90"/>
      <c r="WZI90"/>
      <c r="WZJ90"/>
      <c r="WZK90"/>
      <c r="WZL90"/>
      <c r="WZM90"/>
      <c r="WZN90"/>
      <c r="WZO90"/>
      <c r="WZP90"/>
      <c r="WZQ90"/>
      <c r="WZR90"/>
      <c r="WZS90"/>
      <c r="WZT90"/>
      <c r="WZU90"/>
      <c r="WZV90"/>
      <c r="WZW90"/>
      <c r="WZX90"/>
      <c r="WZY90"/>
      <c r="WZZ90"/>
      <c r="XAA90"/>
      <c r="XAB90"/>
      <c r="XAC90"/>
      <c r="XAD90"/>
      <c r="XAE90"/>
      <c r="XAF90"/>
      <c r="XAG90"/>
      <c r="XAH90"/>
      <c r="XAI90"/>
      <c r="XAJ90"/>
      <c r="XAK90"/>
      <c r="XAL90"/>
      <c r="XAM90"/>
      <c r="XAN90"/>
      <c r="XAO90"/>
      <c r="XAP90"/>
      <c r="XAQ90"/>
      <c r="XAR90"/>
      <c r="XAS90"/>
      <c r="XAT90"/>
      <c r="XAU90"/>
      <c r="XAV90"/>
      <c r="XAW90"/>
      <c r="XAX90"/>
      <c r="XAY90"/>
      <c r="XAZ90"/>
      <c r="XBA90"/>
      <c r="XBB90"/>
      <c r="XBC90"/>
      <c r="XBD90"/>
      <c r="XBE90"/>
      <c r="XBF90"/>
      <c r="XBG90"/>
      <c r="XBH90"/>
      <c r="XBI90"/>
      <c r="XBJ90"/>
      <c r="XBK90"/>
      <c r="XBL90"/>
      <c r="XBM90"/>
      <c r="XBN90"/>
      <c r="XBO90"/>
      <c r="XBP90"/>
      <c r="XBQ90"/>
      <c r="XBR90"/>
      <c r="XBS90"/>
      <c r="XBT90"/>
      <c r="XBU90"/>
      <c r="XBV90"/>
      <c r="XBW90"/>
      <c r="XBX90"/>
      <c r="XBY90"/>
      <c r="XBZ90"/>
      <c r="XCA90"/>
      <c r="XCB90"/>
      <c r="XCC90"/>
      <c r="XCD90"/>
      <c r="XCE90"/>
      <c r="XCF90"/>
      <c r="XCG90"/>
      <c r="XCH90"/>
      <c r="XCI90"/>
      <c r="XCJ90"/>
      <c r="XCK90"/>
      <c r="XCL90"/>
      <c r="XCM90"/>
      <c r="XCN90"/>
      <c r="XCO90"/>
      <c r="XCP90"/>
      <c r="XCQ90"/>
      <c r="XCR90"/>
      <c r="XCS90"/>
      <c r="XCT90"/>
      <c r="XCU90"/>
      <c r="XCV90"/>
      <c r="XCW90"/>
      <c r="XCX90"/>
      <c r="XCY90"/>
      <c r="XCZ90"/>
      <c r="XDA90"/>
      <c r="XDB90"/>
      <c r="XDC90"/>
      <c r="XDD90"/>
      <c r="XDE90"/>
      <c r="XDF90"/>
      <c r="XDG90"/>
      <c r="XDH90"/>
      <c r="XDI90"/>
      <c r="XDJ90"/>
      <c r="XDK90"/>
      <c r="XDL90"/>
      <c r="XDM90"/>
      <c r="XDN90"/>
      <c r="XDO90"/>
      <c r="XDP90"/>
      <c r="XDQ90"/>
      <c r="XDR90"/>
      <c r="XDS90"/>
      <c r="XDT90"/>
      <c r="XDU90"/>
      <c r="XDV90"/>
      <c r="XDW90"/>
      <c r="XDX90"/>
      <c r="XDY90"/>
      <c r="XDZ90"/>
      <c r="XEA90"/>
      <c r="XEB90"/>
      <c r="XEC90"/>
      <c r="XED90"/>
      <c r="XEE90"/>
      <c r="XEF90"/>
      <c r="XEG90"/>
      <c r="XEH90"/>
      <c r="XEI90"/>
      <c r="XEJ90"/>
      <c r="XEK90"/>
      <c r="XEL90"/>
      <c r="XEM90"/>
      <c r="XEN90"/>
      <c r="XEO90"/>
      <c r="XEP90"/>
      <c r="XEQ90"/>
      <c r="XER90"/>
      <c r="XES90"/>
      <c r="XET90"/>
      <c r="XEU90"/>
      <c r="XEV90"/>
      <c r="XEW90"/>
      <c r="XEX90"/>
      <c r="XEY90"/>
    </row>
    <row r="91" spans="1:16379" ht="38.25" x14ac:dyDescent="0.2">
      <c r="A91" s="22" t="s">
        <v>35</v>
      </c>
      <c r="B91" s="22" t="s">
        <v>581</v>
      </c>
      <c r="C91" s="22"/>
      <c r="D91" s="22" t="s">
        <v>98</v>
      </c>
      <c r="E91" s="22" t="s">
        <v>170</v>
      </c>
      <c r="F91" s="71" t="s">
        <v>933</v>
      </c>
      <c r="G91" s="22"/>
      <c r="H91" s="22"/>
      <c r="I91" s="22" t="s">
        <v>582</v>
      </c>
      <c r="J91" s="22" t="s">
        <v>583</v>
      </c>
      <c r="K91" s="22" t="s">
        <v>42</v>
      </c>
      <c r="L91" s="24">
        <v>2021</v>
      </c>
      <c r="M91" s="24"/>
      <c r="N91" s="51">
        <v>1400</v>
      </c>
      <c r="O91" s="39"/>
      <c r="P91" s="27">
        <f>N91*O91</f>
        <v>0</v>
      </c>
      <c r="Q91" s="28"/>
      <c r="R91" s="28">
        <f>IF(Q91&lt;4.99,(Q91*12%+4),IF(Q91&lt;10.99,(Q91*12%+8),IF(Q91&lt;14.99,(Q91*12%+12),IF(Q91&lt;879.99,(Q91*12%+16),IF(Q91&lt;2569.99,(Q91*7%+60),240)))))</f>
        <v>4</v>
      </c>
      <c r="S91" s="29">
        <f>R91*P91</f>
        <v>0</v>
      </c>
      <c r="T91" s="24"/>
      <c r="U91" s="24"/>
      <c r="V91" s="24"/>
      <c r="W91" s="24"/>
      <c r="X91" s="24"/>
      <c r="Y91" s="24"/>
      <c r="Z91" s="22" t="s">
        <v>42</v>
      </c>
      <c r="AA91" s="22"/>
      <c r="AB91" s="40" t="s">
        <v>132</v>
      </c>
      <c r="AC91" s="71" t="s">
        <v>584</v>
      </c>
      <c r="AD91" s="24">
        <v>3</v>
      </c>
      <c r="AE91" s="24">
        <v>2</v>
      </c>
      <c r="AF91" s="24">
        <v>3</v>
      </c>
      <c r="AG91" s="24">
        <v>3</v>
      </c>
      <c r="AH91" s="24">
        <v>1</v>
      </c>
      <c r="AI91" s="24">
        <v>2</v>
      </c>
      <c r="AJ91" s="24">
        <v>108</v>
      </c>
      <c r="AK91" s="22" t="s">
        <v>45</v>
      </c>
      <c r="AL91" s="22"/>
    </row>
    <row r="92" spans="1:16379" s="133" customFormat="1" x14ac:dyDescent="0.2">
      <c r="A92" s="30" t="s">
        <v>72</v>
      </c>
      <c r="B92" s="30" t="s">
        <v>184</v>
      </c>
      <c r="C92" s="30"/>
      <c r="D92" s="30" t="s">
        <v>98</v>
      </c>
      <c r="E92" s="30" t="s">
        <v>170</v>
      </c>
      <c r="F92" s="72"/>
      <c r="G92" s="30"/>
      <c r="H92" s="30"/>
      <c r="I92" s="30" t="s">
        <v>1071</v>
      </c>
      <c r="J92" s="30"/>
      <c r="K92" s="30" t="s">
        <v>42</v>
      </c>
      <c r="L92" s="31">
        <v>2024</v>
      </c>
      <c r="M92" s="31"/>
      <c r="N92" s="32"/>
      <c r="O92" s="33"/>
      <c r="P92" s="34"/>
      <c r="Q92" s="35"/>
      <c r="R92" s="35"/>
      <c r="S92" s="36"/>
      <c r="T92" s="31"/>
      <c r="U92" s="31"/>
      <c r="V92" s="31"/>
      <c r="W92" s="31"/>
      <c r="X92" s="31"/>
      <c r="Y92" s="31"/>
      <c r="Z92" s="30"/>
      <c r="AA92" s="30"/>
      <c r="AB92" s="37"/>
      <c r="AC92" s="72" t="s">
        <v>1336</v>
      </c>
      <c r="AD92" s="31"/>
      <c r="AE92" s="31"/>
      <c r="AF92" s="31"/>
      <c r="AG92" s="31"/>
      <c r="AH92" s="31"/>
      <c r="AI92" s="31"/>
      <c r="AJ92" s="31"/>
      <c r="AK92" s="30"/>
      <c r="AL92" s="30"/>
    </row>
    <row r="93" spans="1:16379" ht="38.25" x14ac:dyDescent="0.2">
      <c r="A93" s="22" t="s">
        <v>35</v>
      </c>
      <c r="B93" s="22" t="s">
        <v>616</v>
      </c>
      <c r="C93" s="22"/>
      <c r="D93" s="22" t="s">
        <v>37</v>
      </c>
      <c r="E93" s="22" t="s">
        <v>170</v>
      </c>
      <c r="F93" s="71" t="s">
        <v>933</v>
      </c>
      <c r="G93" s="22"/>
      <c r="H93" s="22"/>
      <c r="I93" s="22" t="s">
        <v>702</v>
      </c>
      <c r="J93" s="22"/>
      <c r="K93" s="22" t="s">
        <v>64</v>
      </c>
      <c r="L93" s="24">
        <v>2022</v>
      </c>
      <c r="M93" s="24"/>
      <c r="N93" s="51" t="e">
        <f>0.007*#REF!</f>
        <v>#REF!</v>
      </c>
      <c r="O93" s="39"/>
      <c r="P93" s="27" t="e">
        <f>N93*O93</f>
        <v>#REF!</v>
      </c>
      <c r="Q93" s="28"/>
      <c r="R93" s="28">
        <f>IF(Q93&lt;4.99,(Q93*12%+4),IF(Q93&lt;10.99,(Q93*12%+8),IF(Q93&lt;14.99,(Q93*12%+12),IF(Q93&lt;879.99,(Q93*12%+16),IF(Q93&lt;2569.99,(Q93*7%+60),240)))))</f>
        <v>4</v>
      </c>
      <c r="S93" s="29" t="e">
        <f>R93*P93</f>
        <v>#REF!</v>
      </c>
      <c r="T93" s="24"/>
      <c r="U93" s="24"/>
      <c r="V93" s="24"/>
      <c r="W93" s="24"/>
      <c r="X93" s="24"/>
      <c r="Y93" s="24"/>
      <c r="Z93" s="22" t="s">
        <v>64</v>
      </c>
      <c r="AA93" s="22"/>
      <c r="AB93" s="22"/>
      <c r="AC93" s="71" t="s">
        <v>703</v>
      </c>
      <c r="AD93" s="24">
        <v>3</v>
      </c>
      <c r="AE93" s="24">
        <v>2</v>
      </c>
      <c r="AF93" s="24">
        <v>1</v>
      </c>
      <c r="AG93" s="24">
        <v>3</v>
      </c>
      <c r="AH93" s="24"/>
      <c r="AI93" s="24"/>
      <c r="AJ93" s="24">
        <v>18</v>
      </c>
      <c r="AK93" s="22"/>
      <c r="AL93" s="22"/>
    </row>
    <row r="94" spans="1:16379" s="133" customFormat="1" x14ac:dyDescent="0.2">
      <c r="A94" s="30" t="s">
        <v>35</v>
      </c>
      <c r="B94" s="30" t="s">
        <v>358</v>
      </c>
      <c r="C94" s="30"/>
      <c r="D94" s="30" t="s">
        <v>37</v>
      </c>
      <c r="E94" s="30" t="s">
        <v>170</v>
      </c>
      <c r="F94" s="72"/>
      <c r="G94" s="30"/>
      <c r="H94" s="30"/>
      <c r="I94" s="30" t="s">
        <v>1233</v>
      </c>
      <c r="J94" s="30" t="s">
        <v>1374</v>
      </c>
      <c r="K94" s="30" t="s">
        <v>42</v>
      </c>
      <c r="L94" s="31">
        <v>2023</v>
      </c>
      <c r="M94" s="31"/>
      <c r="N94" s="32"/>
      <c r="O94" s="33"/>
      <c r="P94" s="34">
        <v>30</v>
      </c>
      <c r="Q94" s="35">
        <v>5500</v>
      </c>
      <c r="R94" s="35">
        <v>240</v>
      </c>
      <c r="S94" s="36"/>
      <c r="T94" s="31"/>
      <c r="U94" s="31"/>
      <c r="V94" s="31"/>
      <c r="W94" s="31"/>
      <c r="X94" s="31"/>
      <c r="Y94" s="31"/>
      <c r="Z94" s="30"/>
      <c r="AA94" s="30"/>
      <c r="AB94" s="30"/>
      <c r="AC94" s="72"/>
      <c r="AD94" s="31"/>
      <c r="AE94" s="31"/>
      <c r="AF94" s="31"/>
      <c r="AG94" s="31"/>
      <c r="AH94" s="31"/>
      <c r="AI94" s="31"/>
      <c r="AJ94" s="31"/>
      <c r="AK94" s="30"/>
      <c r="AL94" s="30"/>
    </row>
    <row r="95" spans="1:16379" ht="51" x14ac:dyDescent="0.2">
      <c r="A95" s="30" t="s">
        <v>58</v>
      </c>
      <c r="B95" s="30" t="s">
        <v>59</v>
      </c>
      <c r="C95" s="30"/>
      <c r="D95" s="30" t="s">
        <v>37</v>
      </c>
      <c r="E95" s="30" t="s">
        <v>504</v>
      </c>
      <c r="F95" s="30"/>
      <c r="G95" s="30"/>
      <c r="H95" s="72" t="s">
        <v>968</v>
      </c>
      <c r="I95" s="30" t="s">
        <v>505</v>
      </c>
      <c r="J95" s="30" t="s">
        <v>1166</v>
      </c>
      <c r="K95" s="30" t="s">
        <v>507</v>
      </c>
      <c r="L95" s="31">
        <v>2019</v>
      </c>
      <c r="M95" s="31"/>
      <c r="N95" s="32">
        <v>220</v>
      </c>
      <c r="O95" s="33"/>
      <c r="P95" s="34">
        <f t="shared" ref="P95:P102" si="11">N95*O95</f>
        <v>0</v>
      </c>
      <c r="Q95" s="35"/>
      <c r="R95" s="35">
        <f t="shared" ref="R95:R102" si="12">IF(Q95&lt;4.99,(Q95*12%+4),IF(Q95&lt;10.99,(Q95*12%+8),IF(Q95&lt;14.99,(Q95*12%+12),IF(Q95&lt;879.99,(Q95*12%+16),IF(Q95&lt;2569.99,(Q95*7%+60),240)))))</f>
        <v>4</v>
      </c>
      <c r="S95" s="36">
        <f t="shared" ref="S95:S102" si="13">R95*P95</f>
        <v>0</v>
      </c>
      <c r="T95" s="31"/>
      <c r="U95" s="31"/>
      <c r="V95" s="31"/>
      <c r="W95" s="31"/>
      <c r="X95" s="31"/>
      <c r="Y95" s="31"/>
      <c r="Z95" s="30" t="s">
        <v>42</v>
      </c>
      <c r="AA95" s="30"/>
      <c r="AB95" s="37"/>
      <c r="AC95" s="72" t="s">
        <v>508</v>
      </c>
      <c r="AD95" s="31">
        <v>1</v>
      </c>
      <c r="AE95" s="31">
        <v>2</v>
      </c>
      <c r="AF95" s="31">
        <v>1</v>
      </c>
      <c r="AG95" s="31">
        <v>3</v>
      </c>
      <c r="AH95" s="31">
        <v>1</v>
      </c>
      <c r="AI95" s="31">
        <v>2</v>
      </c>
      <c r="AJ95" s="31">
        <v>12</v>
      </c>
      <c r="AK95" s="30" t="s">
        <v>48</v>
      </c>
      <c r="AL95" s="30"/>
    </row>
    <row r="96" spans="1:16379" ht="38.25" x14ac:dyDescent="0.2">
      <c r="A96" s="22" t="s">
        <v>1192</v>
      </c>
      <c r="B96" s="22" t="s">
        <v>719</v>
      </c>
      <c r="C96" s="22"/>
      <c r="D96" s="22" t="s">
        <v>37</v>
      </c>
      <c r="E96" s="22" t="s">
        <v>720</v>
      </c>
      <c r="F96" s="22"/>
      <c r="G96" s="22"/>
      <c r="H96" s="80" t="s">
        <v>992</v>
      </c>
      <c r="I96" s="22" t="s">
        <v>721</v>
      </c>
      <c r="J96" s="22" t="s">
        <v>722</v>
      </c>
      <c r="K96" s="22" t="s">
        <v>723</v>
      </c>
      <c r="L96" s="24">
        <v>2021</v>
      </c>
      <c r="M96" s="24"/>
      <c r="N96" s="51">
        <f>8500000/100000</f>
        <v>85</v>
      </c>
      <c r="O96" s="39"/>
      <c r="P96" s="27">
        <f t="shared" si="11"/>
        <v>0</v>
      </c>
      <c r="Q96" s="28"/>
      <c r="R96" s="28">
        <f t="shared" si="12"/>
        <v>4</v>
      </c>
      <c r="S96" s="29">
        <f t="shared" si="13"/>
        <v>0</v>
      </c>
      <c r="T96" s="24"/>
      <c r="U96" s="24"/>
      <c r="V96" s="24"/>
      <c r="W96" s="24"/>
      <c r="X96" s="24"/>
      <c r="Y96" s="24"/>
      <c r="Z96" s="22" t="s">
        <v>64</v>
      </c>
      <c r="AA96" s="22" t="s">
        <v>182</v>
      </c>
      <c r="AB96" s="40" t="s">
        <v>56</v>
      </c>
      <c r="AC96" s="71" t="s">
        <v>1191</v>
      </c>
      <c r="AD96" s="24">
        <v>1</v>
      </c>
      <c r="AE96" s="24">
        <v>2</v>
      </c>
      <c r="AF96" s="24">
        <v>1</v>
      </c>
      <c r="AG96" s="24">
        <v>3</v>
      </c>
      <c r="AH96" s="24">
        <v>1</v>
      </c>
      <c r="AI96" s="24">
        <v>2</v>
      </c>
      <c r="AJ96" s="24">
        <v>12</v>
      </c>
      <c r="AK96" s="22" t="s">
        <v>48</v>
      </c>
      <c r="AL96" s="22"/>
    </row>
    <row r="97" spans="1:38" x14ac:dyDescent="0.2">
      <c r="A97" s="22" t="s">
        <v>35</v>
      </c>
      <c r="B97" s="22" t="s">
        <v>268</v>
      </c>
      <c r="C97" s="22"/>
      <c r="D97" s="22" t="s">
        <v>37</v>
      </c>
      <c r="E97" s="22" t="s">
        <v>1359</v>
      </c>
      <c r="F97" s="22"/>
      <c r="G97" s="22"/>
      <c r="H97" s="80"/>
      <c r="I97" s="22" t="s">
        <v>1360</v>
      </c>
      <c r="J97" s="22"/>
      <c r="K97" s="22" t="s">
        <v>42</v>
      </c>
      <c r="L97" s="24">
        <v>2024</v>
      </c>
      <c r="M97" s="24"/>
      <c r="N97" s="51"/>
      <c r="O97" s="39"/>
      <c r="P97" s="27">
        <v>50</v>
      </c>
      <c r="Q97" s="28">
        <v>6000</v>
      </c>
      <c r="R97" s="28">
        <v>240</v>
      </c>
      <c r="S97" s="29"/>
      <c r="T97" s="24"/>
      <c r="U97" s="24"/>
      <c r="V97" s="24"/>
      <c r="W97" s="24"/>
      <c r="X97" s="24"/>
      <c r="Y97" s="24"/>
      <c r="Z97" s="22" t="s">
        <v>42</v>
      </c>
      <c r="AA97" s="22"/>
      <c r="AB97" s="40"/>
      <c r="AC97" s="71" t="s">
        <v>1361</v>
      </c>
      <c r="AD97" s="24">
        <v>1</v>
      </c>
      <c r="AE97" s="24">
        <v>3</v>
      </c>
      <c r="AF97" s="24">
        <v>2</v>
      </c>
      <c r="AG97" s="24">
        <v>3</v>
      </c>
      <c r="AH97" s="24">
        <v>1</v>
      </c>
      <c r="AI97" s="24">
        <v>3</v>
      </c>
      <c r="AJ97" s="24">
        <f>AI97*AH97*AG97*AF97*AE97*AD97</f>
        <v>54</v>
      </c>
      <c r="AK97" s="22"/>
      <c r="AL97" s="40">
        <v>45078</v>
      </c>
    </row>
    <row r="98" spans="1:38" ht="38.25" x14ac:dyDescent="0.2">
      <c r="A98" s="22" t="s">
        <v>35</v>
      </c>
      <c r="B98" s="22" t="s">
        <v>456</v>
      </c>
      <c r="C98" s="22"/>
      <c r="D98" s="22" t="s">
        <v>60</v>
      </c>
      <c r="E98" s="22" t="s">
        <v>457</v>
      </c>
      <c r="F98" s="22"/>
      <c r="G98" s="97" t="s">
        <v>962</v>
      </c>
      <c r="H98" s="22"/>
      <c r="I98" s="22" t="s">
        <v>458</v>
      </c>
      <c r="J98" s="22" t="s">
        <v>459</v>
      </c>
      <c r="K98" s="22" t="s">
        <v>460</v>
      </c>
      <c r="L98" s="24">
        <v>2018</v>
      </c>
      <c r="M98" s="24"/>
      <c r="N98" s="51">
        <f>130/81500000*8500000</f>
        <v>13.558282208588956</v>
      </c>
      <c r="O98" s="39"/>
      <c r="P98" s="27">
        <f t="shared" si="11"/>
        <v>0</v>
      </c>
      <c r="Q98" s="28"/>
      <c r="R98" s="28">
        <f t="shared" si="12"/>
        <v>4</v>
      </c>
      <c r="S98" s="29">
        <f t="shared" si="13"/>
        <v>0</v>
      </c>
      <c r="T98" s="24"/>
      <c r="U98" s="24"/>
      <c r="V98" s="24"/>
      <c r="W98" s="24"/>
      <c r="X98" s="24"/>
      <c r="Y98" s="24"/>
      <c r="Z98" s="22" t="s">
        <v>42</v>
      </c>
      <c r="AA98" s="22"/>
      <c r="AB98" s="40" t="s">
        <v>70</v>
      </c>
      <c r="AC98" s="71" t="s">
        <v>461</v>
      </c>
      <c r="AD98" s="24">
        <v>1</v>
      </c>
      <c r="AE98" s="24">
        <v>1</v>
      </c>
      <c r="AF98" s="24">
        <v>1</v>
      </c>
      <c r="AG98" s="24">
        <v>3</v>
      </c>
      <c r="AH98" s="24">
        <v>1</v>
      </c>
      <c r="AI98" s="24">
        <v>2</v>
      </c>
      <c r="AJ98" s="24">
        <v>6</v>
      </c>
      <c r="AK98" s="22" t="s">
        <v>48</v>
      </c>
      <c r="AL98" s="22"/>
    </row>
    <row r="99" spans="1:38" ht="38.25" x14ac:dyDescent="0.2">
      <c r="A99" s="22" t="s">
        <v>35</v>
      </c>
      <c r="B99" s="22" t="s">
        <v>744</v>
      </c>
      <c r="C99" s="22"/>
      <c r="D99" s="22" t="s">
        <v>37</v>
      </c>
      <c r="E99" s="22" t="s">
        <v>457</v>
      </c>
      <c r="F99" s="22"/>
      <c r="G99" s="97" t="s">
        <v>962</v>
      </c>
      <c r="H99" s="22"/>
      <c r="I99" s="22" t="s">
        <v>745</v>
      </c>
      <c r="J99" s="22" t="s">
        <v>746</v>
      </c>
      <c r="K99" s="22" t="s">
        <v>42</v>
      </c>
      <c r="L99" s="24">
        <v>2018</v>
      </c>
      <c r="M99" s="24"/>
      <c r="N99" s="51">
        <v>990</v>
      </c>
      <c r="O99" s="39"/>
      <c r="P99" s="27">
        <f t="shared" si="11"/>
        <v>0</v>
      </c>
      <c r="Q99" s="28"/>
      <c r="R99" s="28">
        <f t="shared" si="12"/>
        <v>4</v>
      </c>
      <c r="S99" s="29">
        <f t="shared" si="13"/>
        <v>0</v>
      </c>
      <c r="T99" s="24"/>
      <c r="U99" s="24"/>
      <c r="V99" s="24"/>
      <c r="W99" s="24"/>
      <c r="X99" s="24"/>
      <c r="Y99" s="24"/>
      <c r="Z99" s="22" t="s">
        <v>42</v>
      </c>
      <c r="AA99" s="22" t="s">
        <v>43</v>
      </c>
      <c r="AB99" s="40" t="s">
        <v>56</v>
      </c>
      <c r="AC99" s="71" t="s">
        <v>747</v>
      </c>
      <c r="AD99" s="24">
        <v>1</v>
      </c>
      <c r="AE99" s="24">
        <v>2</v>
      </c>
      <c r="AF99" s="24">
        <v>2</v>
      </c>
      <c r="AG99" s="24">
        <v>2</v>
      </c>
      <c r="AH99" s="24">
        <v>1</v>
      </c>
      <c r="AI99" s="24">
        <v>2</v>
      </c>
      <c r="AJ99" s="24">
        <v>16</v>
      </c>
      <c r="AK99" s="22" t="s">
        <v>48</v>
      </c>
      <c r="AL99" s="22"/>
    </row>
    <row r="100" spans="1:38" ht="38.25" x14ac:dyDescent="0.2">
      <c r="A100" s="30" t="s">
        <v>58</v>
      </c>
      <c r="B100" s="30" t="s">
        <v>133</v>
      </c>
      <c r="C100" s="30"/>
      <c r="D100" s="30" t="s">
        <v>98</v>
      </c>
      <c r="E100" s="30" t="s">
        <v>134</v>
      </c>
      <c r="F100" s="30"/>
      <c r="G100" s="30"/>
      <c r="H100" s="72" t="s">
        <v>930</v>
      </c>
      <c r="I100" s="30" t="s">
        <v>135</v>
      </c>
      <c r="J100" s="30"/>
      <c r="K100" s="30" t="s">
        <v>64</v>
      </c>
      <c r="L100" s="31">
        <v>2024</v>
      </c>
      <c r="M100" s="31"/>
      <c r="N100" s="32">
        <f>8500000/100000*20</f>
        <v>1700</v>
      </c>
      <c r="O100" s="33"/>
      <c r="P100" s="34">
        <f t="shared" si="11"/>
        <v>0</v>
      </c>
      <c r="Q100" s="35"/>
      <c r="R100" s="35">
        <f t="shared" si="12"/>
        <v>4</v>
      </c>
      <c r="S100" s="36">
        <f t="shared" si="13"/>
        <v>0</v>
      </c>
      <c r="T100" s="31"/>
      <c r="U100" s="31"/>
      <c r="V100" s="31"/>
      <c r="W100" s="31"/>
      <c r="X100" s="31"/>
      <c r="Y100" s="31"/>
      <c r="Z100" s="30" t="s">
        <v>64</v>
      </c>
      <c r="AA100" s="30"/>
      <c r="AB100" s="30" t="s">
        <v>56</v>
      </c>
      <c r="AC100" s="72" t="s">
        <v>1342</v>
      </c>
      <c r="AD100" s="31">
        <v>1</v>
      </c>
      <c r="AE100" s="31">
        <v>2</v>
      </c>
      <c r="AF100" s="31">
        <v>1</v>
      </c>
      <c r="AG100" s="31">
        <v>3</v>
      </c>
      <c r="AH100" s="31">
        <v>3</v>
      </c>
      <c r="AI100" s="31">
        <v>1</v>
      </c>
      <c r="AJ100" s="31">
        <v>18</v>
      </c>
      <c r="AK100" s="30" t="s">
        <v>48</v>
      </c>
      <c r="AL100" s="30"/>
    </row>
    <row r="101" spans="1:38" ht="38.25" x14ac:dyDescent="0.2">
      <c r="A101" s="22" t="s">
        <v>86</v>
      </c>
      <c r="B101" s="22" t="s">
        <v>105</v>
      </c>
      <c r="C101" s="22"/>
      <c r="D101" s="22" t="s">
        <v>98</v>
      </c>
      <c r="E101" s="22" t="s">
        <v>540</v>
      </c>
      <c r="F101" s="80" t="s">
        <v>971</v>
      </c>
      <c r="G101" s="22"/>
      <c r="H101" s="22"/>
      <c r="I101" s="22" t="s">
        <v>541</v>
      </c>
      <c r="J101" s="22"/>
      <c r="K101" s="22" t="s">
        <v>42</v>
      </c>
      <c r="L101" s="24">
        <v>2021</v>
      </c>
      <c r="M101" s="24"/>
      <c r="N101" s="38">
        <f>8000000*0.04</f>
        <v>320000</v>
      </c>
      <c r="O101" s="39"/>
      <c r="P101" s="27">
        <f t="shared" si="11"/>
        <v>0</v>
      </c>
      <c r="Q101" s="28"/>
      <c r="R101" s="28">
        <f t="shared" si="12"/>
        <v>4</v>
      </c>
      <c r="S101" s="29">
        <f t="shared" si="13"/>
        <v>0</v>
      </c>
      <c r="T101" s="24"/>
      <c r="U101" s="24"/>
      <c r="V101" s="24"/>
      <c r="W101" s="24"/>
      <c r="X101" s="24"/>
      <c r="Y101" s="24"/>
      <c r="Z101" s="22" t="s">
        <v>42</v>
      </c>
      <c r="AA101" s="22" t="s">
        <v>43</v>
      </c>
      <c r="AB101" s="22"/>
      <c r="AC101" s="71" t="s">
        <v>542</v>
      </c>
      <c r="AD101" s="24">
        <v>2</v>
      </c>
      <c r="AE101" s="24">
        <v>2</v>
      </c>
      <c r="AF101" s="24">
        <v>2</v>
      </c>
      <c r="AG101" s="24">
        <v>1</v>
      </c>
      <c r="AH101" s="24">
        <v>2</v>
      </c>
      <c r="AI101" s="24">
        <v>1</v>
      </c>
      <c r="AJ101" s="24">
        <v>16</v>
      </c>
      <c r="AK101" s="22" t="s">
        <v>45</v>
      </c>
      <c r="AL101" s="40">
        <v>43556</v>
      </c>
    </row>
    <row r="102" spans="1:38" ht="38.25" x14ac:dyDescent="0.2">
      <c r="A102" s="22" t="s">
        <v>58</v>
      </c>
      <c r="B102" s="22" t="s">
        <v>122</v>
      </c>
      <c r="C102" s="22"/>
      <c r="D102" s="22" t="s">
        <v>37</v>
      </c>
      <c r="E102" s="22" t="s">
        <v>798</v>
      </c>
      <c r="F102" s="22"/>
      <c r="G102" s="22"/>
      <c r="H102" s="78" t="s">
        <v>1000</v>
      </c>
      <c r="I102" s="22"/>
      <c r="J102" s="22" t="s">
        <v>799</v>
      </c>
      <c r="K102" s="22" t="s">
        <v>64</v>
      </c>
      <c r="L102" s="24">
        <v>2022</v>
      </c>
      <c r="M102" s="24"/>
      <c r="N102" s="38">
        <f>0.025*8000000</f>
        <v>200000</v>
      </c>
      <c r="O102" s="39"/>
      <c r="P102" s="27">
        <f t="shared" si="11"/>
        <v>0</v>
      </c>
      <c r="Q102" s="28"/>
      <c r="R102" s="28">
        <f t="shared" si="12"/>
        <v>4</v>
      </c>
      <c r="S102" s="29">
        <f t="shared" si="13"/>
        <v>0</v>
      </c>
      <c r="T102" s="24"/>
      <c r="U102" s="24"/>
      <c r="V102" s="24"/>
      <c r="W102" s="24"/>
      <c r="X102" s="24"/>
      <c r="Y102" s="24"/>
      <c r="Z102" s="22" t="s">
        <v>64</v>
      </c>
      <c r="AA102" s="22"/>
      <c r="AB102" s="22"/>
      <c r="AC102" s="71" t="s">
        <v>800</v>
      </c>
      <c r="AD102" s="24">
        <v>1</v>
      </c>
      <c r="AE102" s="24">
        <v>3</v>
      </c>
      <c r="AF102" s="24">
        <v>1</v>
      </c>
      <c r="AG102" s="24">
        <v>3</v>
      </c>
      <c r="AH102" s="24">
        <v>1</v>
      </c>
      <c r="AI102" s="24">
        <v>2</v>
      </c>
      <c r="AJ102" s="24">
        <v>18</v>
      </c>
      <c r="AK102" s="22" t="s">
        <v>48</v>
      </c>
      <c r="AL102" s="22"/>
    </row>
    <row r="103" spans="1:38" s="129" customFormat="1" ht="38.25" x14ac:dyDescent="0.2">
      <c r="A103" s="22" t="s">
        <v>35</v>
      </c>
      <c r="B103" s="22" t="s">
        <v>642</v>
      </c>
      <c r="C103" s="22"/>
      <c r="D103" s="65" t="s">
        <v>60</v>
      </c>
      <c r="E103" s="88" t="s">
        <v>88</v>
      </c>
      <c r="F103" s="80" t="s">
        <v>913</v>
      </c>
      <c r="G103" s="88"/>
      <c r="H103" s="88"/>
      <c r="I103" s="65" t="s">
        <v>831</v>
      </c>
      <c r="J103" s="22"/>
      <c r="K103" s="22" t="s">
        <v>42</v>
      </c>
      <c r="L103" s="24">
        <v>2022</v>
      </c>
      <c r="M103" s="24"/>
      <c r="N103" s="38"/>
      <c r="O103" s="39"/>
      <c r="P103" s="27"/>
      <c r="Q103" s="28"/>
      <c r="R103" s="28"/>
      <c r="S103" s="29"/>
      <c r="T103" s="24"/>
      <c r="U103" s="24"/>
      <c r="V103" s="24"/>
      <c r="W103" s="24"/>
      <c r="X103" s="24"/>
      <c r="Y103" s="24"/>
      <c r="Z103" s="22" t="s">
        <v>42</v>
      </c>
      <c r="AA103" s="22"/>
      <c r="AB103" s="41"/>
      <c r="AC103" s="67" t="s">
        <v>194</v>
      </c>
      <c r="AD103" s="24">
        <v>1</v>
      </c>
      <c r="AE103" s="24">
        <v>1</v>
      </c>
      <c r="AF103" s="24">
        <v>2</v>
      </c>
      <c r="AG103" s="24">
        <v>3</v>
      </c>
      <c r="AH103" s="24">
        <v>1</v>
      </c>
      <c r="AI103" s="24">
        <v>2</v>
      </c>
      <c r="AJ103" s="24">
        <v>12</v>
      </c>
      <c r="AK103" s="22" t="s">
        <v>48</v>
      </c>
      <c r="AL103" s="69"/>
    </row>
    <row r="104" spans="1:38" ht="38.25" x14ac:dyDescent="0.2">
      <c r="A104" s="22" t="s">
        <v>58</v>
      </c>
      <c r="B104" s="22" t="s">
        <v>829</v>
      </c>
      <c r="C104" s="22"/>
      <c r="D104" s="65"/>
      <c r="E104" s="88" t="s">
        <v>88</v>
      </c>
      <c r="F104" s="80" t="s">
        <v>913</v>
      </c>
      <c r="G104" s="88"/>
      <c r="H104" s="88"/>
      <c r="I104" s="65" t="s">
        <v>830</v>
      </c>
      <c r="J104" s="22"/>
      <c r="K104" s="22" t="s">
        <v>42</v>
      </c>
      <c r="L104" s="24">
        <v>2023</v>
      </c>
      <c r="M104" s="24"/>
      <c r="N104" s="38"/>
      <c r="O104" s="39"/>
      <c r="P104" s="27"/>
      <c r="Q104" s="28"/>
      <c r="R104" s="28"/>
      <c r="S104" s="29"/>
      <c r="T104" s="24"/>
      <c r="U104" s="24"/>
      <c r="V104" s="24"/>
      <c r="W104" s="24"/>
      <c r="X104" s="24"/>
      <c r="Y104" s="24"/>
      <c r="Z104" s="22" t="s">
        <v>42</v>
      </c>
      <c r="AA104" s="22"/>
      <c r="AB104" s="41"/>
      <c r="AC104" s="67"/>
      <c r="AD104" s="24"/>
      <c r="AE104" s="24"/>
      <c r="AF104" s="24"/>
      <c r="AG104" s="24"/>
      <c r="AH104" s="24"/>
      <c r="AI104" s="24"/>
      <c r="AJ104" s="24">
        <v>0</v>
      </c>
      <c r="AK104" s="22"/>
      <c r="AL104" s="69"/>
    </row>
    <row r="105" spans="1:38" ht="38.25" x14ac:dyDescent="0.2">
      <c r="A105" s="22" t="s">
        <v>47</v>
      </c>
      <c r="B105" s="22" t="s">
        <v>827</v>
      </c>
      <c r="C105" s="22"/>
      <c r="D105" s="65" t="s">
        <v>37</v>
      </c>
      <c r="E105" s="88" t="s">
        <v>88</v>
      </c>
      <c r="F105" s="80" t="s">
        <v>913</v>
      </c>
      <c r="G105" s="88"/>
      <c r="H105" s="88"/>
      <c r="I105" s="65" t="s">
        <v>828</v>
      </c>
      <c r="J105" s="22"/>
      <c r="K105" s="22" t="s">
        <v>42</v>
      </c>
      <c r="L105" s="24">
        <v>2022</v>
      </c>
      <c r="M105" s="24"/>
      <c r="N105" s="38"/>
      <c r="O105" s="39"/>
      <c r="P105" s="27"/>
      <c r="Q105" s="28"/>
      <c r="R105" s="28"/>
      <c r="S105" s="29"/>
      <c r="T105" s="24"/>
      <c r="U105" s="24"/>
      <c r="V105" s="24"/>
      <c r="W105" s="24"/>
      <c r="X105" s="24"/>
      <c r="Y105" s="24"/>
      <c r="Z105" s="22" t="s">
        <v>42</v>
      </c>
      <c r="AA105" s="22"/>
      <c r="AB105" s="41"/>
      <c r="AC105" s="67"/>
      <c r="AD105" s="24"/>
      <c r="AE105" s="24"/>
      <c r="AF105" s="24"/>
      <c r="AG105" s="24"/>
      <c r="AH105" s="24"/>
      <c r="AI105" s="24"/>
      <c r="AJ105" s="24">
        <v>0</v>
      </c>
      <c r="AK105" s="22"/>
      <c r="AL105" s="69"/>
    </row>
    <row r="106" spans="1:38" x14ac:dyDescent="0.2">
      <c r="A106" s="13" t="s">
        <v>86</v>
      </c>
      <c r="B106" s="13" t="s">
        <v>1238</v>
      </c>
      <c r="C106" s="13"/>
      <c r="D106" s="13" t="s">
        <v>37</v>
      </c>
      <c r="E106" s="13" t="s">
        <v>1351</v>
      </c>
      <c r="F106" s="70"/>
      <c r="G106" s="13"/>
      <c r="H106" s="13"/>
      <c r="I106" s="13" t="s">
        <v>89</v>
      </c>
      <c r="J106" s="13" t="s">
        <v>1353</v>
      </c>
      <c r="K106" s="13" t="s">
        <v>42</v>
      </c>
      <c r="L106" s="14">
        <v>2020</v>
      </c>
      <c r="M106" s="14"/>
      <c r="N106" s="15">
        <v>16000</v>
      </c>
      <c r="O106" s="16"/>
      <c r="P106" s="17">
        <v>100</v>
      </c>
      <c r="Q106" s="18">
        <v>1300</v>
      </c>
      <c r="R106" s="18">
        <f>IF(Q106&lt;4.99,(Q106*12%+4),IF(Q106&lt;10.99,(Q106*12%+8),IF(Q106&lt;14.99,(Q106*12%+12),IF(Q106&lt;879.99,(Q106*12%+16),IF(Q106&lt;2569.99,(Q106*7%+60),240)))))</f>
        <v>151</v>
      </c>
      <c r="S106" s="19">
        <f>R106*P106</f>
        <v>15100</v>
      </c>
      <c r="T106" s="14"/>
      <c r="U106" s="14"/>
      <c r="V106" s="14"/>
      <c r="W106" s="14"/>
      <c r="X106" s="14"/>
      <c r="Y106" s="14"/>
      <c r="Z106" s="13" t="s">
        <v>42</v>
      </c>
      <c r="AA106" s="13"/>
      <c r="AB106" s="20"/>
      <c r="AC106" s="70" t="s">
        <v>1352</v>
      </c>
      <c r="AD106" s="14">
        <v>1</v>
      </c>
      <c r="AE106" s="14">
        <v>3</v>
      </c>
      <c r="AF106" s="14">
        <v>2</v>
      </c>
      <c r="AG106" s="14">
        <v>1</v>
      </c>
      <c r="AH106" s="14">
        <v>2</v>
      </c>
      <c r="AI106" s="14">
        <v>2</v>
      </c>
      <c r="AJ106" s="14">
        <v>24</v>
      </c>
      <c r="AK106" s="13" t="s">
        <v>48</v>
      </c>
      <c r="AL106" s="13"/>
    </row>
    <row r="107" spans="1:38" x14ac:dyDescent="0.2">
      <c r="A107" s="30" t="s">
        <v>47</v>
      </c>
      <c r="B107" s="30" t="s">
        <v>1343</v>
      </c>
      <c r="C107" s="30"/>
      <c r="D107" s="30" t="s">
        <v>98</v>
      </c>
      <c r="E107" s="30" t="s">
        <v>88</v>
      </c>
      <c r="F107" s="72"/>
      <c r="G107" s="30"/>
      <c r="H107" s="106"/>
      <c r="I107" s="30" t="s">
        <v>1344</v>
      </c>
      <c r="J107" s="30" t="s">
        <v>1345</v>
      </c>
      <c r="K107" s="30" t="s">
        <v>834</v>
      </c>
      <c r="L107" s="31">
        <v>2023</v>
      </c>
      <c r="M107" s="31"/>
      <c r="N107" s="32">
        <v>10</v>
      </c>
      <c r="O107" s="33"/>
      <c r="P107" s="34">
        <v>5</v>
      </c>
      <c r="Q107" s="35">
        <v>14000</v>
      </c>
      <c r="R107" s="35">
        <v>240</v>
      </c>
      <c r="S107" s="36"/>
      <c r="T107" s="31"/>
      <c r="U107" s="31"/>
      <c r="V107" s="31"/>
      <c r="W107" s="31"/>
      <c r="X107" s="31"/>
      <c r="Y107" s="31"/>
      <c r="Z107" s="30" t="s">
        <v>42</v>
      </c>
      <c r="AA107" s="72"/>
      <c r="AB107" s="31"/>
      <c r="AC107" s="31" t="s">
        <v>1346</v>
      </c>
      <c r="AD107" s="31">
        <v>1</v>
      </c>
      <c r="AE107" s="31">
        <v>1</v>
      </c>
      <c r="AF107" s="31">
        <v>2</v>
      </c>
      <c r="AG107" s="31">
        <v>3</v>
      </c>
      <c r="AH107" s="31">
        <v>2</v>
      </c>
      <c r="AI107" s="30">
        <v>2</v>
      </c>
      <c r="AJ107" s="30">
        <f>AI107*AH107*AG107*AF107*AE107*AD107</f>
        <v>24</v>
      </c>
      <c r="AK107" t="s">
        <v>45</v>
      </c>
      <c r="AL107"/>
    </row>
    <row r="108" spans="1:38" ht="38.25" x14ac:dyDescent="0.2">
      <c r="A108" s="22" t="s">
        <v>35</v>
      </c>
      <c r="B108" s="22" t="s">
        <v>211</v>
      </c>
      <c r="C108" s="22"/>
      <c r="D108" s="22" t="s">
        <v>60</v>
      </c>
      <c r="E108" s="22" t="s">
        <v>88</v>
      </c>
      <c r="F108" s="71" t="s">
        <v>913</v>
      </c>
      <c r="G108" s="22"/>
      <c r="H108" s="22"/>
      <c r="I108" s="22" t="s">
        <v>212</v>
      </c>
      <c r="J108" s="22"/>
      <c r="K108" s="22" t="s">
        <v>42</v>
      </c>
      <c r="L108" s="24">
        <v>2020</v>
      </c>
      <c r="M108" s="24"/>
      <c r="N108" s="38">
        <f>8500000/100000*150</f>
        <v>12750</v>
      </c>
      <c r="O108" s="39"/>
      <c r="P108" s="27">
        <f>N108*O108</f>
        <v>0</v>
      </c>
      <c r="Q108" s="28"/>
      <c r="R108" s="28">
        <f>IF(Q108&lt;4.99,(Q108*12%+4),IF(Q108&lt;10.99,(Q108*12%+8),IF(Q108&lt;14.99,(Q108*12%+12),IF(Q108&lt;879.99,(Q108*12%+16),IF(Q108&lt;2569.99,(Q108*7%+60),240)))))</f>
        <v>4</v>
      </c>
      <c r="S108" s="29">
        <f>R108*P108</f>
        <v>0</v>
      </c>
      <c r="T108" s="24"/>
      <c r="U108" s="24"/>
      <c r="V108" s="24"/>
      <c r="W108" s="24"/>
      <c r="X108" s="24"/>
      <c r="Y108" s="24"/>
      <c r="Z108" s="22" t="s">
        <v>42</v>
      </c>
      <c r="AA108" s="22" t="s">
        <v>182</v>
      </c>
      <c r="AB108" s="40" t="s">
        <v>213</v>
      </c>
      <c r="AC108" s="71" t="s">
        <v>214</v>
      </c>
      <c r="AD108" s="24">
        <v>1</v>
      </c>
      <c r="AE108" s="24">
        <v>2</v>
      </c>
      <c r="AF108" s="24">
        <v>2</v>
      </c>
      <c r="AG108" s="24">
        <v>3</v>
      </c>
      <c r="AH108" s="24">
        <v>1</v>
      </c>
      <c r="AI108" s="24">
        <v>2</v>
      </c>
      <c r="AJ108" s="24">
        <v>24</v>
      </c>
      <c r="AK108" s="22" t="s">
        <v>45</v>
      </c>
      <c r="AL108" s="22"/>
    </row>
    <row r="109" spans="1:38" s="133" customFormat="1" x14ac:dyDescent="0.2">
      <c r="A109" s="30" t="s">
        <v>47</v>
      </c>
      <c r="B109" s="30" t="s">
        <v>1317</v>
      </c>
      <c r="C109" s="30"/>
      <c r="D109" s="30" t="s">
        <v>37</v>
      </c>
      <c r="E109" s="30" t="s">
        <v>706</v>
      </c>
      <c r="F109" s="72"/>
      <c r="G109" s="30"/>
      <c r="H109" s="30"/>
      <c r="I109" s="30" t="s">
        <v>1321</v>
      </c>
      <c r="J109" s="30"/>
      <c r="K109" s="30" t="s">
        <v>42</v>
      </c>
      <c r="L109" s="31">
        <v>2026</v>
      </c>
      <c r="M109" s="31"/>
      <c r="N109" s="32"/>
      <c r="O109" s="33"/>
      <c r="P109" s="34"/>
      <c r="Q109" s="35"/>
      <c r="R109" s="35"/>
      <c r="S109" s="36"/>
      <c r="T109" s="31"/>
      <c r="U109" s="31"/>
      <c r="V109" s="31"/>
      <c r="W109" s="31"/>
      <c r="X109" s="31"/>
      <c r="Y109" s="31"/>
      <c r="Z109" s="30"/>
      <c r="AA109" s="30"/>
      <c r="AB109" s="37"/>
      <c r="AC109" s="72"/>
      <c r="AD109" s="31"/>
      <c r="AE109" s="31"/>
      <c r="AF109" s="31"/>
      <c r="AG109" s="31"/>
      <c r="AH109" s="31"/>
      <c r="AI109" s="31"/>
      <c r="AJ109" s="31"/>
      <c r="AK109" s="30"/>
      <c r="AL109" s="30"/>
    </row>
    <row r="110" spans="1:38" ht="38.25" x14ac:dyDescent="0.2">
      <c r="A110" s="22" t="s">
        <v>35</v>
      </c>
      <c r="B110" s="22" t="s">
        <v>100</v>
      </c>
      <c r="C110" s="22"/>
      <c r="D110" s="65" t="s">
        <v>60</v>
      </c>
      <c r="E110" s="88" t="s">
        <v>706</v>
      </c>
      <c r="F110" s="78" t="s">
        <v>912</v>
      </c>
      <c r="G110" s="88"/>
      <c r="H110" s="88"/>
      <c r="I110" s="65" t="s">
        <v>832</v>
      </c>
      <c r="J110" s="22" t="s">
        <v>833</v>
      </c>
      <c r="K110" s="22" t="s">
        <v>834</v>
      </c>
      <c r="L110" s="24">
        <v>2021</v>
      </c>
      <c r="M110" s="24"/>
      <c r="N110" s="38"/>
      <c r="O110" s="39"/>
      <c r="P110" s="27"/>
      <c r="Q110" s="28"/>
      <c r="R110" s="28"/>
      <c r="S110" s="29"/>
      <c r="T110" s="24"/>
      <c r="U110" s="24"/>
      <c r="V110" s="24"/>
      <c r="W110" s="24"/>
      <c r="X110" s="24"/>
      <c r="Y110" s="24"/>
      <c r="Z110" s="22" t="s">
        <v>42</v>
      </c>
      <c r="AA110" s="22"/>
      <c r="AB110" s="41"/>
      <c r="AC110" s="67"/>
      <c r="AD110" s="24"/>
      <c r="AE110" s="24"/>
      <c r="AF110" s="24"/>
      <c r="AG110" s="24"/>
      <c r="AH110" s="24"/>
      <c r="AI110" s="24"/>
      <c r="AJ110" s="24">
        <v>0</v>
      </c>
      <c r="AK110" s="22"/>
      <c r="AL110" s="69"/>
    </row>
    <row r="111" spans="1:38" x14ac:dyDescent="0.2">
      <c r="A111" s="30" t="s">
        <v>47</v>
      </c>
      <c r="B111" s="30" t="s">
        <v>1136</v>
      </c>
      <c r="C111" s="30"/>
      <c r="D111" s="30" t="s">
        <v>37</v>
      </c>
      <c r="E111" s="30" t="s">
        <v>706</v>
      </c>
      <c r="F111" s="72"/>
      <c r="G111" s="30"/>
      <c r="H111" s="106"/>
      <c r="I111" s="30" t="s">
        <v>1137</v>
      </c>
      <c r="J111" s="30" t="s">
        <v>1138</v>
      </c>
      <c r="K111" s="30"/>
      <c r="L111" s="31">
        <v>2023</v>
      </c>
      <c r="M111" s="31"/>
      <c r="N111" s="32"/>
      <c r="O111" s="33"/>
      <c r="P111" s="34"/>
      <c r="Q111" s="35"/>
      <c r="R111" s="35"/>
      <c r="S111" s="36"/>
      <c r="T111" s="31"/>
      <c r="U111" s="31"/>
      <c r="V111" s="31"/>
      <c r="W111" s="31"/>
      <c r="X111" s="31"/>
      <c r="Y111" s="31"/>
      <c r="Z111" s="30"/>
      <c r="AA111" s="30"/>
      <c r="AB111" s="30"/>
      <c r="AC111" s="72"/>
      <c r="AD111" s="31"/>
      <c r="AE111" s="31"/>
      <c r="AF111" s="31"/>
      <c r="AG111" s="31"/>
      <c r="AH111" s="31"/>
      <c r="AI111" s="31"/>
      <c r="AJ111" s="31"/>
      <c r="AK111" s="30"/>
      <c r="AL111" s="30"/>
    </row>
    <row r="112" spans="1:38" ht="25.5" x14ac:dyDescent="0.2">
      <c r="A112" s="30" t="s">
        <v>35</v>
      </c>
      <c r="B112" s="30" t="s">
        <v>82</v>
      </c>
      <c r="C112" s="30"/>
      <c r="D112" s="30" t="s">
        <v>37</v>
      </c>
      <c r="E112" s="30" t="s">
        <v>706</v>
      </c>
      <c r="F112" s="72"/>
      <c r="G112" s="30"/>
      <c r="H112" s="106"/>
      <c r="I112" s="30" t="s">
        <v>1218</v>
      </c>
      <c r="J112" s="30" t="s">
        <v>1399</v>
      </c>
      <c r="K112" s="30" t="s">
        <v>63</v>
      </c>
      <c r="L112" s="31">
        <v>2023</v>
      </c>
      <c r="M112" s="31"/>
      <c r="N112" s="32">
        <v>85</v>
      </c>
      <c r="O112" s="33">
        <v>0.2</v>
      </c>
      <c r="P112" s="34">
        <v>15</v>
      </c>
      <c r="Q112" s="35">
        <v>5000</v>
      </c>
      <c r="R112" s="35">
        <v>240</v>
      </c>
      <c r="S112" s="36"/>
      <c r="T112" s="31"/>
      <c r="U112" s="31"/>
      <c r="V112" s="31"/>
      <c r="W112" s="31"/>
      <c r="X112" s="31"/>
      <c r="Y112" s="31"/>
      <c r="Z112" s="30" t="s">
        <v>42</v>
      </c>
      <c r="AA112" s="30"/>
      <c r="AB112" s="30"/>
      <c r="AC112" s="72" t="s">
        <v>1400</v>
      </c>
      <c r="AD112" s="31">
        <v>2</v>
      </c>
      <c r="AE112" s="31">
        <v>2</v>
      </c>
      <c r="AF112" s="31">
        <v>2</v>
      </c>
      <c r="AG112" s="31">
        <v>3</v>
      </c>
      <c r="AH112" s="31">
        <v>1</v>
      </c>
      <c r="AI112" s="31">
        <v>2</v>
      </c>
      <c r="AJ112" s="31">
        <f>AI112*AH112*AG112*AF112*AE112*AD112</f>
        <v>48</v>
      </c>
      <c r="AK112" s="30" t="s">
        <v>45</v>
      </c>
      <c r="AL112" s="37">
        <v>44805</v>
      </c>
    </row>
    <row r="113" spans="1:39" ht="38.25" x14ac:dyDescent="0.2">
      <c r="A113" s="13" t="s">
        <v>35</v>
      </c>
      <c r="B113" s="13" t="s">
        <v>78</v>
      </c>
      <c r="C113" s="13"/>
      <c r="D113" s="13" t="s">
        <v>60</v>
      </c>
      <c r="E113" s="13" t="s">
        <v>79</v>
      </c>
      <c r="F113" s="70" t="s">
        <v>912</v>
      </c>
      <c r="G113" s="13"/>
      <c r="H113" s="108"/>
      <c r="I113" s="13" t="s">
        <v>80</v>
      </c>
      <c r="J113" s="13" t="s">
        <v>1125</v>
      </c>
      <c r="K113" s="13" t="s">
        <v>42</v>
      </c>
      <c r="L113" s="14">
        <v>2021</v>
      </c>
      <c r="M113" s="14"/>
      <c r="N113" s="15">
        <v>600</v>
      </c>
      <c r="O113" s="16"/>
      <c r="P113" s="17">
        <f t="shared" ref="P113:P120" si="14">N113*O113</f>
        <v>0</v>
      </c>
      <c r="Q113" s="18"/>
      <c r="R113" s="18">
        <f t="shared" ref="R113:R120" si="15">IF(Q113&lt;4.99,(Q113*12%+4),IF(Q113&lt;10.99,(Q113*12%+8),IF(Q113&lt;14.99,(Q113*12%+12),IF(Q113&lt;879.99,(Q113*12%+16),IF(Q113&lt;2569.99,(Q113*7%+60),240)))))</f>
        <v>4</v>
      </c>
      <c r="S113" s="19">
        <f t="shared" ref="S113:S120" si="16">R113*P113</f>
        <v>0</v>
      </c>
      <c r="T113" s="14"/>
      <c r="U113" s="14"/>
      <c r="V113" s="14"/>
      <c r="W113" s="14"/>
      <c r="X113" s="14"/>
      <c r="Y113" s="14"/>
      <c r="Z113" s="13" t="s">
        <v>201</v>
      </c>
      <c r="AA113" s="13"/>
      <c r="AB113" s="13"/>
      <c r="AC113" s="70" t="s">
        <v>81</v>
      </c>
      <c r="AD113" s="14">
        <v>3</v>
      </c>
      <c r="AE113" s="14">
        <v>2</v>
      </c>
      <c r="AF113" s="14">
        <v>1</v>
      </c>
      <c r="AG113" s="14">
        <v>3</v>
      </c>
      <c r="AH113" s="14">
        <v>1</v>
      </c>
      <c r="AI113" s="14">
        <v>2</v>
      </c>
      <c r="AJ113" s="14">
        <v>36</v>
      </c>
      <c r="AK113" s="13" t="s">
        <v>45</v>
      </c>
      <c r="AL113" s="13"/>
    </row>
    <row r="114" spans="1:39" ht="38.25" x14ac:dyDescent="0.2">
      <c r="A114" s="22" t="s">
        <v>58</v>
      </c>
      <c r="B114" s="23" t="s">
        <v>287</v>
      </c>
      <c r="C114" s="22"/>
      <c r="D114" s="23" t="s">
        <v>37</v>
      </c>
      <c r="E114" s="22" t="s">
        <v>288</v>
      </c>
      <c r="F114" s="88" t="s">
        <v>946</v>
      </c>
      <c r="G114" s="22"/>
      <c r="H114" s="95"/>
      <c r="I114" s="23" t="s">
        <v>289</v>
      </c>
      <c r="J114" s="22" t="s">
        <v>290</v>
      </c>
      <c r="K114" s="22" t="s">
        <v>63</v>
      </c>
      <c r="L114" s="24">
        <v>2021</v>
      </c>
      <c r="M114" s="24"/>
      <c r="N114" s="52">
        <f>8500000/100000*15</f>
        <v>1275</v>
      </c>
      <c r="O114" s="39"/>
      <c r="P114" s="27">
        <f t="shared" si="14"/>
        <v>0</v>
      </c>
      <c r="Q114" s="28"/>
      <c r="R114" s="28">
        <f t="shared" si="15"/>
        <v>4</v>
      </c>
      <c r="S114" s="29">
        <f t="shared" si="16"/>
        <v>0</v>
      </c>
      <c r="T114" s="24"/>
      <c r="U114" s="24"/>
      <c r="V114" s="24"/>
      <c r="W114" s="24"/>
      <c r="X114" s="24"/>
      <c r="Y114" s="24"/>
      <c r="Z114" s="22" t="s">
        <v>42</v>
      </c>
      <c r="AA114" s="22"/>
      <c r="AB114" s="40" t="s">
        <v>56</v>
      </c>
      <c r="AC114" s="71" t="s">
        <v>291</v>
      </c>
      <c r="AD114" s="24">
        <v>1</v>
      </c>
      <c r="AE114" s="24">
        <v>1</v>
      </c>
      <c r="AF114" s="24">
        <v>2</v>
      </c>
      <c r="AG114" s="24">
        <v>3</v>
      </c>
      <c r="AH114" s="24">
        <v>1</v>
      </c>
      <c r="AI114" s="24">
        <v>2</v>
      </c>
      <c r="AJ114" s="24">
        <v>12</v>
      </c>
      <c r="AK114" s="22" t="s">
        <v>48</v>
      </c>
      <c r="AL114" s="22"/>
    </row>
    <row r="115" spans="1:39" ht="38.25" x14ac:dyDescent="0.2">
      <c r="A115" s="22" t="s">
        <v>35</v>
      </c>
      <c r="B115" s="22" t="s">
        <v>116</v>
      </c>
      <c r="C115" s="22"/>
      <c r="D115" s="23" t="s">
        <v>311</v>
      </c>
      <c r="E115" s="22" t="s">
        <v>312</v>
      </c>
      <c r="F115" s="83" t="s">
        <v>948</v>
      </c>
      <c r="G115" s="22"/>
      <c r="H115" s="22"/>
      <c r="I115" s="23" t="s">
        <v>313</v>
      </c>
      <c r="J115" s="23" t="s">
        <v>314</v>
      </c>
      <c r="K115" s="23" t="s">
        <v>315</v>
      </c>
      <c r="L115" s="24">
        <v>2020</v>
      </c>
      <c r="M115" s="24"/>
      <c r="N115" s="38">
        <f>8500000/100000*56</f>
        <v>4760</v>
      </c>
      <c r="O115" s="39"/>
      <c r="P115" s="27">
        <f t="shared" si="14"/>
        <v>0</v>
      </c>
      <c r="Q115" s="28"/>
      <c r="R115" s="28">
        <f t="shared" si="15"/>
        <v>4</v>
      </c>
      <c r="S115" s="29">
        <f t="shared" si="16"/>
        <v>0</v>
      </c>
      <c r="T115" s="24"/>
      <c r="U115" s="24"/>
      <c r="V115" s="24"/>
      <c r="W115" s="24"/>
      <c r="X115" s="24"/>
      <c r="Y115" s="24"/>
      <c r="Z115" s="22" t="s">
        <v>42</v>
      </c>
      <c r="AA115" s="22"/>
      <c r="AB115" s="40" t="s">
        <v>95</v>
      </c>
      <c r="AC115" s="71" t="s">
        <v>316</v>
      </c>
      <c r="AD115" s="24">
        <v>1</v>
      </c>
      <c r="AE115" s="24">
        <v>1</v>
      </c>
      <c r="AF115" s="24">
        <v>1</v>
      </c>
      <c r="AG115" s="24">
        <v>3</v>
      </c>
      <c r="AH115" s="24">
        <v>1</v>
      </c>
      <c r="AI115" s="24">
        <v>1</v>
      </c>
      <c r="AJ115" s="24">
        <v>3</v>
      </c>
      <c r="AK115" s="22" t="s">
        <v>48</v>
      </c>
      <c r="AL115" s="22"/>
    </row>
    <row r="116" spans="1:39" s="133" customFormat="1" ht="38.25" x14ac:dyDescent="0.2">
      <c r="A116" s="30" t="s">
        <v>58</v>
      </c>
      <c r="B116" s="30" t="s">
        <v>234</v>
      </c>
      <c r="C116" s="30"/>
      <c r="D116" s="30" t="s">
        <v>37</v>
      </c>
      <c r="E116" s="30" t="s">
        <v>235</v>
      </c>
      <c r="F116" s="72" t="s">
        <v>939</v>
      </c>
      <c r="G116" s="30"/>
      <c r="H116" s="30"/>
      <c r="I116" s="30" t="s">
        <v>236</v>
      </c>
      <c r="J116" s="30"/>
      <c r="K116" s="30" t="s">
        <v>42</v>
      </c>
      <c r="L116" s="31">
        <v>2023</v>
      </c>
      <c r="M116" s="31"/>
      <c r="N116" s="32">
        <f>0.15*1500000</f>
        <v>225000</v>
      </c>
      <c r="O116" s="33"/>
      <c r="P116" s="34">
        <f t="shared" si="14"/>
        <v>0</v>
      </c>
      <c r="Q116" s="35"/>
      <c r="R116" s="35">
        <f t="shared" si="15"/>
        <v>4</v>
      </c>
      <c r="S116" s="36">
        <f t="shared" si="16"/>
        <v>0</v>
      </c>
      <c r="T116" s="31"/>
      <c r="U116" s="31"/>
      <c r="V116" s="31"/>
      <c r="W116" s="31"/>
      <c r="X116" s="31"/>
      <c r="Y116" s="31"/>
      <c r="Z116" s="30" t="s">
        <v>42</v>
      </c>
      <c r="AA116" s="30"/>
      <c r="AB116" s="37"/>
      <c r="AC116" s="72" t="s">
        <v>1358</v>
      </c>
      <c r="AD116" s="31">
        <v>2</v>
      </c>
      <c r="AE116" s="31">
        <v>3</v>
      </c>
      <c r="AF116" s="31">
        <v>3</v>
      </c>
      <c r="AG116" s="31">
        <v>3</v>
      </c>
      <c r="AH116" s="31">
        <v>1</v>
      </c>
      <c r="AI116" s="31">
        <v>1</v>
      </c>
      <c r="AJ116" s="31">
        <v>54</v>
      </c>
      <c r="AK116" s="30" t="s">
        <v>48</v>
      </c>
      <c r="AL116" s="30"/>
      <c r="AM116" s="133" t="s">
        <v>1357</v>
      </c>
    </row>
    <row r="117" spans="1:39" ht="38.25" x14ac:dyDescent="0.2">
      <c r="A117" s="22" t="s">
        <v>58</v>
      </c>
      <c r="B117" s="23" t="s">
        <v>515</v>
      </c>
      <c r="C117" s="22"/>
      <c r="D117" s="22" t="s">
        <v>37</v>
      </c>
      <c r="E117" s="22" t="s">
        <v>235</v>
      </c>
      <c r="F117" s="83" t="s">
        <v>939</v>
      </c>
      <c r="G117" s="22"/>
      <c r="H117" s="22"/>
      <c r="I117" s="22" t="s">
        <v>516</v>
      </c>
      <c r="J117" s="22"/>
      <c r="K117" s="22" t="s">
        <v>42</v>
      </c>
      <c r="L117" s="24">
        <v>2022</v>
      </c>
      <c r="M117" s="24"/>
      <c r="N117" s="38">
        <f>8500000/200000</f>
        <v>42.5</v>
      </c>
      <c r="O117" s="39"/>
      <c r="P117" s="27">
        <f t="shared" si="14"/>
        <v>0</v>
      </c>
      <c r="Q117" s="28"/>
      <c r="R117" s="28">
        <f t="shared" si="15"/>
        <v>4</v>
      </c>
      <c r="S117" s="29">
        <f t="shared" si="16"/>
        <v>0</v>
      </c>
      <c r="T117" s="24"/>
      <c r="U117" s="24"/>
      <c r="V117" s="24"/>
      <c r="W117" s="24"/>
      <c r="X117" s="24"/>
      <c r="Y117" s="24"/>
      <c r="Z117" s="22" t="s">
        <v>42</v>
      </c>
      <c r="AA117" s="22"/>
      <c r="AB117" s="40"/>
      <c r="AC117" s="71"/>
      <c r="AD117" s="24">
        <v>2</v>
      </c>
      <c r="AE117" s="24">
        <v>1</v>
      </c>
      <c r="AF117" s="24">
        <v>3</v>
      </c>
      <c r="AG117" s="24">
        <v>2</v>
      </c>
      <c r="AH117" s="24">
        <v>2</v>
      </c>
      <c r="AI117" s="24">
        <v>2</v>
      </c>
      <c r="AJ117" s="24">
        <v>48</v>
      </c>
      <c r="AK117" s="22" t="s">
        <v>48</v>
      </c>
      <c r="AL117" s="22"/>
    </row>
    <row r="118" spans="1:39" s="133" customFormat="1" ht="38.25" x14ac:dyDescent="0.2">
      <c r="A118" s="22" t="s">
        <v>35</v>
      </c>
      <c r="B118" s="22" t="s">
        <v>517</v>
      </c>
      <c r="C118" s="22"/>
      <c r="D118" s="22" t="s">
        <v>60</v>
      </c>
      <c r="E118" s="22" t="s">
        <v>679</v>
      </c>
      <c r="F118" s="95"/>
      <c r="G118" s="85" t="s">
        <v>989</v>
      </c>
      <c r="H118" s="22"/>
      <c r="I118" s="22" t="s">
        <v>680</v>
      </c>
      <c r="J118" s="22"/>
      <c r="K118" s="22" t="s">
        <v>63</v>
      </c>
      <c r="L118" s="24">
        <v>2020</v>
      </c>
      <c r="M118" s="24"/>
      <c r="N118" s="51">
        <v>6250</v>
      </c>
      <c r="O118" s="39"/>
      <c r="P118" s="27">
        <f t="shared" si="14"/>
        <v>0</v>
      </c>
      <c r="Q118" s="28"/>
      <c r="R118" s="28">
        <f t="shared" si="15"/>
        <v>4</v>
      </c>
      <c r="S118" s="29">
        <f t="shared" si="16"/>
        <v>0</v>
      </c>
      <c r="T118" s="24"/>
      <c r="U118" s="24"/>
      <c r="V118" s="24"/>
      <c r="W118" s="24"/>
      <c r="X118" s="24"/>
      <c r="Y118" s="24"/>
      <c r="Z118" s="22" t="s">
        <v>42</v>
      </c>
      <c r="AA118" s="22" t="s">
        <v>43</v>
      </c>
      <c r="AB118" s="40" t="s">
        <v>70</v>
      </c>
      <c r="AC118" s="71" t="s">
        <v>681</v>
      </c>
      <c r="AD118" s="24">
        <v>2</v>
      </c>
      <c r="AE118" s="24">
        <v>2</v>
      </c>
      <c r="AF118" s="24">
        <v>2</v>
      </c>
      <c r="AG118" s="24">
        <v>3</v>
      </c>
      <c r="AH118" s="24">
        <v>1</v>
      </c>
      <c r="AI118" s="24">
        <v>1</v>
      </c>
      <c r="AJ118" s="24">
        <v>24</v>
      </c>
      <c r="AK118" s="22" t="s">
        <v>48</v>
      </c>
      <c r="AL118" s="22"/>
    </row>
    <row r="119" spans="1:39" s="156" customFormat="1" ht="38.25" x14ac:dyDescent="0.2">
      <c r="A119" s="22" t="s">
        <v>35</v>
      </c>
      <c r="B119" s="22" t="s">
        <v>603</v>
      </c>
      <c r="C119" s="22"/>
      <c r="D119" s="22" t="s">
        <v>60</v>
      </c>
      <c r="E119" s="22" t="s">
        <v>679</v>
      </c>
      <c r="F119" s="22"/>
      <c r="G119" s="71" t="s">
        <v>989</v>
      </c>
      <c r="H119" s="22"/>
      <c r="I119" s="22" t="s">
        <v>781</v>
      </c>
      <c r="J119" s="22" t="s">
        <v>781</v>
      </c>
      <c r="K119" s="22" t="s">
        <v>128</v>
      </c>
      <c r="L119" s="24">
        <v>2020</v>
      </c>
      <c r="M119" s="24"/>
      <c r="N119" s="51">
        <v>1600</v>
      </c>
      <c r="O119" s="39"/>
      <c r="P119" s="27">
        <f t="shared" si="14"/>
        <v>0</v>
      </c>
      <c r="Q119" s="28"/>
      <c r="R119" s="28">
        <f t="shared" si="15"/>
        <v>4</v>
      </c>
      <c r="S119" s="29">
        <f t="shared" si="16"/>
        <v>0</v>
      </c>
      <c r="T119" s="24"/>
      <c r="U119" s="24"/>
      <c r="V119" s="24"/>
      <c r="W119" s="24"/>
      <c r="X119" s="24"/>
      <c r="Y119" s="24"/>
      <c r="Z119" s="22" t="s">
        <v>64</v>
      </c>
      <c r="AA119" s="22"/>
      <c r="AB119" s="22"/>
      <c r="AC119" s="71"/>
      <c r="AD119" s="24">
        <v>1</v>
      </c>
      <c r="AE119" s="24">
        <v>2</v>
      </c>
      <c r="AF119" s="24">
        <v>1</v>
      </c>
      <c r="AG119" s="24">
        <v>3</v>
      </c>
      <c r="AH119" s="24">
        <v>1</v>
      </c>
      <c r="AI119" s="24">
        <v>1</v>
      </c>
      <c r="AJ119" s="24">
        <v>6</v>
      </c>
      <c r="AK119" s="22" t="s">
        <v>48</v>
      </c>
      <c r="AL119" s="22"/>
    </row>
    <row r="120" spans="1:39" ht="38.25" x14ac:dyDescent="0.2">
      <c r="A120" s="22" t="s">
        <v>35</v>
      </c>
      <c r="B120" s="22" t="s">
        <v>263</v>
      </c>
      <c r="C120" s="22"/>
      <c r="D120" s="22" t="s">
        <v>37</v>
      </c>
      <c r="E120" s="22" t="s">
        <v>394</v>
      </c>
      <c r="F120" s="79" t="s">
        <v>956</v>
      </c>
      <c r="G120" s="22"/>
      <c r="H120" s="22"/>
      <c r="I120" s="22" t="s">
        <v>395</v>
      </c>
      <c r="J120" s="22"/>
      <c r="K120" s="22" t="s">
        <v>128</v>
      </c>
      <c r="L120" s="24">
        <v>2021</v>
      </c>
      <c r="M120" s="24"/>
      <c r="N120" s="51">
        <v>2800</v>
      </c>
      <c r="O120" s="39"/>
      <c r="P120" s="27">
        <f t="shared" si="14"/>
        <v>0</v>
      </c>
      <c r="Q120" s="28"/>
      <c r="R120" s="28">
        <f t="shared" si="15"/>
        <v>4</v>
      </c>
      <c r="S120" s="29">
        <f t="shared" si="16"/>
        <v>0</v>
      </c>
      <c r="T120" s="24"/>
      <c r="U120" s="24"/>
      <c r="V120" s="24"/>
      <c r="W120" s="24"/>
      <c r="X120" s="24"/>
      <c r="Y120" s="24"/>
      <c r="Z120" s="22" t="s">
        <v>42</v>
      </c>
      <c r="AA120" s="22" t="s">
        <v>182</v>
      </c>
      <c r="AB120" s="40" t="s">
        <v>129</v>
      </c>
      <c r="AC120" s="71" t="s">
        <v>396</v>
      </c>
      <c r="AD120" s="24">
        <v>2</v>
      </c>
      <c r="AE120" s="24">
        <v>2</v>
      </c>
      <c r="AF120" s="24">
        <v>1</v>
      </c>
      <c r="AG120" s="24">
        <v>3</v>
      </c>
      <c r="AH120" s="24">
        <v>1</v>
      </c>
      <c r="AI120" s="24">
        <v>2</v>
      </c>
      <c r="AJ120" s="24">
        <v>24</v>
      </c>
      <c r="AK120" s="22" t="s">
        <v>45</v>
      </c>
      <c r="AL120" s="22"/>
    </row>
    <row r="121" spans="1:39" x14ac:dyDescent="0.2">
      <c r="A121" s="22" t="s">
        <v>35</v>
      </c>
      <c r="B121" s="22" t="s">
        <v>558</v>
      </c>
      <c r="C121" s="22"/>
      <c r="D121" s="22" t="s">
        <v>37</v>
      </c>
      <c r="E121" s="22" t="s">
        <v>394</v>
      </c>
      <c r="F121" s="65"/>
      <c r="G121" s="22"/>
      <c r="H121" s="22"/>
      <c r="I121" s="22" t="s">
        <v>1139</v>
      </c>
      <c r="J121" s="22"/>
      <c r="K121" s="22"/>
      <c r="L121" s="24"/>
      <c r="M121" s="24"/>
      <c r="N121" s="51">
        <v>1600</v>
      </c>
      <c r="O121" s="39"/>
      <c r="P121" s="27">
        <v>15</v>
      </c>
      <c r="Q121" s="28"/>
      <c r="R121" s="28"/>
      <c r="S121" s="29"/>
      <c r="T121" s="24"/>
      <c r="U121" s="24"/>
      <c r="V121" s="24"/>
      <c r="W121" s="24"/>
      <c r="X121" s="24"/>
      <c r="Y121" s="24"/>
      <c r="Z121" s="22" t="s">
        <v>42</v>
      </c>
      <c r="AA121" s="22"/>
      <c r="AB121" s="40"/>
      <c r="AC121" s="71" t="s">
        <v>1140</v>
      </c>
      <c r="AD121" s="24"/>
      <c r="AE121" s="24"/>
      <c r="AF121" s="24"/>
      <c r="AG121" s="24"/>
      <c r="AH121" s="24"/>
      <c r="AI121" s="24"/>
      <c r="AJ121" s="24"/>
      <c r="AK121" s="22"/>
      <c r="AL121" s="22"/>
    </row>
    <row r="122" spans="1:39" s="129" customFormat="1" ht="38.25" x14ac:dyDescent="0.2">
      <c r="A122" s="22" t="s">
        <v>86</v>
      </c>
      <c r="B122" s="23" t="s">
        <v>462</v>
      </c>
      <c r="C122" s="22"/>
      <c r="D122" s="22" t="s">
        <v>37</v>
      </c>
      <c r="E122" s="22" t="s">
        <v>394</v>
      </c>
      <c r="F122" s="79" t="s">
        <v>956</v>
      </c>
      <c r="G122" s="22"/>
      <c r="H122" s="22"/>
      <c r="I122" s="22" t="s">
        <v>463</v>
      </c>
      <c r="J122" s="22"/>
      <c r="K122" s="22" t="s">
        <v>42</v>
      </c>
      <c r="L122" s="24">
        <v>2022</v>
      </c>
      <c r="M122" s="24"/>
      <c r="N122" s="25">
        <f>8500000/100000*5</f>
        <v>425</v>
      </c>
      <c r="O122" s="26"/>
      <c r="P122" s="27">
        <f>N122*O122</f>
        <v>0</v>
      </c>
      <c r="Q122" s="28"/>
      <c r="R122" s="28">
        <f>IF(Q122&lt;4.99,(Q122*12%+4),IF(Q122&lt;10.99,(Q122*12%+8),IF(Q122&lt;14.99,(Q122*12%+12),IF(Q122&lt;879.99,(Q122*12%+16),IF(Q122&lt;2569.99,(Q122*7%+60),240)))))</f>
        <v>4</v>
      </c>
      <c r="S122" s="29">
        <f>R122*P122</f>
        <v>0</v>
      </c>
      <c r="T122" s="24"/>
      <c r="U122" s="24"/>
      <c r="V122" s="24"/>
      <c r="W122" s="24"/>
      <c r="X122" s="24"/>
      <c r="Y122" s="24"/>
      <c r="Z122" s="22" t="s">
        <v>42</v>
      </c>
      <c r="AA122" s="22"/>
      <c r="AB122" s="40"/>
      <c r="AC122" s="71" t="s">
        <v>464</v>
      </c>
      <c r="AD122" s="24">
        <v>2</v>
      </c>
      <c r="AE122" s="24">
        <v>2</v>
      </c>
      <c r="AF122" s="24">
        <v>1</v>
      </c>
      <c r="AG122" s="24">
        <v>3</v>
      </c>
      <c r="AH122" s="24">
        <v>1</v>
      </c>
      <c r="AI122" s="24">
        <v>2</v>
      </c>
      <c r="AJ122" s="24">
        <v>24</v>
      </c>
      <c r="AK122" s="22" t="s">
        <v>45</v>
      </c>
      <c r="AL122" s="22"/>
    </row>
    <row r="123" spans="1:39" s="157" customFormat="1" ht="51" x14ac:dyDescent="0.2">
      <c r="A123" s="42" t="s">
        <v>47</v>
      </c>
      <c r="B123" s="42" t="s">
        <v>122</v>
      </c>
      <c r="C123" s="42"/>
      <c r="D123" s="42" t="s">
        <v>37</v>
      </c>
      <c r="E123" s="42" t="s">
        <v>123</v>
      </c>
      <c r="F123" s="73" t="s">
        <v>929</v>
      </c>
      <c r="G123" s="42"/>
      <c r="H123" s="42"/>
      <c r="I123" s="42" t="s">
        <v>124</v>
      </c>
      <c r="J123" s="42"/>
      <c r="K123" s="42" t="s">
        <v>42</v>
      </c>
      <c r="L123" s="43">
        <v>2023</v>
      </c>
      <c r="M123" s="43"/>
      <c r="N123" s="44"/>
      <c r="O123" s="45"/>
      <c r="P123" s="43"/>
      <c r="Q123" s="47"/>
      <c r="R123" s="43"/>
      <c r="S123" s="43"/>
      <c r="T123" s="43"/>
      <c r="U123" s="43"/>
      <c r="V123" s="43"/>
      <c r="W123" s="43"/>
      <c r="X123" s="43"/>
      <c r="Y123" s="43"/>
      <c r="Z123" s="42"/>
      <c r="AA123" s="13"/>
      <c r="AB123" s="13"/>
      <c r="AC123" s="73"/>
      <c r="AD123" s="43">
        <v>3</v>
      </c>
      <c r="AE123" s="43">
        <v>2</v>
      </c>
      <c r="AF123" s="43">
        <v>1</v>
      </c>
      <c r="AG123" s="43">
        <v>3</v>
      </c>
      <c r="AH123" s="43">
        <v>2</v>
      </c>
      <c r="AI123" s="43">
        <v>3</v>
      </c>
      <c r="AJ123" s="43">
        <f>AD123*AE123*AF123*AG123*AH123*AI123</f>
        <v>108</v>
      </c>
      <c r="AK123" s="42" t="s">
        <v>45</v>
      </c>
      <c r="AL123" s="42" t="s">
        <v>125</v>
      </c>
    </row>
    <row r="124" spans="1:39" s="129" customFormat="1" x14ac:dyDescent="0.2">
      <c r="A124" s="13" t="s">
        <v>35</v>
      </c>
      <c r="B124" s="13" t="s">
        <v>1117</v>
      </c>
      <c r="C124" s="13"/>
      <c r="D124" s="13" t="s">
        <v>60</v>
      </c>
      <c r="E124" s="13" t="s">
        <v>381</v>
      </c>
      <c r="F124" s="13"/>
      <c r="G124" s="13"/>
      <c r="H124" s="70"/>
      <c r="I124" s="13" t="s">
        <v>1206</v>
      </c>
      <c r="J124" s="13" t="s">
        <v>1207</v>
      </c>
      <c r="K124" s="13" t="s">
        <v>63</v>
      </c>
      <c r="L124" s="14">
        <v>2023</v>
      </c>
      <c r="M124" s="14"/>
      <c r="N124" s="15"/>
      <c r="O124" s="16"/>
      <c r="P124" s="17"/>
      <c r="Q124" s="18"/>
      <c r="R124" s="18"/>
      <c r="S124" s="19"/>
      <c r="T124" s="14"/>
      <c r="U124" s="14"/>
      <c r="V124" s="14"/>
      <c r="W124" s="14"/>
      <c r="X124" s="14"/>
      <c r="Y124" s="14"/>
      <c r="Z124" s="13"/>
      <c r="AA124" s="30"/>
      <c r="AB124" s="30"/>
      <c r="AC124" s="70"/>
      <c r="AD124" s="14"/>
      <c r="AE124" s="14"/>
      <c r="AF124" s="14"/>
      <c r="AG124" s="14"/>
      <c r="AH124" s="14"/>
      <c r="AI124" s="14"/>
      <c r="AJ124" s="14"/>
      <c r="AK124" s="13" t="s">
        <v>45</v>
      </c>
      <c r="AL124" s="20">
        <v>44743</v>
      </c>
    </row>
    <row r="125" spans="1:39" ht="25.5" x14ac:dyDescent="0.2">
      <c r="A125" s="30" t="s">
        <v>35</v>
      </c>
      <c r="B125" s="30" t="s">
        <v>78</v>
      </c>
      <c r="C125" s="30"/>
      <c r="D125" s="30" t="s">
        <v>60</v>
      </c>
      <c r="E125" s="30" t="s">
        <v>1299</v>
      </c>
      <c r="F125" s="30"/>
      <c r="G125" s="30"/>
      <c r="H125" s="72"/>
      <c r="I125" s="30" t="s">
        <v>1300</v>
      </c>
      <c r="J125" s="30" t="s">
        <v>1301</v>
      </c>
      <c r="K125" s="30" t="s">
        <v>63</v>
      </c>
      <c r="L125" s="31">
        <v>2024</v>
      </c>
      <c r="M125" s="31"/>
      <c r="N125" s="32"/>
      <c r="O125" s="33"/>
      <c r="P125" s="34"/>
      <c r="Q125" s="35"/>
      <c r="R125" s="35"/>
      <c r="S125" s="36"/>
      <c r="T125" s="31"/>
      <c r="U125" s="31"/>
      <c r="V125" s="31"/>
      <c r="W125" s="31"/>
      <c r="X125" s="31"/>
      <c r="Y125" s="31"/>
      <c r="Z125" s="30"/>
      <c r="AA125" s="30"/>
      <c r="AB125" s="30"/>
      <c r="AC125" s="72" t="s">
        <v>1414</v>
      </c>
      <c r="AD125" s="31">
        <v>3</v>
      </c>
      <c r="AE125" s="31">
        <v>1</v>
      </c>
      <c r="AF125" s="31">
        <v>2</v>
      </c>
      <c r="AG125" s="31">
        <v>3</v>
      </c>
      <c r="AH125" s="31">
        <v>1</v>
      </c>
      <c r="AI125" s="31">
        <v>2</v>
      </c>
      <c r="AJ125" s="31">
        <f>AI125*AH125*AG125*AF125*AE125*AD125</f>
        <v>36</v>
      </c>
      <c r="AK125" s="30" t="s">
        <v>45</v>
      </c>
      <c r="AL125" s="37">
        <v>44958</v>
      </c>
    </row>
    <row r="126" spans="1:39" ht="38.25" x14ac:dyDescent="0.2">
      <c r="A126" s="22" t="s">
        <v>58</v>
      </c>
      <c r="B126" s="23" t="s">
        <v>789</v>
      </c>
      <c r="C126" s="22"/>
      <c r="D126" s="22" t="s">
        <v>98</v>
      </c>
      <c r="E126" s="22" t="s">
        <v>452</v>
      </c>
      <c r="F126" s="22"/>
      <c r="G126" s="22"/>
      <c r="H126" s="71" t="s">
        <v>961</v>
      </c>
      <c r="I126" s="22" t="s">
        <v>790</v>
      </c>
      <c r="J126" s="22" t="s">
        <v>791</v>
      </c>
      <c r="K126" s="22" t="s">
        <v>792</v>
      </c>
      <c r="L126" s="24">
        <v>2018</v>
      </c>
      <c r="M126" s="24"/>
      <c r="N126" s="38">
        <v>8</v>
      </c>
      <c r="O126" s="39"/>
      <c r="P126" s="27">
        <f>N126*O126</f>
        <v>0</v>
      </c>
      <c r="Q126" s="28"/>
      <c r="R126" s="28">
        <f>IF(Q126&lt;4.99,(Q126*12%+4),IF(Q126&lt;10.99,(Q126*12%+8),IF(Q126&lt;14.99,(Q126*12%+12),IF(Q126&lt;879.99,(Q126*12%+16),IF(Q126&lt;2569.99,(Q126*7%+60),240)))))</f>
        <v>4</v>
      </c>
      <c r="S126" s="29">
        <f>R126*P126</f>
        <v>0</v>
      </c>
      <c r="T126" s="24"/>
      <c r="U126" s="24"/>
      <c r="V126" s="24"/>
      <c r="W126" s="24"/>
      <c r="X126" s="24"/>
      <c r="Y126" s="24"/>
      <c r="Z126" s="22" t="s">
        <v>128</v>
      </c>
      <c r="AA126" s="22" t="s">
        <v>182</v>
      </c>
      <c r="AB126" s="40" t="s">
        <v>132</v>
      </c>
      <c r="AC126" s="71" t="s">
        <v>793</v>
      </c>
      <c r="AD126" s="24">
        <v>1</v>
      </c>
      <c r="AE126" s="24">
        <v>1</v>
      </c>
      <c r="AF126" s="24">
        <v>2</v>
      </c>
      <c r="AG126" s="24">
        <v>3</v>
      </c>
      <c r="AH126" s="24">
        <v>2</v>
      </c>
      <c r="AI126" s="24">
        <v>1</v>
      </c>
      <c r="AJ126" s="24">
        <v>12</v>
      </c>
      <c r="AK126" s="22" t="s">
        <v>48</v>
      </c>
      <c r="AL126" s="22"/>
    </row>
    <row r="127" spans="1:39" x14ac:dyDescent="0.2">
      <c r="A127" s="22" t="s">
        <v>35</v>
      </c>
      <c r="B127" s="23" t="s">
        <v>1059</v>
      </c>
      <c r="C127" s="22"/>
      <c r="D127" s="22" t="s">
        <v>37</v>
      </c>
      <c r="E127" s="22" t="s">
        <v>1058</v>
      </c>
      <c r="F127" s="22"/>
      <c r="G127" s="22"/>
      <c r="H127" s="71"/>
      <c r="I127" s="22" t="s">
        <v>1060</v>
      </c>
      <c r="J127" s="22"/>
      <c r="K127" s="22" t="s">
        <v>42</v>
      </c>
      <c r="L127" s="24">
        <v>2023</v>
      </c>
      <c r="M127" s="24"/>
      <c r="N127" s="38">
        <v>40</v>
      </c>
      <c r="O127" s="39"/>
      <c r="P127" s="27"/>
      <c r="Q127" s="28"/>
      <c r="R127" s="28"/>
      <c r="S127" s="29"/>
      <c r="T127" s="24"/>
      <c r="U127" s="24"/>
      <c r="V127" s="24"/>
      <c r="W127" s="24"/>
      <c r="X127" s="24"/>
      <c r="Y127" s="24"/>
      <c r="Z127" s="22"/>
      <c r="AA127" s="22"/>
      <c r="AB127" s="40"/>
      <c r="AC127" s="71"/>
      <c r="AD127" s="24"/>
      <c r="AE127" s="24"/>
      <c r="AF127" s="24"/>
      <c r="AG127" s="24"/>
      <c r="AH127" s="24"/>
      <c r="AI127" s="24"/>
      <c r="AJ127" s="24"/>
      <c r="AK127" s="22"/>
      <c r="AL127" s="22"/>
    </row>
    <row r="128" spans="1:39" x14ac:dyDescent="0.2">
      <c r="A128" s="22" t="s">
        <v>58</v>
      </c>
      <c r="B128" s="23" t="s">
        <v>1385</v>
      </c>
      <c r="C128" s="22"/>
      <c r="D128" s="22" t="s">
        <v>37</v>
      </c>
      <c r="E128" s="22" t="s">
        <v>477</v>
      </c>
      <c r="F128" s="22"/>
      <c r="G128" s="22"/>
      <c r="H128" s="71"/>
      <c r="I128" s="22" t="s">
        <v>1386</v>
      </c>
      <c r="J128" s="22"/>
      <c r="K128" s="22" t="s">
        <v>42</v>
      </c>
      <c r="L128" s="24">
        <v>2025</v>
      </c>
      <c r="M128" s="24"/>
      <c r="N128" s="38">
        <v>450</v>
      </c>
      <c r="O128" s="39">
        <v>0.1</v>
      </c>
      <c r="P128" s="27">
        <v>20</v>
      </c>
      <c r="Q128" s="28">
        <v>1200</v>
      </c>
      <c r="R128" s="28">
        <v>120</v>
      </c>
      <c r="S128" s="29"/>
      <c r="T128" s="24"/>
      <c r="U128" s="24" t="s">
        <v>45</v>
      </c>
      <c r="V128" s="24" t="s">
        <v>48</v>
      </c>
      <c r="W128" s="24" t="s">
        <v>45</v>
      </c>
      <c r="X128" s="24"/>
      <c r="Y128" s="24"/>
      <c r="Z128" s="22"/>
      <c r="AA128" s="22"/>
      <c r="AB128" s="40"/>
      <c r="AC128" s="71"/>
      <c r="AD128" s="24">
        <v>1</v>
      </c>
      <c r="AE128" s="24">
        <v>2</v>
      </c>
      <c r="AF128" s="24">
        <v>3</v>
      </c>
      <c r="AG128" s="24">
        <v>2</v>
      </c>
      <c r="AH128" s="24">
        <v>2</v>
      </c>
      <c r="AI128" s="24">
        <v>2</v>
      </c>
      <c r="AJ128" s="24">
        <f>AI128*AH128*AG128*AF128*AE128*AD128</f>
        <v>48</v>
      </c>
      <c r="AK128" s="22"/>
      <c r="AL128" s="40">
        <v>45078</v>
      </c>
    </row>
    <row r="129" spans="1:38" s="133" customFormat="1" x14ac:dyDescent="0.2">
      <c r="A129" s="22" t="s">
        <v>58</v>
      </c>
      <c r="B129" s="23" t="s">
        <v>1022</v>
      </c>
      <c r="C129" s="22"/>
      <c r="D129" s="22" t="s">
        <v>37</v>
      </c>
      <c r="E129" s="22" t="s">
        <v>477</v>
      </c>
      <c r="F129" s="22"/>
      <c r="G129" s="22"/>
      <c r="H129" s="71"/>
      <c r="I129" s="22" t="s">
        <v>1023</v>
      </c>
      <c r="J129" s="22" t="s">
        <v>1074</v>
      </c>
      <c r="K129" s="22" t="s">
        <v>63</v>
      </c>
      <c r="L129" s="24"/>
      <c r="M129" s="24"/>
      <c r="N129" s="38">
        <v>5</v>
      </c>
      <c r="O129" s="39"/>
      <c r="P129" s="27">
        <v>5</v>
      </c>
      <c r="Q129" s="28">
        <v>20000</v>
      </c>
      <c r="R129" s="28">
        <v>240</v>
      </c>
      <c r="S129" s="29">
        <f>Q129*P129*12</f>
        <v>1200000</v>
      </c>
      <c r="T129" s="24"/>
      <c r="U129" s="24"/>
      <c r="V129" s="24"/>
      <c r="W129" s="24" t="s">
        <v>45</v>
      </c>
      <c r="X129" s="24"/>
      <c r="Y129" s="24"/>
      <c r="Z129" s="22"/>
      <c r="AA129" s="22"/>
      <c r="AB129" s="40"/>
      <c r="AC129" s="71" t="s">
        <v>1384</v>
      </c>
      <c r="AD129" s="24"/>
      <c r="AE129" s="24"/>
      <c r="AF129" s="24"/>
      <c r="AG129" s="24"/>
      <c r="AH129" s="24"/>
      <c r="AI129" s="24"/>
      <c r="AJ129" s="24"/>
      <c r="AK129" s="22"/>
      <c r="AL129" s="22"/>
    </row>
    <row r="130" spans="1:38" ht="38.25" x14ac:dyDescent="0.2">
      <c r="A130" s="30" t="s">
        <v>35</v>
      </c>
      <c r="B130" s="30" t="s">
        <v>476</v>
      </c>
      <c r="C130" s="30"/>
      <c r="D130" s="30" t="s">
        <v>98</v>
      </c>
      <c r="E130" s="30" t="s">
        <v>477</v>
      </c>
      <c r="F130" s="30"/>
      <c r="G130" s="72" t="s">
        <v>964</v>
      </c>
      <c r="H130" s="30"/>
      <c r="I130" s="30" t="s">
        <v>478</v>
      </c>
      <c r="J130" s="30" t="s">
        <v>479</v>
      </c>
      <c r="K130" s="30" t="s">
        <v>201</v>
      </c>
      <c r="L130" s="31">
        <v>2016</v>
      </c>
      <c r="M130" s="31"/>
      <c r="N130" s="32">
        <v>140</v>
      </c>
      <c r="O130" s="33"/>
      <c r="P130" s="34">
        <f>N130*O130</f>
        <v>0</v>
      </c>
      <c r="Q130" s="35"/>
      <c r="R130" s="35">
        <f>IF(Q130&lt;4.99,(Q130*12%+4),IF(Q130&lt;10.99,(Q130*12%+8),IF(Q130&lt;14.99,(Q130*12%+12),IF(Q130&lt;879.99,(Q130*12%+16),IF(Q130&lt;2569.99,(Q130*7%+60),240)))))</f>
        <v>4</v>
      </c>
      <c r="S130" s="36">
        <f>R130*P130</f>
        <v>0</v>
      </c>
      <c r="T130" s="31"/>
      <c r="U130" s="31"/>
      <c r="V130" s="31"/>
      <c r="W130" s="31"/>
      <c r="X130" s="31"/>
      <c r="Y130" s="31"/>
      <c r="Z130" s="30" t="s">
        <v>201</v>
      </c>
      <c r="AA130" s="30"/>
      <c r="AB130" s="37" t="s">
        <v>95</v>
      </c>
      <c r="AC130" s="72" t="s">
        <v>480</v>
      </c>
      <c r="AD130" s="31">
        <v>1</v>
      </c>
      <c r="AE130" s="31">
        <v>3</v>
      </c>
      <c r="AF130" s="31">
        <v>2</v>
      </c>
      <c r="AG130" s="31">
        <v>2</v>
      </c>
      <c r="AH130" s="31">
        <v>2</v>
      </c>
      <c r="AI130" s="31">
        <v>2</v>
      </c>
      <c r="AJ130" s="31">
        <v>48</v>
      </c>
      <c r="AK130" s="30" t="s">
        <v>45</v>
      </c>
      <c r="AL130" s="37">
        <v>43466</v>
      </c>
    </row>
    <row r="131" spans="1:38" ht="38.25" x14ac:dyDescent="0.2">
      <c r="A131" s="22" t="s">
        <v>35</v>
      </c>
      <c r="B131" s="22" t="s">
        <v>219</v>
      </c>
      <c r="C131" s="22"/>
      <c r="D131" s="65" t="s">
        <v>60</v>
      </c>
      <c r="E131" s="88" t="s">
        <v>835</v>
      </c>
      <c r="F131" s="65" t="s">
        <v>911</v>
      </c>
      <c r="G131" s="88"/>
      <c r="H131" s="88"/>
      <c r="I131" s="65" t="s">
        <v>842</v>
      </c>
      <c r="J131" s="22"/>
      <c r="K131" s="22" t="s">
        <v>42</v>
      </c>
      <c r="L131" s="24">
        <v>2022</v>
      </c>
      <c r="M131" s="24"/>
      <c r="N131" s="38"/>
      <c r="O131" s="39"/>
      <c r="P131" s="27"/>
      <c r="Q131" s="28"/>
      <c r="R131" s="28"/>
      <c r="S131" s="29"/>
      <c r="T131" s="24"/>
      <c r="U131" s="24"/>
      <c r="V131" s="24"/>
      <c r="W131" s="24"/>
      <c r="X131" s="24"/>
      <c r="Y131" s="24"/>
      <c r="Z131" s="22" t="s">
        <v>42</v>
      </c>
      <c r="AA131" s="22"/>
      <c r="AB131" s="41"/>
      <c r="AC131" s="67"/>
      <c r="AD131" s="24"/>
      <c r="AE131" s="24"/>
      <c r="AF131" s="24"/>
      <c r="AG131" s="24"/>
      <c r="AH131" s="24"/>
      <c r="AI131" s="24"/>
      <c r="AJ131" s="24">
        <v>0</v>
      </c>
      <c r="AK131" s="22"/>
      <c r="AL131" s="69"/>
    </row>
    <row r="132" spans="1:38" ht="38.25" x14ac:dyDescent="0.2">
      <c r="A132" s="22" t="s">
        <v>35</v>
      </c>
      <c r="B132" s="22" t="s">
        <v>268</v>
      </c>
      <c r="C132" s="22"/>
      <c r="D132" s="65" t="s">
        <v>60</v>
      </c>
      <c r="E132" s="88" t="s">
        <v>835</v>
      </c>
      <c r="F132" s="65" t="s">
        <v>911</v>
      </c>
      <c r="G132" s="88"/>
      <c r="H132" s="88"/>
      <c r="I132" s="65" t="s">
        <v>841</v>
      </c>
      <c r="J132" s="22" t="s">
        <v>1440</v>
      </c>
      <c r="K132" s="22" t="s">
        <v>201</v>
      </c>
      <c r="L132" s="24">
        <v>2023</v>
      </c>
      <c r="M132" s="24"/>
      <c r="N132" s="38"/>
      <c r="O132" s="39"/>
      <c r="P132" s="27"/>
      <c r="Q132" s="28"/>
      <c r="R132" s="28"/>
      <c r="S132" s="29"/>
      <c r="T132" s="24"/>
      <c r="U132" s="24"/>
      <c r="V132" s="24"/>
      <c r="W132" s="24"/>
      <c r="X132" s="24"/>
      <c r="Y132" s="24"/>
      <c r="Z132" s="22" t="s">
        <v>64</v>
      </c>
      <c r="AA132" s="22"/>
      <c r="AB132" s="41"/>
      <c r="AC132" s="67"/>
      <c r="AD132" s="24"/>
      <c r="AE132" s="24"/>
      <c r="AF132" s="24"/>
      <c r="AG132" s="24"/>
      <c r="AH132" s="24"/>
      <c r="AI132" s="24"/>
      <c r="AJ132" s="24">
        <v>0</v>
      </c>
      <c r="AK132" s="22"/>
      <c r="AL132" s="69"/>
    </row>
    <row r="133" spans="1:38" s="133" customFormat="1" ht="38.25" x14ac:dyDescent="0.2">
      <c r="A133" s="30" t="s">
        <v>35</v>
      </c>
      <c r="B133" s="30" t="s">
        <v>838</v>
      </c>
      <c r="C133" s="30"/>
      <c r="D133" s="139" t="s">
        <v>37</v>
      </c>
      <c r="E133" s="139" t="s">
        <v>835</v>
      </c>
      <c r="F133" s="139" t="s">
        <v>911</v>
      </c>
      <c r="G133" s="139"/>
      <c r="H133" s="139"/>
      <c r="I133" s="139" t="s">
        <v>839</v>
      </c>
      <c r="J133" s="30" t="s">
        <v>840</v>
      </c>
      <c r="K133" s="30" t="s">
        <v>63</v>
      </c>
      <c r="L133" s="31">
        <v>2025</v>
      </c>
      <c r="M133" s="31"/>
      <c r="N133" s="32"/>
      <c r="O133" s="33"/>
      <c r="P133" s="34"/>
      <c r="Q133" s="35"/>
      <c r="R133" s="35"/>
      <c r="S133" s="36"/>
      <c r="T133" s="31"/>
      <c r="U133" s="31"/>
      <c r="V133" s="31"/>
      <c r="W133" s="31"/>
      <c r="X133" s="31"/>
      <c r="Y133" s="31"/>
      <c r="Z133" s="30" t="s">
        <v>42</v>
      </c>
      <c r="AA133" s="22"/>
      <c r="AB133" s="41"/>
      <c r="AC133" s="141"/>
      <c r="AD133" s="31"/>
      <c r="AE133" s="31"/>
      <c r="AF133" s="31"/>
      <c r="AG133" s="31"/>
      <c r="AH133" s="31"/>
      <c r="AI133" s="31"/>
      <c r="AJ133" s="31">
        <v>0</v>
      </c>
      <c r="AK133" s="30"/>
      <c r="AL133" s="142"/>
    </row>
    <row r="134" spans="1:38" s="133" customFormat="1" x14ac:dyDescent="0.2">
      <c r="A134" s="30" t="s">
        <v>35</v>
      </c>
      <c r="B134" s="30" t="s">
        <v>1239</v>
      </c>
      <c r="C134" s="30"/>
      <c r="D134" s="139" t="s">
        <v>37</v>
      </c>
      <c r="E134" s="139" t="s">
        <v>835</v>
      </c>
      <c r="F134" s="139"/>
      <c r="G134" s="139"/>
      <c r="H134" s="139"/>
      <c r="I134" s="139" t="s">
        <v>1240</v>
      </c>
      <c r="J134" s="30" t="s">
        <v>1392</v>
      </c>
      <c r="K134" s="30" t="s">
        <v>201</v>
      </c>
      <c r="L134" s="31">
        <v>2024</v>
      </c>
      <c r="M134" s="31"/>
      <c r="N134" s="32">
        <v>1600</v>
      </c>
      <c r="O134" s="33"/>
      <c r="P134" s="34">
        <v>20</v>
      </c>
      <c r="Q134" s="35">
        <v>5000</v>
      </c>
      <c r="R134" s="35">
        <v>240</v>
      </c>
      <c r="S134" s="36"/>
      <c r="T134" s="31"/>
      <c r="U134" s="31"/>
      <c r="V134" s="31"/>
      <c r="W134" s="31"/>
      <c r="X134" s="31"/>
      <c r="Y134" s="31"/>
      <c r="Z134" s="30" t="s">
        <v>42</v>
      </c>
      <c r="AA134" s="30"/>
      <c r="AB134" s="50"/>
      <c r="AC134" s="141" t="s">
        <v>1394</v>
      </c>
      <c r="AD134" s="31">
        <v>1</v>
      </c>
      <c r="AE134" s="31">
        <v>3</v>
      </c>
      <c r="AF134" s="31">
        <v>3</v>
      </c>
      <c r="AG134" s="31">
        <v>2</v>
      </c>
      <c r="AH134" s="31">
        <v>1</v>
      </c>
      <c r="AI134" s="31">
        <v>3</v>
      </c>
      <c r="AJ134" s="31">
        <f>AI134*AH134*AG134*AF134*AE134*AD134</f>
        <v>54</v>
      </c>
      <c r="AK134" s="30" t="s">
        <v>48</v>
      </c>
      <c r="AL134" s="142"/>
    </row>
    <row r="135" spans="1:38" ht="38.25" x14ac:dyDescent="0.2">
      <c r="A135" s="22" t="s">
        <v>35</v>
      </c>
      <c r="B135" s="22" t="s">
        <v>255</v>
      </c>
      <c r="C135" s="22"/>
      <c r="D135" s="65" t="s">
        <v>98</v>
      </c>
      <c r="E135" s="88" t="s">
        <v>835</v>
      </c>
      <c r="F135" s="65" t="s">
        <v>911</v>
      </c>
      <c r="G135" s="88"/>
      <c r="H135" s="88"/>
      <c r="I135" s="65" t="s">
        <v>257</v>
      </c>
      <c r="J135" s="22"/>
      <c r="K135" s="22" t="s">
        <v>42</v>
      </c>
      <c r="L135" s="24">
        <v>2020</v>
      </c>
      <c r="M135" s="24"/>
      <c r="N135" s="38"/>
      <c r="O135" s="39"/>
      <c r="P135" s="27"/>
      <c r="Q135" s="28"/>
      <c r="R135" s="28"/>
      <c r="S135" s="29"/>
      <c r="T135" s="24"/>
      <c r="U135" s="24"/>
      <c r="V135" s="24"/>
      <c r="W135" s="24"/>
      <c r="X135" s="24"/>
      <c r="Y135" s="24"/>
      <c r="Z135" s="22" t="s">
        <v>42</v>
      </c>
      <c r="AA135" s="22"/>
      <c r="AB135" s="41"/>
      <c r="AC135" s="67" t="s">
        <v>258</v>
      </c>
      <c r="AD135" s="24">
        <v>1</v>
      </c>
      <c r="AE135" s="24">
        <v>2</v>
      </c>
      <c r="AF135" s="24">
        <v>1</v>
      </c>
      <c r="AG135" s="24">
        <v>3</v>
      </c>
      <c r="AH135" s="24">
        <v>2</v>
      </c>
      <c r="AI135" s="24">
        <v>2</v>
      </c>
      <c r="AJ135" s="24">
        <v>24</v>
      </c>
      <c r="AK135" s="22" t="s">
        <v>48</v>
      </c>
      <c r="AL135" s="69"/>
    </row>
    <row r="136" spans="1:38" ht="38.25" x14ac:dyDescent="0.2">
      <c r="A136" s="30" t="s">
        <v>72</v>
      </c>
      <c r="B136" s="30" t="s">
        <v>73</v>
      </c>
      <c r="C136" s="30"/>
      <c r="D136" s="139" t="s">
        <v>37</v>
      </c>
      <c r="E136" s="139" t="s">
        <v>835</v>
      </c>
      <c r="F136" s="139" t="s">
        <v>911</v>
      </c>
      <c r="G136" s="139"/>
      <c r="H136" s="139"/>
      <c r="I136" s="139" t="s">
        <v>836</v>
      </c>
      <c r="J136" s="30" t="s">
        <v>1167</v>
      </c>
      <c r="K136" s="30" t="s">
        <v>42</v>
      </c>
      <c r="L136" s="31">
        <v>2021</v>
      </c>
      <c r="M136" s="31"/>
      <c r="N136" s="32"/>
      <c r="O136" s="33"/>
      <c r="P136" s="34"/>
      <c r="Q136" s="35"/>
      <c r="R136" s="35"/>
      <c r="S136" s="36"/>
      <c r="T136" s="31"/>
      <c r="U136" s="31"/>
      <c r="V136" s="31"/>
      <c r="W136" s="31"/>
      <c r="X136" s="31"/>
      <c r="Y136" s="31"/>
      <c r="Z136" s="30" t="s">
        <v>42</v>
      </c>
      <c r="AA136" s="30"/>
      <c r="AB136" s="50"/>
      <c r="AC136" s="141" t="s">
        <v>837</v>
      </c>
      <c r="AD136" s="31">
        <v>3</v>
      </c>
      <c r="AE136" s="31">
        <v>3</v>
      </c>
      <c r="AF136" s="31">
        <v>3</v>
      </c>
      <c r="AG136" s="31">
        <v>1</v>
      </c>
      <c r="AH136" s="31">
        <v>2</v>
      </c>
      <c r="AI136" s="31">
        <v>2</v>
      </c>
      <c r="AJ136" s="31">
        <v>108</v>
      </c>
      <c r="AK136" s="30" t="s">
        <v>45</v>
      </c>
      <c r="AL136" s="142"/>
    </row>
    <row r="137" spans="1:38" ht="38.25" x14ac:dyDescent="0.2">
      <c r="A137" s="22" t="s">
        <v>35</v>
      </c>
      <c r="B137" s="22" t="s">
        <v>526</v>
      </c>
      <c r="C137" s="22"/>
      <c r="D137" s="22" t="s">
        <v>37</v>
      </c>
      <c r="E137" s="22" t="s">
        <v>696</v>
      </c>
      <c r="F137" s="22"/>
      <c r="G137" s="83" t="s">
        <v>991</v>
      </c>
      <c r="H137" s="22"/>
      <c r="I137" s="22" t="s">
        <v>697</v>
      </c>
      <c r="J137" s="22" t="s">
        <v>698</v>
      </c>
      <c r="K137" s="22" t="s">
        <v>63</v>
      </c>
      <c r="L137" s="24">
        <v>2023</v>
      </c>
      <c r="M137" s="24"/>
      <c r="N137" s="51">
        <v>622</v>
      </c>
      <c r="O137" s="39"/>
      <c r="P137" s="27">
        <f t="shared" ref="P137:P140" si="17">N137*O137</f>
        <v>0</v>
      </c>
      <c r="Q137" s="28"/>
      <c r="R137" s="28">
        <f t="shared" ref="R137:R140" si="18">IF(Q137&lt;4.99,(Q137*12%+4),IF(Q137&lt;10.99,(Q137*12%+8),IF(Q137&lt;14.99,(Q137*12%+12),IF(Q137&lt;879.99,(Q137*12%+16),IF(Q137&lt;2569.99,(Q137*7%+60),240)))))</f>
        <v>4</v>
      </c>
      <c r="S137" s="29">
        <f t="shared" ref="S137:S140" si="19">R137*P137</f>
        <v>0</v>
      </c>
      <c r="T137" s="24"/>
      <c r="U137" s="24"/>
      <c r="V137" s="24"/>
      <c r="W137" s="24"/>
      <c r="X137" s="24"/>
      <c r="Y137" s="24"/>
      <c r="Z137" s="22" t="s">
        <v>42</v>
      </c>
      <c r="AA137" s="22"/>
      <c r="AB137" s="22" t="s">
        <v>44</v>
      </c>
      <c r="AC137" s="71" t="s">
        <v>1221</v>
      </c>
      <c r="AD137" s="24">
        <v>1</v>
      </c>
      <c r="AE137" s="24">
        <v>2</v>
      </c>
      <c r="AF137" s="24">
        <v>2</v>
      </c>
      <c r="AG137" s="24">
        <v>3</v>
      </c>
      <c r="AH137" s="24">
        <v>1</v>
      </c>
      <c r="AI137" s="24">
        <v>1</v>
      </c>
      <c r="AJ137" s="24">
        <v>12</v>
      </c>
      <c r="AK137" s="22" t="s">
        <v>48</v>
      </c>
      <c r="AL137" s="22"/>
    </row>
    <row r="138" spans="1:38" s="156" customFormat="1" ht="38.25" x14ac:dyDescent="0.2">
      <c r="A138" s="22" t="s">
        <v>86</v>
      </c>
      <c r="B138" s="22" t="s">
        <v>281</v>
      </c>
      <c r="C138" s="22"/>
      <c r="D138" s="22" t="s">
        <v>98</v>
      </c>
      <c r="E138" s="22" t="s">
        <v>282</v>
      </c>
      <c r="F138" s="98" t="s">
        <v>910</v>
      </c>
      <c r="G138" s="22"/>
      <c r="H138" s="22"/>
      <c r="I138" s="22" t="s">
        <v>283</v>
      </c>
      <c r="J138" s="22" t="s">
        <v>284</v>
      </c>
      <c r="K138" s="22" t="s">
        <v>285</v>
      </c>
      <c r="L138" s="24">
        <v>2020</v>
      </c>
      <c r="M138" s="24"/>
      <c r="N138" s="52">
        <f>0.8*150000</f>
        <v>120000</v>
      </c>
      <c r="O138" s="39"/>
      <c r="P138" s="27">
        <f t="shared" si="17"/>
        <v>0</v>
      </c>
      <c r="Q138" s="28"/>
      <c r="R138" s="28">
        <f t="shared" si="18"/>
        <v>4</v>
      </c>
      <c r="S138" s="29">
        <f t="shared" si="19"/>
        <v>0</v>
      </c>
      <c r="T138" s="24"/>
      <c r="U138" s="24"/>
      <c r="V138" s="24"/>
      <c r="W138" s="24"/>
      <c r="X138" s="24"/>
      <c r="Y138" s="24"/>
      <c r="Z138" s="22" t="s">
        <v>42</v>
      </c>
      <c r="AA138" s="22"/>
      <c r="AB138" s="22" t="s">
        <v>132</v>
      </c>
      <c r="AC138" s="71" t="s">
        <v>286</v>
      </c>
      <c r="AD138" s="24">
        <v>1</v>
      </c>
      <c r="AE138" s="24">
        <v>3</v>
      </c>
      <c r="AF138" s="24">
        <v>1</v>
      </c>
      <c r="AG138" s="24">
        <v>2</v>
      </c>
      <c r="AH138" s="24">
        <v>2</v>
      </c>
      <c r="AI138" s="24">
        <v>1</v>
      </c>
      <c r="AJ138" s="24">
        <v>12</v>
      </c>
      <c r="AK138" s="22" t="s">
        <v>48</v>
      </c>
      <c r="AL138" s="22"/>
    </row>
    <row r="139" spans="1:38" s="156" customFormat="1" ht="38.25" x14ac:dyDescent="0.2">
      <c r="A139" s="22" t="s">
        <v>72</v>
      </c>
      <c r="B139" s="22" t="s">
        <v>229</v>
      </c>
      <c r="C139" s="22"/>
      <c r="D139" s="22" t="s">
        <v>498</v>
      </c>
      <c r="E139" s="22" t="s">
        <v>499</v>
      </c>
      <c r="F139" s="95"/>
      <c r="G139" s="65" t="s">
        <v>967</v>
      </c>
      <c r="H139" s="22"/>
      <c r="I139" s="22" t="s">
        <v>500</v>
      </c>
      <c r="J139" s="22" t="s">
        <v>501</v>
      </c>
      <c r="K139" s="22" t="s">
        <v>502</v>
      </c>
      <c r="L139" s="24">
        <v>2020</v>
      </c>
      <c r="M139" s="24"/>
      <c r="N139" s="52">
        <v>15000</v>
      </c>
      <c r="O139" s="39"/>
      <c r="P139" s="27">
        <f t="shared" si="17"/>
        <v>0</v>
      </c>
      <c r="Q139" s="28"/>
      <c r="R139" s="28">
        <f t="shared" si="18"/>
        <v>4</v>
      </c>
      <c r="S139" s="29">
        <f t="shared" si="19"/>
        <v>0</v>
      </c>
      <c r="T139" s="24"/>
      <c r="U139" s="24"/>
      <c r="V139" s="24"/>
      <c r="W139" s="24"/>
      <c r="X139" s="24"/>
      <c r="Y139" s="24"/>
      <c r="Z139" s="22" t="s">
        <v>42</v>
      </c>
      <c r="AA139" s="22"/>
      <c r="AB139" s="40"/>
      <c r="AC139" s="71" t="s">
        <v>503</v>
      </c>
      <c r="AD139" s="24">
        <v>1</v>
      </c>
      <c r="AE139" s="24">
        <v>2</v>
      </c>
      <c r="AF139" s="24">
        <v>1</v>
      </c>
      <c r="AG139" s="24">
        <v>3</v>
      </c>
      <c r="AH139" s="24">
        <v>3</v>
      </c>
      <c r="AI139" s="24">
        <v>1</v>
      </c>
      <c r="AJ139" s="24">
        <v>18</v>
      </c>
      <c r="AK139" s="22" t="s">
        <v>48</v>
      </c>
      <c r="AL139" s="22"/>
    </row>
    <row r="140" spans="1:38" ht="38.25" x14ac:dyDescent="0.2">
      <c r="A140" s="22" t="s">
        <v>72</v>
      </c>
      <c r="B140" s="22" t="s">
        <v>153</v>
      </c>
      <c r="C140" s="22"/>
      <c r="D140" s="22" t="s">
        <v>60</v>
      </c>
      <c r="E140" s="22" t="s">
        <v>403</v>
      </c>
      <c r="F140" s="65" t="s">
        <v>957</v>
      </c>
      <c r="G140" s="22"/>
      <c r="H140" s="22"/>
      <c r="I140" s="22" t="s">
        <v>404</v>
      </c>
      <c r="J140" s="22"/>
      <c r="K140" s="22" t="s">
        <v>63</v>
      </c>
      <c r="L140" s="24">
        <v>2020</v>
      </c>
      <c r="M140" s="24"/>
      <c r="N140" s="38">
        <v>1000000</v>
      </c>
      <c r="O140" s="39"/>
      <c r="P140" s="27">
        <f t="shared" si="17"/>
        <v>0</v>
      </c>
      <c r="Q140" s="28"/>
      <c r="R140" s="28">
        <f t="shared" si="18"/>
        <v>4</v>
      </c>
      <c r="S140" s="29">
        <f t="shared" si="19"/>
        <v>0</v>
      </c>
      <c r="T140" s="24"/>
      <c r="U140" s="24"/>
      <c r="V140" s="24"/>
      <c r="W140" s="24"/>
      <c r="X140" s="24"/>
      <c r="Y140" s="24"/>
      <c r="Z140" s="22" t="s">
        <v>42</v>
      </c>
      <c r="AA140" s="22"/>
      <c r="AB140" s="22" t="s">
        <v>56</v>
      </c>
      <c r="AC140" s="71" t="s">
        <v>405</v>
      </c>
      <c r="AD140" s="24">
        <v>1</v>
      </c>
      <c r="AE140" s="24">
        <v>3</v>
      </c>
      <c r="AF140" s="24">
        <v>1</v>
      </c>
      <c r="AG140" s="24">
        <v>1</v>
      </c>
      <c r="AH140" s="24">
        <v>3</v>
      </c>
      <c r="AI140" s="24">
        <v>2</v>
      </c>
      <c r="AJ140" s="24">
        <v>18</v>
      </c>
      <c r="AK140" s="22" t="s">
        <v>45</v>
      </c>
      <c r="AL140" s="22"/>
    </row>
    <row r="141" spans="1:38" s="133" customFormat="1" x14ac:dyDescent="0.2">
      <c r="A141" s="30" t="s">
        <v>47</v>
      </c>
      <c r="B141" s="30" t="s">
        <v>122</v>
      </c>
      <c r="C141" s="30"/>
      <c r="D141" s="30" t="s">
        <v>37</v>
      </c>
      <c r="E141" s="30" t="s">
        <v>1262</v>
      </c>
      <c r="F141" s="139"/>
      <c r="G141" s="30"/>
      <c r="H141" s="30"/>
      <c r="I141" s="30" t="s">
        <v>1263</v>
      </c>
      <c r="J141" s="30" t="s">
        <v>1441</v>
      </c>
      <c r="K141" s="30" t="s">
        <v>63</v>
      </c>
      <c r="L141" s="31">
        <v>2024</v>
      </c>
      <c r="M141" s="31"/>
      <c r="N141" s="32">
        <v>200000</v>
      </c>
      <c r="O141" s="33"/>
      <c r="P141" s="34">
        <v>300</v>
      </c>
      <c r="Q141" s="35">
        <v>3000</v>
      </c>
      <c r="R141" s="35">
        <v>240</v>
      </c>
      <c r="S141" s="36"/>
      <c r="T141" s="31"/>
      <c r="U141" s="31"/>
      <c r="V141" s="31"/>
      <c r="W141" s="31"/>
      <c r="X141" s="31"/>
      <c r="Y141" s="31"/>
      <c r="Z141" s="30" t="s">
        <v>42</v>
      </c>
      <c r="AA141" s="30"/>
      <c r="AB141" s="30"/>
      <c r="AC141" s="72"/>
      <c r="AD141" s="31">
        <v>1</v>
      </c>
      <c r="AE141" s="31">
        <v>3</v>
      </c>
      <c r="AF141" s="31">
        <v>3</v>
      </c>
      <c r="AG141" s="31">
        <v>3</v>
      </c>
      <c r="AH141" s="31">
        <v>1</v>
      </c>
      <c r="AI141" s="31">
        <v>2</v>
      </c>
      <c r="AJ141" s="31">
        <f>AI141*AH141*AG141*AF141*AE141*AD141</f>
        <v>54</v>
      </c>
      <c r="AK141" s="30" t="s">
        <v>45</v>
      </c>
      <c r="AL141" s="37">
        <v>44896</v>
      </c>
    </row>
    <row r="142" spans="1:38" s="129" customFormat="1" x14ac:dyDescent="0.2">
      <c r="A142" s="13" t="s">
        <v>35</v>
      </c>
      <c r="B142" s="13" t="s">
        <v>268</v>
      </c>
      <c r="C142" s="13"/>
      <c r="D142" s="13" t="s">
        <v>37</v>
      </c>
      <c r="E142" s="13" t="s">
        <v>1181</v>
      </c>
      <c r="F142" s="136"/>
      <c r="G142" s="13"/>
      <c r="H142" s="13"/>
      <c r="I142" s="13" t="s">
        <v>1182</v>
      </c>
      <c r="J142" s="13" t="s">
        <v>1258</v>
      </c>
      <c r="K142" s="13" t="s">
        <v>63</v>
      </c>
      <c r="L142" s="14">
        <v>2023</v>
      </c>
      <c r="M142" s="14"/>
      <c r="N142" s="15"/>
      <c r="O142" s="16"/>
      <c r="P142" s="17"/>
      <c r="Q142" s="18"/>
      <c r="R142" s="18"/>
      <c r="S142" s="19"/>
      <c r="T142" s="14"/>
      <c r="U142" s="14"/>
      <c r="V142" s="14"/>
      <c r="W142" s="14"/>
      <c r="X142" s="14"/>
      <c r="Y142" s="14"/>
      <c r="Z142" s="13"/>
      <c r="AA142" s="22"/>
      <c r="AB142" s="22"/>
      <c r="AC142" s="70"/>
      <c r="AD142" s="14"/>
      <c r="AE142" s="14"/>
      <c r="AF142" s="14"/>
      <c r="AG142" s="14"/>
      <c r="AH142" s="14"/>
      <c r="AI142" s="14"/>
      <c r="AJ142" s="14"/>
      <c r="AK142" s="13"/>
      <c r="AL142" s="13"/>
    </row>
    <row r="143" spans="1:38" ht="38.25" x14ac:dyDescent="0.2">
      <c r="A143" s="22" t="s">
        <v>35</v>
      </c>
      <c r="B143" s="22" t="s">
        <v>268</v>
      </c>
      <c r="C143" s="22"/>
      <c r="D143" s="65" t="s">
        <v>37</v>
      </c>
      <c r="E143" s="88" t="s">
        <v>317</v>
      </c>
      <c r="F143" s="65" t="s">
        <v>909</v>
      </c>
      <c r="G143" s="88"/>
      <c r="H143" s="88"/>
      <c r="I143" s="65" t="s">
        <v>843</v>
      </c>
      <c r="J143" s="22" t="s">
        <v>844</v>
      </c>
      <c r="K143" s="22" t="s">
        <v>42</v>
      </c>
      <c r="L143" s="24">
        <v>2022</v>
      </c>
      <c r="M143" s="24"/>
      <c r="N143" s="38"/>
      <c r="O143" s="39"/>
      <c r="P143" s="27"/>
      <c r="Q143" s="28"/>
      <c r="R143" s="28"/>
      <c r="S143" s="29"/>
      <c r="T143" s="24"/>
      <c r="U143" s="24"/>
      <c r="V143" s="24"/>
      <c r="W143" s="24"/>
      <c r="X143" s="24"/>
      <c r="Y143" s="24"/>
      <c r="Z143" s="22" t="s">
        <v>42</v>
      </c>
      <c r="AA143" s="22"/>
      <c r="AB143" s="41"/>
      <c r="AC143" s="67" t="s">
        <v>845</v>
      </c>
      <c r="AD143" s="24">
        <v>2</v>
      </c>
      <c r="AE143" s="24">
        <v>1</v>
      </c>
      <c r="AF143" s="24">
        <v>2</v>
      </c>
      <c r="AG143" s="24">
        <v>3</v>
      </c>
      <c r="AH143" s="24">
        <v>2</v>
      </c>
      <c r="AI143" s="24">
        <v>1</v>
      </c>
      <c r="AJ143" s="24">
        <v>24</v>
      </c>
      <c r="AK143" s="22" t="s">
        <v>45</v>
      </c>
      <c r="AL143" s="69">
        <v>44197</v>
      </c>
    </row>
    <row r="144" spans="1:38" ht="38.25" x14ac:dyDescent="0.2">
      <c r="A144" s="22" t="s">
        <v>35</v>
      </c>
      <c r="B144" s="22" t="s">
        <v>219</v>
      </c>
      <c r="C144" s="22"/>
      <c r="D144" s="22" t="s">
        <v>220</v>
      </c>
      <c r="E144" s="22" t="s">
        <v>221</v>
      </c>
      <c r="F144" s="22"/>
      <c r="G144" s="22"/>
      <c r="H144" s="97" t="s">
        <v>937</v>
      </c>
      <c r="I144" s="22" t="s">
        <v>222</v>
      </c>
      <c r="J144" s="22"/>
      <c r="K144" s="22" t="s">
        <v>168</v>
      </c>
      <c r="L144" s="24">
        <v>2019</v>
      </c>
      <c r="M144" s="24"/>
      <c r="N144" s="38">
        <f>80/1.5</f>
        <v>53.333333333333336</v>
      </c>
      <c r="O144" s="39"/>
      <c r="P144" s="27">
        <f>N144*O144</f>
        <v>0</v>
      </c>
      <c r="Q144" s="28"/>
      <c r="R144" s="28">
        <f>IF(Q144&lt;4.99,(Q144*12%+4),IF(Q144&lt;10.99,(Q144*12%+8),IF(Q144&lt;14.99,(Q144*12%+12),IF(Q144&lt;879.99,(Q144*12%+16),IF(Q144&lt;2569.99,(Q144*7%+60),240)))))</f>
        <v>4</v>
      </c>
      <c r="S144" s="29">
        <f>R144*P144</f>
        <v>0</v>
      </c>
      <c r="T144" s="24"/>
      <c r="U144" s="24"/>
      <c r="V144" s="24"/>
      <c r="W144" s="24"/>
      <c r="X144" s="24"/>
      <c r="Y144" s="24"/>
      <c r="Z144" s="22" t="s">
        <v>64</v>
      </c>
      <c r="AA144" s="22"/>
      <c r="AB144" s="22" t="s">
        <v>213</v>
      </c>
      <c r="AC144" s="71"/>
      <c r="AD144" s="24">
        <v>1</v>
      </c>
      <c r="AE144" s="24">
        <v>2</v>
      </c>
      <c r="AF144" s="24">
        <v>0</v>
      </c>
      <c r="AG144" s="24">
        <v>3</v>
      </c>
      <c r="AH144" s="24">
        <v>1</v>
      </c>
      <c r="AI144" s="24">
        <v>1</v>
      </c>
      <c r="AJ144" s="24">
        <v>0</v>
      </c>
      <c r="AK144" s="22" t="s">
        <v>48</v>
      </c>
      <c r="AL144" s="22"/>
    </row>
    <row r="145" spans="1:38" x14ac:dyDescent="0.2">
      <c r="A145" s="22" t="s">
        <v>35</v>
      </c>
      <c r="B145" s="22" t="s">
        <v>1354</v>
      </c>
      <c r="C145" s="22"/>
      <c r="D145" s="22" t="s">
        <v>37</v>
      </c>
      <c r="E145" s="22" t="s">
        <v>1280</v>
      </c>
      <c r="F145" s="22"/>
      <c r="G145" s="22"/>
      <c r="H145" s="97"/>
      <c r="I145" s="22" t="s">
        <v>1355</v>
      </c>
      <c r="J145" s="22" t="s">
        <v>1356</v>
      </c>
      <c r="K145" s="22" t="s">
        <v>42</v>
      </c>
      <c r="L145" s="24">
        <v>2023</v>
      </c>
      <c r="M145" s="24"/>
      <c r="N145" s="38">
        <v>250</v>
      </c>
      <c r="O145" s="39"/>
      <c r="P145" s="27">
        <v>25</v>
      </c>
      <c r="Q145" s="28">
        <v>15000</v>
      </c>
      <c r="R145" s="28">
        <v>240</v>
      </c>
      <c r="S145" s="29"/>
      <c r="T145" s="24"/>
      <c r="U145" s="24"/>
      <c r="V145" s="24"/>
      <c r="W145" s="24"/>
      <c r="X145" s="24"/>
      <c r="Y145" s="24"/>
      <c r="Z145" s="22"/>
      <c r="AA145" s="22"/>
      <c r="AB145" s="22"/>
      <c r="AC145" s="71"/>
      <c r="AD145" s="24"/>
      <c r="AE145" s="24"/>
      <c r="AF145" s="24"/>
      <c r="AG145" s="24"/>
      <c r="AH145" s="24"/>
      <c r="AI145" s="24"/>
      <c r="AJ145" s="24"/>
      <c r="AK145" s="22"/>
      <c r="AL145" s="22"/>
    </row>
    <row r="146" spans="1:38" s="129" customFormat="1" x14ac:dyDescent="0.2">
      <c r="A146" s="13" t="s">
        <v>58</v>
      </c>
      <c r="B146" s="13" t="s">
        <v>625</v>
      </c>
      <c r="C146" s="13"/>
      <c r="D146" s="13" t="s">
        <v>98</v>
      </c>
      <c r="E146" s="13" t="s">
        <v>1280</v>
      </c>
      <c r="F146" s="13"/>
      <c r="G146" s="13"/>
      <c r="H146" s="136"/>
      <c r="I146" s="13" t="s">
        <v>1281</v>
      </c>
      <c r="J146" s="13"/>
      <c r="K146" s="13" t="s">
        <v>42</v>
      </c>
      <c r="L146" s="14">
        <v>2024</v>
      </c>
      <c r="M146" s="14"/>
      <c r="N146" s="15">
        <v>2000</v>
      </c>
      <c r="O146" s="16"/>
      <c r="P146" s="17"/>
      <c r="Q146" s="18"/>
      <c r="R146" s="18"/>
      <c r="S146" s="19"/>
      <c r="T146" s="14"/>
      <c r="U146" s="14"/>
      <c r="V146" s="14"/>
      <c r="W146" s="14"/>
      <c r="X146" s="14"/>
      <c r="Y146" s="14"/>
      <c r="Z146" s="13" t="s">
        <v>42</v>
      </c>
      <c r="AA146" s="72"/>
      <c r="AB146" s="31"/>
      <c r="AC146" s="14"/>
      <c r="AD146" s="14">
        <v>3</v>
      </c>
      <c r="AE146" s="14">
        <v>2</v>
      </c>
      <c r="AF146" s="14">
        <v>2</v>
      </c>
      <c r="AG146" s="14">
        <v>3</v>
      </c>
      <c r="AH146" s="14">
        <v>1</v>
      </c>
      <c r="AI146" s="13">
        <v>2</v>
      </c>
      <c r="AJ146" s="20">
        <f>AI146*AH146*AG146*AF146*AE146*AD146</f>
        <v>72</v>
      </c>
      <c r="AK146" s="129" t="s">
        <v>45</v>
      </c>
      <c r="AL146" s="129">
        <v>44958</v>
      </c>
    </row>
    <row r="147" spans="1:38" s="133" customFormat="1" x14ac:dyDescent="0.2">
      <c r="A147" s="30" t="s">
        <v>47</v>
      </c>
      <c r="B147" s="30" t="s">
        <v>1317</v>
      </c>
      <c r="C147" s="30"/>
      <c r="D147" s="30" t="s">
        <v>37</v>
      </c>
      <c r="E147" s="30" t="s">
        <v>1280</v>
      </c>
      <c r="F147" s="30"/>
      <c r="G147" s="30"/>
      <c r="H147" s="139"/>
      <c r="I147" s="30" t="s">
        <v>1318</v>
      </c>
      <c r="J147" s="30" t="s">
        <v>1319</v>
      </c>
      <c r="K147" s="30" t="s">
        <v>42</v>
      </c>
      <c r="L147" s="31">
        <v>2023</v>
      </c>
      <c r="M147" s="31"/>
      <c r="N147" s="32"/>
      <c r="O147" s="33"/>
      <c r="P147" s="34"/>
      <c r="Q147" s="35"/>
      <c r="R147" s="35"/>
      <c r="S147" s="36"/>
      <c r="T147" s="31"/>
      <c r="U147" s="31"/>
      <c r="V147" s="31"/>
      <c r="W147" s="31"/>
      <c r="X147" s="31"/>
      <c r="Y147" s="31"/>
      <c r="Z147" s="30"/>
      <c r="AA147" s="30"/>
      <c r="AB147" s="30"/>
      <c r="AC147" s="72" t="s">
        <v>1320</v>
      </c>
      <c r="AD147" s="31"/>
      <c r="AE147" s="31"/>
      <c r="AF147" s="31"/>
      <c r="AG147" s="31"/>
      <c r="AH147" s="31"/>
      <c r="AI147" s="31"/>
      <c r="AJ147" s="31"/>
      <c r="AK147" s="30"/>
      <c r="AL147" s="37"/>
    </row>
    <row r="148" spans="1:38" x14ac:dyDescent="0.2">
      <c r="A148" s="13" t="s">
        <v>35</v>
      </c>
      <c r="B148" s="13" t="s">
        <v>1025</v>
      </c>
      <c r="C148" s="13"/>
      <c r="D148" s="13" t="s">
        <v>37</v>
      </c>
      <c r="E148" s="13" t="s">
        <v>1024</v>
      </c>
      <c r="F148" s="70"/>
      <c r="G148" s="13"/>
      <c r="H148" s="13"/>
      <c r="I148" s="13" t="s">
        <v>1026</v>
      </c>
      <c r="J148" s="13" t="s">
        <v>1157</v>
      </c>
      <c r="K148" s="13" t="s">
        <v>63</v>
      </c>
      <c r="L148" s="14">
        <v>2022</v>
      </c>
      <c r="M148" s="14"/>
      <c r="N148" s="15"/>
      <c r="O148" s="16"/>
      <c r="P148" s="17">
        <v>30</v>
      </c>
      <c r="Q148" s="18"/>
      <c r="R148" s="18">
        <v>2000</v>
      </c>
      <c r="S148" s="19">
        <v>180</v>
      </c>
      <c r="T148" s="14"/>
      <c r="U148" s="14"/>
      <c r="V148" s="14"/>
      <c r="W148" s="14"/>
      <c r="X148" s="14"/>
      <c r="Y148" s="14"/>
      <c r="Z148" s="13"/>
      <c r="AA148" s="13"/>
      <c r="AB148" s="13"/>
      <c r="AC148" s="70"/>
      <c r="AD148" s="14"/>
      <c r="AE148" s="14"/>
      <c r="AF148" s="14"/>
      <c r="AG148" s="14"/>
      <c r="AH148" s="14"/>
      <c r="AI148" s="14"/>
      <c r="AJ148" s="14"/>
      <c r="AK148" s="13"/>
      <c r="AL148" s="13"/>
    </row>
    <row r="149" spans="1:38" ht="38.25" x14ac:dyDescent="0.2">
      <c r="A149" s="22" t="s">
        <v>86</v>
      </c>
      <c r="B149" s="22" t="s">
        <v>259</v>
      </c>
      <c r="C149" s="22"/>
      <c r="D149" s="22" t="s">
        <v>37</v>
      </c>
      <c r="E149" s="22" t="s">
        <v>748</v>
      </c>
      <c r="F149" s="22"/>
      <c r="G149" s="110" t="s">
        <v>996</v>
      </c>
      <c r="H149" s="22"/>
      <c r="I149" s="22" t="s">
        <v>749</v>
      </c>
      <c r="J149" s="22" t="s">
        <v>750</v>
      </c>
      <c r="K149" s="22" t="s">
        <v>128</v>
      </c>
      <c r="L149" s="24">
        <v>2021</v>
      </c>
      <c r="M149" s="24"/>
      <c r="N149" s="38">
        <v>70000</v>
      </c>
      <c r="O149" s="39"/>
      <c r="P149" s="27">
        <f>N149*O149</f>
        <v>0</v>
      </c>
      <c r="Q149" s="28"/>
      <c r="R149" s="28">
        <f>IF(Q149&lt;4.99,(Q149*12%+4),IF(Q149&lt;10.99,(Q149*12%+8),IF(Q149&lt;14.99,(Q149*12%+12),IF(Q149&lt;879.99,(Q149*12%+16),IF(Q149&lt;2569.99,(Q149*7%+60),240)))))</f>
        <v>4</v>
      </c>
      <c r="S149" s="29">
        <f>R149*P149</f>
        <v>0</v>
      </c>
      <c r="T149" s="24"/>
      <c r="U149" s="24"/>
      <c r="V149" s="24"/>
      <c r="W149" s="24"/>
      <c r="X149" s="24"/>
      <c r="Y149" s="24"/>
      <c r="Z149" s="22" t="s">
        <v>751</v>
      </c>
      <c r="AA149" s="22"/>
      <c r="AB149" s="22"/>
      <c r="AC149" s="71"/>
      <c r="AD149" s="24">
        <v>2</v>
      </c>
      <c r="AE149" s="24">
        <v>3</v>
      </c>
      <c r="AF149" s="24">
        <v>2</v>
      </c>
      <c r="AG149" s="24">
        <v>2</v>
      </c>
      <c r="AH149" s="24">
        <v>2</v>
      </c>
      <c r="AI149" s="24">
        <v>2</v>
      </c>
      <c r="AJ149" s="24">
        <v>96</v>
      </c>
      <c r="AK149" s="22" t="s">
        <v>48</v>
      </c>
      <c r="AL149" s="22"/>
    </row>
    <row r="150" spans="1:38" ht="38.25" x14ac:dyDescent="0.2">
      <c r="A150" s="22" t="s">
        <v>72</v>
      </c>
      <c r="B150" s="22" t="s">
        <v>773</v>
      </c>
      <c r="C150" s="22"/>
      <c r="D150" s="22" t="s">
        <v>37</v>
      </c>
      <c r="E150" s="22" t="s">
        <v>774</v>
      </c>
      <c r="F150" s="95"/>
      <c r="G150" s="22"/>
      <c r="H150" s="78" t="s">
        <v>998</v>
      </c>
      <c r="I150" s="22" t="s">
        <v>775</v>
      </c>
      <c r="J150" s="22" t="s">
        <v>776</v>
      </c>
      <c r="K150" s="22" t="s">
        <v>63</v>
      </c>
      <c r="L150" s="24">
        <v>2022</v>
      </c>
      <c r="M150" s="24"/>
      <c r="N150" s="38"/>
      <c r="O150" s="39"/>
      <c r="P150" s="27">
        <f>N150*O150</f>
        <v>0</v>
      </c>
      <c r="Q150" s="28"/>
      <c r="R150" s="28">
        <f>IF(Q150&lt;4.99,(Q150*12%+4),IF(Q150&lt;10.99,(Q150*12%+8),IF(Q150&lt;14.99,(Q150*12%+12),IF(Q150&lt;879.99,(Q150*12%+16),IF(Q150&lt;2569.99,(Q150*7%+60),240)))))</f>
        <v>4</v>
      </c>
      <c r="S150" s="29">
        <f>R150*P150</f>
        <v>0</v>
      </c>
      <c r="T150" s="24"/>
      <c r="U150" s="24"/>
      <c r="V150" s="24"/>
      <c r="W150" s="24"/>
      <c r="X150" s="24"/>
      <c r="Y150" s="24"/>
      <c r="Z150" s="22" t="s">
        <v>42</v>
      </c>
      <c r="AA150" s="22"/>
      <c r="AB150" s="22"/>
      <c r="AC150" s="71" t="s">
        <v>1395</v>
      </c>
      <c r="AD150" s="24">
        <v>1</v>
      </c>
      <c r="AE150" s="24">
        <v>2</v>
      </c>
      <c r="AF150" s="24">
        <v>1</v>
      </c>
      <c r="AG150" s="24">
        <v>2</v>
      </c>
      <c r="AH150" s="24">
        <v>1</v>
      </c>
      <c r="AI150" s="24">
        <v>2</v>
      </c>
      <c r="AJ150" s="24">
        <v>8</v>
      </c>
      <c r="AK150" s="22" t="s">
        <v>48</v>
      </c>
      <c r="AL150" s="22"/>
    </row>
    <row r="151" spans="1:38" ht="38.25" x14ac:dyDescent="0.2">
      <c r="A151" s="22" t="s">
        <v>72</v>
      </c>
      <c r="B151" s="22" t="s">
        <v>1396</v>
      </c>
      <c r="C151" s="22"/>
      <c r="D151" s="22" t="s">
        <v>37</v>
      </c>
      <c r="E151" s="22" t="s">
        <v>774</v>
      </c>
      <c r="F151" s="95"/>
      <c r="G151" s="22"/>
      <c r="H151" s="225" t="s">
        <v>998</v>
      </c>
      <c r="I151" s="22" t="s">
        <v>1397</v>
      </c>
      <c r="J151" s="22"/>
      <c r="K151" s="22" t="s">
        <v>42</v>
      </c>
      <c r="L151" s="24">
        <v>2024</v>
      </c>
      <c r="M151" s="24"/>
      <c r="N151" s="38">
        <v>400</v>
      </c>
      <c r="O151" s="39">
        <v>0.4</v>
      </c>
      <c r="P151" s="27">
        <v>40</v>
      </c>
      <c r="Q151" s="28"/>
      <c r="R151" s="28"/>
      <c r="S151" s="29"/>
      <c r="T151" s="24"/>
      <c r="U151" s="24"/>
      <c r="V151" s="24"/>
      <c r="W151" s="24"/>
      <c r="X151" s="24"/>
      <c r="Y151" s="24"/>
      <c r="Z151" s="22"/>
      <c r="AA151" s="22"/>
      <c r="AB151" s="22"/>
      <c r="AC151" s="71" t="s">
        <v>1398</v>
      </c>
      <c r="AD151" s="24">
        <v>1</v>
      </c>
      <c r="AE151" s="24">
        <v>2</v>
      </c>
      <c r="AF151" s="24">
        <v>2</v>
      </c>
      <c r="AG151" s="24">
        <v>3</v>
      </c>
      <c r="AH151" s="24">
        <v>1</v>
      </c>
      <c r="AI151" s="24">
        <v>2</v>
      </c>
      <c r="AJ151" s="24">
        <f>AI151*AH151*AG151*AF151*AE151*AD151</f>
        <v>24</v>
      </c>
      <c r="AK151" s="22"/>
      <c r="AL151" s="40">
        <v>45170</v>
      </c>
    </row>
    <row r="152" spans="1:38" ht="51" x14ac:dyDescent="0.2">
      <c r="A152" s="22" t="s">
        <v>35</v>
      </c>
      <c r="B152" s="22" t="s">
        <v>1002</v>
      </c>
      <c r="C152" s="22"/>
      <c r="D152" s="22" t="s">
        <v>37</v>
      </c>
      <c r="E152" s="22" t="s">
        <v>52</v>
      </c>
      <c r="F152" s="67" t="s">
        <v>908</v>
      </c>
      <c r="G152" s="22"/>
      <c r="H152" s="78"/>
      <c r="I152" s="22" t="s">
        <v>1003</v>
      </c>
      <c r="J152" s="22" t="s">
        <v>1128</v>
      </c>
      <c r="K152" s="22" t="s">
        <v>42</v>
      </c>
      <c r="L152" s="24">
        <v>2022</v>
      </c>
      <c r="M152" s="24"/>
      <c r="N152" s="38">
        <v>160</v>
      </c>
      <c r="O152" s="39"/>
      <c r="P152" s="27">
        <v>40</v>
      </c>
      <c r="Q152" s="28">
        <v>4500</v>
      </c>
      <c r="R152" s="28">
        <v>240</v>
      </c>
      <c r="S152" s="29"/>
      <c r="T152" s="24" t="s">
        <v>1004</v>
      </c>
      <c r="U152" s="24" t="s">
        <v>45</v>
      </c>
      <c r="V152" s="24" t="s">
        <v>48</v>
      </c>
      <c r="W152" s="24" t="s">
        <v>45</v>
      </c>
      <c r="X152" s="24" t="s">
        <v>45</v>
      </c>
      <c r="Y152" s="24"/>
      <c r="Z152" s="22" t="s">
        <v>42</v>
      </c>
      <c r="AA152" s="22"/>
      <c r="AB152" s="22"/>
      <c r="AC152" s="71"/>
      <c r="AD152" s="24"/>
      <c r="AE152" s="24"/>
      <c r="AF152" s="24"/>
      <c r="AG152" s="24"/>
      <c r="AH152" s="24"/>
      <c r="AI152" s="24"/>
      <c r="AJ152" s="24"/>
      <c r="AK152" s="22"/>
      <c r="AL152" s="22"/>
    </row>
    <row r="153" spans="1:38" x14ac:dyDescent="0.2">
      <c r="A153" s="22" t="s">
        <v>35</v>
      </c>
      <c r="B153" s="22" t="s">
        <v>268</v>
      </c>
      <c r="C153" s="22"/>
      <c r="D153" s="22" t="s">
        <v>37</v>
      </c>
      <c r="E153" s="22" t="s">
        <v>52</v>
      </c>
      <c r="F153" s="67"/>
      <c r="G153" s="22"/>
      <c r="H153" s="78"/>
      <c r="I153" s="22" t="s">
        <v>1020</v>
      </c>
      <c r="J153" s="22" t="s">
        <v>1021</v>
      </c>
      <c r="K153" s="22" t="s">
        <v>1017</v>
      </c>
      <c r="L153" s="24">
        <v>2021</v>
      </c>
      <c r="M153" s="24"/>
      <c r="N153" s="38"/>
      <c r="O153" s="39"/>
      <c r="P153" s="27">
        <v>30</v>
      </c>
      <c r="Q153" s="28">
        <v>9300</v>
      </c>
      <c r="R153" s="28">
        <v>240</v>
      </c>
      <c r="S153" s="29">
        <f>Q153*40</f>
        <v>372000</v>
      </c>
      <c r="T153" s="24"/>
      <c r="U153" s="24"/>
      <c r="V153" s="24"/>
      <c r="W153" s="24"/>
      <c r="X153" s="24"/>
      <c r="Y153" s="24"/>
      <c r="Z153" s="22"/>
      <c r="AA153" s="22"/>
      <c r="AB153" s="22"/>
      <c r="AC153" s="71"/>
      <c r="AD153" s="24"/>
      <c r="AE153" s="24"/>
      <c r="AF153" s="24"/>
      <c r="AG153" s="24"/>
      <c r="AH153" s="24"/>
      <c r="AI153" s="24"/>
      <c r="AJ153" s="24"/>
      <c r="AK153" s="22"/>
      <c r="AL153" s="22"/>
    </row>
    <row r="154" spans="1:38" ht="51" x14ac:dyDescent="0.2">
      <c r="A154" s="13" t="s">
        <v>58</v>
      </c>
      <c r="B154" s="13" t="s">
        <v>59</v>
      </c>
      <c r="C154" s="13"/>
      <c r="D154" s="13" t="s">
        <v>60</v>
      </c>
      <c r="E154" s="13" t="s">
        <v>52</v>
      </c>
      <c r="F154" s="101" t="s">
        <v>908</v>
      </c>
      <c r="G154" s="13"/>
      <c r="H154" s="13"/>
      <c r="I154" s="13" t="s">
        <v>61</v>
      </c>
      <c r="J154" s="13" t="s">
        <v>62</v>
      </c>
      <c r="K154" s="13" t="s">
        <v>63</v>
      </c>
      <c r="L154" s="14">
        <v>2020</v>
      </c>
      <c r="M154" s="14"/>
      <c r="N154" s="15">
        <v>220</v>
      </c>
      <c r="O154" s="16"/>
      <c r="P154" s="17">
        <f t="shared" ref="P154:P157" si="20">N154*O154</f>
        <v>0</v>
      </c>
      <c r="Q154" s="18"/>
      <c r="R154" s="18">
        <f t="shared" ref="R154:R157" si="21">IF(Q154&lt;4.99,(Q154*12%+4),IF(Q154&lt;10.99,(Q154*12%+8),IF(Q154&lt;14.99,(Q154*12%+12),IF(Q154&lt;879.99,(Q154*12%+16),IF(Q154&lt;2569.99,(Q154*7%+60),240)))))</f>
        <v>4</v>
      </c>
      <c r="S154" s="19">
        <f t="shared" ref="S154:S157" si="22">R154*P154</f>
        <v>0</v>
      </c>
      <c r="T154" s="14"/>
      <c r="U154" s="14"/>
      <c r="V154" s="14"/>
      <c r="W154" s="14"/>
      <c r="X154" s="14"/>
      <c r="Y154" s="14"/>
      <c r="Z154" s="13" t="s">
        <v>64</v>
      </c>
      <c r="AA154" s="13"/>
      <c r="AB154" s="13"/>
      <c r="AC154" s="70"/>
      <c r="AD154" s="14">
        <v>3</v>
      </c>
      <c r="AE154" s="14">
        <v>2</v>
      </c>
      <c r="AF154" s="14">
        <v>3</v>
      </c>
      <c r="AG154" s="14">
        <v>3</v>
      </c>
      <c r="AH154" s="14">
        <v>1</v>
      </c>
      <c r="AI154" s="14">
        <v>2</v>
      </c>
      <c r="AJ154" s="14">
        <v>108</v>
      </c>
      <c r="AK154" s="13" t="s">
        <v>48</v>
      </c>
      <c r="AL154" s="13"/>
    </row>
    <row r="155" spans="1:38" ht="51" x14ac:dyDescent="0.2">
      <c r="A155" s="22" t="s">
        <v>86</v>
      </c>
      <c r="B155" s="23" t="s">
        <v>509</v>
      </c>
      <c r="C155" s="22"/>
      <c r="D155" s="22" t="s">
        <v>98</v>
      </c>
      <c r="E155" s="22" t="s">
        <v>52</v>
      </c>
      <c r="F155" s="67" t="s">
        <v>908</v>
      </c>
      <c r="G155" s="22"/>
      <c r="H155" s="22"/>
      <c r="I155" s="22" t="s">
        <v>510</v>
      </c>
      <c r="J155" s="22"/>
      <c r="K155" s="22" t="s">
        <v>42</v>
      </c>
      <c r="L155" s="24">
        <v>2021</v>
      </c>
      <c r="M155" s="24"/>
      <c r="N155" s="38">
        <f>0.0075*8500000</f>
        <v>63750</v>
      </c>
      <c r="O155" s="39"/>
      <c r="P155" s="27">
        <f t="shared" si="20"/>
        <v>0</v>
      </c>
      <c r="Q155" s="28"/>
      <c r="R155" s="28">
        <f t="shared" si="21"/>
        <v>4</v>
      </c>
      <c r="S155" s="29">
        <f t="shared" si="22"/>
        <v>0</v>
      </c>
      <c r="T155" s="24"/>
      <c r="U155" s="24"/>
      <c r="V155" s="24"/>
      <c r="W155" s="24"/>
      <c r="X155" s="24"/>
      <c r="Y155" s="24"/>
      <c r="Z155" s="22" t="s">
        <v>42</v>
      </c>
      <c r="AA155" s="22"/>
      <c r="AB155" s="22"/>
      <c r="AC155" s="71" t="s">
        <v>511</v>
      </c>
      <c r="AD155" s="24">
        <v>3</v>
      </c>
      <c r="AE155" s="24">
        <v>1</v>
      </c>
      <c r="AF155" s="24">
        <v>2</v>
      </c>
      <c r="AG155" s="24">
        <v>2</v>
      </c>
      <c r="AH155" s="24">
        <v>2</v>
      </c>
      <c r="AI155" s="24">
        <v>2</v>
      </c>
      <c r="AJ155" s="24">
        <v>48</v>
      </c>
      <c r="AK155" s="22" t="s">
        <v>45</v>
      </c>
      <c r="AL155" s="22"/>
    </row>
    <row r="156" spans="1:38" s="133" customFormat="1" x14ac:dyDescent="0.2">
      <c r="A156" s="30" t="s">
        <v>35</v>
      </c>
      <c r="B156" s="30" t="s">
        <v>268</v>
      </c>
      <c r="C156" s="30"/>
      <c r="D156" s="30" t="s">
        <v>60</v>
      </c>
      <c r="E156" s="30" t="s">
        <v>52</v>
      </c>
      <c r="F156" s="141"/>
      <c r="G156" s="30"/>
      <c r="H156" s="30"/>
      <c r="I156" s="30" t="s">
        <v>1245</v>
      </c>
      <c r="J156" s="30" t="s">
        <v>1442</v>
      </c>
      <c r="K156" s="30" t="s">
        <v>834</v>
      </c>
      <c r="L156" s="31">
        <v>2024</v>
      </c>
      <c r="M156" s="31"/>
      <c r="N156" s="32">
        <v>4400</v>
      </c>
      <c r="O156" s="33"/>
      <c r="P156" s="34">
        <v>10</v>
      </c>
      <c r="Q156" s="35">
        <v>2700</v>
      </c>
      <c r="R156" s="35">
        <v>240</v>
      </c>
      <c r="S156" s="36"/>
      <c r="T156" s="31"/>
      <c r="U156" s="31"/>
      <c r="V156" s="31"/>
      <c r="W156" s="31"/>
      <c r="X156" s="31"/>
      <c r="Y156" s="31"/>
      <c r="Z156" s="30"/>
      <c r="AA156" s="22"/>
      <c r="AB156" s="22"/>
      <c r="AC156" s="72" t="s">
        <v>1246</v>
      </c>
      <c r="AD156" s="31"/>
      <c r="AE156" s="31"/>
      <c r="AF156" s="31"/>
      <c r="AG156" s="31"/>
      <c r="AH156" s="31"/>
      <c r="AI156" s="31"/>
      <c r="AJ156" s="31"/>
      <c r="AK156" s="30"/>
      <c r="AL156" s="37">
        <v>44805</v>
      </c>
    </row>
    <row r="157" spans="1:38" ht="51" x14ac:dyDescent="0.2">
      <c r="A157" s="22" t="s">
        <v>35</v>
      </c>
      <c r="B157" s="22" t="s">
        <v>558</v>
      </c>
      <c r="C157" s="22"/>
      <c r="D157" s="22" t="s">
        <v>37</v>
      </c>
      <c r="E157" s="22" t="s">
        <v>52</v>
      </c>
      <c r="F157" s="67" t="s">
        <v>908</v>
      </c>
      <c r="G157" s="22"/>
      <c r="H157" s="22"/>
      <c r="I157" s="22" t="s">
        <v>126</v>
      </c>
      <c r="J157" s="22" t="s">
        <v>127</v>
      </c>
      <c r="K157" s="22" t="s">
        <v>42</v>
      </c>
      <c r="L157" s="24">
        <v>2020</v>
      </c>
      <c r="M157" s="24"/>
      <c r="N157" s="51">
        <v>1600</v>
      </c>
      <c r="O157" s="39"/>
      <c r="P157" s="27">
        <f t="shared" si="20"/>
        <v>0</v>
      </c>
      <c r="Q157" s="28"/>
      <c r="R157" s="28">
        <f t="shared" si="21"/>
        <v>4</v>
      </c>
      <c r="S157" s="29">
        <f t="shared" si="22"/>
        <v>0</v>
      </c>
      <c r="T157" s="24"/>
      <c r="U157" s="24"/>
      <c r="V157" s="24"/>
      <c r="W157" s="24"/>
      <c r="X157" s="24"/>
      <c r="Y157" s="24"/>
      <c r="Z157" s="22" t="s">
        <v>42</v>
      </c>
      <c r="AA157" s="22" t="s">
        <v>182</v>
      </c>
      <c r="AB157" s="41" t="s">
        <v>213</v>
      </c>
      <c r="AC157" s="71" t="s">
        <v>559</v>
      </c>
      <c r="AD157" s="24">
        <v>3</v>
      </c>
      <c r="AE157" s="24">
        <v>2</v>
      </c>
      <c r="AF157" s="24">
        <v>3</v>
      </c>
      <c r="AG157" s="24">
        <v>3</v>
      </c>
      <c r="AH157" s="24">
        <v>1</v>
      </c>
      <c r="AI157" s="24">
        <v>1</v>
      </c>
      <c r="AJ157" s="24">
        <v>54</v>
      </c>
      <c r="AK157" s="22" t="s">
        <v>45</v>
      </c>
      <c r="AL157" s="22"/>
    </row>
    <row r="158" spans="1:38" s="133" customFormat="1" ht="25.5" x14ac:dyDescent="0.2">
      <c r="A158" s="30" t="s">
        <v>58</v>
      </c>
      <c r="B158" s="30" t="s">
        <v>1260</v>
      </c>
      <c r="C158" s="30"/>
      <c r="D158" s="30" t="s">
        <v>37</v>
      </c>
      <c r="E158" s="30" t="s">
        <v>52</v>
      </c>
      <c r="F158" s="141"/>
      <c r="G158" s="30"/>
      <c r="H158" s="30"/>
      <c r="I158" s="30" t="s">
        <v>1261</v>
      </c>
      <c r="J158" s="30"/>
      <c r="K158" s="30" t="s">
        <v>42</v>
      </c>
      <c r="L158" s="31">
        <v>2024</v>
      </c>
      <c r="M158" s="31"/>
      <c r="N158" s="32">
        <v>128</v>
      </c>
      <c r="O158" s="33"/>
      <c r="P158" s="34">
        <v>5</v>
      </c>
      <c r="Q158" s="35">
        <v>15000</v>
      </c>
      <c r="R158" s="35"/>
      <c r="S158" s="36"/>
      <c r="T158" s="31"/>
      <c r="U158" s="31"/>
      <c r="V158" s="31"/>
      <c r="W158" s="31"/>
      <c r="X158" s="31"/>
      <c r="Y158" s="31"/>
      <c r="Z158" s="30" t="s">
        <v>42</v>
      </c>
      <c r="AA158" s="30"/>
      <c r="AB158" s="50"/>
      <c r="AC158" s="72" t="s">
        <v>1327</v>
      </c>
      <c r="AD158" s="31">
        <v>3</v>
      </c>
      <c r="AE158" s="31">
        <v>2</v>
      </c>
      <c r="AF158" s="31">
        <v>2</v>
      </c>
      <c r="AG158" s="31">
        <v>3</v>
      </c>
      <c r="AH158" s="31">
        <v>1</v>
      </c>
      <c r="AI158" s="31">
        <v>2</v>
      </c>
      <c r="AJ158" s="31">
        <f>AI158*AH158*AG158*AF158*AE158*AD158</f>
        <v>72</v>
      </c>
      <c r="AK158" s="30" t="s">
        <v>45</v>
      </c>
      <c r="AL158" s="37">
        <v>44896</v>
      </c>
    </row>
    <row r="159" spans="1:38" s="129" customFormat="1" ht="38.25" x14ac:dyDescent="0.2">
      <c r="A159" s="13" t="s">
        <v>58</v>
      </c>
      <c r="B159" s="13" t="s">
        <v>849</v>
      </c>
      <c r="C159" s="13"/>
      <c r="D159" s="136" t="s">
        <v>98</v>
      </c>
      <c r="E159" s="136" t="s">
        <v>297</v>
      </c>
      <c r="F159" s="136" t="s">
        <v>907</v>
      </c>
      <c r="G159" s="136"/>
      <c r="H159" s="136"/>
      <c r="I159" s="136" t="s">
        <v>1365</v>
      </c>
      <c r="J159" s="13" t="s">
        <v>1443</v>
      </c>
      <c r="K159" s="13" t="s">
        <v>201</v>
      </c>
      <c r="L159" s="14">
        <v>2023</v>
      </c>
      <c r="M159" s="14"/>
      <c r="N159" s="15"/>
      <c r="O159" s="16"/>
      <c r="P159" s="17"/>
      <c r="Q159" s="18"/>
      <c r="R159" s="18"/>
      <c r="S159" s="19"/>
      <c r="T159" s="14"/>
      <c r="U159" s="14"/>
      <c r="V159" s="14"/>
      <c r="W159" s="14"/>
      <c r="X159" s="14"/>
      <c r="Y159" s="14"/>
      <c r="Z159" s="13" t="s">
        <v>42</v>
      </c>
      <c r="AA159" s="22"/>
      <c r="AB159" s="41"/>
      <c r="AC159" s="137"/>
      <c r="AD159" s="14"/>
      <c r="AE159" s="14"/>
      <c r="AF159" s="14"/>
      <c r="AG159" s="14"/>
      <c r="AH159" s="14"/>
      <c r="AI159" s="14"/>
      <c r="AJ159" s="14">
        <v>0</v>
      </c>
      <c r="AK159" s="13"/>
      <c r="AL159" s="138"/>
    </row>
    <row r="160" spans="1:38" ht="38.25" x14ac:dyDescent="0.2">
      <c r="A160" s="30" t="s">
        <v>58</v>
      </c>
      <c r="B160" s="30" t="s">
        <v>296</v>
      </c>
      <c r="C160" s="30"/>
      <c r="D160" s="30" t="s">
        <v>60</v>
      </c>
      <c r="E160" s="30" t="s">
        <v>297</v>
      </c>
      <c r="F160" s="72" t="s">
        <v>907</v>
      </c>
      <c r="G160" s="30"/>
      <c r="H160" s="30"/>
      <c r="I160" s="30" t="s">
        <v>298</v>
      </c>
      <c r="J160" s="30" t="s">
        <v>299</v>
      </c>
      <c r="K160" s="30" t="s">
        <v>201</v>
      </c>
      <c r="L160" s="31">
        <v>2018</v>
      </c>
      <c r="M160" s="31"/>
      <c r="N160" s="32">
        <f>750/6*5</f>
        <v>625</v>
      </c>
      <c r="O160" s="33"/>
      <c r="P160" s="34">
        <f>N160*O160</f>
        <v>0</v>
      </c>
      <c r="Q160" s="35"/>
      <c r="R160" s="35">
        <f>IF(Q160&lt;4.99,(Q160*12%+4),IF(Q160&lt;10.99,(Q160*12%+8),IF(Q160&lt;14.99,(Q160*12%+12),IF(Q160&lt;879.99,(Q160*12%+16),IF(Q160&lt;2569.99,(Q160*7%+60),240)))))</f>
        <v>4</v>
      </c>
      <c r="S160" s="36">
        <f>R160*P160</f>
        <v>0</v>
      </c>
      <c r="T160" s="31"/>
      <c r="U160" s="31"/>
      <c r="V160" s="31"/>
      <c r="W160" s="31"/>
      <c r="X160" s="31"/>
      <c r="Y160" s="31"/>
      <c r="Z160" s="30"/>
      <c r="AA160" s="30"/>
      <c r="AB160" s="30"/>
      <c r="AC160" s="72"/>
      <c r="AD160" s="31"/>
      <c r="AE160" s="31"/>
      <c r="AF160" s="31"/>
      <c r="AG160" s="31"/>
      <c r="AH160" s="31"/>
      <c r="AI160" s="31"/>
      <c r="AJ160" s="31"/>
      <c r="AK160" s="30"/>
      <c r="AL160" s="30"/>
    </row>
    <row r="161" spans="1:38" ht="38.25" x14ac:dyDescent="0.2">
      <c r="A161" s="22" t="s">
        <v>58</v>
      </c>
      <c r="B161" s="22" t="s">
        <v>59</v>
      </c>
      <c r="C161" s="22"/>
      <c r="D161" s="22" t="s">
        <v>37</v>
      </c>
      <c r="E161" s="22" t="s">
        <v>297</v>
      </c>
      <c r="F161" s="71" t="s">
        <v>907</v>
      </c>
      <c r="G161" s="22"/>
      <c r="H161" s="22"/>
      <c r="I161" s="22" t="s">
        <v>397</v>
      </c>
      <c r="J161" s="22"/>
      <c r="K161" s="23" t="s">
        <v>42</v>
      </c>
      <c r="L161" s="24">
        <v>2022</v>
      </c>
      <c r="M161" s="24"/>
      <c r="N161" s="52">
        <v>220</v>
      </c>
      <c r="O161" s="39"/>
      <c r="P161" s="27">
        <f>N161*O161</f>
        <v>0</v>
      </c>
      <c r="Q161" s="28"/>
      <c r="R161" s="28">
        <f>IF(Q161&lt;4.99,(Q161*12%+4),IF(Q161&lt;10.99,(Q161*12%+8),IF(Q161&lt;14.99,(Q161*12%+12),IF(Q161&lt;879.99,(Q161*12%+16),IF(Q161&lt;2569.99,(Q161*7%+60),240)))))</f>
        <v>4</v>
      </c>
      <c r="S161" s="29">
        <f>R161*P161</f>
        <v>0</v>
      </c>
      <c r="T161" s="24"/>
      <c r="U161" s="24"/>
      <c r="V161" s="24"/>
      <c r="W161" s="24"/>
      <c r="X161" s="24"/>
      <c r="Y161" s="24"/>
      <c r="Z161" s="22" t="s">
        <v>42</v>
      </c>
      <c r="AA161" s="22"/>
      <c r="AB161" s="22"/>
      <c r="AC161" s="71" t="s">
        <v>398</v>
      </c>
      <c r="AD161" s="24">
        <v>1</v>
      </c>
      <c r="AE161" s="24">
        <v>2</v>
      </c>
      <c r="AF161" s="24">
        <v>2</v>
      </c>
      <c r="AG161" s="24">
        <v>3</v>
      </c>
      <c r="AH161" s="24">
        <v>1</v>
      </c>
      <c r="AI161" s="24">
        <v>2</v>
      </c>
      <c r="AJ161" s="24">
        <v>24</v>
      </c>
      <c r="AK161" s="22" t="s">
        <v>48</v>
      </c>
      <c r="AL161" s="22"/>
    </row>
    <row r="162" spans="1:38" ht="38.25" x14ac:dyDescent="0.2">
      <c r="A162" s="22" t="s">
        <v>35</v>
      </c>
      <c r="B162" s="22" t="s">
        <v>851</v>
      </c>
      <c r="C162" s="22"/>
      <c r="D162" s="65" t="s">
        <v>37</v>
      </c>
      <c r="E162" s="88" t="s">
        <v>852</v>
      </c>
      <c r="F162" s="88"/>
      <c r="G162" s="78" t="s">
        <v>906</v>
      </c>
      <c r="H162" s="88"/>
      <c r="I162" s="65" t="s">
        <v>853</v>
      </c>
      <c r="J162" s="22"/>
      <c r="K162" s="22" t="s">
        <v>42</v>
      </c>
      <c r="L162" s="24">
        <v>2023</v>
      </c>
      <c r="M162" s="24"/>
      <c r="N162" s="38"/>
      <c r="O162" s="39"/>
      <c r="P162" s="27"/>
      <c r="Q162" s="28"/>
      <c r="R162" s="28"/>
      <c r="S162" s="29"/>
      <c r="T162" s="24"/>
      <c r="U162" s="24"/>
      <c r="V162" s="24"/>
      <c r="W162" s="24"/>
      <c r="X162" s="24"/>
      <c r="Y162" s="24"/>
      <c r="Z162" s="22" t="s">
        <v>42</v>
      </c>
      <c r="AA162" s="22"/>
      <c r="AB162" s="41"/>
      <c r="AC162" s="67"/>
      <c r="AD162" s="24">
        <v>1</v>
      </c>
      <c r="AE162" s="24">
        <v>2</v>
      </c>
      <c r="AF162" s="24">
        <v>2</v>
      </c>
      <c r="AG162" s="24">
        <v>3</v>
      </c>
      <c r="AH162" s="24">
        <v>1</v>
      </c>
      <c r="AI162" s="24">
        <v>1</v>
      </c>
      <c r="AJ162" s="24">
        <v>12</v>
      </c>
      <c r="AK162" s="22" t="s">
        <v>45</v>
      </c>
      <c r="AL162" s="69"/>
    </row>
    <row r="163" spans="1:38" ht="51" x14ac:dyDescent="0.2">
      <c r="A163" s="22" t="s">
        <v>35</v>
      </c>
      <c r="B163" s="23" t="s">
        <v>637</v>
      </c>
      <c r="C163" s="22"/>
      <c r="D163" s="22" t="s">
        <v>60</v>
      </c>
      <c r="E163" s="22" t="s">
        <v>638</v>
      </c>
      <c r="F163" s="22"/>
      <c r="G163" s="22"/>
      <c r="H163" s="110" t="s">
        <v>982</v>
      </c>
      <c r="I163" s="22" t="s">
        <v>639</v>
      </c>
      <c r="J163" s="22" t="s">
        <v>640</v>
      </c>
      <c r="K163" s="22" t="s">
        <v>42</v>
      </c>
      <c r="L163" s="24">
        <v>2020</v>
      </c>
      <c r="M163" s="24"/>
      <c r="N163" s="38">
        <f>550000/7750000000*8500000*2</f>
        <v>1206.4516129032259</v>
      </c>
      <c r="O163" s="39"/>
      <c r="P163" s="27">
        <f>N163*O163</f>
        <v>0</v>
      </c>
      <c r="Q163" s="28"/>
      <c r="R163" s="28">
        <f>IF(Q163&lt;4.99,(Q163*12%+4),IF(Q163&lt;10.99,(Q163*12%+8),IF(Q163&lt;14.99,(Q163*12%+12),IF(Q163&lt;879.99,(Q163*12%+16),IF(Q163&lt;2569.99,(Q163*7%+60),240)))))</f>
        <v>4</v>
      </c>
      <c r="S163" s="29">
        <f>R163*P163</f>
        <v>0</v>
      </c>
      <c r="T163" s="24"/>
      <c r="U163" s="24"/>
      <c r="V163" s="24"/>
      <c r="W163" s="24"/>
      <c r="X163" s="24"/>
      <c r="Y163" s="24"/>
      <c r="Z163" s="22" t="s">
        <v>42</v>
      </c>
      <c r="AA163" s="22"/>
      <c r="AB163" s="22"/>
      <c r="AC163" s="71" t="s">
        <v>641</v>
      </c>
      <c r="AD163" s="24">
        <v>1</v>
      </c>
      <c r="AE163" s="24">
        <v>1</v>
      </c>
      <c r="AF163" s="24">
        <v>1</v>
      </c>
      <c r="AG163" s="24">
        <v>3</v>
      </c>
      <c r="AH163" s="24">
        <v>1</v>
      </c>
      <c r="AI163" s="24">
        <v>1</v>
      </c>
      <c r="AJ163" s="24">
        <v>3</v>
      </c>
      <c r="AK163" s="22" t="s">
        <v>48</v>
      </c>
      <c r="AL163" s="22"/>
    </row>
    <row r="164" spans="1:38" ht="38.25" x14ac:dyDescent="0.2">
      <c r="A164" s="22" t="s">
        <v>35</v>
      </c>
      <c r="B164" s="22" t="s">
        <v>642</v>
      </c>
      <c r="C164" s="22"/>
      <c r="D164" s="22" t="s">
        <v>37</v>
      </c>
      <c r="E164" s="22" t="s">
        <v>643</v>
      </c>
      <c r="F164" s="22"/>
      <c r="G164" s="22"/>
      <c r="H164" s="65" t="s">
        <v>983</v>
      </c>
      <c r="I164" s="22" t="s">
        <v>644</v>
      </c>
      <c r="J164" s="22"/>
      <c r="K164" s="22" t="s">
        <v>645</v>
      </c>
      <c r="L164" s="24">
        <v>2021</v>
      </c>
      <c r="M164" s="24"/>
      <c r="N164" s="52">
        <v>1680</v>
      </c>
      <c r="O164" s="39"/>
      <c r="P164" s="27">
        <f>N164*O164</f>
        <v>0</v>
      </c>
      <c r="Q164" s="28"/>
      <c r="R164" s="28">
        <f>IF(Q164&lt;4.99,(Q164*12%+4),IF(Q164&lt;10.99,(Q164*12%+8),IF(Q164&lt;14.99,(Q164*12%+12),IF(Q164&lt;879.99,(Q164*12%+16),IF(Q164&lt;2569.99,(Q164*7%+60),240)))))</f>
        <v>4</v>
      </c>
      <c r="S164" s="29">
        <f>R164*P164</f>
        <v>0</v>
      </c>
      <c r="T164" s="24"/>
      <c r="U164" s="24"/>
      <c r="V164" s="24"/>
      <c r="W164" s="24"/>
      <c r="X164" s="24"/>
      <c r="Y164" s="24"/>
      <c r="Z164" s="22" t="s">
        <v>42</v>
      </c>
      <c r="AA164" s="22"/>
      <c r="AB164" s="22"/>
      <c r="AC164" s="71" t="s">
        <v>646</v>
      </c>
      <c r="AD164" s="24">
        <v>2</v>
      </c>
      <c r="AE164" s="24">
        <v>2</v>
      </c>
      <c r="AF164" s="24">
        <v>1</v>
      </c>
      <c r="AG164" s="24">
        <v>3</v>
      </c>
      <c r="AH164" s="24">
        <v>1</v>
      </c>
      <c r="AI164" s="24">
        <v>1</v>
      </c>
      <c r="AJ164" s="24">
        <v>12</v>
      </c>
      <c r="AK164" s="22" t="s">
        <v>48</v>
      </c>
      <c r="AL164" s="22"/>
    </row>
    <row r="165" spans="1:38" s="133" customFormat="1" ht="25.5" x14ac:dyDescent="0.2">
      <c r="A165" s="30" t="s">
        <v>35</v>
      </c>
      <c r="B165" s="30" t="s">
        <v>526</v>
      </c>
      <c r="C165" s="30"/>
      <c r="D165" s="30" t="s">
        <v>37</v>
      </c>
      <c r="E165" s="30" t="s">
        <v>1144</v>
      </c>
      <c r="F165" s="30"/>
      <c r="G165" s="30"/>
      <c r="H165" s="139"/>
      <c r="I165" s="30" t="s">
        <v>1145</v>
      </c>
      <c r="J165" s="30" t="s">
        <v>1219</v>
      </c>
      <c r="K165" s="30" t="s">
        <v>315</v>
      </c>
      <c r="L165" s="31">
        <v>2023</v>
      </c>
      <c r="M165" s="31"/>
      <c r="N165" s="32"/>
      <c r="O165" s="33"/>
      <c r="P165" s="34">
        <v>10</v>
      </c>
      <c r="Q165" s="35">
        <v>5000</v>
      </c>
      <c r="R165" s="35">
        <v>240</v>
      </c>
      <c r="S165" s="36"/>
      <c r="T165" s="31"/>
      <c r="U165" s="31"/>
      <c r="V165" s="31"/>
      <c r="W165" s="31"/>
      <c r="X165" s="31"/>
      <c r="Y165" s="31"/>
      <c r="Z165" s="30" t="s">
        <v>42</v>
      </c>
      <c r="AA165" s="30"/>
      <c r="AB165" s="30"/>
      <c r="AC165" s="72" t="s">
        <v>1257</v>
      </c>
      <c r="AD165" s="31">
        <v>1</v>
      </c>
      <c r="AE165" s="31">
        <v>2</v>
      </c>
      <c r="AF165" s="31">
        <v>1</v>
      </c>
      <c r="AG165" s="31">
        <v>3</v>
      </c>
      <c r="AH165" s="31">
        <v>2</v>
      </c>
      <c r="AI165" s="31">
        <v>2</v>
      </c>
      <c r="AJ165" s="31">
        <f>AI165*AH165*AG165*AF165*AE165*AD165</f>
        <v>24</v>
      </c>
      <c r="AK165" s="30"/>
      <c r="AL165" s="37">
        <v>44621</v>
      </c>
    </row>
    <row r="166" spans="1:38" ht="38.25" x14ac:dyDescent="0.2">
      <c r="A166" s="22" t="s">
        <v>58</v>
      </c>
      <c r="B166" s="22" t="s">
        <v>660</v>
      </c>
      <c r="C166" s="22"/>
      <c r="D166" s="65" t="s">
        <v>98</v>
      </c>
      <c r="E166" s="88" t="s">
        <v>854</v>
      </c>
      <c r="F166" s="81" t="s">
        <v>905</v>
      </c>
      <c r="G166" s="88"/>
      <c r="H166" s="88"/>
      <c r="I166" s="65" t="s">
        <v>662</v>
      </c>
      <c r="J166" s="22" t="s">
        <v>663</v>
      </c>
      <c r="K166" s="22" t="s">
        <v>834</v>
      </c>
      <c r="L166" s="24">
        <v>2020</v>
      </c>
      <c r="M166" s="24"/>
      <c r="N166" s="38"/>
      <c r="O166" s="39"/>
      <c r="P166" s="27"/>
      <c r="Q166" s="28"/>
      <c r="R166" s="28"/>
      <c r="S166" s="29"/>
      <c r="T166" s="24"/>
      <c r="U166" s="24"/>
      <c r="V166" s="24"/>
      <c r="W166" s="24"/>
      <c r="X166" s="24"/>
      <c r="Y166" s="24"/>
      <c r="Z166" s="22" t="s">
        <v>855</v>
      </c>
      <c r="AA166" s="22"/>
      <c r="AB166" s="41"/>
      <c r="AC166" s="67" t="s">
        <v>856</v>
      </c>
      <c r="AD166" s="24">
        <v>1</v>
      </c>
      <c r="AE166" s="24">
        <v>2</v>
      </c>
      <c r="AF166" s="24">
        <v>2</v>
      </c>
      <c r="AG166" s="24">
        <v>3</v>
      </c>
      <c r="AH166" s="24">
        <v>1</v>
      </c>
      <c r="AI166" s="24">
        <v>2</v>
      </c>
      <c r="AJ166" s="24">
        <v>24</v>
      </c>
      <c r="AK166" s="22" t="s">
        <v>48</v>
      </c>
      <c r="AL166" s="69"/>
    </row>
    <row r="167" spans="1:38" ht="38.25" x14ac:dyDescent="0.2">
      <c r="A167" s="22" t="s">
        <v>58</v>
      </c>
      <c r="B167" s="22" t="s">
        <v>756</v>
      </c>
      <c r="C167" s="22"/>
      <c r="D167" s="22" t="s">
        <v>37</v>
      </c>
      <c r="E167" s="22" t="s">
        <v>757</v>
      </c>
      <c r="F167" s="95"/>
      <c r="G167" s="97" t="s">
        <v>997</v>
      </c>
      <c r="H167" s="22"/>
      <c r="I167" s="22" t="s">
        <v>758</v>
      </c>
      <c r="J167" s="22" t="s">
        <v>759</v>
      </c>
      <c r="K167" s="22" t="s">
        <v>315</v>
      </c>
      <c r="L167" s="24">
        <v>2020</v>
      </c>
      <c r="M167" s="24"/>
      <c r="N167" s="38"/>
      <c r="O167" s="39"/>
      <c r="P167" s="27">
        <f>N167*O167</f>
        <v>0</v>
      </c>
      <c r="Q167" s="28"/>
      <c r="R167" s="28">
        <f>IF(Q167&lt;4.99,(Q167*12%+4),IF(Q167&lt;10.99,(Q167*12%+8),IF(Q167&lt;14.99,(Q167*12%+12),IF(Q167&lt;879.99,(Q167*12%+16),IF(Q167&lt;2569.99,(Q167*7%+60),240)))))</f>
        <v>4</v>
      </c>
      <c r="S167" s="29">
        <f>R167*P167</f>
        <v>0</v>
      </c>
      <c r="T167" s="24"/>
      <c r="U167" s="24"/>
      <c r="V167" s="24"/>
      <c r="W167" s="24"/>
      <c r="X167" s="24"/>
      <c r="Y167" s="24"/>
      <c r="Z167" s="22" t="s">
        <v>42</v>
      </c>
      <c r="AA167" s="22" t="s">
        <v>132</v>
      </c>
      <c r="AB167" s="22"/>
      <c r="AC167" s="71" t="s">
        <v>760</v>
      </c>
      <c r="AD167" s="24">
        <v>2</v>
      </c>
      <c r="AE167" s="24">
        <v>1</v>
      </c>
      <c r="AF167" s="24">
        <v>1</v>
      </c>
      <c r="AG167" s="24">
        <v>3</v>
      </c>
      <c r="AH167" s="24">
        <v>1</v>
      </c>
      <c r="AI167" s="24">
        <v>2</v>
      </c>
      <c r="AJ167" s="24">
        <v>12</v>
      </c>
      <c r="AK167" s="22" t="s">
        <v>45</v>
      </c>
      <c r="AL167" s="22"/>
    </row>
    <row r="168" spans="1:38" x14ac:dyDescent="0.2">
      <c r="A168" s="22" t="s">
        <v>58</v>
      </c>
      <c r="B168" s="22" t="s">
        <v>1040</v>
      </c>
      <c r="C168" s="22"/>
      <c r="D168" s="22" t="s">
        <v>37</v>
      </c>
      <c r="E168" s="22" t="s">
        <v>1038</v>
      </c>
      <c r="F168" s="22"/>
      <c r="G168" s="97"/>
      <c r="H168" s="22"/>
      <c r="I168" s="22" t="s">
        <v>1039</v>
      </c>
      <c r="J168" s="22"/>
      <c r="K168" s="22" t="s">
        <v>645</v>
      </c>
      <c r="L168" s="24">
        <v>2022</v>
      </c>
      <c r="M168" s="24"/>
      <c r="N168" s="38">
        <v>40</v>
      </c>
      <c r="O168" s="39"/>
      <c r="P168" s="27">
        <v>5</v>
      </c>
      <c r="Q168" s="28">
        <v>5000</v>
      </c>
      <c r="R168" s="28"/>
      <c r="S168" s="29"/>
      <c r="T168" s="24"/>
      <c r="U168" s="24"/>
      <c r="V168" s="24"/>
      <c r="W168" s="24"/>
      <c r="X168" s="24"/>
      <c r="Y168" s="24"/>
      <c r="Z168" s="22"/>
      <c r="AA168" s="22"/>
      <c r="AB168" s="22"/>
      <c r="AC168" s="71"/>
      <c r="AD168" s="24"/>
      <c r="AE168" s="24"/>
      <c r="AF168" s="24"/>
      <c r="AG168" s="24"/>
      <c r="AH168" s="24"/>
      <c r="AI168" s="24"/>
      <c r="AJ168" s="24"/>
      <c r="AK168" s="22"/>
      <c r="AL168" s="22"/>
    </row>
    <row r="169" spans="1:38" x14ac:dyDescent="0.2">
      <c r="A169" s="22" t="s">
        <v>35</v>
      </c>
      <c r="B169" s="22" t="s">
        <v>219</v>
      </c>
      <c r="C169" s="22"/>
      <c r="D169" s="22" t="s">
        <v>37</v>
      </c>
      <c r="E169" s="22" t="s">
        <v>1347</v>
      </c>
      <c r="F169" s="22"/>
      <c r="G169" s="81"/>
      <c r="H169" s="22"/>
      <c r="I169" s="22" t="s">
        <v>1348</v>
      </c>
      <c r="J169" s="22" t="s">
        <v>1349</v>
      </c>
      <c r="K169" s="22" t="s">
        <v>63</v>
      </c>
      <c r="L169" s="24">
        <v>2023</v>
      </c>
      <c r="M169" s="24"/>
      <c r="N169" s="38">
        <v>350</v>
      </c>
      <c r="O169" s="39"/>
      <c r="P169" s="27">
        <v>50</v>
      </c>
      <c r="Q169" s="28">
        <v>4000</v>
      </c>
      <c r="R169" s="28">
        <v>240</v>
      </c>
      <c r="S169" s="29"/>
      <c r="T169" s="24"/>
      <c r="U169" s="24"/>
      <c r="V169" s="24"/>
      <c r="W169" s="24"/>
      <c r="X169" s="24"/>
      <c r="Y169" s="24"/>
      <c r="Z169" s="22"/>
      <c r="AA169" s="22"/>
      <c r="AB169" s="22"/>
      <c r="AC169" s="71"/>
      <c r="AD169" s="24">
        <v>1</v>
      </c>
      <c r="AE169" s="24">
        <v>2</v>
      </c>
      <c r="AF169" s="24">
        <v>2</v>
      </c>
      <c r="AG169" s="24">
        <v>3</v>
      </c>
      <c r="AH169" s="24">
        <v>1</v>
      </c>
      <c r="AI169" s="24">
        <v>2</v>
      </c>
      <c r="AJ169" s="24">
        <f>AI169*AH169*AG169*AF169*AE169*AD169</f>
        <v>24</v>
      </c>
      <c r="AK169" s="22"/>
      <c r="AL169" s="40">
        <v>45078</v>
      </c>
    </row>
    <row r="170" spans="1:38" ht="38.25" x14ac:dyDescent="0.2">
      <c r="A170" s="144" t="s">
        <v>35</v>
      </c>
      <c r="B170" s="144" t="s">
        <v>268</v>
      </c>
      <c r="C170" s="144"/>
      <c r="D170" s="144" t="s">
        <v>37</v>
      </c>
      <c r="E170" s="144" t="s">
        <v>338</v>
      </c>
      <c r="F170" s="155" t="s">
        <v>904</v>
      </c>
      <c r="G170" s="147"/>
      <c r="H170" s="144"/>
      <c r="I170" s="144" t="s">
        <v>339</v>
      </c>
      <c r="J170" s="144" t="s">
        <v>340</v>
      </c>
      <c r="K170" s="144" t="s">
        <v>266</v>
      </c>
      <c r="L170" s="148">
        <v>2020</v>
      </c>
      <c r="M170" s="148"/>
      <c r="N170" s="149">
        <f>0.75*4400</f>
        <v>3300</v>
      </c>
      <c r="O170" s="150"/>
      <c r="P170" s="151">
        <f>N170*O170</f>
        <v>0</v>
      </c>
      <c r="Q170" s="152"/>
      <c r="R170" s="152">
        <f>IF(Q170&lt;4.99,(Q170*12%+4),IF(Q170&lt;10.99,(Q170*12%+8),IF(Q170&lt;14.99,(Q170*12%+12),IF(Q170&lt;879.99,(Q170*12%+16),IF(Q170&lt;2569.99,(Q170*7%+60),240)))))</f>
        <v>4</v>
      </c>
      <c r="S170" s="153">
        <f>R170*P170</f>
        <v>0</v>
      </c>
      <c r="T170" s="148"/>
      <c r="U170" s="148"/>
      <c r="V170" s="148"/>
      <c r="W170" s="148"/>
      <c r="X170" s="148"/>
      <c r="Y170" s="148"/>
      <c r="Z170" s="144" t="s">
        <v>42</v>
      </c>
      <c r="AA170" s="144" t="s">
        <v>43</v>
      </c>
      <c r="AB170" s="144" t="s">
        <v>76</v>
      </c>
      <c r="AC170" s="155" t="s">
        <v>341</v>
      </c>
      <c r="AD170" s="148">
        <v>2</v>
      </c>
      <c r="AE170" s="148">
        <v>2</v>
      </c>
      <c r="AF170" s="148">
        <v>3</v>
      </c>
      <c r="AG170" s="148">
        <v>3</v>
      </c>
      <c r="AH170" s="148">
        <v>1</v>
      </c>
      <c r="AI170" s="148">
        <v>2</v>
      </c>
      <c r="AJ170" s="148">
        <v>72</v>
      </c>
      <c r="AK170" s="144"/>
      <c r="AL170" s="144"/>
    </row>
    <row r="171" spans="1:38" ht="38.25" x14ac:dyDescent="0.2">
      <c r="A171" s="22" t="s">
        <v>58</v>
      </c>
      <c r="B171" s="22" t="s">
        <v>373</v>
      </c>
      <c r="C171" s="22"/>
      <c r="D171" s="22" t="s">
        <v>60</v>
      </c>
      <c r="E171" s="22" t="s">
        <v>338</v>
      </c>
      <c r="F171" s="71" t="s">
        <v>904</v>
      </c>
      <c r="G171" s="22"/>
      <c r="H171" s="22"/>
      <c r="I171" s="22" t="s">
        <v>713</v>
      </c>
      <c r="J171" s="22" t="s">
        <v>714</v>
      </c>
      <c r="K171" s="22" t="s">
        <v>128</v>
      </c>
      <c r="L171" s="24">
        <v>2021</v>
      </c>
      <c r="M171" s="24"/>
      <c r="N171" s="25">
        <f>8500000/57000</f>
        <v>149.12280701754386</v>
      </c>
      <c r="O171" s="26"/>
      <c r="P171" s="27">
        <f>N171*O171</f>
        <v>0</v>
      </c>
      <c r="Q171" s="28"/>
      <c r="R171" s="28">
        <f>IF(Q171&lt;4.99,(Q171*12%+4),IF(Q171&lt;10.99,(Q171*12%+8),IF(Q171&lt;14.99,(Q171*12%+12),IF(Q171&lt;879.99,(Q171*12%+16),IF(Q171&lt;2569.99,(Q171*7%+60),240)))))</f>
        <v>4</v>
      </c>
      <c r="S171" s="29">
        <f>R171*P171</f>
        <v>0</v>
      </c>
      <c r="T171" s="24"/>
      <c r="U171" s="24"/>
      <c r="V171" s="24"/>
      <c r="W171" s="24"/>
      <c r="X171" s="24"/>
      <c r="Y171" s="24"/>
      <c r="Z171" s="22" t="s">
        <v>715</v>
      </c>
      <c r="AA171" s="22"/>
      <c r="AB171" s="22" t="s">
        <v>129</v>
      </c>
      <c r="AC171" s="71" t="s">
        <v>716</v>
      </c>
      <c r="AD171" s="24">
        <v>3</v>
      </c>
      <c r="AE171" s="24">
        <v>1</v>
      </c>
      <c r="AF171" s="24">
        <v>3</v>
      </c>
      <c r="AG171" s="24">
        <v>3</v>
      </c>
      <c r="AH171" s="24">
        <v>1</v>
      </c>
      <c r="AI171" s="24">
        <v>1</v>
      </c>
      <c r="AJ171" s="24">
        <v>27</v>
      </c>
      <c r="AK171" s="22" t="s">
        <v>45</v>
      </c>
      <c r="AL171" s="22"/>
    </row>
    <row r="172" spans="1:38" x14ac:dyDescent="0.2">
      <c r="A172" s="22" t="s">
        <v>72</v>
      </c>
      <c r="B172" s="22" t="s">
        <v>1306</v>
      </c>
      <c r="C172" s="22"/>
      <c r="D172" s="22" t="s">
        <v>1303</v>
      </c>
      <c r="E172" s="22" t="s">
        <v>338</v>
      </c>
      <c r="F172" s="71"/>
      <c r="G172" s="95"/>
      <c r="H172" s="22"/>
      <c r="I172" s="22" t="s">
        <v>1304</v>
      </c>
      <c r="J172" s="22" t="s">
        <v>1305</v>
      </c>
      <c r="K172" s="22" t="s">
        <v>63</v>
      </c>
      <c r="L172" s="24">
        <v>2024</v>
      </c>
      <c r="M172" s="24"/>
      <c r="N172" s="25">
        <v>1000000</v>
      </c>
      <c r="O172" s="26"/>
      <c r="P172" s="27">
        <v>30</v>
      </c>
      <c r="Q172" s="28">
        <v>500</v>
      </c>
      <c r="R172" s="28">
        <v>80</v>
      </c>
      <c r="S172" s="29"/>
      <c r="T172" s="24"/>
      <c r="U172" s="24"/>
      <c r="V172" s="24"/>
      <c r="W172" s="24"/>
      <c r="X172" s="24"/>
      <c r="Y172" s="24"/>
      <c r="Z172" s="22"/>
      <c r="AA172" s="22"/>
      <c r="AB172" s="22"/>
      <c r="AC172" s="71"/>
      <c r="AD172" s="24"/>
      <c r="AE172" s="24"/>
      <c r="AF172" s="24"/>
      <c r="AG172" s="24"/>
      <c r="AH172" s="24"/>
      <c r="AI172" s="24"/>
      <c r="AJ172" s="24"/>
      <c r="AK172" s="22"/>
      <c r="AL172" s="22"/>
    </row>
    <row r="173" spans="1:38" x14ac:dyDescent="0.2">
      <c r="A173" s="22" t="s">
        <v>58</v>
      </c>
      <c r="B173" s="22" t="s">
        <v>1340</v>
      </c>
      <c r="C173" s="22"/>
      <c r="D173" s="22" t="s">
        <v>98</v>
      </c>
      <c r="E173" s="22" t="s">
        <v>338</v>
      </c>
      <c r="F173" s="71"/>
      <c r="G173" s="95"/>
      <c r="H173" s="22"/>
      <c r="I173" s="22" t="s">
        <v>1341</v>
      </c>
      <c r="J173" s="22"/>
      <c r="K173" s="22" t="s">
        <v>42</v>
      </c>
      <c r="L173" s="24">
        <v>2025</v>
      </c>
      <c r="M173" s="24"/>
      <c r="N173" s="25"/>
      <c r="O173" s="26"/>
      <c r="P173" s="27">
        <v>40</v>
      </c>
      <c r="Q173" s="28">
        <v>5000</v>
      </c>
      <c r="R173" s="28">
        <v>40</v>
      </c>
      <c r="S173" s="29"/>
      <c r="T173" s="24"/>
      <c r="U173" s="24"/>
      <c r="V173" s="24"/>
      <c r="W173" s="24"/>
      <c r="X173" s="24"/>
      <c r="Y173" s="24"/>
      <c r="Z173" s="22" t="s">
        <v>42</v>
      </c>
      <c r="AA173" s="22"/>
      <c r="AB173" s="22"/>
      <c r="AC173" s="71"/>
      <c r="AD173" s="24">
        <v>2</v>
      </c>
      <c r="AE173" s="24">
        <v>2</v>
      </c>
      <c r="AF173" s="24">
        <v>3</v>
      </c>
      <c r="AG173" s="24">
        <v>2</v>
      </c>
      <c r="AH173" s="24">
        <v>3</v>
      </c>
      <c r="AI173" s="24">
        <v>2</v>
      </c>
      <c r="AJ173" s="24">
        <f>AI173*AH173*AG173*AF173*AE173*AD173</f>
        <v>144</v>
      </c>
      <c r="AK173" s="22" t="s">
        <v>45</v>
      </c>
      <c r="AL173" s="40">
        <v>45047</v>
      </c>
    </row>
    <row r="174" spans="1:38" ht="38.25" x14ac:dyDescent="0.2">
      <c r="A174" s="22" t="s">
        <v>86</v>
      </c>
      <c r="B174" s="23" t="s">
        <v>717</v>
      </c>
      <c r="C174" s="22"/>
      <c r="D174" s="22" t="s">
        <v>98</v>
      </c>
      <c r="E174" s="22" t="s">
        <v>338</v>
      </c>
      <c r="F174" s="71" t="s">
        <v>904</v>
      </c>
      <c r="G174" s="95"/>
      <c r="H174" s="22"/>
      <c r="I174" s="22" t="s">
        <v>718</v>
      </c>
      <c r="J174" s="22" t="s">
        <v>1214</v>
      </c>
      <c r="K174" s="22" t="s">
        <v>42</v>
      </c>
      <c r="L174" s="24">
        <v>2022</v>
      </c>
      <c r="M174" s="24"/>
      <c r="N174" s="38">
        <f>800000*0.08</f>
        <v>64000</v>
      </c>
      <c r="O174" s="39"/>
      <c r="P174" s="27">
        <f>N174*O174</f>
        <v>0</v>
      </c>
      <c r="Q174" s="28"/>
      <c r="R174" s="28">
        <f>IF(Q174&lt;4.99,(Q174*12%+4),IF(Q174&lt;10.99,(Q174*12%+8),IF(Q174&lt;14.99,(Q174*12%+12),IF(Q174&lt;879.99,(Q174*12%+16),IF(Q174&lt;2569.99,(Q174*7%+60),240)))))</f>
        <v>4</v>
      </c>
      <c r="S174" s="29">
        <f>R174*P174</f>
        <v>0</v>
      </c>
      <c r="T174" s="24"/>
      <c r="U174" s="24"/>
      <c r="V174" s="24"/>
      <c r="W174" s="24"/>
      <c r="X174" s="24"/>
      <c r="Y174" s="24"/>
      <c r="Z174" s="22" t="s">
        <v>42</v>
      </c>
      <c r="AA174" s="22"/>
      <c r="AB174" s="22"/>
      <c r="AC174" s="71" t="s">
        <v>1129</v>
      </c>
      <c r="AD174" s="24">
        <v>2</v>
      </c>
      <c r="AE174" s="24">
        <v>3</v>
      </c>
      <c r="AF174" s="24">
        <v>3</v>
      </c>
      <c r="AG174" s="24">
        <v>1</v>
      </c>
      <c r="AH174" s="24">
        <v>3</v>
      </c>
      <c r="AI174" s="24">
        <v>2</v>
      </c>
      <c r="AJ174" s="24">
        <v>108</v>
      </c>
      <c r="AK174" s="22" t="s">
        <v>48</v>
      </c>
      <c r="AL174" s="22"/>
    </row>
    <row r="175" spans="1:38" s="129" customFormat="1" x14ac:dyDescent="0.2">
      <c r="A175" s="13" t="s">
        <v>58</v>
      </c>
      <c r="B175" s="13" t="s">
        <v>1297</v>
      </c>
      <c r="C175" s="13"/>
      <c r="D175" s="13" t="s">
        <v>37</v>
      </c>
      <c r="E175" s="13" t="s">
        <v>1294</v>
      </c>
      <c r="F175" s="70"/>
      <c r="G175" s="108"/>
      <c r="H175" s="13"/>
      <c r="I175" s="13" t="s">
        <v>1295</v>
      </c>
      <c r="J175" s="13" t="s">
        <v>1296</v>
      </c>
      <c r="K175" s="13" t="s">
        <v>42</v>
      </c>
      <c r="L175" s="14">
        <v>2024</v>
      </c>
      <c r="M175" s="14"/>
      <c r="N175" s="15">
        <v>10</v>
      </c>
      <c r="O175" s="16"/>
      <c r="P175" s="17"/>
      <c r="Q175" s="18"/>
      <c r="R175" s="18"/>
      <c r="S175" s="19"/>
      <c r="T175" s="14"/>
      <c r="U175" s="14"/>
      <c r="V175" s="14"/>
      <c r="W175" s="14"/>
      <c r="X175" s="14"/>
      <c r="Y175" s="14"/>
      <c r="Z175" s="13"/>
      <c r="AA175" s="13"/>
      <c r="AB175" s="13"/>
      <c r="AC175" s="70" t="s">
        <v>1298</v>
      </c>
      <c r="AD175" s="14">
        <v>3</v>
      </c>
      <c r="AE175" s="14">
        <v>2</v>
      </c>
      <c r="AF175" s="14">
        <v>1</v>
      </c>
      <c r="AG175" s="14">
        <v>3</v>
      </c>
      <c r="AH175" s="14">
        <v>3</v>
      </c>
      <c r="AI175" s="14">
        <v>2</v>
      </c>
      <c r="AJ175" s="14">
        <f>AI175*AH175*AG175*AF175*AE175*AD175</f>
        <v>108</v>
      </c>
      <c r="AK175" s="13" t="s">
        <v>45</v>
      </c>
      <c r="AL175" s="20">
        <v>44866</v>
      </c>
    </row>
    <row r="176" spans="1:38" ht="51" x14ac:dyDescent="0.2">
      <c r="A176" s="22" t="s">
        <v>35</v>
      </c>
      <c r="B176" s="22" t="s">
        <v>858</v>
      </c>
      <c r="C176" s="22"/>
      <c r="D176" s="65" t="s">
        <v>37</v>
      </c>
      <c r="E176" s="88" t="s">
        <v>609</v>
      </c>
      <c r="F176" s="97" t="s">
        <v>903</v>
      </c>
      <c r="G176" s="77"/>
      <c r="H176" s="88"/>
      <c r="I176" s="65" t="s">
        <v>859</v>
      </c>
      <c r="J176" s="22" t="s">
        <v>860</v>
      </c>
      <c r="K176" s="22" t="s">
        <v>63</v>
      </c>
      <c r="L176" s="24">
        <v>2021</v>
      </c>
      <c r="M176" s="24"/>
      <c r="N176" s="38"/>
      <c r="O176" s="39"/>
      <c r="P176" s="27"/>
      <c r="Q176" s="28"/>
      <c r="R176" s="28"/>
      <c r="S176" s="29"/>
      <c r="T176" s="24"/>
      <c r="U176" s="24"/>
      <c r="V176" s="24"/>
      <c r="W176" s="24"/>
      <c r="X176" s="24"/>
      <c r="Y176" s="24"/>
      <c r="Z176" s="22" t="s">
        <v>42</v>
      </c>
      <c r="AA176" s="22"/>
      <c r="AB176" s="41"/>
      <c r="AC176" s="67"/>
      <c r="AD176" s="24"/>
      <c r="AE176" s="24"/>
      <c r="AF176" s="24"/>
      <c r="AG176" s="24"/>
      <c r="AH176" s="24"/>
      <c r="AI176" s="24"/>
      <c r="AJ176" s="24">
        <v>0</v>
      </c>
      <c r="AK176" s="22"/>
      <c r="AL176" s="69"/>
    </row>
    <row r="177" spans="1:38" ht="51" x14ac:dyDescent="0.2">
      <c r="A177" s="22" t="s">
        <v>35</v>
      </c>
      <c r="B177" s="22" t="s">
        <v>526</v>
      </c>
      <c r="C177" s="22"/>
      <c r="D177" s="22" t="s">
        <v>60</v>
      </c>
      <c r="E177" s="22" t="s">
        <v>609</v>
      </c>
      <c r="F177" s="71" t="s">
        <v>903</v>
      </c>
      <c r="G177" s="95"/>
      <c r="H177" s="22"/>
      <c r="I177" s="22" t="s">
        <v>610</v>
      </c>
      <c r="J177" s="22" t="s">
        <v>611</v>
      </c>
      <c r="K177" s="22" t="s">
        <v>42</v>
      </c>
      <c r="L177" s="24">
        <v>2018</v>
      </c>
      <c r="M177" s="24"/>
      <c r="N177" s="51">
        <v>622</v>
      </c>
      <c r="O177" s="39"/>
      <c r="P177" s="27">
        <f>N177*O177</f>
        <v>0</v>
      </c>
      <c r="Q177" s="28"/>
      <c r="R177" s="28">
        <f>IF(Q177&lt;4.99,(Q177*12%+4),IF(Q177&lt;10.99,(Q177*12%+8),IF(Q177&lt;14.99,(Q177*12%+12),IF(Q177&lt;879.99,(Q177*12%+16),IF(Q177&lt;2569.99,(Q177*7%+60),240)))))</f>
        <v>4</v>
      </c>
      <c r="S177" s="29">
        <f>R177*P177</f>
        <v>0</v>
      </c>
      <c r="T177" s="24"/>
      <c r="U177" s="24"/>
      <c r="V177" s="24"/>
      <c r="W177" s="24"/>
      <c r="X177" s="24"/>
      <c r="Y177" s="24"/>
      <c r="Z177" s="22" t="s">
        <v>181</v>
      </c>
      <c r="AA177" s="22"/>
      <c r="AB177" s="22"/>
      <c r="AC177" s="71"/>
      <c r="AD177" s="24">
        <v>1</v>
      </c>
      <c r="AE177" s="24">
        <v>2</v>
      </c>
      <c r="AF177" s="24">
        <v>1</v>
      </c>
      <c r="AG177" s="24">
        <v>3</v>
      </c>
      <c r="AH177" s="24">
        <v>1</v>
      </c>
      <c r="AI177" s="24">
        <v>1</v>
      </c>
      <c r="AJ177" s="24">
        <v>6</v>
      </c>
      <c r="AK177" s="22" t="s">
        <v>48</v>
      </c>
      <c r="AL177" s="22"/>
    </row>
    <row r="178" spans="1:38" ht="38.25" x14ac:dyDescent="0.2">
      <c r="A178" s="22" t="s">
        <v>35</v>
      </c>
      <c r="B178" s="22" t="s">
        <v>543</v>
      </c>
      <c r="C178" s="22"/>
      <c r="D178" s="22" t="s">
        <v>37</v>
      </c>
      <c r="E178" s="22" t="s">
        <v>544</v>
      </c>
      <c r="F178" s="71" t="s">
        <v>944</v>
      </c>
      <c r="G178" s="22"/>
      <c r="H178" s="22"/>
      <c r="I178" s="22" t="s">
        <v>545</v>
      </c>
      <c r="J178" s="22" t="s">
        <v>546</v>
      </c>
      <c r="K178" s="22" t="s">
        <v>315</v>
      </c>
      <c r="L178" s="24">
        <v>2020</v>
      </c>
      <c r="M178" s="24"/>
      <c r="N178" s="38">
        <v>76000</v>
      </c>
      <c r="O178" s="39"/>
      <c r="P178" s="27">
        <f>N178*O178</f>
        <v>0</v>
      </c>
      <c r="Q178" s="28"/>
      <c r="R178" s="28">
        <f>IF(Q178&lt;4.99,(Q178*12%+4),IF(Q178&lt;10.99,(Q178*12%+8),IF(Q178&lt;14.99,(Q178*12%+12),IF(Q178&lt;879.99,(Q178*12%+16),IF(Q178&lt;2569.99,(Q178*7%+60),240)))))</f>
        <v>4</v>
      </c>
      <c r="S178" s="29">
        <f>R178*P178</f>
        <v>0</v>
      </c>
      <c r="T178" s="24"/>
      <c r="U178" s="24"/>
      <c r="V178" s="24"/>
      <c r="W178" s="24"/>
      <c r="X178" s="24"/>
      <c r="Y178" s="24"/>
      <c r="Z178" s="22" t="s">
        <v>42</v>
      </c>
      <c r="AA178" s="22"/>
      <c r="AB178" s="22"/>
      <c r="AC178" s="71" t="s">
        <v>547</v>
      </c>
      <c r="AD178" s="24">
        <v>1</v>
      </c>
      <c r="AE178" s="24">
        <v>3</v>
      </c>
      <c r="AF178" s="24">
        <v>1</v>
      </c>
      <c r="AG178" s="24">
        <v>3</v>
      </c>
      <c r="AH178" s="24">
        <v>1</v>
      </c>
      <c r="AI178" s="24">
        <v>1</v>
      </c>
      <c r="AJ178" s="24">
        <v>9</v>
      </c>
      <c r="AK178" s="22" t="s">
        <v>48</v>
      </c>
      <c r="AL178" s="22"/>
    </row>
    <row r="179" spans="1:38" x14ac:dyDescent="0.2">
      <c r="A179" s="22" t="s">
        <v>86</v>
      </c>
      <c r="B179" s="22" t="s">
        <v>1069</v>
      </c>
      <c r="C179" s="22"/>
      <c r="D179" s="22" t="s">
        <v>37</v>
      </c>
      <c r="E179" s="22" t="s">
        <v>338</v>
      </c>
      <c r="F179" s="71"/>
      <c r="G179" s="22"/>
      <c r="H179" s="22"/>
      <c r="I179" s="22" t="s">
        <v>1070</v>
      </c>
      <c r="J179" s="22"/>
      <c r="K179" s="22" t="s">
        <v>63</v>
      </c>
      <c r="L179" s="24">
        <v>2024</v>
      </c>
      <c r="M179" s="24"/>
      <c r="N179" s="38"/>
      <c r="O179" s="39"/>
      <c r="P179" s="27"/>
      <c r="Q179" s="28"/>
      <c r="R179" s="28"/>
      <c r="S179" s="29"/>
      <c r="T179" s="24"/>
      <c r="U179" s="24"/>
      <c r="V179" s="24"/>
      <c r="W179" s="24"/>
      <c r="X179" s="24"/>
      <c r="Y179" s="24"/>
      <c r="Z179" s="22"/>
      <c r="AA179" s="22"/>
      <c r="AB179" s="22"/>
      <c r="AC179" s="71" t="s">
        <v>1380</v>
      </c>
      <c r="AD179" s="24"/>
      <c r="AE179" s="24"/>
      <c r="AF179" s="24"/>
      <c r="AG179" s="24"/>
      <c r="AH179" s="24"/>
      <c r="AI179" s="24"/>
      <c r="AJ179" s="24"/>
      <c r="AK179" s="22"/>
      <c r="AL179" s="22"/>
    </row>
    <row r="180" spans="1:38" s="133" customFormat="1" x14ac:dyDescent="0.2">
      <c r="A180" s="30" t="s">
        <v>58</v>
      </c>
      <c r="B180" s="30" t="s">
        <v>1381</v>
      </c>
      <c r="C180" s="30"/>
      <c r="D180" s="30" t="s">
        <v>98</v>
      </c>
      <c r="E180" s="30" t="s">
        <v>338</v>
      </c>
      <c r="F180" s="72"/>
      <c r="G180" s="30"/>
      <c r="H180" s="30"/>
      <c r="I180" s="30" t="s">
        <v>1382</v>
      </c>
      <c r="J180" s="30" t="s">
        <v>1383</v>
      </c>
      <c r="K180" s="30" t="s">
        <v>834</v>
      </c>
      <c r="L180" s="31">
        <v>2024</v>
      </c>
      <c r="M180" s="31"/>
      <c r="N180" s="32"/>
      <c r="O180" s="33"/>
      <c r="P180" s="34"/>
      <c r="Q180" s="35"/>
      <c r="R180" s="35"/>
      <c r="S180" s="36"/>
      <c r="T180" s="31"/>
      <c r="U180" s="31"/>
      <c r="V180" s="31"/>
      <c r="W180" s="31"/>
      <c r="X180" s="31"/>
      <c r="Y180" s="31"/>
      <c r="Z180" s="30"/>
      <c r="AA180" s="30"/>
      <c r="AB180" s="30"/>
      <c r="AC180" s="72"/>
      <c r="AD180" s="31"/>
      <c r="AE180" s="31"/>
      <c r="AF180" s="31"/>
      <c r="AG180" s="31"/>
      <c r="AH180" s="31"/>
      <c r="AI180" s="31"/>
      <c r="AJ180" s="31"/>
      <c r="AK180" s="30"/>
      <c r="AL180" s="37">
        <v>45078</v>
      </c>
    </row>
    <row r="181" spans="1:38" x14ac:dyDescent="0.2">
      <c r="A181" s="22" t="s">
        <v>58</v>
      </c>
      <c r="B181" s="22" t="s">
        <v>829</v>
      </c>
      <c r="C181" s="22"/>
      <c r="D181" s="22" t="s">
        <v>37</v>
      </c>
      <c r="E181" s="22" t="s">
        <v>1275</v>
      </c>
      <c r="F181" s="71"/>
      <c r="G181" s="22"/>
      <c r="H181" s="22"/>
      <c r="I181" s="22" t="s">
        <v>1276</v>
      </c>
      <c r="J181" s="22"/>
      <c r="K181" s="22" t="s">
        <v>64</v>
      </c>
      <c r="L181" s="24">
        <v>2025</v>
      </c>
      <c r="M181" s="24"/>
      <c r="N181" s="38">
        <v>1700</v>
      </c>
      <c r="O181" s="39"/>
      <c r="P181" s="27"/>
      <c r="Q181" s="28">
        <v>3500</v>
      </c>
      <c r="R181" s="28">
        <v>240</v>
      </c>
      <c r="S181" s="29"/>
      <c r="T181" s="24"/>
      <c r="U181" s="24"/>
      <c r="V181" s="24"/>
      <c r="W181" s="24"/>
      <c r="X181" s="24"/>
      <c r="Y181" s="24"/>
      <c r="Z181" s="22"/>
      <c r="AA181" s="22"/>
      <c r="AB181" s="22"/>
      <c r="AC181" s="71"/>
      <c r="AD181" s="24"/>
      <c r="AE181" s="24"/>
      <c r="AF181" s="24"/>
      <c r="AG181" s="24"/>
      <c r="AH181" s="24"/>
      <c r="AI181" s="24"/>
      <c r="AJ181" s="24"/>
      <c r="AK181" s="22"/>
      <c r="AL181" s="22"/>
    </row>
    <row r="182" spans="1:38" ht="51" x14ac:dyDescent="0.2">
      <c r="A182" s="22" t="s">
        <v>58</v>
      </c>
      <c r="B182" s="22" t="s">
        <v>97</v>
      </c>
      <c r="C182" s="22"/>
      <c r="D182" s="22" t="s">
        <v>37</v>
      </c>
      <c r="E182" s="22" t="s">
        <v>237</v>
      </c>
      <c r="F182" s="83" t="s">
        <v>940</v>
      </c>
      <c r="G182" s="22"/>
      <c r="H182" s="22"/>
      <c r="I182" s="22" t="s">
        <v>238</v>
      </c>
      <c r="J182" s="22" t="s">
        <v>239</v>
      </c>
      <c r="K182" s="22" t="s">
        <v>240</v>
      </c>
      <c r="L182" s="24">
        <v>2021</v>
      </c>
      <c r="M182" s="24" t="s">
        <v>829</v>
      </c>
      <c r="N182" s="38">
        <f>8500000/10000*1.5</f>
        <v>1275</v>
      </c>
      <c r="O182" s="39"/>
      <c r="P182" s="27">
        <f>N182*O182</f>
        <v>0</v>
      </c>
      <c r="Q182" s="28"/>
      <c r="R182" s="28">
        <f>IF(Q182&lt;4.99,(Q182*12%+4),IF(Q182&lt;10.99,(Q182*12%+8),IF(Q182&lt;14.99,(Q182*12%+12),IF(Q182&lt;879.99,(Q182*12%+16),IF(Q182&lt;2569.99,(Q182*7%+60),240)))))</f>
        <v>4</v>
      </c>
      <c r="S182" s="29">
        <f>R182*P182</f>
        <v>0</v>
      </c>
      <c r="T182" s="24"/>
      <c r="U182" s="24"/>
      <c r="V182" s="24"/>
      <c r="W182" s="24"/>
      <c r="X182" s="24"/>
      <c r="Y182" s="24"/>
      <c r="Z182" s="22" t="s">
        <v>42</v>
      </c>
      <c r="AA182" s="22" t="s">
        <v>241</v>
      </c>
      <c r="AB182" s="22" t="s">
        <v>227</v>
      </c>
      <c r="AC182" s="71" t="s">
        <v>242</v>
      </c>
      <c r="AD182" s="24">
        <v>1</v>
      </c>
      <c r="AE182" s="24">
        <v>2</v>
      </c>
      <c r="AF182" s="24">
        <v>1</v>
      </c>
      <c r="AG182" s="24">
        <v>3</v>
      </c>
      <c r="AH182" s="24">
        <v>1</v>
      </c>
      <c r="AI182" s="24">
        <v>2</v>
      </c>
      <c r="AJ182" s="24">
        <v>12</v>
      </c>
      <c r="AK182" s="22" t="s">
        <v>48</v>
      </c>
      <c r="AL182" s="22"/>
    </row>
    <row r="183" spans="1:38" ht="38.25" x14ac:dyDescent="0.2">
      <c r="A183" s="22" t="s">
        <v>58</v>
      </c>
      <c r="B183" s="23" t="s">
        <v>97</v>
      </c>
      <c r="C183" s="22"/>
      <c r="D183" s="22" t="s">
        <v>37</v>
      </c>
      <c r="E183" s="22" t="s">
        <v>237</v>
      </c>
      <c r="F183" s="71" t="s">
        <v>940</v>
      </c>
      <c r="G183" s="22"/>
      <c r="H183" s="22"/>
      <c r="I183" s="22" t="s">
        <v>346</v>
      </c>
      <c r="J183" s="22" t="s">
        <v>347</v>
      </c>
      <c r="K183" s="22" t="s">
        <v>63</v>
      </c>
      <c r="L183" s="24">
        <v>2018</v>
      </c>
      <c r="M183" s="24"/>
      <c r="N183" s="38">
        <f>8500000/10000*1.5</f>
        <v>1275</v>
      </c>
      <c r="O183" s="39"/>
      <c r="P183" s="27">
        <f>N183*O183</f>
        <v>0</v>
      </c>
      <c r="Q183" s="28"/>
      <c r="R183" s="28">
        <f>IF(Q183&lt;4.99,(Q183*12%+4),IF(Q183&lt;10.99,(Q183*12%+8),IF(Q183&lt;14.99,(Q183*12%+12),IF(Q183&lt;879.99,(Q183*12%+16),IF(Q183&lt;2569.99,(Q183*7%+60),240)))))</f>
        <v>4</v>
      </c>
      <c r="S183" s="29">
        <f>R183*P183</f>
        <v>0</v>
      </c>
      <c r="T183" s="24"/>
      <c r="U183" s="24"/>
      <c r="V183" s="24"/>
      <c r="W183" s="24"/>
      <c r="X183" s="24"/>
      <c r="Y183" s="24"/>
      <c r="Z183" s="22" t="s">
        <v>42</v>
      </c>
      <c r="AA183" s="22"/>
      <c r="AB183" s="22" t="s">
        <v>227</v>
      </c>
      <c r="AC183" s="71" t="s">
        <v>348</v>
      </c>
      <c r="AD183" s="24">
        <v>1</v>
      </c>
      <c r="AE183" s="24">
        <v>2</v>
      </c>
      <c r="AF183" s="24">
        <v>1</v>
      </c>
      <c r="AG183" s="24">
        <v>3</v>
      </c>
      <c r="AH183" s="24">
        <v>2</v>
      </c>
      <c r="AI183" s="24">
        <v>2</v>
      </c>
      <c r="AJ183" s="24">
        <v>24</v>
      </c>
      <c r="AK183" s="22" t="s">
        <v>48</v>
      </c>
      <c r="AL183" s="22"/>
    </row>
    <row r="184" spans="1:38" ht="38.25" x14ac:dyDescent="0.2">
      <c r="A184" s="22" t="s">
        <v>58</v>
      </c>
      <c r="B184" s="22" t="s">
        <v>620</v>
      </c>
      <c r="C184" s="22"/>
      <c r="D184" s="22" t="s">
        <v>98</v>
      </c>
      <c r="E184" s="22" t="s">
        <v>621</v>
      </c>
      <c r="F184" s="71" t="s">
        <v>895</v>
      </c>
      <c r="G184" s="22"/>
      <c r="H184" s="22"/>
      <c r="I184" s="22" t="s">
        <v>622</v>
      </c>
      <c r="J184" s="22"/>
      <c r="K184" s="22" t="s">
        <v>623</v>
      </c>
      <c r="L184" s="24">
        <v>2021</v>
      </c>
      <c r="M184" s="24"/>
      <c r="N184" s="38">
        <f>16*8</f>
        <v>128</v>
      </c>
      <c r="O184" s="39"/>
      <c r="P184" s="27">
        <f>N184*O184</f>
        <v>0</v>
      </c>
      <c r="Q184" s="28"/>
      <c r="R184" s="28">
        <f>IF(Q184&lt;4.99,(Q184*12%+4),IF(Q184&lt;10.99,(Q184*12%+8),IF(Q184&lt;14.99,(Q184*12%+12),IF(Q184&lt;879.99,(Q184*12%+16),IF(Q184&lt;2569.99,(Q184*7%+60),240)))))</f>
        <v>4</v>
      </c>
      <c r="S184" s="29">
        <f>R184*P184</f>
        <v>0</v>
      </c>
      <c r="T184" s="24"/>
      <c r="U184" s="24"/>
      <c r="V184" s="24"/>
      <c r="W184" s="24"/>
      <c r="X184" s="24"/>
      <c r="Y184" s="24"/>
      <c r="Z184" s="22" t="s">
        <v>64</v>
      </c>
      <c r="AA184" s="22"/>
      <c r="AB184" s="22"/>
      <c r="AC184" s="71" t="s">
        <v>624</v>
      </c>
      <c r="AD184" s="24">
        <v>1</v>
      </c>
      <c r="AE184" s="24">
        <v>1</v>
      </c>
      <c r="AF184" s="24">
        <v>1</v>
      </c>
      <c r="AG184" s="24">
        <v>3</v>
      </c>
      <c r="AH184" s="24">
        <v>1</v>
      </c>
      <c r="AI184" s="24">
        <v>2</v>
      </c>
      <c r="AJ184" s="24">
        <v>6</v>
      </c>
      <c r="AK184" s="22" t="s">
        <v>48</v>
      </c>
      <c r="AL184" s="22"/>
    </row>
    <row r="185" spans="1:38" s="133" customFormat="1" x14ac:dyDescent="0.2">
      <c r="A185" s="30" t="s">
        <v>58</v>
      </c>
      <c r="B185" s="30" t="s">
        <v>1370</v>
      </c>
      <c r="C185" s="30"/>
      <c r="D185" s="30" t="s">
        <v>37</v>
      </c>
      <c r="E185" s="30" t="s">
        <v>1369</v>
      </c>
      <c r="F185" s="96"/>
      <c r="G185" s="30"/>
      <c r="H185" s="30"/>
      <c r="I185" s="133" t="s">
        <v>1371</v>
      </c>
      <c r="J185" s="30" t="s">
        <v>1372</v>
      </c>
      <c r="K185" s="30" t="s">
        <v>63</v>
      </c>
      <c r="L185" s="31">
        <v>2025</v>
      </c>
      <c r="M185" s="31"/>
      <c r="N185" s="32">
        <v>400</v>
      </c>
      <c r="O185" s="33"/>
      <c r="P185" s="34">
        <v>30</v>
      </c>
      <c r="Q185" s="35">
        <v>20000</v>
      </c>
      <c r="R185" s="35">
        <v>240</v>
      </c>
      <c r="S185" s="36"/>
      <c r="T185" s="31"/>
      <c r="U185" s="31"/>
      <c r="V185" s="31"/>
      <c r="W185" s="31"/>
      <c r="X185" s="31"/>
      <c r="Y185" s="31"/>
      <c r="Z185" s="30"/>
      <c r="AA185" s="30"/>
      <c r="AB185" s="30"/>
      <c r="AC185" s="72" t="s">
        <v>1373</v>
      </c>
      <c r="AD185" s="31">
        <v>1</v>
      </c>
      <c r="AE185" s="31">
        <v>2</v>
      </c>
      <c r="AF185" s="31">
        <v>2</v>
      </c>
      <c r="AG185" s="31">
        <v>3</v>
      </c>
      <c r="AH185" s="31">
        <v>2</v>
      </c>
      <c r="AI185" s="31">
        <v>2</v>
      </c>
      <c r="AJ185" s="31">
        <f>AI185*AH185*AG185*AF185*AE185*AD185</f>
        <v>48</v>
      </c>
      <c r="AK185" s="30" t="s">
        <v>45</v>
      </c>
      <c r="AL185" s="37">
        <v>45078</v>
      </c>
    </row>
    <row r="186" spans="1:38" ht="38.25" x14ac:dyDescent="0.2">
      <c r="A186" s="22" t="s">
        <v>86</v>
      </c>
      <c r="B186" s="22" t="s">
        <v>861</v>
      </c>
      <c r="C186" s="22"/>
      <c r="D186" s="65"/>
      <c r="E186" s="88" t="s">
        <v>862</v>
      </c>
      <c r="F186" s="77"/>
      <c r="G186" s="88"/>
      <c r="H186" s="78" t="s">
        <v>902</v>
      </c>
      <c r="I186" s="65" t="s">
        <v>863</v>
      </c>
      <c r="J186" s="22" t="s">
        <v>864</v>
      </c>
      <c r="K186" s="22" t="s">
        <v>42</v>
      </c>
      <c r="L186" s="24">
        <v>2022</v>
      </c>
      <c r="M186" s="24"/>
      <c r="N186" s="38"/>
      <c r="O186" s="39"/>
      <c r="P186" s="27"/>
      <c r="Q186" s="28"/>
      <c r="R186" s="28"/>
      <c r="S186" s="29"/>
      <c r="T186" s="24"/>
      <c r="U186" s="24"/>
      <c r="V186" s="24"/>
      <c r="W186" s="24"/>
      <c r="X186" s="24"/>
      <c r="Y186" s="24"/>
      <c r="Z186" s="22" t="s">
        <v>42</v>
      </c>
      <c r="AA186" s="22"/>
      <c r="AB186" s="41"/>
      <c r="AC186" s="67" t="s">
        <v>865</v>
      </c>
      <c r="AD186" s="24"/>
      <c r="AE186" s="24"/>
      <c r="AF186" s="24"/>
      <c r="AG186" s="24"/>
      <c r="AH186" s="24"/>
      <c r="AI186" s="24"/>
      <c r="AJ186" s="24">
        <v>0</v>
      </c>
      <c r="AK186" s="22"/>
      <c r="AL186" s="69"/>
    </row>
    <row r="187" spans="1:38" s="129" customFormat="1" ht="38.25" x14ac:dyDescent="0.2">
      <c r="A187" s="22" t="s">
        <v>58</v>
      </c>
      <c r="B187" s="23" t="s">
        <v>165</v>
      </c>
      <c r="C187" s="22"/>
      <c r="D187" s="22" t="s">
        <v>37</v>
      </c>
      <c r="E187" s="22" t="s">
        <v>862</v>
      </c>
      <c r="F187" s="95"/>
      <c r="G187" s="22"/>
      <c r="H187" s="71" t="s">
        <v>902</v>
      </c>
      <c r="I187" s="22" t="s">
        <v>166</v>
      </c>
      <c r="J187" s="22" t="s">
        <v>167</v>
      </c>
      <c r="K187" s="22" t="s">
        <v>168</v>
      </c>
      <c r="L187" s="24">
        <v>2020</v>
      </c>
      <c r="M187" s="24"/>
      <c r="N187" s="25">
        <f>8500000/100000</f>
        <v>85</v>
      </c>
      <c r="O187" s="26"/>
      <c r="P187" s="27">
        <f>N187*O187</f>
        <v>0</v>
      </c>
      <c r="Q187" s="28"/>
      <c r="R187" s="28">
        <f>IF(Q187&lt;4.99,(Q187*12%+4),IF(Q187&lt;10.99,(Q187*12%+8),IF(Q187&lt;14.99,(Q187*12%+12),IF(Q187&lt;879.99,(Q187*12%+16),IF(Q187&lt;2569.99,(Q187*7%+60),240)))))</f>
        <v>4</v>
      </c>
      <c r="S187" s="29">
        <f>R187*P187</f>
        <v>0</v>
      </c>
      <c r="T187" s="24"/>
      <c r="U187" s="24"/>
      <c r="V187" s="24"/>
      <c r="W187" s="24"/>
      <c r="X187" s="24"/>
      <c r="Y187" s="24"/>
      <c r="Z187" s="22" t="s">
        <v>64</v>
      </c>
      <c r="AA187" s="22"/>
      <c r="AB187" s="22"/>
      <c r="AC187" s="71"/>
      <c r="AD187" s="24">
        <v>1</v>
      </c>
      <c r="AE187" s="24">
        <v>1</v>
      </c>
      <c r="AF187" s="24">
        <v>2</v>
      </c>
      <c r="AG187" s="24">
        <v>3</v>
      </c>
      <c r="AH187" s="24">
        <v>1</v>
      </c>
      <c r="AI187" s="24">
        <v>1</v>
      </c>
      <c r="AJ187" s="24">
        <v>6</v>
      </c>
      <c r="AK187" s="22" t="s">
        <v>48</v>
      </c>
      <c r="AL187" s="22"/>
    </row>
    <row r="188" spans="1:38" ht="38.25" x14ac:dyDescent="0.2">
      <c r="A188" s="22" t="s">
        <v>35</v>
      </c>
      <c r="B188" s="22"/>
      <c r="C188" s="22"/>
      <c r="D188" s="22" t="s">
        <v>37</v>
      </c>
      <c r="E188" s="22" t="s">
        <v>862</v>
      </c>
      <c r="F188" s="22"/>
      <c r="G188" s="22"/>
      <c r="H188" s="71" t="s">
        <v>902</v>
      </c>
      <c r="I188" s="22" t="s">
        <v>563</v>
      </c>
      <c r="J188" s="22" t="s">
        <v>167</v>
      </c>
      <c r="K188" s="22" t="s">
        <v>42</v>
      </c>
      <c r="L188" s="24">
        <v>2021</v>
      </c>
      <c r="M188" s="24"/>
      <c r="N188" s="38"/>
      <c r="O188" s="39"/>
      <c r="P188" s="24"/>
      <c r="Q188" s="28"/>
      <c r="R188" s="24"/>
      <c r="S188" s="24"/>
      <c r="T188" s="24"/>
      <c r="U188" s="24"/>
      <c r="V188" s="24"/>
      <c r="W188" s="24"/>
      <c r="X188" s="24"/>
      <c r="Y188" s="24"/>
      <c r="Z188" s="22"/>
      <c r="AA188" s="22"/>
      <c r="AB188" s="22"/>
      <c r="AC188" s="71" t="s">
        <v>564</v>
      </c>
      <c r="AD188" s="24"/>
      <c r="AE188" s="24"/>
      <c r="AF188" s="24"/>
      <c r="AG188" s="24"/>
      <c r="AH188" s="24"/>
      <c r="AI188" s="24"/>
      <c r="AJ188" s="24"/>
      <c r="AK188" s="22"/>
      <c r="AL188" s="22"/>
    </row>
    <row r="189" spans="1:38" ht="38.25" x14ac:dyDescent="0.2">
      <c r="A189" s="22" t="s">
        <v>58</v>
      </c>
      <c r="B189" s="22" t="s">
        <v>625</v>
      </c>
      <c r="C189" s="22"/>
      <c r="D189" s="22" t="s">
        <v>37</v>
      </c>
      <c r="E189" s="22" t="s">
        <v>665</v>
      </c>
      <c r="F189" s="22"/>
      <c r="G189" s="22"/>
      <c r="H189" s="81" t="s">
        <v>987</v>
      </c>
      <c r="I189" s="22" t="s">
        <v>666</v>
      </c>
      <c r="J189" s="22"/>
      <c r="K189" s="22" t="s">
        <v>64</v>
      </c>
      <c r="L189" s="24">
        <v>2022</v>
      </c>
      <c r="M189" s="24"/>
      <c r="N189" s="51">
        <f>8500000/1000000*4</f>
        <v>34</v>
      </c>
      <c r="O189" s="39"/>
      <c r="P189" s="27">
        <f>N189*O189</f>
        <v>0</v>
      </c>
      <c r="Q189" s="28"/>
      <c r="R189" s="28">
        <f>IF(Q189&lt;4.99,(Q189*12%+4),IF(Q189&lt;10.99,(Q189*12%+8),IF(Q189&lt;14.99,(Q189*12%+12),IF(Q189&lt;879.99,(Q189*12%+16),IF(Q189&lt;2569.99,(Q189*7%+60),240)))))</f>
        <v>4</v>
      </c>
      <c r="S189" s="29">
        <f>R189*P189</f>
        <v>0</v>
      </c>
      <c r="T189" s="24"/>
      <c r="U189" s="24"/>
      <c r="V189" s="24"/>
      <c r="W189" s="24"/>
      <c r="X189" s="24"/>
      <c r="Y189" s="24"/>
      <c r="Z189" s="22" t="s">
        <v>64</v>
      </c>
      <c r="AA189" s="22"/>
      <c r="AB189" s="22"/>
      <c r="AC189" s="71" t="s">
        <v>667</v>
      </c>
      <c r="AD189" s="24">
        <v>1</v>
      </c>
      <c r="AE189" s="24">
        <v>2</v>
      </c>
      <c r="AF189" s="24">
        <v>1</v>
      </c>
      <c r="AG189" s="24">
        <v>2</v>
      </c>
      <c r="AH189" s="24">
        <v>1</v>
      </c>
      <c r="AI189" s="24">
        <v>2</v>
      </c>
      <c r="AJ189" s="24">
        <v>8</v>
      </c>
      <c r="AK189" s="22" t="s">
        <v>48</v>
      </c>
      <c r="AL189" s="22"/>
    </row>
    <row r="190" spans="1:38" s="129" customFormat="1" x14ac:dyDescent="0.2">
      <c r="A190" s="13"/>
      <c r="B190" s="13" t="s">
        <v>1225</v>
      </c>
      <c r="C190" s="13"/>
      <c r="D190" s="13" t="s">
        <v>98</v>
      </c>
      <c r="E190" s="13" t="s">
        <v>1222</v>
      </c>
      <c r="F190" s="13"/>
      <c r="G190" s="13"/>
      <c r="H190" s="140"/>
      <c r="I190" s="13" t="s">
        <v>1223</v>
      </c>
      <c r="J190" s="13" t="s">
        <v>1224</v>
      </c>
      <c r="K190" s="13" t="s">
        <v>42</v>
      </c>
      <c r="L190" s="14">
        <v>2023</v>
      </c>
      <c r="M190" s="14"/>
      <c r="N190" s="15">
        <v>70</v>
      </c>
      <c r="O190" s="16"/>
      <c r="P190" s="17">
        <v>10</v>
      </c>
      <c r="Q190" s="18">
        <v>15000</v>
      </c>
      <c r="R190" s="18">
        <v>240</v>
      </c>
      <c r="S190" s="19"/>
      <c r="T190" s="14"/>
      <c r="U190" s="14"/>
      <c r="V190" s="14"/>
      <c r="W190" s="14"/>
      <c r="X190" s="14"/>
      <c r="Y190" s="14"/>
      <c r="Z190" s="13" t="s">
        <v>42</v>
      </c>
      <c r="AA190" s="22"/>
      <c r="AB190" s="22"/>
      <c r="AC190" s="70"/>
      <c r="AD190" s="14"/>
      <c r="AE190" s="14"/>
      <c r="AF190" s="14"/>
      <c r="AG190" s="14"/>
      <c r="AH190" s="14"/>
      <c r="AI190" s="14"/>
      <c r="AJ190" s="14"/>
      <c r="AK190" s="13"/>
      <c r="AL190" s="20">
        <v>44805</v>
      </c>
    </row>
    <row r="191" spans="1:38" x14ac:dyDescent="0.2">
      <c r="A191" s="22" t="s">
        <v>49</v>
      </c>
      <c r="B191" s="22" t="s">
        <v>1018</v>
      </c>
      <c r="C191" s="22"/>
      <c r="D191" s="22" t="s">
        <v>51</v>
      </c>
      <c r="E191" s="22" t="s">
        <v>138</v>
      </c>
      <c r="F191" s="22"/>
      <c r="G191" s="22"/>
      <c r="H191" s="81"/>
      <c r="I191" s="22" t="s">
        <v>1019</v>
      </c>
      <c r="J191" s="22" t="s">
        <v>1131</v>
      </c>
      <c r="K191" s="22" t="s">
        <v>42</v>
      </c>
      <c r="L191" s="24">
        <v>2022</v>
      </c>
      <c r="M191" s="24"/>
      <c r="N191" s="51"/>
      <c r="O191" s="39"/>
      <c r="P191" s="27">
        <v>10</v>
      </c>
      <c r="Q191" s="28">
        <v>1200</v>
      </c>
      <c r="R191" s="28">
        <v>120</v>
      </c>
      <c r="S191" s="29">
        <f>P191*Q191*3</f>
        <v>36000</v>
      </c>
      <c r="T191" s="24"/>
      <c r="U191" s="24"/>
      <c r="V191" s="24"/>
      <c r="W191" s="24"/>
      <c r="X191" s="24"/>
      <c r="Y191" s="24"/>
      <c r="Z191" s="22" t="s">
        <v>645</v>
      </c>
      <c r="AA191" s="22"/>
      <c r="AB191" s="22"/>
      <c r="AC191" s="71"/>
      <c r="AD191" s="24"/>
      <c r="AE191" s="24"/>
      <c r="AF191" s="24"/>
      <c r="AG191" s="24"/>
      <c r="AH191" s="24"/>
      <c r="AI191" s="24"/>
      <c r="AJ191" s="24"/>
      <c r="AK191" s="22"/>
      <c r="AL191" s="22"/>
    </row>
    <row r="192" spans="1:38" ht="38.25" x14ac:dyDescent="0.2">
      <c r="A192" s="22" t="s">
        <v>72</v>
      </c>
      <c r="B192" s="22" t="s">
        <v>184</v>
      </c>
      <c r="C192" s="22"/>
      <c r="D192" s="65" t="s">
        <v>98</v>
      </c>
      <c r="E192" s="88" t="s">
        <v>138</v>
      </c>
      <c r="F192" s="97" t="s">
        <v>901</v>
      </c>
      <c r="G192" s="88"/>
      <c r="H192" s="88"/>
      <c r="I192" s="65" t="s">
        <v>866</v>
      </c>
      <c r="J192" s="22"/>
      <c r="K192" s="22" t="s">
        <v>42</v>
      </c>
      <c r="L192" s="24">
        <v>2023</v>
      </c>
      <c r="M192" s="24"/>
      <c r="N192" s="38"/>
      <c r="O192" s="39"/>
      <c r="P192" s="27"/>
      <c r="Q192" s="28"/>
      <c r="R192" s="28"/>
      <c r="S192" s="29"/>
      <c r="T192" s="24"/>
      <c r="U192" s="24"/>
      <c r="V192" s="24"/>
      <c r="W192" s="24"/>
      <c r="X192" s="24"/>
      <c r="Y192" s="24"/>
      <c r="Z192" s="22" t="s">
        <v>42</v>
      </c>
      <c r="AA192" s="22"/>
      <c r="AB192" s="41"/>
      <c r="AC192" s="68" t="s">
        <v>869</v>
      </c>
      <c r="AD192" s="24">
        <v>2</v>
      </c>
      <c r="AE192" s="24">
        <v>3</v>
      </c>
      <c r="AF192" s="24">
        <v>3</v>
      </c>
      <c r="AG192" s="24">
        <v>3</v>
      </c>
      <c r="AH192" s="24">
        <v>1</v>
      </c>
      <c r="AI192" s="24">
        <v>3</v>
      </c>
      <c r="AJ192" s="24">
        <v>162</v>
      </c>
      <c r="AK192" s="22" t="s">
        <v>48</v>
      </c>
      <c r="AL192" s="69"/>
    </row>
    <row r="193" spans="1:16379" ht="38.25" x14ac:dyDescent="0.2">
      <c r="A193" s="22" t="s">
        <v>72</v>
      </c>
      <c r="B193" s="22" t="s">
        <v>184</v>
      </c>
      <c r="C193" s="22"/>
      <c r="D193" s="22" t="s">
        <v>98</v>
      </c>
      <c r="E193" s="22" t="s">
        <v>138</v>
      </c>
      <c r="F193" s="71" t="s">
        <v>901</v>
      </c>
      <c r="G193" s="22"/>
      <c r="H193" s="22"/>
      <c r="I193" s="22" t="s">
        <v>326</v>
      </c>
      <c r="J193" s="22"/>
      <c r="K193" s="22" t="s">
        <v>42</v>
      </c>
      <c r="L193" s="24">
        <v>2022</v>
      </c>
      <c r="M193" s="24"/>
      <c r="N193" s="38">
        <f>150000*2/3</f>
        <v>100000</v>
      </c>
      <c r="O193" s="39"/>
      <c r="P193" s="27">
        <f>N193*O193</f>
        <v>0</v>
      </c>
      <c r="Q193" s="28"/>
      <c r="R193" s="28">
        <f>IF(Q193&lt;4.99,(Q193*12%+4),IF(Q193&lt;10.99,(Q193*12%+8),IF(Q193&lt;14.99,(Q193*12%+12),IF(Q193&lt;879.99,(Q193*12%+16),IF(Q193&lt;2569.99,(Q193*7%+60),240)))))</f>
        <v>4</v>
      </c>
      <c r="S193" s="29">
        <f>R193*P193</f>
        <v>0</v>
      </c>
      <c r="T193" s="24"/>
      <c r="U193" s="24"/>
      <c r="V193" s="24"/>
      <c r="W193" s="24"/>
      <c r="X193" s="24"/>
      <c r="Y193" s="24"/>
      <c r="Z193" s="22" t="s">
        <v>42</v>
      </c>
      <c r="AA193" s="22"/>
      <c r="AB193" s="22" t="s">
        <v>129</v>
      </c>
      <c r="AC193" s="71" t="s">
        <v>327</v>
      </c>
      <c r="AD193" s="24">
        <v>2</v>
      </c>
      <c r="AE193" s="24">
        <v>3</v>
      </c>
      <c r="AF193" s="24">
        <v>3</v>
      </c>
      <c r="AG193" s="24">
        <v>3</v>
      </c>
      <c r="AH193" s="24">
        <v>1</v>
      </c>
      <c r="AI193" s="24">
        <v>3</v>
      </c>
      <c r="AJ193" s="24">
        <v>162</v>
      </c>
      <c r="AK193" s="22" t="s">
        <v>48</v>
      </c>
      <c r="AL193" s="22"/>
    </row>
    <row r="194" spans="1:16379" ht="38.25" x14ac:dyDescent="0.2">
      <c r="A194" s="22" t="s">
        <v>86</v>
      </c>
      <c r="B194" s="22" t="s">
        <v>415</v>
      </c>
      <c r="C194" s="22"/>
      <c r="D194" s="22" t="s">
        <v>98</v>
      </c>
      <c r="E194" s="22" t="s">
        <v>138</v>
      </c>
      <c r="F194" s="98" t="s">
        <v>901</v>
      </c>
      <c r="G194" s="22"/>
      <c r="H194" s="22"/>
      <c r="I194" s="22" t="s">
        <v>416</v>
      </c>
      <c r="J194" s="22"/>
      <c r="K194" s="22" t="s">
        <v>42</v>
      </c>
      <c r="L194" s="24">
        <v>2021</v>
      </c>
      <c r="M194" s="24"/>
      <c r="N194" s="38">
        <f>8500000/1000</f>
        <v>8500</v>
      </c>
      <c r="O194" s="39"/>
      <c r="P194" s="27">
        <f>N194*O194</f>
        <v>0</v>
      </c>
      <c r="Q194" s="28"/>
      <c r="R194" s="28">
        <f>IF(Q194&lt;4.99,(Q194*12%+4),IF(Q194&lt;10.99,(Q194*12%+8),IF(Q194&lt;14.99,(Q194*12%+12),IF(Q194&lt;879.99,(Q194*12%+16),IF(Q194&lt;2569.99,(Q194*7%+60),240)))))</f>
        <v>4</v>
      </c>
      <c r="S194" s="29">
        <f>R194*P194</f>
        <v>0</v>
      </c>
      <c r="T194" s="24"/>
      <c r="U194" s="24"/>
      <c r="V194" s="24"/>
      <c r="W194" s="24"/>
      <c r="X194" s="24"/>
      <c r="Y194" s="24"/>
      <c r="Z194" s="22" t="s">
        <v>42</v>
      </c>
      <c r="AA194" s="22"/>
      <c r="AB194" s="22"/>
      <c r="AC194" s="71" t="s">
        <v>417</v>
      </c>
      <c r="AD194" s="24">
        <v>1</v>
      </c>
      <c r="AE194" s="24">
        <v>3</v>
      </c>
      <c r="AF194" s="24">
        <v>3</v>
      </c>
      <c r="AG194" s="24">
        <v>1</v>
      </c>
      <c r="AH194" s="24">
        <v>2</v>
      </c>
      <c r="AI194" s="24">
        <v>2</v>
      </c>
      <c r="AJ194" s="24">
        <v>36</v>
      </c>
      <c r="AK194" s="22" t="s">
        <v>48</v>
      </c>
      <c r="AL194" s="22"/>
    </row>
    <row r="195" spans="1:16379" s="133" customFormat="1" x14ac:dyDescent="0.2">
      <c r="A195" s="30" t="s">
        <v>58</v>
      </c>
      <c r="B195" s="30" t="s">
        <v>1260</v>
      </c>
      <c r="C195" s="30"/>
      <c r="D195" s="30" t="s">
        <v>98</v>
      </c>
      <c r="E195" s="30" t="s">
        <v>138</v>
      </c>
      <c r="F195" s="96"/>
      <c r="G195" s="30"/>
      <c r="H195" s="30"/>
      <c r="I195" s="30" t="s">
        <v>1282</v>
      </c>
      <c r="J195" s="30"/>
      <c r="K195" s="30" t="s">
        <v>42</v>
      </c>
      <c r="L195" s="31">
        <v>2023</v>
      </c>
      <c r="M195" s="31"/>
      <c r="N195" s="32">
        <v>10</v>
      </c>
      <c r="O195" s="33"/>
      <c r="P195" s="34"/>
      <c r="Q195" s="35">
        <v>20000</v>
      </c>
      <c r="R195" s="35">
        <v>240</v>
      </c>
      <c r="S195" s="36"/>
      <c r="T195" s="31"/>
      <c r="U195" s="31"/>
      <c r="V195" s="31"/>
      <c r="W195" s="31"/>
      <c r="X195" s="31"/>
      <c r="Y195" s="31"/>
      <c r="Z195" s="30" t="s">
        <v>42</v>
      </c>
      <c r="AA195" s="30"/>
      <c r="AB195" s="30"/>
      <c r="AC195" s="72" t="s">
        <v>1283</v>
      </c>
      <c r="AD195" s="31">
        <v>2</v>
      </c>
      <c r="AE195" s="31">
        <v>1</v>
      </c>
      <c r="AF195" s="31">
        <v>3</v>
      </c>
      <c r="AG195" s="31">
        <v>3</v>
      </c>
      <c r="AH195" s="31">
        <v>2</v>
      </c>
      <c r="AI195" s="31">
        <v>2</v>
      </c>
      <c r="AJ195" s="31">
        <f>AI195*AH195*AG195*AF195*AE195*AD195</f>
        <v>72</v>
      </c>
      <c r="AK195" s="30"/>
      <c r="AL195" s="37">
        <v>44958</v>
      </c>
    </row>
    <row r="196" spans="1:16379" ht="38.25" x14ac:dyDescent="0.2">
      <c r="A196" s="22" t="s">
        <v>35</v>
      </c>
      <c r="B196" s="23" t="s">
        <v>612</v>
      </c>
      <c r="C196" s="22"/>
      <c r="D196" s="22" t="s">
        <v>60</v>
      </c>
      <c r="E196" s="22" t="s">
        <v>138</v>
      </c>
      <c r="F196" s="71" t="s">
        <v>901</v>
      </c>
      <c r="G196" s="22"/>
      <c r="H196" s="22"/>
      <c r="I196" s="22" t="s">
        <v>613</v>
      </c>
      <c r="J196" s="22" t="s">
        <v>614</v>
      </c>
      <c r="K196" s="22" t="s">
        <v>42</v>
      </c>
      <c r="L196" s="24">
        <v>2020</v>
      </c>
      <c r="M196" s="24"/>
      <c r="N196" s="25">
        <f>8500000/10000*2.5</f>
        <v>2125</v>
      </c>
      <c r="O196" s="26"/>
      <c r="P196" s="27">
        <f>N196*O196</f>
        <v>0</v>
      </c>
      <c r="Q196" s="28"/>
      <c r="R196" s="28">
        <f>IF(Q196&lt;4.99,(Q196*12%+4),IF(Q196&lt;10.99,(Q196*12%+8),IF(Q196&lt;14.99,(Q196*12%+12),IF(Q196&lt;879.99,(Q196*12%+16),IF(Q196&lt;2569.99,(Q196*7%+60),240)))))</f>
        <v>4</v>
      </c>
      <c r="S196" s="29">
        <f>R196*P196</f>
        <v>0</v>
      </c>
      <c r="T196" s="24"/>
      <c r="U196" s="24"/>
      <c r="V196" s="24"/>
      <c r="W196" s="24"/>
      <c r="X196" s="24"/>
      <c r="Y196" s="24"/>
      <c r="Z196" s="22" t="s">
        <v>42</v>
      </c>
      <c r="AA196" s="22"/>
      <c r="AB196" s="22"/>
      <c r="AC196" s="71" t="s">
        <v>615</v>
      </c>
      <c r="AD196" s="24">
        <v>2</v>
      </c>
      <c r="AE196" s="24">
        <v>1</v>
      </c>
      <c r="AF196" s="24">
        <v>3</v>
      </c>
      <c r="AG196" s="24">
        <v>2</v>
      </c>
      <c r="AH196" s="24">
        <v>1</v>
      </c>
      <c r="AI196" s="24">
        <v>1</v>
      </c>
      <c r="AJ196" s="24">
        <v>12</v>
      </c>
      <c r="AK196" s="22" t="s">
        <v>45</v>
      </c>
      <c r="AL196" s="40">
        <v>43617</v>
      </c>
    </row>
    <row r="197" spans="1:16379" ht="38.25" x14ac:dyDescent="0.2">
      <c r="A197" s="22" t="s">
        <v>72</v>
      </c>
      <c r="B197" s="22" t="s">
        <v>271</v>
      </c>
      <c r="C197" s="22"/>
      <c r="D197" s="22" t="s">
        <v>60</v>
      </c>
      <c r="E197" s="22" t="s">
        <v>272</v>
      </c>
      <c r="F197" s="22"/>
      <c r="G197" s="22"/>
      <c r="H197" s="79" t="s">
        <v>945</v>
      </c>
      <c r="I197" s="22" t="s">
        <v>273</v>
      </c>
      <c r="J197" s="22" t="s">
        <v>274</v>
      </c>
      <c r="K197" s="22" t="s">
        <v>63</v>
      </c>
      <c r="L197" s="24">
        <v>2020</v>
      </c>
      <c r="M197" s="24"/>
      <c r="N197" s="38">
        <v>13000</v>
      </c>
      <c r="O197" s="39"/>
      <c r="P197" s="27">
        <f>N197*O197</f>
        <v>0</v>
      </c>
      <c r="Q197" s="28"/>
      <c r="R197" s="28">
        <f>IF(Q197&lt;4.99,(Q197*12%+4),IF(Q197&lt;10.99,(Q197*12%+8),IF(Q197&lt;14.99,(Q197*12%+12),IF(Q197&lt;879.99,(Q197*12%+16),IF(Q197&lt;2569.99,(Q197*7%+60),240)))))</f>
        <v>4</v>
      </c>
      <c r="S197" s="29">
        <f>R197*P197</f>
        <v>0</v>
      </c>
      <c r="T197" s="24"/>
      <c r="U197" s="24"/>
      <c r="V197" s="24"/>
      <c r="W197" s="24"/>
      <c r="X197" s="24"/>
      <c r="Y197" s="24"/>
      <c r="Z197" s="22" t="s">
        <v>42</v>
      </c>
      <c r="AA197" s="22"/>
      <c r="AB197" s="22"/>
      <c r="AC197" s="71" t="s">
        <v>275</v>
      </c>
      <c r="AD197" s="24">
        <v>1</v>
      </c>
      <c r="AE197" s="24">
        <v>2</v>
      </c>
      <c r="AF197" s="24">
        <v>1</v>
      </c>
      <c r="AG197" s="24">
        <v>3</v>
      </c>
      <c r="AH197" s="24">
        <v>1</v>
      </c>
      <c r="AI197" s="24">
        <v>2</v>
      </c>
      <c r="AJ197" s="24">
        <v>12</v>
      </c>
      <c r="AK197" s="22" t="s">
        <v>48</v>
      </c>
      <c r="AL197" s="22"/>
    </row>
    <row r="198" spans="1:16379" ht="38.25" x14ac:dyDescent="0.2">
      <c r="A198" s="30" t="s">
        <v>72</v>
      </c>
      <c r="B198" s="30" t="s">
        <v>73</v>
      </c>
      <c r="C198" s="30"/>
      <c r="D198" s="30" t="s">
        <v>37</v>
      </c>
      <c r="E198" s="30" t="s">
        <v>685</v>
      </c>
      <c r="F198" s="72" t="s">
        <v>900</v>
      </c>
      <c r="G198" s="30"/>
      <c r="H198" s="106"/>
      <c r="I198" s="30" t="s">
        <v>1195</v>
      </c>
      <c r="J198" s="30"/>
      <c r="K198" s="30" t="s">
        <v>42</v>
      </c>
      <c r="L198" s="31">
        <v>2025</v>
      </c>
      <c r="M198" s="31"/>
      <c r="N198" s="32"/>
      <c r="O198" s="33"/>
      <c r="P198" s="31"/>
      <c r="Q198" s="35"/>
      <c r="R198" s="31"/>
      <c r="S198" s="31"/>
      <c r="T198" s="31"/>
      <c r="U198" s="31"/>
      <c r="V198" s="31"/>
      <c r="W198" s="31"/>
      <c r="X198" s="31"/>
      <c r="Y198" s="31"/>
      <c r="Z198" s="30" t="s">
        <v>42</v>
      </c>
      <c r="AA198" s="72"/>
      <c r="AB198" s="31"/>
      <c r="AC198" s="31" t="s">
        <v>1433</v>
      </c>
      <c r="AD198" s="31">
        <v>3</v>
      </c>
      <c r="AE198" s="31">
        <v>2</v>
      </c>
      <c r="AF198" s="31">
        <v>3</v>
      </c>
      <c r="AG198" s="31">
        <v>1</v>
      </c>
      <c r="AH198" s="31">
        <v>3</v>
      </c>
      <c r="AI198" s="30">
        <v>2</v>
      </c>
      <c r="AJ198" s="37"/>
      <c r="AK198" s="133" t="s">
        <v>45</v>
      </c>
      <c r="AL198" s="133">
        <v>43922</v>
      </c>
      <c r="AM198" s="133"/>
      <c r="AN198" s="133"/>
      <c r="AO198" s="133"/>
      <c r="AP198" s="133"/>
      <c r="AQ198" s="133"/>
      <c r="AR198" s="133"/>
      <c r="AS198" s="133"/>
      <c r="AT198" s="133"/>
      <c r="AU198" s="133"/>
      <c r="AV198" s="133"/>
      <c r="AW198" s="133"/>
      <c r="AX198" s="133"/>
      <c r="AY198" s="133"/>
      <c r="AZ198" s="133"/>
      <c r="BA198" s="133"/>
      <c r="BB198" s="133"/>
      <c r="BC198" s="133"/>
      <c r="BD198" s="133"/>
      <c r="BE198" s="133"/>
      <c r="BF198" s="133"/>
      <c r="BG198" s="133"/>
      <c r="BH198" s="133"/>
      <c r="BI198" s="133"/>
      <c r="BJ198" s="133"/>
      <c r="BK198" s="133"/>
      <c r="BL198" s="133"/>
      <c r="BM198" s="133"/>
      <c r="BN198" s="133"/>
      <c r="BO198" s="133"/>
      <c r="BP198" s="133"/>
      <c r="BQ198" s="133"/>
      <c r="BR198" s="133"/>
      <c r="BS198" s="133"/>
      <c r="BT198" s="133"/>
      <c r="BU198" s="133"/>
      <c r="BV198" s="133"/>
      <c r="BW198" s="133"/>
      <c r="BX198" s="133"/>
      <c r="BY198" s="133"/>
      <c r="BZ198" s="133"/>
      <c r="CA198" s="133"/>
      <c r="CB198" s="133"/>
      <c r="CC198" s="133"/>
      <c r="CD198" s="133"/>
      <c r="CE198" s="133"/>
      <c r="CF198" s="133"/>
      <c r="CG198" s="133"/>
      <c r="CH198" s="133"/>
      <c r="CI198" s="133"/>
      <c r="CJ198" s="133"/>
      <c r="CK198" s="133"/>
      <c r="CL198" s="133"/>
      <c r="CM198" s="133"/>
      <c r="CN198" s="133"/>
      <c r="CO198" s="133"/>
      <c r="CP198" s="133"/>
      <c r="CQ198" s="133"/>
      <c r="CR198" s="133"/>
      <c r="CS198" s="133"/>
      <c r="CT198" s="133"/>
      <c r="CU198" s="133"/>
      <c r="CV198" s="133"/>
      <c r="CW198" s="133"/>
      <c r="CX198" s="133"/>
      <c r="CY198" s="133"/>
      <c r="CZ198" s="133"/>
      <c r="DA198" s="133"/>
      <c r="DB198" s="133"/>
      <c r="DC198" s="133"/>
      <c r="DD198" s="133"/>
      <c r="DE198" s="133"/>
      <c r="DF198" s="133"/>
      <c r="DG198" s="133"/>
      <c r="DH198" s="133"/>
      <c r="DI198" s="133"/>
      <c r="DJ198" s="133"/>
      <c r="DK198" s="133"/>
      <c r="DL198" s="133"/>
      <c r="DM198" s="133"/>
      <c r="DN198" s="133"/>
      <c r="DO198" s="133"/>
      <c r="DP198" s="133"/>
      <c r="DQ198" s="133"/>
      <c r="DR198" s="133"/>
      <c r="DS198" s="133"/>
      <c r="DT198" s="133"/>
      <c r="DU198" s="133"/>
      <c r="DV198" s="133"/>
      <c r="DW198" s="133"/>
      <c r="DX198" s="133"/>
      <c r="DY198" s="133"/>
      <c r="DZ198" s="133"/>
      <c r="EA198" s="133"/>
      <c r="EB198" s="133"/>
      <c r="EC198" s="133"/>
      <c r="ED198" s="133"/>
      <c r="EE198" s="133"/>
      <c r="EF198" s="133"/>
      <c r="EG198" s="133"/>
      <c r="EH198" s="133"/>
      <c r="EI198" s="133"/>
      <c r="EJ198" s="133"/>
      <c r="EK198" s="133"/>
      <c r="EL198" s="133"/>
      <c r="EM198" s="133"/>
      <c r="EN198" s="133"/>
      <c r="EO198" s="133"/>
      <c r="EP198" s="133"/>
      <c r="EQ198" s="133"/>
      <c r="ER198" s="133"/>
      <c r="ES198" s="133"/>
      <c r="ET198" s="133"/>
      <c r="EU198" s="133"/>
      <c r="EV198" s="133"/>
      <c r="EW198" s="133"/>
      <c r="EX198" s="133"/>
      <c r="EY198" s="133"/>
      <c r="EZ198" s="133"/>
      <c r="FA198" s="133"/>
      <c r="FB198" s="133"/>
      <c r="FC198" s="133"/>
      <c r="FD198" s="133"/>
      <c r="FE198" s="133"/>
      <c r="FF198" s="133"/>
      <c r="FG198" s="133"/>
      <c r="FH198" s="133"/>
      <c r="FI198" s="133"/>
      <c r="FJ198" s="133"/>
      <c r="FK198" s="133"/>
      <c r="FL198" s="133"/>
      <c r="FM198" s="133"/>
      <c r="FN198" s="133"/>
      <c r="FO198" s="133"/>
      <c r="FP198" s="133"/>
      <c r="FQ198" s="133"/>
      <c r="FR198" s="133"/>
      <c r="FS198" s="133"/>
      <c r="FT198" s="133"/>
      <c r="FU198" s="133"/>
      <c r="FV198" s="133"/>
      <c r="FW198" s="133"/>
      <c r="FX198" s="133"/>
      <c r="FY198" s="133"/>
      <c r="FZ198" s="133"/>
      <c r="GA198" s="133"/>
      <c r="GB198" s="133"/>
      <c r="GC198" s="133"/>
      <c r="GD198" s="133"/>
      <c r="GE198" s="133"/>
      <c r="GF198" s="133"/>
      <c r="GG198" s="133"/>
      <c r="GH198" s="133"/>
      <c r="GI198" s="133"/>
      <c r="GJ198" s="133"/>
      <c r="GK198" s="133"/>
      <c r="GL198" s="133"/>
      <c r="GM198" s="133"/>
      <c r="GN198" s="133"/>
      <c r="GO198" s="133"/>
      <c r="GP198" s="133"/>
      <c r="GQ198" s="133"/>
      <c r="GR198" s="133"/>
      <c r="GS198" s="133"/>
      <c r="GT198" s="133"/>
      <c r="GU198" s="133"/>
      <c r="GV198" s="133"/>
      <c r="GW198" s="133"/>
      <c r="GX198" s="133"/>
      <c r="GY198" s="133"/>
      <c r="GZ198" s="133"/>
      <c r="HA198" s="133"/>
      <c r="HB198" s="133"/>
      <c r="HC198" s="133"/>
      <c r="HD198" s="133"/>
      <c r="HE198" s="133"/>
      <c r="HF198" s="133"/>
      <c r="HG198" s="133"/>
      <c r="HH198" s="133"/>
      <c r="HI198" s="133"/>
      <c r="HJ198" s="133"/>
      <c r="HK198" s="133"/>
      <c r="HL198" s="133"/>
      <c r="HM198" s="133"/>
      <c r="HN198" s="133"/>
      <c r="HO198" s="133"/>
      <c r="HP198" s="133"/>
      <c r="HQ198" s="133"/>
      <c r="HR198" s="133"/>
      <c r="HS198" s="133"/>
      <c r="HT198" s="133"/>
      <c r="HU198" s="133"/>
      <c r="HV198" s="133"/>
      <c r="HW198" s="133"/>
      <c r="HX198" s="133"/>
      <c r="HY198" s="133"/>
      <c r="HZ198" s="133"/>
      <c r="IA198" s="133"/>
      <c r="IB198" s="133"/>
      <c r="IC198" s="133"/>
      <c r="ID198" s="133"/>
      <c r="IE198" s="133"/>
      <c r="IF198" s="133"/>
      <c r="IG198" s="133"/>
      <c r="IH198" s="133"/>
      <c r="II198" s="133"/>
      <c r="IJ198" s="133"/>
      <c r="IK198" s="133"/>
      <c r="IL198" s="133"/>
      <c r="IM198" s="133"/>
      <c r="IN198" s="133"/>
      <c r="IO198" s="133"/>
      <c r="IP198" s="133"/>
      <c r="IQ198" s="133"/>
      <c r="IR198" s="133"/>
      <c r="IS198" s="133"/>
      <c r="IT198" s="133"/>
      <c r="IU198" s="133"/>
      <c r="IV198" s="133"/>
      <c r="IW198" s="133"/>
      <c r="IX198" s="133"/>
      <c r="IY198" s="133"/>
      <c r="IZ198" s="133"/>
      <c r="JA198" s="133"/>
      <c r="JB198" s="133"/>
      <c r="JC198" s="133"/>
      <c r="JD198" s="133"/>
      <c r="JE198" s="133"/>
      <c r="JF198" s="133"/>
      <c r="JG198" s="133"/>
      <c r="JH198" s="133"/>
      <c r="JI198" s="133"/>
      <c r="JJ198" s="133"/>
      <c r="JK198" s="133"/>
      <c r="JL198" s="133"/>
      <c r="JM198" s="133"/>
      <c r="JN198" s="133"/>
      <c r="JO198" s="133"/>
      <c r="JP198" s="133"/>
      <c r="JQ198" s="133"/>
      <c r="JR198" s="133"/>
      <c r="JS198" s="133"/>
      <c r="JT198" s="133"/>
      <c r="JU198" s="133"/>
      <c r="JV198" s="133"/>
      <c r="JW198" s="133"/>
      <c r="JX198" s="133"/>
      <c r="JY198" s="133"/>
      <c r="JZ198" s="133"/>
      <c r="KA198" s="133"/>
      <c r="KB198" s="133"/>
      <c r="KC198" s="133"/>
      <c r="KD198" s="133"/>
      <c r="KE198" s="133"/>
      <c r="KF198" s="133"/>
      <c r="KG198" s="133"/>
      <c r="KH198" s="133"/>
      <c r="KI198" s="133"/>
      <c r="KJ198" s="133"/>
      <c r="KK198" s="133"/>
      <c r="KL198" s="133"/>
      <c r="KM198" s="133"/>
      <c r="KN198" s="133"/>
      <c r="KO198" s="133"/>
      <c r="KP198" s="133"/>
      <c r="KQ198" s="133"/>
      <c r="KR198" s="133"/>
      <c r="KS198" s="133"/>
      <c r="KT198" s="133"/>
      <c r="KU198" s="133"/>
      <c r="KV198" s="133"/>
      <c r="KW198" s="133"/>
      <c r="KX198" s="133"/>
      <c r="KY198" s="133"/>
      <c r="KZ198" s="133"/>
      <c r="LA198" s="133"/>
      <c r="LB198" s="133"/>
      <c r="LC198" s="133"/>
      <c r="LD198" s="133"/>
      <c r="LE198" s="133"/>
      <c r="LF198" s="133"/>
      <c r="LG198" s="133"/>
      <c r="LH198" s="133"/>
      <c r="LI198" s="133"/>
      <c r="LJ198" s="133"/>
      <c r="LK198" s="133"/>
      <c r="LL198" s="133"/>
      <c r="LM198" s="133"/>
      <c r="LN198" s="133"/>
      <c r="LO198" s="133"/>
      <c r="LP198" s="133"/>
      <c r="LQ198" s="133"/>
      <c r="LR198" s="133"/>
      <c r="LS198" s="133"/>
      <c r="LT198" s="133"/>
      <c r="LU198" s="133"/>
      <c r="LV198" s="133"/>
      <c r="LW198" s="133"/>
      <c r="LX198" s="133"/>
      <c r="LY198" s="133"/>
      <c r="LZ198" s="133"/>
      <c r="MA198" s="133"/>
      <c r="MB198" s="133"/>
      <c r="MC198" s="133"/>
      <c r="MD198" s="133"/>
      <c r="ME198" s="133"/>
      <c r="MF198" s="133"/>
      <c r="MG198" s="133"/>
      <c r="MH198" s="133"/>
      <c r="MI198" s="133"/>
      <c r="MJ198" s="133"/>
      <c r="MK198" s="133"/>
      <c r="ML198" s="133"/>
      <c r="MM198" s="133"/>
      <c r="MN198" s="133"/>
      <c r="MO198" s="133"/>
      <c r="MP198" s="133"/>
      <c r="MQ198" s="133"/>
      <c r="MR198" s="133"/>
      <c r="MS198" s="133"/>
      <c r="MT198" s="133"/>
      <c r="MU198" s="133"/>
      <c r="MV198" s="133"/>
      <c r="MW198" s="133"/>
      <c r="MX198" s="133"/>
      <c r="MY198" s="133"/>
      <c r="MZ198" s="133"/>
      <c r="NA198" s="133"/>
      <c r="NB198" s="133"/>
      <c r="NC198" s="133"/>
      <c r="ND198" s="133"/>
      <c r="NE198" s="133"/>
      <c r="NF198" s="133"/>
      <c r="NG198" s="133"/>
      <c r="NH198" s="133"/>
      <c r="NI198" s="133"/>
      <c r="NJ198" s="133"/>
      <c r="NK198" s="133"/>
      <c r="NL198" s="133"/>
      <c r="NM198" s="133"/>
      <c r="NN198" s="133"/>
      <c r="NO198" s="133"/>
      <c r="NP198" s="133"/>
      <c r="NQ198" s="133"/>
      <c r="NR198" s="133"/>
      <c r="NS198" s="133"/>
      <c r="NT198" s="133"/>
      <c r="NU198" s="133"/>
      <c r="NV198" s="133"/>
      <c r="NW198" s="133"/>
      <c r="NX198" s="133"/>
      <c r="NY198" s="133"/>
      <c r="NZ198" s="133"/>
      <c r="OA198" s="133"/>
      <c r="OB198" s="133"/>
      <c r="OC198" s="133"/>
      <c r="OD198" s="133"/>
      <c r="OE198" s="133"/>
      <c r="OF198" s="133"/>
      <c r="OG198" s="133"/>
      <c r="OH198" s="133"/>
      <c r="OI198" s="133"/>
      <c r="OJ198" s="133"/>
      <c r="OK198" s="133"/>
      <c r="OL198" s="133"/>
      <c r="OM198" s="133"/>
      <c r="ON198" s="133"/>
      <c r="OO198" s="133"/>
      <c r="OP198" s="133"/>
      <c r="OQ198" s="133"/>
      <c r="OR198" s="133"/>
      <c r="OS198" s="133"/>
      <c r="OT198" s="133"/>
      <c r="OU198" s="133"/>
      <c r="OV198" s="133"/>
      <c r="OW198" s="133"/>
      <c r="OX198" s="133"/>
      <c r="OY198" s="133"/>
      <c r="OZ198" s="133"/>
      <c r="PA198" s="133"/>
      <c r="PB198" s="133"/>
      <c r="PC198" s="133"/>
      <c r="PD198" s="133"/>
      <c r="PE198" s="133"/>
      <c r="PF198" s="133"/>
      <c r="PG198" s="133"/>
      <c r="PH198" s="133"/>
      <c r="PI198" s="133"/>
      <c r="PJ198" s="133"/>
      <c r="PK198" s="133"/>
      <c r="PL198" s="133"/>
      <c r="PM198" s="133"/>
      <c r="PN198" s="133"/>
      <c r="PO198" s="133"/>
      <c r="PP198" s="133"/>
      <c r="PQ198" s="133"/>
      <c r="PR198" s="133"/>
      <c r="PS198" s="133"/>
      <c r="PT198" s="133"/>
      <c r="PU198" s="133"/>
      <c r="PV198" s="133"/>
      <c r="PW198" s="133"/>
      <c r="PX198" s="133"/>
      <c r="PY198" s="133"/>
      <c r="PZ198" s="133"/>
      <c r="QA198" s="133"/>
      <c r="QB198" s="133"/>
      <c r="QC198" s="133"/>
      <c r="QD198" s="133"/>
      <c r="QE198" s="133"/>
      <c r="QF198" s="133"/>
      <c r="QG198" s="133"/>
      <c r="QH198" s="133"/>
      <c r="QI198" s="133"/>
      <c r="QJ198" s="133"/>
      <c r="QK198" s="133"/>
      <c r="QL198" s="133"/>
      <c r="QM198" s="133"/>
      <c r="QN198" s="133"/>
      <c r="QO198" s="133"/>
      <c r="QP198" s="133"/>
      <c r="QQ198" s="133"/>
      <c r="QR198" s="133"/>
      <c r="QS198" s="133"/>
      <c r="QT198" s="133"/>
      <c r="QU198" s="133"/>
      <c r="QV198" s="133"/>
      <c r="QW198" s="133"/>
      <c r="QX198" s="133"/>
      <c r="QY198" s="133"/>
      <c r="QZ198" s="133"/>
      <c r="RA198" s="133"/>
      <c r="RB198" s="133"/>
      <c r="RC198" s="133"/>
      <c r="RD198" s="133"/>
      <c r="RE198" s="133"/>
      <c r="RF198" s="133"/>
      <c r="RG198" s="133"/>
      <c r="RH198" s="133"/>
      <c r="RI198" s="133"/>
      <c r="RJ198" s="133"/>
      <c r="RK198" s="133"/>
      <c r="RL198" s="133"/>
      <c r="RM198" s="133"/>
      <c r="RN198" s="133"/>
      <c r="RO198" s="133"/>
      <c r="RP198" s="133"/>
      <c r="RQ198" s="133"/>
      <c r="RR198" s="133"/>
      <c r="RS198" s="133"/>
      <c r="RT198" s="133"/>
      <c r="RU198" s="133"/>
      <c r="RV198" s="133"/>
      <c r="RW198" s="133"/>
      <c r="RX198" s="133"/>
      <c r="RY198" s="133"/>
      <c r="RZ198" s="133"/>
      <c r="SA198" s="133"/>
      <c r="SB198" s="133"/>
      <c r="SC198" s="133"/>
      <c r="SD198" s="133"/>
      <c r="SE198" s="133"/>
      <c r="SF198" s="133"/>
      <c r="SG198" s="133"/>
      <c r="SH198" s="133"/>
      <c r="SI198" s="133"/>
      <c r="SJ198" s="133"/>
      <c r="SK198" s="133"/>
      <c r="SL198" s="133"/>
      <c r="SM198" s="133"/>
      <c r="SN198" s="133"/>
      <c r="SO198" s="133"/>
      <c r="SP198" s="133"/>
      <c r="SQ198" s="133"/>
      <c r="SR198" s="133"/>
      <c r="SS198" s="133"/>
      <c r="ST198" s="133"/>
      <c r="SU198" s="133"/>
      <c r="SV198" s="133"/>
      <c r="SW198" s="133"/>
      <c r="SX198" s="133"/>
      <c r="SY198" s="133"/>
      <c r="SZ198" s="133"/>
      <c r="TA198" s="133"/>
      <c r="TB198" s="133"/>
      <c r="TC198" s="133"/>
      <c r="TD198" s="133"/>
      <c r="TE198" s="133"/>
      <c r="TF198" s="133"/>
      <c r="TG198" s="133"/>
      <c r="TH198" s="133"/>
      <c r="TI198" s="133"/>
      <c r="TJ198" s="133"/>
      <c r="TK198" s="133"/>
      <c r="TL198" s="133"/>
      <c r="TM198" s="133"/>
      <c r="TN198" s="133"/>
      <c r="TO198" s="133"/>
      <c r="TP198" s="133"/>
      <c r="TQ198" s="133"/>
      <c r="TR198" s="133"/>
      <c r="TS198" s="133"/>
      <c r="TT198" s="133"/>
      <c r="TU198" s="133"/>
      <c r="TV198" s="133"/>
      <c r="TW198" s="133"/>
      <c r="TX198" s="133"/>
      <c r="TY198" s="133"/>
      <c r="TZ198" s="133"/>
      <c r="UA198" s="133"/>
      <c r="UB198" s="133"/>
      <c r="UC198" s="133"/>
      <c r="UD198" s="133"/>
      <c r="UE198" s="133"/>
      <c r="UF198" s="133"/>
      <c r="UG198" s="133"/>
      <c r="UH198" s="133"/>
      <c r="UI198" s="133"/>
      <c r="UJ198" s="133"/>
      <c r="UK198" s="133"/>
      <c r="UL198" s="133"/>
      <c r="UM198" s="133"/>
      <c r="UN198" s="133"/>
      <c r="UO198" s="133"/>
      <c r="UP198" s="133"/>
      <c r="UQ198" s="133"/>
      <c r="UR198" s="133"/>
      <c r="US198" s="133"/>
      <c r="UT198" s="133"/>
      <c r="UU198" s="133"/>
      <c r="UV198" s="133"/>
      <c r="UW198" s="133"/>
      <c r="UX198" s="133"/>
      <c r="UY198" s="133"/>
      <c r="UZ198" s="133"/>
      <c r="VA198" s="133"/>
      <c r="VB198" s="133"/>
      <c r="VC198" s="133"/>
      <c r="VD198" s="133"/>
      <c r="VE198" s="133"/>
      <c r="VF198" s="133"/>
      <c r="VG198" s="133"/>
      <c r="VH198" s="133"/>
      <c r="VI198" s="133"/>
      <c r="VJ198" s="133"/>
      <c r="VK198" s="133"/>
      <c r="VL198" s="133"/>
      <c r="VM198" s="133"/>
      <c r="VN198" s="133"/>
      <c r="VO198" s="133"/>
      <c r="VP198" s="133"/>
      <c r="VQ198" s="133"/>
      <c r="VR198" s="133"/>
      <c r="VS198" s="133"/>
      <c r="VT198" s="133"/>
      <c r="VU198" s="133"/>
      <c r="VV198" s="133"/>
      <c r="VW198" s="133"/>
      <c r="VX198" s="133"/>
      <c r="VY198" s="133"/>
      <c r="VZ198" s="133"/>
      <c r="WA198" s="133"/>
      <c r="WB198" s="133"/>
      <c r="WC198" s="133"/>
      <c r="WD198" s="133"/>
      <c r="WE198" s="133"/>
      <c r="WF198" s="133"/>
      <c r="WG198" s="133"/>
      <c r="WH198" s="133"/>
      <c r="WI198" s="133"/>
      <c r="WJ198" s="133"/>
      <c r="WK198" s="133"/>
      <c r="WL198" s="133"/>
      <c r="WM198" s="133"/>
      <c r="WN198" s="133"/>
      <c r="WO198" s="133"/>
      <c r="WP198" s="133"/>
      <c r="WQ198" s="133"/>
      <c r="WR198" s="133"/>
      <c r="WS198" s="133"/>
      <c r="WT198" s="133"/>
      <c r="WU198" s="133"/>
      <c r="WV198" s="133"/>
      <c r="WW198" s="133"/>
      <c r="WX198" s="133"/>
      <c r="WY198" s="133"/>
      <c r="WZ198" s="133"/>
      <c r="XA198" s="133"/>
      <c r="XB198" s="133"/>
      <c r="XC198" s="133"/>
      <c r="XD198" s="133"/>
      <c r="XE198" s="133"/>
      <c r="XF198" s="133"/>
      <c r="XG198" s="133"/>
      <c r="XH198" s="133"/>
      <c r="XI198" s="133"/>
      <c r="XJ198" s="133"/>
      <c r="XK198" s="133"/>
      <c r="XL198" s="133"/>
      <c r="XM198" s="133"/>
      <c r="XN198" s="133"/>
      <c r="XO198" s="133"/>
      <c r="XP198" s="133"/>
      <c r="XQ198" s="133"/>
      <c r="XR198" s="133"/>
      <c r="XS198" s="133"/>
      <c r="XT198" s="133"/>
      <c r="XU198" s="133"/>
      <c r="XV198" s="133"/>
      <c r="XW198" s="133"/>
      <c r="XX198" s="133"/>
      <c r="XY198" s="133"/>
      <c r="XZ198" s="133"/>
      <c r="YA198" s="133"/>
      <c r="YB198" s="133"/>
      <c r="YC198" s="133"/>
      <c r="YD198" s="133"/>
      <c r="YE198" s="133"/>
      <c r="YF198" s="133"/>
      <c r="YG198" s="133"/>
      <c r="YH198" s="133"/>
      <c r="YI198" s="133"/>
      <c r="YJ198" s="133"/>
      <c r="YK198" s="133"/>
      <c r="YL198" s="133"/>
      <c r="YM198" s="133"/>
      <c r="YN198" s="133"/>
      <c r="YO198" s="133"/>
      <c r="YP198" s="133"/>
      <c r="YQ198" s="133"/>
      <c r="YR198" s="133"/>
      <c r="YS198" s="133"/>
      <c r="YT198" s="133"/>
      <c r="YU198" s="133"/>
      <c r="YV198" s="133"/>
      <c r="YW198" s="133"/>
      <c r="YX198" s="133"/>
      <c r="YY198" s="133"/>
      <c r="YZ198" s="133"/>
      <c r="ZA198" s="133"/>
      <c r="ZB198" s="133"/>
      <c r="ZC198" s="133"/>
      <c r="ZD198" s="133"/>
      <c r="ZE198" s="133"/>
      <c r="ZF198" s="133"/>
      <c r="ZG198" s="133"/>
      <c r="ZH198" s="133"/>
      <c r="ZI198" s="133"/>
      <c r="ZJ198" s="133"/>
      <c r="ZK198" s="133"/>
      <c r="ZL198" s="133"/>
      <c r="ZM198" s="133"/>
      <c r="ZN198" s="133"/>
      <c r="ZO198" s="133"/>
      <c r="ZP198" s="133"/>
      <c r="ZQ198" s="133"/>
      <c r="ZR198" s="133"/>
      <c r="ZS198" s="133"/>
      <c r="ZT198" s="133"/>
      <c r="ZU198" s="133"/>
      <c r="ZV198" s="133"/>
      <c r="ZW198" s="133"/>
      <c r="ZX198" s="133"/>
      <c r="ZY198" s="133"/>
      <c r="ZZ198" s="133"/>
      <c r="AAA198" s="133"/>
      <c r="AAB198" s="133"/>
      <c r="AAC198" s="133"/>
      <c r="AAD198" s="133"/>
      <c r="AAE198" s="133"/>
      <c r="AAF198" s="133"/>
      <c r="AAG198" s="133"/>
      <c r="AAH198" s="133"/>
      <c r="AAI198" s="133"/>
      <c r="AAJ198" s="133"/>
      <c r="AAK198" s="133"/>
      <c r="AAL198" s="133"/>
      <c r="AAM198" s="133"/>
      <c r="AAN198" s="133"/>
      <c r="AAO198" s="133"/>
      <c r="AAP198" s="133"/>
      <c r="AAQ198" s="133"/>
      <c r="AAR198" s="133"/>
      <c r="AAS198" s="133"/>
      <c r="AAT198" s="133"/>
      <c r="AAU198" s="133"/>
      <c r="AAV198" s="133"/>
      <c r="AAW198" s="133"/>
      <c r="AAX198" s="133"/>
      <c r="AAY198" s="133"/>
      <c r="AAZ198" s="133"/>
      <c r="ABA198" s="133"/>
      <c r="ABB198" s="133"/>
      <c r="ABC198" s="133"/>
      <c r="ABD198" s="133"/>
      <c r="ABE198" s="133"/>
      <c r="ABF198" s="133"/>
      <c r="ABG198" s="133"/>
      <c r="ABH198" s="133"/>
      <c r="ABI198" s="133"/>
      <c r="ABJ198" s="133"/>
      <c r="ABK198" s="133"/>
      <c r="ABL198" s="133"/>
      <c r="ABM198" s="133"/>
      <c r="ABN198" s="133"/>
      <c r="ABO198" s="133"/>
      <c r="ABP198" s="133"/>
      <c r="ABQ198" s="133"/>
      <c r="ABR198" s="133"/>
      <c r="ABS198" s="133"/>
      <c r="ABT198" s="133"/>
      <c r="ABU198" s="133"/>
      <c r="ABV198" s="133"/>
      <c r="ABW198" s="133"/>
      <c r="ABX198" s="133"/>
      <c r="ABY198" s="133"/>
      <c r="ABZ198" s="133"/>
      <c r="ACA198" s="133"/>
      <c r="ACB198" s="133"/>
      <c r="ACC198" s="133"/>
      <c r="ACD198" s="133"/>
      <c r="ACE198" s="133"/>
      <c r="ACF198" s="133"/>
      <c r="ACG198" s="133"/>
      <c r="ACH198" s="133"/>
      <c r="ACI198" s="133"/>
      <c r="ACJ198" s="133"/>
      <c r="ACK198" s="133"/>
      <c r="ACL198" s="133"/>
      <c r="ACM198" s="133"/>
      <c r="ACN198" s="133"/>
      <c r="ACO198" s="133"/>
      <c r="ACP198" s="133"/>
      <c r="ACQ198" s="133"/>
      <c r="ACR198" s="133"/>
      <c r="ACS198" s="133"/>
      <c r="ACT198" s="133"/>
      <c r="ACU198" s="133"/>
      <c r="ACV198" s="133"/>
      <c r="ACW198" s="133"/>
      <c r="ACX198" s="133"/>
      <c r="ACY198" s="133"/>
      <c r="ACZ198" s="133"/>
      <c r="ADA198" s="133"/>
      <c r="ADB198" s="133"/>
      <c r="ADC198" s="133"/>
      <c r="ADD198" s="133"/>
      <c r="ADE198" s="133"/>
      <c r="ADF198" s="133"/>
      <c r="ADG198" s="133"/>
      <c r="ADH198" s="133"/>
      <c r="ADI198" s="133"/>
      <c r="ADJ198" s="133"/>
      <c r="ADK198" s="133"/>
      <c r="ADL198" s="133"/>
      <c r="ADM198" s="133"/>
      <c r="ADN198" s="133"/>
      <c r="ADO198" s="133"/>
      <c r="ADP198" s="133"/>
      <c r="ADQ198" s="133"/>
      <c r="ADR198" s="133"/>
      <c r="ADS198" s="133"/>
      <c r="ADT198" s="133"/>
      <c r="ADU198" s="133"/>
      <c r="ADV198" s="133"/>
      <c r="ADW198" s="133"/>
      <c r="ADX198" s="133"/>
      <c r="ADY198" s="133"/>
      <c r="ADZ198" s="133"/>
      <c r="AEA198" s="133"/>
      <c r="AEB198" s="133"/>
      <c r="AEC198" s="133"/>
      <c r="AED198" s="133"/>
      <c r="AEE198" s="133"/>
      <c r="AEF198" s="133"/>
      <c r="AEG198" s="133"/>
      <c r="AEH198" s="133"/>
      <c r="AEI198" s="133"/>
      <c r="AEJ198" s="133"/>
      <c r="AEK198" s="133"/>
      <c r="AEL198" s="133"/>
      <c r="AEM198" s="133"/>
      <c r="AEN198" s="133"/>
      <c r="AEO198" s="133"/>
      <c r="AEP198" s="133"/>
      <c r="AEQ198" s="133"/>
      <c r="AER198" s="133"/>
      <c r="AES198" s="133"/>
      <c r="AET198" s="133"/>
      <c r="AEU198" s="133"/>
      <c r="AEV198" s="133"/>
      <c r="AEW198" s="133"/>
      <c r="AEX198" s="133"/>
      <c r="AEY198" s="133"/>
      <c r="AEZ198" s="133"/>
      <c r="AFA198" s="133"/>
      <c r="AFB198" s="133"/>
      <c r="AFC198" s="133"/>
      <c r="AFD198" s="133"/>
      <c r="AFE198" s="133"/>
      <c r="AFF198" s="133"/>
      <c r="AFG198" s="133"/>
      <c r="AFH198" s="133"/>
      <c r="AFI198" s="133"/>
      <c r="AFJ198" s="133"/>
      <c r="AFK198" s="133"/>
      <c r="AFL198" s="133"/>
      <c r="AFM198" s="133"/>
      <c r="AFN198" s="133"/>
      <c r="AFO198" s="133"/>
      <c r="AFP198" s="133"/>
      <c r="AFQ198" s="133"/>
      <c r="AFR198" s="133"/>
      <c r="AFS198" s="133"/>
      <c r="AFT198" s="133"/>
      <c r="AFU198" s="133"/>
      <c r="AFV198" s="133"/>
      <c r="AFW198" s="133"/>
      <c r="AFX198" s="133"/>
      <c r="AFY198" s="133"/>
      <c r="AFZ198" s="133"/>
      <c r="AGA198" s="133"/>
      <c r="AGB198" s="133"/>
      <c r="AGC198" s="133"/>
      <c r="AGD198" s="133"/>
      <c r="AGE198" s="133"/>
      <c r="AGF198" s="133"/>
      <c r="AGG198" s="133"/>
      <c r="AGH198" s="133"/>
      <c r="AGI198" s="133"/>
      <c r="AGJ198" s="133"/>
      <c r="AGK198" s="133"/>
      <c r="AGL198" s="133"/>
      <c r="AGM198" s="133"/>
      <c r="AGN198" s="133"/>
      <c r="AGO198" s="133"/>
      <c r="AGP198" s="133"/>
      <c r="AGQ198" s="133"/>
      <c r="AGR198" s="133"/>
      <c r="AGS198" s="133"/>
      <c r="AGT198" s="133"/>
      <c r="AGU198" s="133"/>
      <c r="AGV198" s="133"/>
      <c r="AGW198" s="133"/>
      <c r="AGX198" s="133"/>
      <c r="AGY198" s="133"/>
      <c r="AGZ198" s="133"/>
      <c r="AHA198" s="133"/>
      <c r="AHB198" s="133"/>
      <c r="AHC198" s="133"/>
      <c r="AHD198" s="133"/>
      <c r="AHE198" s="133"/>
      <c r="AHF198" s="133"/>
      <c r="AHG198" s="133"/>
      <c r="AHH198" s="133"/>
      <c r="AHI198" s="133"/>
      <c r="AHJ198" s="133"/>
      <c r="AHK198" s="133"/>
      <c r="AHL198" s="133"/>
      <c r="AHM198" s="133"/>
      <c r="AHN198" s="133"/>
      <c r="AHO198" s="133"/>
      <c r="AHP198" s="133"/>
      <c r="AHQ198" s="133"/>
      <c r="AHR198" s="133"/>
      <c r="AHS198" s="133"/>
      <c r="AHT198" s="133"/>
      <c r="AHU198" s="133"/>
      <c r="AHV198" s="133"/>
      <c r="AHW198" s="133"/>
      <c r="AHX198" s="133"/>
      <c r="AHY198" s="133"/>
      <c r="AHZ198" s="133"/>
      <c r="AIA198" s="133"/>
      <c r="AIB198" s="133"/>
      <c r="AIC198" s="133"/>
      <c r="AID198" s="133"/>
      <c r="AIE198" s="133"/>
      <c r="AIF198" s="133"/>
      <c r="AIG198" s="133"/>
      <c r="AIH198" s="133"/>
      <c r="AII198" s="133"/>
      <c r="AIJ198" s="133"/>
      <c r="AIK198" s="133"/>
      <c r="AIL198" s="133"/>
      <c r="AIM198" s="133"/>
      <c r="AIN198" s="133"/>
      <c r="AIO198" s="133"/>
      <c r="AIP198" s="133"/>
      <c r="AIQ198" s="133"/>
      <c r="AIR198" s="133"/>
      <c r="AIS198" s="133"/>
      <c r="AIT198" s="133"/>
      <c r="AIU198" s="133"/>
      <c r="AIV198" s="133"/>
      <c r="AIW198" s="133"/>
      <c r="AIX198" s="133"/>
      <c r="AIY198" s="133"/>
      <c r="AIZ198" s="133"/>
      <c r="AJA198" s="133"/>
      <c r="AJB198" s="133"/>
      <c r="AJC198" s="133"/>
      <c r="AJD198" s="133"/>
      <c r="AJE198" s="133"/>
      <c r="AJF198" s="133"/>
      <c r="AJG198" s="133"/>
      <c r="AJH198" s="133"/>
      <c r="AJI198" s="133"/>
      <c r="AJJ198" s="133"/>
      <c r="AJK198" s="133"/>
      <c r="AJL198" s="133"/>
      <c r="AJM198" s="133"/>
      <c r="AJN198" s="133"/>
      <c r="AJO198" s="133"/>
      <c r="AJP198" s="133"/>
      <c r="AJQ198" s="133"/>
      <c r="AJR198" s="133"/>
      <c r="AJS198" s="133"/>
      <c r="AJT198" s="133"/>
      <c r="AJU198" s="133"/>
      <c r="AJV198" s="133"/>
      <c r="AJW198" s="133"/>
      <c r="AJX198" s="133"/>
      <c r="AJY198" s="133"/>
      <c r="AJZ198" s="133"/>
      <c r="AKA198" s="133"/>
      <c r="AKB198" s="133"/>
      <c r="AKC198" s="133"/>
      <c r="AKD198" s="133"/>
      <c r="AKE198" s="133"/>
      <c r="AKF198" s="133"/>
      <c r="AKG198" s="133"/>
      <c r="AKH198" s="133"/>
      <c r="AKI198" s="133"/>
      <c r="AKJ198" s="133"/>
      <c r="AKK198" s="133"/>
      <c r="AKL198" s="133"/>
      <c r="AKM198" s="133"/>
      <c r="AKN198" s="133"/>
      <c r="AKO198" s="133"/>
      <c r="AKP198" s="133"/>
      <c r="AKQ198" s="133"/>
      <c r="AKR198" s="133"/>
      <c r="AKS198" s="133"/>
      <c r="AKT198" s="133"/>
      <c r="AKU198" s="133"/>
      <c r="AKV198" s="133"/>
      <c r="AKW198" s="133"/>
      <c r="AKX198" s="133"/>
      <c r="AKY198" s="133"/>
      <c r="AKZ198" s="133"/>
      <c r="ALA198" s="133"/>
      <c r="ALB198" s="133"/>
      <c r="ALC198" s="133"/>
      <c r="ALD198" s="133"/>
      <c r="ALE198" s="133"/>
      <c r="ALF198" s="133"/>
      <c r="ALG198" s="133"/>
      <c r="ALH198" s="133"/>
      <c r="ALI198" s="133"/>
      <c r="ALJ198" s="133"/>
      <c r="ALK198" s="133"/>
      <c r="ALL198" s="133"/>
      <c r="ALM198" s="133"/>
      <c r="ALN198" s="133"/>
      <c r="ALO198" s="133"/>
      <c r="ALP198" s="133"/>
      <c r="ALQ198" s="133"/>
      <c r="ALR198" s="133"/>
      <c r="ALS198" s="133"/>
      <c r="ALT198" s="133"/>
      <c r="ALU198" s="133"/>
      <c r="ALV198" s="133"/>
      <c r="ALW198" s="133"/>
      <c r="ALX198" s="133"/>
      <c r="ALY198" s="133"/>
      <c r="ALZ198" s="133"/>
      <c r="AMA198" s="133"/>
      <c r="AMB198" s="133"/>
      <c r="AMC198" s="133"/>
      <c r="AMD198" s="133"/>
      <c r="AME198" s="133"/>
      <c r="AMF198" s="133"/>
      <c r="AMG198" s="133"/>
      <c r="AMH198" s="133"/>
      <c r="AMI198" s="133"/>
      <c r="AMJ198" s="133"/>
      <c r="AMK198" s="133"/>
      <c r="AML198" s="133"/>
      <c r="AMM198" s="133"/>
      <c r="AMN198" s="133"/>
      <c r="AMO198" s="133"/>
      <c r="AMP198" s="133"/>
      <c r="AMQ198" s="133"/>
      <c r="AMR198" s="133"/>
      <c r="AMS198" s="133"/>
      <c r="AMT198" s="133"/>
      <c r="AMU198" s="133"/>
      <c r="AMV198" s="133"/>
      <c r="AMW198" s="133"/>
      <c r="AMX198" s="133"/>
      <c r="AMY198" s="133"/>
      <c r="AMZ198" s="133"/>
      <c r="ANA198" s="133"/>
      <c r="ANB198" s="133"/>
      <c r="ANC198" s="133"/>
      <c r="AND198" s="133"/>
      <c r="ANE198" s="133"/>
      <c r="ANF198" s="133"/>
      <c r="ANG198" s="133"/>
      <c r="ANH198" s="133"/>
      <c r="ANI198" s="133"/>
      <c r="ANJ198" s="133"/>
      <c r="ANK198" s="133"/>
      <c r="ANL198" s="133"/>
      <c r="ANM198" s="133"/>
      <c r="ANN198" s="133"/>
      <c r="ANO198" s="133"/>
      <c r="ANP198" s="133"/>
      <c r="ANQ198" s="133"/>
      <c r="ANR198" s="133"/>
      <c r="ANS198" s="133"/>
      <c r="ANT198" s="133"/>
      <c r="ANU198" s="133"/>
      <c r="ANV198" s="133"/>
      <c r="ANW198" s="133"/>
      <c r="ANX198" s="133"/>
      <c r="ANY198" s="133"/>
      <c r="ANZ198" s="133"/>
      <c r="AOA198" s="133"/>
      <c r="AOB198" s="133"/>
      <c r="AOC198" s="133"/>
      <c r="AOD198" s="133"/>
      <c r="AOE198" s="133"/>
      <c r="AOF198" s="133"/>
      <c r="AOG198" s="133"/>
      <c r="AOH198" s="133"/>
      <c r="AOI198" s="133"/>
      <c r="AOJ198" s="133"/>
      <c r="AOK198" s="133"/>
      <c r="AOL198" s="133"/>
      <c r="AOM198" s="133"/>
      <c r="AON198" s="133"/>
      <c r="AOO198" s="133"/>
      <c r="AOP198" s="133"/>
      <c r="AOQ198" s="133"/>
      <c r="AOR198" s="133"/>
      <c r="AOS198" s="133"/>
      <c r="AOT198" s="133"/>
      <c r="AOU198" s="133"/>
      <c r="AOV198" s="133"/>
      <c r="AOW198" s="133"/>
      <c r="AOX198" s="133"/>
      <c r="AOY198" s="133"/>
      <c r="AOZ198" s="133"/>
      <c r="APA198" s="133"/>
      <c r="APB198" s="133"/>
      <c r="APC198" s="133"/>
      <c r="APD198" s="133"/>
      <c r="APE198" s="133"/>
      <c r="APF198" s="133"/>
      <c r="APG198" s="133"/>
      <c r="APH198" s="133"/>
      <c r="API198" s="133"/>
      <c r="APJ198" s="133"/>
      <c r="APK198" s="133"/>
      <c r="APL198" s="133"/>
      <c r="APM198" s="133"/>
      <c r="APN198" s="133"/>
      <c r="APO198" s="133"/>
      <c r="APP198" s="133"/>
      <c r="APQ198" s="133"/>
      <c r="APR198" s="133"/>
      <c r="APS198" s="133"/>
      <c r="APT198" s="133"/>
      <c r="APU198" s="133"/>
      <c r="APV198" s="133"/>
      <c r="APW198" s="133"/>
      <c r="APX198" s="133"/>
      <c r="APY198" s="133"/>
      <c r="APZ198" s="133"/>
      <c r="AQA198" s="133"/>
      <c r="AQB198" s="133"/>
      <c r="AQC198" s="133"/>
      <c r="AQD198" s="133"/>
      <c r="AQE198" s="133"/>
      <c r="AQF198" s="133"/>
      <c r="AQG198" s="133"/>
      <c r="AQH198" s="133"/>
      <c r="AQI198" s="133"/>
      <c r="AQJ198" s="133"/>
      <c r="AQK198" s="133"/>
      <c r="AQL198" s="133"/>
      <c r="AQM198" s="133"/>
      <c r="AQN198" s="133"/>
      <c r="AQO198" s="133"/>
      <c r="AQP198" s="133"/>
      <c r="AQQ198" s="133"/>
      <c r="AQR198" s="133"/>
      <c r="AQS198" s="133"/>
      <c r="AQT198" s="133"/>
      <c r="AQU198" s="133"/>
      <c r="AQV198" s="133"/>
      <c r="AQW198" s="133"/>
      <c r="AQX198" s="133"/>
      <c r="AQY198" s="133"/>
      <c r="AQZ198" s="133"/>
      <c r="ARA198" s="133"/>
      <c r="ARB198" s="133"/>
      <c r="ARC198" s="133"/>
      <c r="ARD198" s="133"/>
      <c r="ARE198" s="133"/>
      <c r="ARF198" s="133"/>
      <c r="ARG198" s="133"/>
      <c r="ARH198" s="133"/>
      <c r="ARI198" s="133"/>
      <c r="ARJ198" s="133"/>
      <c r="ARK198" s="133"/>
      <c r="ARL198" s="133"/>
      <c r="ARM198" s="133"/>
      <c r="ARN198" s="133"/>
      <c r="ARO198" s="133"/>
      <c r="ARP198" s="133"/>
      <c r="ARQ198" s="133"/>
      <c r="ARR198" s="133"/>
      <c r="ARS198" s="133"/>
      <c r="ART198" s="133"/>
      <c r="ARU198" s="133"/>
      <c r="ARV198" s="133"/>
      <c r="ARW198" s="133"/>
      <c r="ARX198" s="133"/>
      <c r="ARY198" s="133"/>
      <c r="ARZ198" s="133"/>
      <c r="ASA198" s="133"/>
      <c r="ASB198" s="133"/>
      <c r="ASC198" s="133"/>
      <c r="ASD198" s="133"/>
      <c r="ASE198" s="133"/>
      <c r="ASF198" s="133"/>
      <c r="ASG198" s="133"/>
      <c r="ASH198" s="133"/>
      <c r="ASI198" s="133"/>
      <c r="ASJ198" s="133"/>
      <c r="ASK198" s="133"/>
      <c r="ASL198" s="133"/>
      <c r="ASM198" s="133"/>
      <c r="ASN198" s="133"/>
      <c r="ASO198" s="133"/>
      <c r="ASP198" s="133"/>
      <c r="ASQ198" s="133"/>
      <c r="ASR198" s="133"/>
      <c r="ASS198" s="133"/>
      <c r="AST198" s="133"/>
      <c r="ASU198" s="133"/>
      <c r="ASV198" s="133"/>
      <c r="ASW198" s="133"/>
      <c r="ASX198" s="133"/>
      <c r="ASY198" s="133"/>
      <c r="ASZ198" s="133"/>
      <c r="ATA198" s="133"/>
      <c r="ATB198" s="133"/>
      <c r="ATC198" s="133"/>
      <c r="ATD198" s="133"/>
      <c r="ATE198" s="133"/>
      <c r="ATF198" s="133"/>
      <c r="ATG198" s="133"/>
      <c r="ATH198" s="133"/>
      <c r="ATI198" s="133"/>
      <c r="ATJ198" s="133"/>
      <c r="ATK198" s="133"/>
      <c r="ATL198" s="133"/>
      <c r="ATM198" s="133"/>
      <c r="ATN198" s="133"/>
      <c r="ATO198" s="133"/>
      <c r="ATP198" s="133"/>
      <c r="ATQ198" s="133"/>
      <c r="ATR198" s="133"/>
      <c r="ATS198" s="133"/>
      <c r="ATT198" s="133"/>
      <c r="ATU198" s="133"/>
      <c r="ATV198" s="133"/>
      <c r="ATW198" s="133"/>
      <c r="ATX198" s="133"/>
      <c r="ATY198" s="133"/>
      <c r="ATZ198" s="133"/>
      <c r="AUA198" s="133"/>
      <c r="AUB198" s="133"/>
      <c r="AUC198" s="133"/>
      <c r="AUD198" s="133"/>
      <c r="AUE198" s="133"/>
      <c r="AUF198" s="133"/>
      <c r="AUG198" s="133"/>
      <c r="AUH198" s="133"/>
      <c r="AUI198" s="133"/>
      <c r="AUJ198" s="133"/>
      <c r="AUK198" s="133"/>
      <c r="AUL198" s="133"/>
      <c r="AUM198" s="133"/>
      <c r="AUN198" s="133"/>
      <c r="AUO198" s="133"/>
      <c r="AUP198" s="133"/>
      <c r="AUQ198" s="133"/>
      <c r="AUR198" s="133"/>
      <c r="AUS198" s="133"/>
      <c r="AUT198" s="133"/>
      <c r="AUU198" s="133"/>
      <c r="AUV198" s="133"/>
      <c r="AUW198" s="133"/>
      <c r="AUX198" s="133"/>
      <c r="AUY198" s="133"/>
      <c r="AUZ198" s="133"/>
      <c r="AVA198" s="133"/>
      <c r="AVB198" s="133"/>
      <c r="AVC198" s="133"/>
      <c r="AVD198" s="133"/>
      <c r="AVE198" s="133"/>
      <c r="AVF198" s="133"/>
      <c r="AVG198" s="133"/>
      <c r="AVH198" s="133"/>
      <c r="AVI198" s="133"/>
      <c r="AVJ198" s="133"/>
      <c r="AVK198" s="133"/>
      <c r="AVL198" s="133"/>
      <c r="AVM198" s="133"/>
      <c r="AVN198" s="133"/>
      <c r="AVO198" s="133"/>
      <c r="AVP198" s="133"/>
      <c r="AVQ198" s="133"/>
      <c r="AVR198" s="133"/>
      <c r="AVS198" s="133"/>
      <c r="AVT198" s="133"/>
      <c r="AVU198" s="133"/>
      <c r="AVV198" s="133"/>
      <c r="AVW198" s="133"/>
      <c r="AVX198" s="133"/>
      <c r="AVY198" s="133"/>
      <c r="AVZ198" s="133"/>
      <c r="AWA198" s="133"/>
      <c r="AWB198" s="133"/>
      <c r="AWC198" s="133"/>
      <c r="AWD198" s="133"/>
      <c r="AWE198" s="133"/>
      <c r="AWF198" s="133"/>
      <c r="AWG198" s="133"/>
      <c r="AWH198" s="133"/>
      <c r="AWI198" s="133"/>
      <c r="AWJ198" s="133"/>
      <c r="AWK198" s="133"/>
      <c r="AWL198" s="133"/>
      <c r="AWM198" s="133"/>
      <c r="AWN198" s="133"/>
      <c r="AWO198" s="133"/>
      <c r="AWP198" s="133"/>
      <c r="AWQ198" s="133"/>
      <c r="AWR198" s="133"/>
      <c r="AWS198" s="133"/>
      <c r="AWT198" s="133"/>
      <c r="AWU198" s="133"/>
      <c r="AWV198" s="133"/>
      <c r="AWW198" s="133"/>
      <c r="AWX198" s="133"/>
      <c r="AWY198" s="133"/>
      <c r="AWZ198" s="133"/>
      <c r="AXA198" s="133"/>
      <c r="AXB198" s="133"/>
      <c r="AXC198" s="133"/>
      <c r="AXD198" s="133"/>
      <c r="AXE198" s="133"/>
      <c r="AXF198" s="133"/>
      <c r="AXG198" s="133"/>
      <c r="AXH198" s="133"/>
      <c r="AXI198" s="133"/>
      <c r="AXJ198" s="133"/>
      <c r="AXK198" s="133"/>
      <c r="AXL198" s="133"/>
      <c r="AXM198" s="133"/>
      <c r="AXN198" s="133"/>
      <c r="AXO198" s="133"/>
      <c r="AXP198" s="133"/>
      <c r="AXQ198" s="133"/>
      <c r="AXR198" s="133"/>
      <c r="AXS198" s="133"/>
      <c r="AXT198" s="133"/>
      <c r="AXU198" s="133"/>
      <c r="AXV198" s="133"/>
      <c r="AXW198" s="133"/>
      <c r="AXX198" s="133"/>
      <c r="AXY198" s="133"/>
      <c r="AXZ198" s="133"/>
      <c r="AYA198" s="133"/>
      <c r="AYB198" s="133"/>
      <c r="AYC198" s="133"/>
      <c r="AYD198" s="133"/>
      <c r="AYE198" s="133"/>
      <c r="AYF198" s="133"/>
      <c r="AYG198" s="133"/>
      <c r="AYH198" s="133"/>
      <c r="AYI198" s="133"/>
      <c r="AYJ198" s="133"/>
      <c r="AYK198" s="133"/>
      <c r="AYL198" s="133"/>
      <c r="AYM198" s="133"/>
      <c r="AYN198" s="133"/>
      <c r="AYO198" s="133"/>
      <c r="AYP198" s="133"/>
      <c r="AYQ198" s="133"/>
      <c r="AYR198" s="133"/>
      <c r="AYS198" s="133"/>
      <c r="AYT198" s="133"/>
      <c r="AYU198" s="133"/>
      <c r="AYV198" s="133"/>
      <c r="AYW198" s="133"/>
      <c r="AYX198" s="133"/>
      <c r="AYY198" s="133"/>
      <c r="AYZ198" s="133"/>
      <c r="AZA198" s="133"/>
      <c r="AZB198" s="133"/>
      <c r="AZC198" s="133"/>
      <c r="AZD198" s="133"/>
      <c r="AZE198" s="133"/>
      <c r="AZF198" s="133"/>
      <c r="AZG198" s="133"/>
      <c r="AZH198" s="133"/>
      <c r="AZI198" s="133"/>
      <c r="AZJ198" s="133"/>
      <c r="AZK198" s="133"/>
      <c r="AZL198" s="133"/>
      <c r="AZM198" s="133"/>
      <c r="AZN198" s="133"/>
      <c r="AZO198" s="133"/>
      <c r="AZP198" s="133"/>
      <c r="AZQ198" s="133"/>
      <c r="AZR198" s="133"/>
      <c r="AZS198" s="133"/>
      <c r="AZT198" s="133"/>
      <c r="AZU198" s="133"/>
      <c r="AZV198" s="133"/>
      <c r="AZW198" s="133"/>
      <c r="AZX198" s="133"/>
      <c r="AZY198" s="133"/>
      <c r="AZZ198" s="133"/>
      <c r="BAA198" s="133"/>
      <c r="BAB198" s="133"/>
      <c r="BAC198" s="133"/>
      <c r="BAD198" s="133"/>
      <c r="BAE198" s="133"/>
      <c r="BAF198" s="133"/>
      <c r="BAG198" s="133"/>
      <c r="BAH198" s="133"/>
      <c r="BAI198" s="133"/>
      <c r="BAJ198" s="133"/>
      <c r="BAK198" s="133"/>
      <c r="BAL198" s="133"/>
      <c r="BAM198" s="133"/>
      <c r="BAN198" s="133"/>
      <c r="BAO198" s="133"/>
      <c r="BAP198" s="133"/>
      <c r="BAQ198" s="133"/>
      <c r="BAR198" s="133"/>
      <c r="BAS198" s="133"/>
      <c r="BAT198" s="133"/>
      <c r="BAU198" s="133"/>
      <c r="BAV198" s="133"/>
      <c r="BAW198" s="133"/>
      <c r="BAX198" s="133"/>
      <c r="BAY198" s="133"/>
      <c r="BAZ198" s="133"/>
      <c r="BBA198" s="133"/>
      <c r="BBB198" s="133"/>
      <c r="BBC198" s="133"/>
      <c r="BBD198" s="133"/>
      <c r="BBE198" s="133"/>
      <c r="BBF198" s="133"/>
      <c r="BBG198" s="133"/>
      <c r="BBH198" s="133"/>
      <c r="BBI198" s="133"/>
      <c r="BBJ198" s="133"/>
      <c r="BBK198" s="133"/>
      <c r="BBL198" s="133"/>
      <c r="BBM198" s="133"/>
      <c r="BBN198" s="133"/>
      <c r="BBO198" s="133"/>
      <c r="BBP198" s="133"/>
      <c r="BBQ198" s="133"/>
      <c r="BBR198" s="133"/>
      <c r="BBS198" s="133"/>
      <c r="BBT198" s="133"/>
      <c r="BBU198" s="133"/>
      <c r="BBV198" s="133"/>
      <c r="BBW198" s="133"/>
      <c r="BBX198" s="133"/>
      <c r="BBY198" s="133"/>
      <c r="BBZ198" s="133"/>
      <c r="BCA198" s="133"/>
      <c r="BCB198" s="133"/>
      <c r="BCC198" s="133"/>
      <c r="BCD198" s="133"/>
      <c r="BCE198" s="133"/>
      <c r="BCF198" s="133"/>
      <c r="BCG198" s="133"/>
      <c r="BCH198" s="133"/>
      <c r="BCI198" s="133"/>
      <c r="BCJ198" s="133"/>
      <c r="BCK198" s="133"/>
      <c r="BCL198" s="133"/>
      <c r="BCM198" s="133"/>
      <c r="BCN198" s="133"/>
      <c r="BCO198" s="133"/>
      <c r="BCP198" s="133"/>
      <c r="BCQ198" s="133"/>
      <c r="BCR198" s="133"/>
      <c r="BCS198" s="133"/>
      <c r="BCT198" s="133"/>
      <c r="BCU198" s="133"/>
      <c r="BCV198" s="133"/>
      <c r="BCW198" s="133"/>
      <c r="BCX198" s="133"/>
      <c r="BCY198" s="133"/>
      <c r="BCZ198" s="133"/>
      <c r="BDA198" s="133"/>
      <c r="BDB198" s="133"/>
      <c r="BDC198" s="133"/>
      <c r="BDD198" s="133"/>
      <c r="BDE198" s="133"/>
      <c r="BDF198" s="133"/>
      <c r="BDG198" s="133"/>
      <c r="BDH198" s="133"/>
      <c r="BDI198" s="133"/>
      <c r="BDJ198" s="133"/>
      <c r="BDK198" s="133"/>
      <c r="BDL198" s="133"/>
      <c r="BDM198" s="133"/>
      <c r="BDN198" s="133"/>
      <c r="BDO198" s="133"/>
      <c r="BDP198" s="133"/>
      <c r="BDQ198" s="133"/>
      <c r="BDR198" s="133"/>
      <c r="BDS198" s="133"/>
      <c r="BDT198" s="133"/>
      <c r="BDU198" s="133"/>
      <c r="BDV198" s="133"/>
      <c r="BDW198" s="133"/>
      <c r="BDX198" s="133"/>
      <c r="BDY198" s="133"/>
      <c r="BDZ198" s="133"/>
      <c r="BEA198" s="133"/>
      <c r="BEB198" s="133"/>
      <c r="BEC198" s="133"/>
      <c r="BED198" s="133"/>
      <c r="BEE198" s="133"/>
      <c r="BEF198" s="133"/>
      <c r="BEG198" s="133"/>
      <c r="BEH198" s="133"/>
      <c r="BEI198" s="133"/>
      <c r="BEJ198" s="133"/>
      <c r="BEK198" s="133"/>
      <c r="BEL198" s="133"/>
      <c r="BEM198" s="133"/>
      <c r="BEN198" s="133"/>
      <c r="BEO198" s="133"/>
      <c r="BEP198" s="133"/>
      <c r="BEQ198" s="133"/>
      <c r="BER198" s="133"/>
      <c r="BES198" s="133"/>
      <c r="BET198" s="133"/>
      <c r="BEU198" s="133"/>
      <c r="BEV198" s="133"/>
      <c r="BEW198" s="133"/>
      <c r="BEX198" s="133"/>
      <c r="BEY198" s="133"/>
      <c r="BEZ198" s="133"/>
      <c r="BFA198" s="133"/>
      <c r="BFB198" s="133"/>
      <c r="BFC198" s="133"/>
      <c r="BFD198" s="133"/>
      <c r="BFE198" s="133"/>
      <c r="BFF198" s="133"/>
      <c r="BFG198" s="133"/>
      <c r="BFH198" s="133"/>
      <c r="BFI198" s="133"/>
      <c r="BFJ198" s="133"/>
      <c r="BFK198" s="133"/>
      <c r="BFL198" s="133"/>
      <c r="BFM198" s="133"/>
      <c r="BFN198" s="133"/>
      <c r="BFO198" s="133"/>
      <c r="BFP198" s="133"/>
      <c r="BFQ198" s="133"/>
      <c r="BFR198" s="133"/>
      <c r="BFS198" s="133"/>
      <c r="BFT198" s="133"/>
      <c r="BFU198" s="133"/>
      <c r="BFV198" s="133"/>
      <c r="BFW198" s="133"/>
      <c r="BFX198" s="133"/>
      <c r="BFY198" s="133"/>
      <c r="BFZ198" s="133"/>
      <c r="BGA198" s="133"/>
      <c r="BGB198" s="133"/>
      <c r="BGC198" s="133"/>
      <c r="BGD198" s="133"/>
      <c r="BGE198" s="133"/>
      <c r="BGF198" s="133"/>
      <c r="BGG198" s="133"/>
      <c r="BGH198" s="133"/>
      <c r="BGI198" s="133"/>
      <c r="BGJ198" s="133"/>
      <c r="BGK198" s="133"/>
      <c r="BGL198" s="133"/>
      <c r="BGM198" s="133"/>
      <c r="BGN198" s="133"/>
      <c r="BGO198" s="133"/>
      <c r="BGP198" s="133"/>
      <c r="BGQ198" s="133"/>
      <c r="BGR198" s="133"/>
      <c r="BGS198" s="133"/>
      <c r="BGT198" s="133"/>
      <c r="BGU198" s="133"/>
      <c r="BGV198" s="133"/>
      <c r="BGW198" s="133"/>
      <c r="BGX198" s="133"/>
      <c r="BGY198" s="133"/>
      <c r="BGZ198" s="133"/>
      <c r="BHA198" s="133"/>
      <c r="BHB198" s="133"/>
      <c r="BHC198" s="133"/>
      <c r="BHD198" s="133"/>
      <c r="BHE198" s="133"/>
      <c r="BHF198" s="133"/>
      <c r="BHG198" s="133"/>
      <c r="BHH198" s="133"/>
      <c r="BHI198" s="133"/>
      <c r="BHJ198" s="133"/>
      <c r="BHK198" s="133"/>
      <c r="BHL198" s="133"/>
      <c r="BHM198" s="133"/>
      <c r="BHN198" s="133"/>
      <c r="BHO198" s="133"/>
      <c r="BHP198" s="133"/>
      <c r="BHQ198" s="133"/>
      <c r="BHR198" s="133"/>
      <c r="BHS198" s="133"/>
      <c r="BHT198" s="133"/>
      <c r="BHU198" s="133"/>
      <c r="BHV198" s="133"/>
      <c r="BHW198" s="133"/>
      <c r="BHX198" s="133"/>
      <c r="BHY198" s="133"/>
      <c r="BHZ198" s="133"/>
      <c r="BIA198" s="133"/>
      <c r="BIB198" s="133"/>
      <c r="BIC198" s="133"/>
      <c r="BID198" s="133"/>
      <c r="BIE198" s="133"/>
      <c r="BIF198" s="133"/>
      <c r="BIG198" s="133"/>
      <c r="BIH198" s="133"/>
      <c r="BII198" s="133"/>
      <c r="BIJ198" s="133"/>
      <c r="BIK198" s="133"/>
      <c r="BIL198" s="133"/>
      <c r="BIM198" s="133"/>
      <c r="BIN198" s="133"/>
      <c r="BIO198" s="133"/>
      <c r="BIP198" s="133"/>
      <c r="BIQ198" s="133"/>
      <c r="BIR198" s="133"/>
      <c r="BIS198" s="133"/>
      <c r="BIT198" s="133"/>
      <c r="BIU198" s="133"/>
      <c r="BIV198" s="133"/>
      <c r="BIW198" s="133"/>
      <c r="BIX198" s="133"/>
      <c r="BIY198" s="133"/>
      <c r="BIZ198" s="133"/>
      <c r="BJA198" s="133"/>
      <c r="BJB198" s="133"/>
      <c r="BJC198" s="133"/>
      <c r="BJD198" s="133"/>
      <c r="BJE198" s="133"/>
      <c r="BJF198" s="133"/>
      <c r="BJG198" s="133"/>
      <c r="BJH198" s="133"/>
      <c r="BJI198" s="133"/>
      <c r="BJJ198" s="133"/>
      <c r="BJK198" s="133"/>
      <c r="BJL198" s="133"/>
      <c r="BJM198" s="133"/>
      <c r="BJN198" s="133"/>
      <c r="BJO198" s="133"/>
      <c r="BJP198" s="133"/>
      <c r="BJQ198" s="133"/>
      <c r="BJR198" s="133"/>
      <c r="BJS198" s="133"/>
      <c r="BJT198" s="133"/>
      <c r="BJU198" s="133"/>
      <c r="BJV198" s="133"/>
      <c r="BJW198" s="133"/>
      <c r="BJX198" s="133"/>
      <c r="BJY198" s="133"/>
      <c r="BJZ198" s="133"/>
      <c r="BKA198" s="133"/>
      <c r="BKB198" s="133"/>
      <c r="BKC198" s="133"/>
      <c r="BKD198" s="133"/>
      <c r="BKE198" s="133"/>
      <c r="BKF198" s="133"/>
      <c r="BKG198" s="133"/>
      <c r="BKH198" s="133"/>
      <c r="BKI198" s="133"/>
      <c r="BKJ198" s="133"/>
      <c r="BKK198" s="133"/>
      <c r="BKL198" s="133"/>
      <c r="BKM198" s="133"/>
      <c r="BKN198" s="133"/>
      <c r="BKO198" s="133"/>
      <c r="BKP198" s="133"/>
      <c r="BKQ198" s="133"/>
      <c r="BKR198" s="133"/>
      <c r="BKS198" s="133"/>
      <c r="BKT198" s="133"/>
      <c r="BKU198" s="133"/>
      <c r="BKV198" s="133"/>
      <c r="BKW198" s="133"/>
      <c r="BKX198" s="133"/>
      <c r="BKY198" s="133"/>
      <c r="BKZ198" s="133"/>
      <c r="BLA198" s="133"/>
      <c r="BLB198" s="133"/>
      <c r="BLC198" s="133"/>
      <c r="BLD198" s="133"/>
      <c r="BLE198" s="133"/>
      <c r="BLF198" s="133"/>
      <c r="BLG198" s="133"/>
      <c r="BLH198" s="133"/>
      <c r="BLI198" s="133"/>
      <c r="BLJ198" s="133"/>
      <c r="BLK198" s="133"/>
      <c r="BLL198" s="133"/>
      <c r="BLM198" s="133"/>
      <c r="BLN198" s="133"/>
      <c r="BLO198" s="133"/>
      <c r="BLP198" s="133"/>
      <c r="BLQ198" s="133"/>
      <c r="BLR198" s="133"/>
      <c r="BLS198" s="133"/>
      <c r="BLT198" s="133"/>
      <c r="BLU198" s="133"/>
      <c r="BLV198" s="133"/>
      <c r="BLW198" s="133"/>
      <c r="BLX198" s="133"/>
      <c r="BLY198" s="133"/>
      <c r="BLZ198" s="133"/>
      <c r="BMA198" s="133"/>
      <c r="BMB198" s="133"/>
      <c r="BMC198" s="133"/>
      <c r="BMD198" s="133"/>
      <c r="BME198" s="133"/>
      <c r="BMF198" s="133"/>
      <c r="BMG198" s="133"/>
      <c r="BMH198" s="133"/>
      <c r="BMI198" s="133"/>
      <c r="BMJ198" s="133"/>
      <c r="BMK198" s="133"/>
      <c r="BML198" s="133"/>
      <c r="BMM198" s="133"/>
      <c r="BMN198" s="133"/>
      <c r="BMO198" s="133"/>
      <c r="BMP198" s="133"/>
      <c r="BMQ198" s="133"/>
      <c r="BMR198" s="133"/>
      <c r="BMS198" s="133"/>
      <c r="BMT198" s="133"/>
      <c r="BMU198" s="133"/>
      <c r="BMV198" s="133"/>
      <c r="BMW198" s="133"/>
      <c r="BMX198" s="133"/>
      <c r="BMY198" s="133"/>
      <c r="BMZ198" s="133"/>
      <c r="BNA198" s="133"/>
      <c r="BNB198" s="133"/>
      <c r="BNC198" s="133"/>
      <c r="BND198" s="133"/>
      <c r="BNE198" s="133"/>
      <c r="BNF198" s="133"/>
      <c r="BNG198" s="133"/>
      <c r="BNH198" s="133"/>
      <c r="BNI198" s="133"/>
      <c r="BNJ198" s="133"/>
      <c r="BNK198" s="133"/>
      <c r="BNL198" s="133"/>
      <c r="BNM198" s="133"/>
      <c r="BNN198" s="133"/>
      <c r="BNO198" s="133"/>
      <c r="BNP198" s="133"/>
      <c r="BNQ198" s="133"/>
      <c r="BNR198" s="133"/>
      <c r="BNS198" s="133"/>
      <c r="BNT198" s="133"/>
      <c r="BNU198" s="133"/>
      <c r="BNV198" s="133"/>
      <c r="BNW198" s="133"/>
      <c r="BNX198" s="133"/>
      <c r="BNY198" s="133"/>
      <c r="BNZ198" s="133"/>
      <c r="BOA198" s="133"/>
      <c r="BOB198" s="133"/>
      <c r="BOC198" s="133"/>
      <c r="BOD198" s="133"/>
      <c r="BOE198" s="133"/>
      <c r="BOF198" s="133"/>
      <c r="BOG198" s="133"/>
      <c r="BOH198" s="133"/>
      <c r="BOI198" s="133"/>
      <c r="BOJ198" s="133"/>
      <c r="BOK198" s="133"/>
      <c r="BOL198" s="133"/>
      <c r="BOM198" s="133"/>
      <c r="BON198" s="133"/>
      <c r="BOO198" s="133"/>
      <c r="BOP198" s="133"/>
      <c r="BOQ198" s="133"/>
      <c r="BOR198" s="133"/>
      <c r="BOS198" s="133"/>
      <c r="BOT198" s="133"/>
      <c r="BOU198" s="133"/>
      <c r="BOV198" s="133"/>
      <c r="BOW198" s="133"/>
      <c r="BOX198" s="133"/>
      <c r="BOY198" s="133"/>
      <c r="BOZ198" s="133"/>
      <c r="BPA198" s="133"/>
      <c r="BPB198" s="133"/>
      <c r="BPC198" s="133"/>
      <c r="BPD198" s="133"/>
      <c r="BPE198" s="133"/>
      <c r="BPF198" s="133"/>
      <c r="BPG198" s="133"/>
      <c r="BPH198" s="133"/>
      <c r="BPI198" s="133"/>
      <c r="BPJ198" s="133"/>
      <c r="BPK198" s="133"/>
      <c r="BPL198" s="133"/>
      <c r="BPM198" s="133"/>
      <c r="BPN198" s="133"/>
      <c r="BPO198" s="133"/>
      <c r="BPP198" s="133"/>
      <c r="BPQ198" s="133"/>
      <c r="BPR198" s="133"/>
      <c r="BPS198" s="133"/>
      <c r="BPT198" s="133"/>
      <c r="BPU198" s="133"/>
      <c r="BPV198" s="133"/>
      <c r="BPW198" s="133"/>
      <c r="BPX198" s="133"/>
      <c r="BPY198" s="133"/>
      <c r="BPZ198" s="133"/>
      <c r="BQA198" s="133"/>
      <c r="BQB198" s="133"/>
      <c r="BQC198" s="133"/>
      <c r="BQD198" s="133"/>
      <c r="BQE198" s="133"/>
      <c r="BQF198" s="133"/>
      <c r="BQG198" s="133"/>
      <c r="BQH198" s="133"/>
      <c r="BQI198" s="133"/>
      <c r="BQJ198" s="133"/>
      <c r="BQK198" s="133"/>
      <c r="BQL198" s="133"/>
      <c r="BQM198" s="133"/>
      <c r="BQN198" s="133"/>
      <c r="BQO198" s="133"/>
      <c r="BQP198" s="133"/>
      <c r="BQQ198" s="133"/>
      <c r="BQR198" s="133"/>
      <c r="BQS198" s="133"/>
      <c r="BQT198" s="133"/>
      <c r="BQU198" s="133"/>
      <c r="BQV198" s="133"/>
      <c r="BQW198" s="133"/>
      <c r="BQX198" s="133"/>
      <c r="BQY198" s="133"/>
      <c r="BQZ198" s="133"/>
      <c r="BRA198" s="133"/>
      <c r="BRB198" s="133"/>
      <c r="BRC198" s="133"/>
      <c r="BRD198" s="133"/>
      <c r="BRE198" s="133"/>
      <c r="BRF198" s="133"/>
      <c r="BRG198" s="133"/>
      <c r="BRH198" s="133"/>
      <c r="BRI198" s="133"/>
      <c r="BRJ198" s="133"/>
      <c r="BRK198" s="133"/>
      <c r="BRL198" s="133"/>
      <c r="BRM198" s="133"/>
      <c r="BRN198" s="133"/>
      <c r="BRO198" s="133"/>
      <c r="BRP198" s="133"/>
      <c r="BRQ198" s="133"/>
      <c r="BRR198" s="133"/>
      <c r="BRS198" s="133"/>
      <c r="BRT198" s="133"/>
      <c r="BRU198" s="133"/>
      <c r="BRV198" s="133"/>
      <c r="BRW198" s="133"/>
      <c r="BRX198" s="133"/>
      <c r="BRY198" s="133"/>
      <c r="BRZ198" s="133"/>
      <c r="BSA198" s="133"/>
      <c r="BSB198" s="133"/>
      <c r="BSC198" s="133"/>
      <c r="BSD198" s="133"/>
      <c r="BSE198" s="133"/>
      <c r="BSF198" s="133"/>
      <c r="BSG198" s="133"/>
      <c r="BSH198" s="133"/>
      <c r="BSI198" s="133"/>
      <c r="BSJ198" s="133"/>
      <c r="BSK198" s="133"/>
      <c r="BSL198" s="133"/>
      <c r="BSM198" s="133"/>
      <c r="BSN198" s="133"/>
      <c r="BSO198" s="133"/>
      <c r="BSP198" s="133"/>
      <c r="BSQ198" s="133"/>
      <c r="BSR198" s="133"/>
      <c r="BSS198" s="133"/>
      <c r="BST198" s="133"/>
      <c r="BSU198" s="133"/>
      <c r="BSV198" s="133"/>
      <c r="BSW198" s="133"/>
      <c r="BSX198" s="133"/>
      <c r="BSY198" s="133"/>
      <c r="BSZ198" s="133"/>
      <c r="BTA198" s="133"/>
      <c r="BTB198" s="133"/>
      <c r="BTC198" s="133"/>
      <c r="BTD198" s="133"/>
      <c r="BTE198" s="133"/>
      <c r="BTF198" s="133"/>
      <c r="BTG198" s="133"/>
      <c r="BTH198" s="133"/>
      <c r="BTI198" s="133"/>
      <c r="BTJ198" s="133"/>
      <c r="BTK198" s="133"/>
      <c r="BTL198" s="133"/>
      <c r="BTM198" s="133"/>
      <c r="BTN198" s="133"/>
      <c r="BTO198" s="133"/>
      <c r="BTP198" s="133"/>
      <c r="BTQ198" s="133"/>
      <c r="BTR198" s="133"/>
      <c r="BTS198" s="133"/>
      <c r="BTT198" s="133"/>
      <c r="BTU198" s="133"/>
      <c r="BTV198" s="133"/>
      <c r="BTW198" s="133"/>
      <c r="BTX198" s="133"/>
      <c r="BTY198" s="133"/>
      <c r="BTZ198" s="133"/>
      <c r="BUA198" s="133"/>
      <c r="BUB198" s="133"/>
      <c r="BUC198" s="133"/>
      <c r="BUD198" s="133"/>
      <c r="BUE198" s="133"/>
      <c r="BUF198" s="133"/>
      <c r="BUG198" s="133"/>
      <c r="BUH198" s="133"/>
      <c r="BUI198" s="133"/>
      <c r="BUJ198" s="133"/>
      <c r="BUK198" s="133"/>
      <c r="BUL198" s="133"/>
      <c r="BUM198" s="133"/>
      <c r="BUN198" s="133"/>
      <c r="BUO198" s="133"/>
      <c r="BUP198" s="133"/>
      <c r="BUQ198" s="133"/>
      <c r="BUR198" s="133"/>
      <c r="BUS198" s="133"/>
      <c r="BUT198" s="133"/>
      <c r="BUU198" s="133"/>
      <c r="BUV198" s="133"/>
      <c r="BUW198" s="133"/>
      <c r="BUX198" s="133"/>
      <c r="BUY198" s="133"/>
      <c r="BUZ198" s="133"/>
      <c r="BVA198" s="133"/>
      <c r="BVB198" s="133"/>
      <c r="BVC198" s="133"/>
      <c r="BVD198" s="133"/>
      <c r="BVE198" s="133"/>
      <c r="BVF198" s="133"/>
      <c r="BVG198" s="133"/>
      <c r="BVH198" s="133"/>
      <c r="BVI198" s="133"/>
      <c r="BVJ198" s="133"/>
      <c r="BVK198" s="133"/>
      <c r="BVL198" s="133"/>
      <c r="BVM198" s="133"/>
      <c r="BVN198" s="133"/>
      <c r="BVO198" s="133"/>
      <c r="BVP198" s="133"/>
      <c r="BVQ198" s="133"/>
      <c r="BVR198" s="133"/>
      <c r="BVS198" s="133"/>
      <c r="BVT198" s="133"/>
      <c r="BVU198" s="133"/>
      <c r="BVV198" s="133"/>
      <c r="BVW198" s="133"/>
      <c r="BVX198" s="133"/>
      <c r="BVY198" s="133"/>
      <c r="BVZ198" s="133"/>
      <c r="BWA198" s="133"/>
      <c r="BWB198" s="133"/>
      <c r="BWC198" s="133"/>
      <c r="BWD198" s="133"/>
      <c r="BWE198" s="133"/>
      <c r="BWF198" s="133"/>
      <c r="BWG198" s="133"/>
      <c r="BWH198" s="133"/>
      <c r="BWI198" s="133"/>
      <c r="BWJ198" s="133"/>
      <c r="BWK198" s="133"/>
      <c r="BWL198" s="133"/>
      <c r="BWM198" s="133"/>
      <c r="BWN198" s="133"/>
      <c r="BWO198" s="133"/>
      <c r="BWP198" s="133"/>
      <c r="BWQ198" s="133"/>
      <c r="BWR198" s="133"/>
      <c r="BWS198" s="133"/>
      <c r="BWT198" s="133"/>
      <c r="BWU198" s="133"/>
      <c r="BWV198" s="133"/>
      <c r="BWW198" s="133"/>
      <c r="BWX198" s="133"/>
      <c r="BWY198" s="133"/>
      <c r="BWZ198" s="133"/>
      <c r="BXA198" s="133"/>
      <c r="BXB198" s="133"/>
      <c r="BXC198" s="133"/>
      <c r="BXD198" s="133"/>
      <c r="BXE198" s="133"/>
      <c r="BXF198" s="133"/>
      <c r="BXG198" s="133"/>
      <c r="BXH198" s="133"/>
      <c r="BXI198" s="133"/>
      <c r="BXJ198" s="133"/>
      <c r="BXK198" s="133"/>
      <c r="BXL198" s="133"/>
      <c r="BXM198" s="133"/>
      <c r="BXN198" s="133"/>
      <c r="BXO198" s="133"/>
      <c r="BXP198" s="133"/>
      <c r="BXQ198" s="133"/>
      <c r="BXR198" s="133"/>
      <c r="BXS198" s="133"/>
      <c r="BXT198" s="133"/>
      <c r="BXU198" s="133"/>
      <c r="BXV198" s="133"/>
      <c r="BXW198" s="133"/>
      <c r="BXX198" s="133"/>
      <c r="BXY198" s="133"/>
      <c r="BXZ198" s="133"/>
      <c r="BYA198" s="133"/>
      <c r="BYB198" s="133"/>
      <c r="BYC198" s="133"/>
      <c r="BYD198" s="133"/>
      <c r="BYE198" s="133"/>
      <c r="BYF198" s="133"/>
      <c r="BYG198" s="133"/>
      <c r="BYH198" s="133"/>
      <c r="BYI198" s="133"/>
      <c r="BYJ198" s="133"/>
      <c r="BYK198" s="133"/>
      <c r="BYL198" s="133"/>
      <c r="BYM198" s="133"/>
      <c r="BYN198" s="133"/>
      <c r="BYO198" s="133"/>
      <c r="BYP198" s="133"/>
      <c r="BYQ198" s="133"/>
      <c r="BYR198" s="133"/>
      <c r="BYS198" s="133"/>
      <c r="BYT198" s="133"/>
      <c r="BYU198" s="133"/>
      <c r="BYV198" s="133"/>
      <c r="BYW198" s="133"/>
      <c r="BYX198" s="133"/>
      <c r="BYY198" s="133"/>
      <c r="BYZ198" s="133"/>
      <c r="BZA198" s="133"/>
      <c r="BZB198" s="133"/>
      <c r="BZC198" s="133"/>
      <c r="BZD198" s="133"/>
      <c r="BZE198" s="133"/>
      <c r="BZF198" s="133"/>
      <c r="BZG198" s="133"/>
      <c r="BZH198" s="133"/>
      <c r="BZI198" s="133"/>
      <c r="BZJ198" s="133"/>
      <c r="BZK198" s="133"/>
      <c r="BZL198" s="133"/>
      <c r="BZM198" s="133"/>
      <c r="BZN198" s="133"/>
      <c r="BZO198" s="133"/>
      <c r="BZP198" s="133"/>
      <c r="BZQ198" s="133"/>
      <c r="BZR198" s="133"/>
      <c r="BZS198" s="133"/>
      <c r="BZT198" s="133"/>
      <c r="BZU198" s="133"/>
      <c r="BZV198" s="133"/>
      <c r="BZW198" s="133"/>
      <c r="BZX198" s="133"/>
      <c r="BZY198" s="133"/>
      <c r="BZZ198" s="133"/>
      <c r="CAA198" s="133"/>
      <c r="CAB198" s="133"/>
      <c r="CAC198" s="133"/>
      <c r="CAD198" s="133"/>
      <c r="CAE198" s="133"/>
      <c r="CAF198" s="133"/>
      <c r="CAG198" s="133"/>
      <c r="CAH198" s="133"/>
      <c r="CAI198" s="133"/>
      <c r="CAJ198" s="133"/>
      <c r="CAK198" s="133"/>
      <c r="CAL198" s="133"/>
      <c r="CAM198" s="133"/>
      <c r="CAN198" s="133"/>
      <c r="CAO198" s="133"/>
      <c r="CAP198" s="133"/>
      <c r="CAQ198" s="133"/>
      <c r="CAR198" s="133"/>
      <c r="CAS198" s="133"/>
      <c r="CAT198" s="133"/>
      <c r="CAU198" s="133"/>
      <c r="CAV198" s="133"/>
      <c r="CAW198" s="133"/>
      <c r="CAX198" s="133"/>
      <c r="CAY198" s="133"/>
      <c r="CAZ198" s="133"/>
      <c r="CBA198" s="133"/>
      <c r="CBB198" s="133"/>
      <c r="CBC198" s="133"/>
      <c r="CBD198" s="133"/>
      <c r="CBE198" s="133"/>
      <c r="CBF198" s="133"/>
      <c r="CBG198" s="133"/>
      <c r="CBH198" s="133"/>
      <c r="CBI198" s="133"/>
      <c r="CBJ198" s="133"/>
      <c r="CBK198" s="133"/>
      <c r="CBL198" s="133"/>
      <c r="CBM198" s="133"/>
      <c r="CBN198" s="133"/>
      <c r="CBO198" s="133"/>
      <c r="CBP198" s="133"/>
      <c r="CBQ198" s="133"/>
      <c r="CBR198" s="133"/>
      <c r="CBS198" s="133"/>
      <c r="CBT198" s="133"/>
      <c r="CBU198" s="133"/>
      <c r="CBV198" s="133"/>
      <c r="CBW198" s="133"/>
      <c r="CBX198" s="133"/>
      <c r="CBY198" s="133"/>
      <c r="CBZ198" s="133"/>
      <c r="CCA198" s="133"/>
      <c r="CCB198" s="133"/>
      <c r="CCC198" s="133"/>
      <c r="CCD198" s="133"/>
      <c r="CCE198" s="133"/>
      <c r="CCF198" s="133"/>
      <c r="CCG198" s="133"/>
      <c r="CCH198" s="133"/>
      <c r="CCI198" s="133"/>
      <c r="CCJ198" s="133"/>
      <c r="CCK198" s="133"/>
      <c r="CCL198" s="133"/>
      <c r="CCM198" s="133"/>
      <c r="CCN198" s="133"/>
      <c r="CCO198" s="133"/>
      <c r="CCP198" s="133"/>
      <c r="CCQ198" s="133"/>
      <c r="CCR198" s="133"/>
      <c r="CCS198" s="133"/>
      <c r="CCT198" s="133"/>
      <c r="CCU198" s="133"/>
      <c r="CCV198" s="133"/>
      <c r="CCW198" s="133"/>
      <c r="CCX198" s="133"/>
      <c r="CCY198" s="133"/>
      <c r="CCZ198" s="133"/>
      <c r="CDA198" s="133"/>
      <c r="CDB198" s="133"/>
      <c r="CDC198" s="133"/>
      <c r="CDD198" s="133"/>
      <c r="CDE198" s="133"/>
      <c r="CDF198" s="133"/>
      <c r="CDG198" s="133"/>
      <c r="CDH198" s="133"/>
      <c r="CDI198" s="133"/>
      <c r="CDJ198" s="133"/>
      <c r="CDK198" s="133"/>
      <c r="CDL198" s="133"/>
      <c r="CDM198" s="133"/>
      <c r="CDN198" s="133"/>
      <c r="CDO198" s="133"/>
      <c r="CDP198" s="133"/>
      <c r="CDQ198" s="133"/>
      <c r="CDR198" s="133"/>
      <c r="CDS198" s="133"/>
      <c r="CDT198" s="133"/>
      <c r="CDU198" s="133"/>
      <c r="CDV198" s="133"/>
      <c r="CDW198" s="133"/>
      <c r="CDX198" s="133"/>
      <c r="CDY198" s="133"/>
      <c r="CDZ198" s="133"/>
      <c r="CEA198" s="133"/>
      <c r="CEB198" s="133"/>
      <c r="CEC198" s="133"/>
      <c r="CED198" s="133"/>
      <c r="CEE198" s="133"/>
      <c r="CEF198" s="133"/>
      <c r="CEG198" s="133"/>
      <c r="CEH198" s="133"/>
      <c r="CEI198" s="133"/>
      <c r="CEJ198" s="133"/>
      <c r="CEK198" s="133"/>
      <c r="CEL198" s="133"/>
      <c r="CEM198" s="133"/>
      <c r="CEN198" s="133"/>
      <c r="CEO198" s="133"/>
      <c r="CEP198" s="133"/>
      <c r="CEQ198" s="133"/>
      <c r="CER198" s="133"/>
      <c r="CES198" s="133"/>
      <c r="CET198" s="133"/>
      <c r="CEU198" s="133"/>
      <c r="CEV198" s="133"/>
      <c r="CEW198" s="133"/>
      <c r="CEX198" s="133"/>
      <c r="CEY198" s="133"/>
      <c r="CEZ198" s="133"/>
      <c r="CFA198" s="133"/>
      <c r="CFB198" s="133"/>
      <c r="CFC198" s="133"/>
      <c r="CFD198" s="133"/>
      <c r="CFE198" s="133"/>
      <c r="CFF198" s="133"/>
      <c r="CFG198" s="133"/>
      <c r="CFH198" s="133"/>
      <c r="CFI198" s="133"/>
      <c r="CFJ198" s="133"/>
      <c r="CFK198" s="133"/>
      <c r="CFL198" s="133"/>
      <c r="CFM198" s="133"/>
      <c r="CFN198" s="133"/>
      <c r="CFO198" s="133"/>
      <c r="CFP198" s="133"/>
      <c r="CFQ198" s="133"/>
      <c r="CFR198" s="133"/>
      <c r="CFS198" s="133"/>
      <c r="CFT198" s="133"/>
      <c r="CFU198" s="133"/>
      <c r="CFV198" s="133"/>
      <c r="CFW198" s="133"/>
      <c r="CFX198" s="133"/>
      <c r="CFY198" s="133"/>
      <c r="CFZ198" s="133"/>
      <c r="CGA198" s="133"/>
      <c r="CGB198" s="133"/>
      <c r="CGC198" s="133"/>
      <c r="CGD198" s="133"/>
      <c r="CGE198" s="133"/>
      <c r="CGF198" s="133"/>
      <c r="CGG198" s="133"/>
      <c r="CGH198" s="133"/>
      <c r="CGI198" s="133"/>
      <c r="CGJ198" s="133"/>
      <c r="CGK198" s="133"/>
      <c r="CGL198" s="133"/>
      <c r="CGM198" s="133"/>
      <c r="CGN198" s="133"/>
      <c r="CGO198" s="133"/>
      <c r="CGP198" s="133"/>
      <c r="CGQ198" s="133"/>
      <c r="CGR198" s="133"/>
      <c r="CGS198" s="133"/>
      <c r="CGT198" s="133"/>
      <c r="CGU198" s="133"/>
      <c r="CGV198" s="133"/>
      <c r="CGW198" s="133"/>
      <c r="CGX198" s="133"/>
      <c r="CGY198" s="133"/>
      <c r="CGZ198" s="133"/>
      <c r="CHA198" s="133"/>
      <c r="CHB198" s="133"/>
      <c r="CHC198" s="133"/>
      <c r="CHD198" s="133"/>
      <c r="CHE198" s="133"/>
      <c r="CHF198" s="133"/>
      <c r="CHG198" s="133"/>
      <c r="CHH198" s="133"/>
      <c r="CHI198" s="133"/>
      <c r="CHJ198" s="133"/>
      <c r="CHK198" s="133"/>
      <c r="CHL198" s="133"/>
      <c r="CHM198" s="133"/>
      <c r="CHN198" s="133"/>
      <c r="CHO198" s="133"/>
      <c r="CHP198" s="133"/>
      <c r="CHQ198" s="133"/>
      <c r="CHR198" s="133"/>
      <c r="CHS198" s="133"/>
      <c r="CHT198" s="133"/>
      <c r="CHU198" s="133"/>
      <c r="CHV198" s="133"/>
      <c r="CHW198" s="133"/>
      <c r="CHX198" s="133"/>
      <c r="CHY198" s="133"/>
      <c r="CHZ198" s="133"/>
      <c r="CIA198" s="133"/>
      <c r="CIB198" s="133"/>
      <c r="CIC198" s="133"/>
      <c r="CID198" s="133"/>
      <c r="CIE198" s="133"/>
      <c r="CIF198" s="133"/>
      <c r="CIG198" s="133"/>
      <c r="CIH198" s="133"/>
      <c r="CII198" s="133"/>
      <c r="CIJ198" s="133"/>
      <c r="CIK198" s="133"/>
      <c r="CIL198" s="133"/>
      <c r="CIM198" s="133"/>
      <c r="CIN198" s="133"/>
      <c r="CIO198" s="133"/>
      <c r="CIP198" s="133"/>
      <c r="CIQ198" s="133"/>
      <c r="CIR198" s="133"/>
      <c r="CIS198" s="133"/>
      <c r="CIT198" s="133"/>
      <c r="CIU198" s="133"/>
      <c r="CIV198" s="133"/>
      <c r="CIW198" s="133"/>
      <c r="CIX198" s="133"/>
      <c r="CIY198" s="133"/>
      <c r="CIZ198" s="133"/>
      <c r="CJA198" s="133"/>
      <c r="CJB198" s="133"/>
      <c r="CJC198" s="133"/>
      <c r="CJD198" s="133"/>
      <c r="CJE198" s="133"/>
      <c r="CJF198" s="133"/>
      <c r="CJG198" s="133"/>
      <c r="CJH198" s="133"/>
      <c r="CJI198" s="133"/>
      <c r="CJJ198" s="133"/>
      <c r="CJK198" s="133"/>
      <c r="CJL198" s="133"/>
      <c r="CJM198" s="133"/>
      <c r="CJN198" s="133"/>
      <c r="CJO198" s="133"/>
      <c r="CJP198" s="133"/>
      <c r="CJQ198" s="133"/>
      <c r="CJR198" s="133"/>
      <c r="CJS198" s="133"/>
      <c r="CJT198" s="133"/>
      <c r="CJU198" s="133"/>
      <c r="CJV198" s="133"/>
      <c r="CJW198" s="133"/>
      <c r="CJX198" s="133"/>
      <c r="CJY198" s="133"/>
      <c r="CJZ198" s="133"/>
      <c r="CKA198" s="133"/>
      <c r="CKB198" s="133"/>
      <c r="CKC198" s="133"/>
      <c r="CKD198" s="133"/>
      <c r="CKE198" s="133"/>
      <c r="CKF198" s="133"/>
      <c r="CKG198" s="133"/>
      <c r="CKH198" s="133"/>
      <c r="CKI198" s="133"/>
      <c r="CKJ198" s="133"/>
      <c r="CKK198" s="133"/>
      <c r="CKL198" s="133"/>
      <c r="CKM198" s="133"/>
      <c r="CKN198" s="133"/>
      <c r="CKO198" s="133"/>
      <c r="CKP198" s="133"/>
      <c r="CKQ198" s="133"/>
      <c r="CKR198" s="133"/>
      <c r="CKS198" s="133"/>
      <c r="CKT198" s="133"/>
      <c r="CKU198" s="133"/>
      <c r="CKV198" s="133"/>
      <c r="CKW198" s="133"/>
      <c r="CKX198" s="133"/>
      <c r="CKY198" s="133"/>
      <c r="CKZ198" s="133"/>
      <c r="CLA198" s="133"/>
      <c r="CLB198" s="133"/>
      <c r="CLC198" s="133"/>
      <c r="CLD198" s="133"/>
      <c r="CLE198" s="133"/>
      <c r="CLF198" s="133"/>
      <c r="CLG198" s="133"/>
      <c r="CLH198" s="133"/>
      <c r="CLI198" s="133"/>
      <c r="CLJ198" s="133"/>
      <c r="CLK198" s="133"/>
      <c r="CLL198" s="133"/>
      <c r="CLM198" s="133"/>
      <c r="CLN198" s="133"/>
      <c r="CLO198" s="133"/>
      <c r="CLP198" s="133"/>
      <c r="CLQ198" s="133"/>
      <c r="CLR198" s="133"/>
      <c r="CLS198" s="133"/>
      <c r="CLT198" s="133"/>
      <c r="CLU198" s="133"/>
      <c r="CLV198" s="133"/>
      <c r="CLW198" s="133"/>
      <c r="CLX198" s="133"/>
      <c r="CLY198" s="133"/>
      <c r="CLZ198" s="133"/>
      <c r="CMA198" s="133"/>
      <c r="CMB198" s="133"/>
      <c r="CMC198" s="133"/>
      <c r="CMD198" s="133"/>
      <c r="CME198" s="133"/>
      <c r="CMF198" s="133"/>
      <c r="CMG198" s="133"/>
      <c r="CMH198" s="133"/>
      <c r="CMI198" s="133"/>
      <c r="CMJ198" s="133"/>
      <c r="CMK198" s="133"/>
      <c r="CML198" s="133"/>
      <c r="CMM198" s="133"/>
      <c r="CMN198" s="133"/>
      <c r="CMO198" s="133"/>
      <c r="CMP198" s="133"/>
      <c r="CMQ198" s="133"/>
      <c r="CMR198" s="133"/>
      <c r="CMS198" s="133"/>
      <c r="CMT198" s="133"/>
      <c r="CMU198" s="133"/>
      <c r="CMV198" s="133"/>
      <c r="CMW198" s="133"/>
      <c r="CMX198" s="133"/>
      <c r="CMY198" s="133"/>
      <c r="CMZ198" s="133"/>
      <c r="CNA198" s="133"/>
      <c r="CNB198" s="133"/>
      <c r="CNC198" s="133"/>
      <c r="CND198" s="133"/>
      <c r="CNE198" s="133"/>
      <c r="CNF198" s="133"/>
      <c r="CNG198" s="133"/>
      <c r="CNH198" s="133"/>
      <c r="CNI198" s="133"/>
      <c r="CNJ198" s="133"/>
      <c r="CNK198" s="133"/>
      <c r="CNL198" s="133"/>
      <c r="CNM198" s="133"/>
      <c r="CNN198" s="133"/>
      <c r="CNO198" s="133"/>
      <c r="CNP198" s="133"/>
      <c r="CNQ198" s="133"/>
      <c r="CNR198" s="133"/>
      <c r="CNS198" s="133"/>
      <c r="CNT198" s="133"/>
      <c r="CNU198" s="133"/>
      <c r="CNV198" s="133"/>
      <c r="CNW198" s="133"/>
      <c r="CNX198" s="133"/>
      <c r="CNY198" s="133"/>
      <c r="CNZ198" s="133"/>
      <c r="COA198" s="133"/>
      <c r="COB198" s="133"/>
      <c r="COC198" s="133"/>
      <c r="COD198" s="133"/>
      <c r="COE198" s="133"/>
      <c r="COF198" s="133"/>
      <c r="COG198" s="133"/>
      <c r="COH198" s="133"/>
      <c r="COI198" s="133"/>
      <c r="COJ198" s="133"/>
      <c r="COK198" s="133"/>
      <c r="COL198" s="133"/>
      <c r="COM198" s="133"/>
      <c r="CON198" s="133"/>
      <c r="COO198" s="133"/>
      <c r="COP198" s="133"/>
      <c r="COQ198" s="133"/>
      <c r="COR198" s="133"/>
      <c r="COS198" s="133"/>
      <c r="COT198" s="133"/>
      <c r="COU198" s="133"/>
      <c r="COV198" s="133"/>
      <c r="COW198" s="133"/>
      <c r="COX198" s="133"/>
      <c r="COY198" s="133"/>
      <c r="COZ198" s="133"/>
      <c r="CPA198" s="133"/>
      <c r="CPB198" s="133"/>
      <c r="CPC198" s="133"/>
      <c r="CPD198" s="133"/>
      <c r="CPE198" s="133"/>
      <c r="CPF198" s="133"/>
      <c r="CPG198" s="133"/>
      <c r="CPH198" s="133"/>
      <c r="CPI198" s="133"/>
      <c r="CPJ198" s="133"/>
      <c r="CPK198" s="133"/>
      <c r="CPL198" s="133"/>
      <c r="CPM198" s="133"/>
      <c r="CPN198" s="133"/>
      <c r="CPO198" s="133"/>
      <c r="CPP198" s="133"/>
      <c r="CPQ198" s="133"/>
      <c r="CPR198" s="133"/>
      <c r="CPS198" s="133"/>
      <c r="CPT198" s="133"/>
      <c r="CPU198" s="133"/>
      <c r="CPV198" s="133"/>
      <c r="CPW198" s="133"/>
      <c r="CPX198" s="133"/>
      <c r="CPY198" s="133"/>
      <c r="CPZ198" s="133"/>
      <c r="CQA198" s="133"/>
      <c r="CQB198" s="133"/>
      <c r="CQC198" s="133"/>
      <c r="CQD198" s="133"/>
      <c r="CQE198" s="133"/>
      <c r="CQF198" s="133"/>
      <c r="CQG198" s="133"/>
      <c r="CQH198" s="133"/>
      <c r="CQI198" s="133"/>
      <c r="CQJ198" s="133"/>
      <c r="CQK198" s="133"/>
      <c r="CQL198" s="133"/>
      <c r="CQM198" s="133"/>
      <c r="CQN198" s="133"/>
      <c r="CQO198" s="133"/>
      <c r="CQP198" s="133"/>
      <c r="CQQ198" s="133"/>
      <c r="CQR198" s="133"/>
      <c r="CQS198" s="133"/>
      <c r="CQT198" s="133"/>
      <c r="CQU198" s="133"/>
      <c r="CQV198" s="133"/>
      <c r="CQW198" s="133"/>
      <c r="CQX198" s="133"/>
      <c r="CQY198" s="133"/>
      <c r="CQZ198" s="133"/>
      <c r="CRA198" s="133"/>
      <c r="CRB198" s="133"/>
      <c r="CRC198" s="133"/>
      <c r="CRD198" s="133"/>
      <c r="CRE198" s="133"/>
      <c r="CRF198" s="133"/>
      <c r="CRG198" s="133"/>
      <c r="CRH198" s="133"/>
      <c r="CRI198" s="133"/>
      <c r="CRJ198" s="133"/>
      <c r="CRK198" s="133"/>
      <c r="CRL198" s="133"/>
      <c r="CRM198" s="133"/>
      <c r="CRN198" s="133"/>
      <c r="CRO198" s="133"/>
      <c r="CRP198" s="133"/>
      <c r="CRQ198" s="133"/>
      <c r="CRR198" s="133"/>
      <c r="CRS198" s="133"/>
      <c r="CRT198" s="133"/>
      <c r="CRU198" s="133"/>
      <c r="CRV198" s="133"/>
      <c r="CRW198" s="133"/>
      <c r="CRX198" s="133"/>
      <c r="CRY198" s="133"/>
      <c r="CRZ198" s="133"/>
      <c r="CSA198" s="133"/>
      <c r="CSB198" s="133"/>
      <c r="CSC198" s="133"/>
      <c r="CSD198" s="133"/>
      <c r="CSE198" s="133"/>
      <c r="CSF198" s="133"/>
      <c r="CSG198" s="133"/>
      <c r="CSH198" s="133"/>
      <c r="CSI198" s="133"/>
      <c r="CSJ198" s="133"/>
      <c r="CSK198" s="133"/>
      <c r="CSL198" s="133"/>
      <c r="CSM198" s="133"/>
      <c r="CSN198" s="133"/>
      <c r="CSO198" s="133"/>
      <c r="CSP198" s="133"/>
      <c r="CSQ198" s="133"/>
      <c r="CSR198" s="133"/>
      <c r="CSS198" s="133"/>
      <c r="CST198" s="133"/>
      <c r="CSU198" s="133"/>
      <c r="CSV198" s="133"/>
      <c r="CSW198" s="133"/>
      <c r="CSX198" s="133"/>
      <c r="CSY198" s="133"/>
      <c r="CSZ198" s="133"/>
      <c r="CTA198" s="133"/>
      <c r="CTB198" s="133"/>
      <c r="CTC198" s="133"/>
      <c r="CTD198" s="133"/>
      <c r="CTE198" s="133"/>
      <c r="CTF198" s="133"/>
      <c r="CTG198" s="133"/>
      <c r="CTH198" s="133"/>
      <c r="CTI198" s="133"/>
      <c r="CTJ198" s="133"/>
      <c r="CTK198" s="133"/>
      <c r="CTL198" s="133"/>
      <c r="CTM198" s="133"/>
      <c r="CTN198" s="133"/>
      <c r="CTO198" s="133"/>
      <c r="CTP198" s="133"/>
      <c r="CTQ198" s="133"/>
      <c r="CTR198" s="133"/>
      <c r="CTS198" s="133"/>
      <c r="CTT198" s="133"/>
      <c r="CTU198" s="133"/>
      <c r="CTV198" s="133"/>
      <c r="CTW198" s="133"/>
      <c r="CTX198" s="133"/>
      <c r="CTY198" s="133"/>
      <c r="CTZ198" s="133"/>
      <c r="CUA198" s="133"/>
      <c r="CUB198" s="133"/>
      <c r="CUC198" s="133"/>
      <c r="CUD198" s="133"/>
      <c r="CUE198" s="133"/>
      <c r="CUF198" s="133"/>
      <c r="CUG198" s="133"/>
      <c r="CUH198" s="133"/>
      <c r="CUI198" s="133"/>
      <c r="CUJ198" s="133"/>
      <c r="CUK198" s="133"/>
      <c r="CUL198" s="133"/>
      <c r="CUM198" s="133"/>
      <c r="CUN198" s="133"/>
      <c r="CUO198" s="133"/>
      <c r="CUP198" s="133"/>
      <c r="CUQ198" s="133"/>
      <c r="CUR198" s="133"/>
      <c r="CUS198" s="133"/>
      <c r="CUT198" s="133"/>
      <c r="CUU198" s="133"/>
      <c r="CUV198" s="133"/>
      <c r="CUW198" s="133"/>
      <c r="CUX198" s="133"/>
      <c r="CUY198" s="133"/>
      <c r="CUZ198" s="133"/>
      <c r="CVA198" s="133"/>
      <c r="CVB198" s="133"/>
      <c r="CVC198" s="133"/>
      <c r="CVD198" s="133"/>
      <c r="CVE198" s="133"/>
      <c r="CVF198" s="133"/>
      <c r="CVG198" s="133"/>
      <c r="CVH198" s="133"/>
      <c r="CVI198" s="133"/>
      <c r="CVJ198" s="133"/>
      <c r="CVK198" s="133"/>
      <c r="CVL198" s="133"/>
      <c r="CVM198" s="133"/>
      <c r="CVN198" s="133"/>
      <c r="CVO198" s="133"/>
      <c r="CVP198" s="133"/>
      <c r="CVQ198" s="133"/>
      <c r="CVR198" s="133"/>
      <c r="CVS198" s="133"/>
      <c r="CVT198" s="133"/>
      <c r="CVU198" s="133"/>
      <c r="CVV198" s="133"/>
      <c r="CVW198" s="133"/>
      <c r="CVX198" s="133"/>
      <c r="CVY198" s="133"/>
      <c r="CVZ198" s="133"/>
      <c r="CWA198" s="133"/>
      <c r="CWB198" s="133"/>
      <c r="CWC198" s="133"/>
      <c r="CWD198" s="133"/>
      <c r="CWE198" s="133"/>
      <c r="CWF198" s="133"/>
      <c r="CWG198" s="133"/>
      <c r="CWH198" s="133"/>
      <c r="CWI198" s="133"/>
      <c r="CWJ198" s="133"/>
      <c r="CWK198" s="133"/>
      <c r="CWL198" s="133"/>
      <c r="CWM198" s="133"/>
      <c r="CWN198" s="133"/>
      <c r="CWO198" s="133"/>
      <c r="CWP198" s="133"/>
      <c r="CWQ198" s="133"/>
      <c r="CWR198" s="133"/>
      <c r="CWS198" s="133"/>
      <c r="CWT198" s="133"/>
      <c r="CWU198" s="133"/>
      <c r="CWV198" s="133"/>
      <c r="CWW198" s="133"/>
      <c r="CWX198" s="133"/>
      <c r="CWY198" s="133"/>
      <c r="CWZ198" s="133"/>
      <c r="CXA198" s="133"/>
      <c r="CXB198" s="133"/>
      <c r="CXC198" s="133"/>
      <c r="CXD198" s="133"/>
      <c r="CXE198" s="133"/>
      <c r="CXF198" s="133"/>
      <c r="CXG198" s="133"/>
      <c r="CXH198" s="133"/>
      <c r="CXI198" s="133"/>
      <c r="CXJ198" s="133"/>
      <c r="CXK198" s="133"/>
      <c r="CXL198" s="133"/>
      <c r="CXM198" s="133"/>
      <c r="CXN198" s="133"/>
      <c r="CXO198" s="133"/>
      <c r="CXP198" s="133"/>
      <c r="CXQ198" s="133"/>
      <c r="CXR198" s="133"/>
      <c r="CXS198" s="133"/>
      <c r="CXT198" s="133"/>
      <c r="CXU198" s="133"/>
      <c r="CXV198" s="133"/>
      <c r="CXW198" s="133"/>
      <c r="CXX198" s="133"/>
      <c r="CXY198" s="133"/>
      <c r="CXZ198" s="133"/>
      <c r="CYA198" s="133"/>
      <c r="CYB198" s="133"/>
      <c r="CYC198" s="133"/>
      <c r="CYD198" s="133"/>
      <c r="CYE198" s="133"/>
      <c r="CYF198" s="133"/>
      <c r="CYG198" s="133"/>
      <c r="CYH198" s="133"/>
      <c r="CYI198" s="133"/>
      <c r="CYJ198" s="133"/>
      <c r="CYK198" s="133"/>
      <c r="CYL198" s="133"/>
      <c r="CYM198" s="133"/>
      <c r="CYN198" s="133"/>
      <c r="CYO198" s="133"/>
      <c r="CYP198" s="133"/>
      <c r="CYQ198" s="133"/>
      <c r="CYR198" s="133"/>
      <c r="CYS198" s="133"/>
      <c r="CYT198" s="133"/>
      <c r="CYU198" s="133"/>
      <c r="CYV198" s="133"/>
      <c r="CYW198" s="133"/>
      <c r="CYX198" s="133"/>
      <c r="CYY198" s="133"/>
      <c r="CYZ198" s="133"/>
      <c r="CZA198" s="133"/>
      <c r="CZB198" s="133"/>
      <c r="CZC198" s="133"/>
      <c r="CZD198" s="133"/>
      <c r="CZE198" s="133"/>
      <c r="CZF198" s="133"/>
      <c r="CZG198" s="133"/>
      <c r="CZH198" s="133"/>
      <c r="CZI198" s="133"/>
      <c r="CZJ198" s="133"/>
      <c r="CZK198" s="133"/>
      <c r="CZL198" s="133"/>
      <c r="CZM198" s="133"/>
      <c r="CZN198" s="133"/>
      <c r="CZO198" s="133"/>
      <c r="CZP198" s="133"/>
      <c r="CZQ198" s="133"/>
      <c r="CZR198" s="133"/>
      <c r="CZS198" s="133"/>
      <c r="CZT198" s="133"/>
      <c r="CZU198" s="133"/>
      <c r="CZV198" s="133"/>
      <c r="CZW198" s="133"/>
      <c r="CZX198" s="133"/>
      <c r="CZY198" s="133"/>
      <c r="CZZ198" s="133"/>
      <c r="DAA198" s="133"/>
      <c r="DAB198" s="133"/>
      <c r="DAC198" s="133"/>
      <c r="DAD198" s="133"/>
      <c r="DAE198" s="133"/>
      <c r="DAF198" s="133"/>
      <c r="DAG198" s="133"/>
      <c r="DAH198" s="133"/>
      <c r="DAI198" s="133"/>
      <c r="DAJ198" s="133"/>
      <c r="DAK198" s="133"/>
      <c r="DAL198" s="133"/>
      <c r="DAM198" s="133"/>
      <c r="DAN198" s="133"/>
      <c r="DAO198" s="133"/>
      <c r="DAP198" s="133"/>
      <c r="DAQ198" s="133"/>
      <c r="DAR198" s="133"/>
      <c r="DAS198" s="133"/>
      <c r="DAT198" s="133"/>
      <c r="DAU198" s="133"/>
      <c r="DAV198" s="133"/>
      <c r="DAW198" s="133"/>
      <c r="DAX198" s="133"/>
      <c r="DAY198" s="133"/>
      <c r="DAZ198" s="133"/>
      <c r="DBA198" s="133"/>
      <c r="DBB198" s="133"/>
      <c r="DBC198" s="133"/>
      <c r="DBD198" s="133"/>
      <c r="DBE198" s="133"/>
      <c r="DBF198" s="133"/>
      <c r="DBG198" s="133"/>
      <c r="DBH198" s="133"/>
      <c r="DBI198" s="133"/>
      <c r="DBJ198" s="133"/>
      <c r="DBK198" s="133"/>
      <c r="DBL198" s="133"/>
      <c r="DBM198" s="133"/>
      <c r="DBN198" s="133"/>
      <c r="DBO198" s="133"/>
      <c r="DBP198" s="133"/>
      <c r="DBQ198" s="133"/>
      <c r="DBR198" s="133"/>
      <c r="DBS198" s="133"/>
      <c r="DBT198" s="133"/>
      <c r="DBU198" s="133"/>
      <c r="DBV198" s="133"/>
      <c r="DBW198" s="133"/>
      <c r="DBX198" s="133"/>
      <c r="DBY198" s="133"/>
      <c r="DBZ198" s="133"/>
      <c r="DCA198" s="133"/>
      <c r="DCB198" s="133"/>
      <c r="DCC198" s="133"/>
      <c r="DCD198" s="133"/>
      <c r="DCE198" s="133"/>
      <c r="DCF198" s="133"/>
      <c r="DCG198" s="133"/>
      <c r="DCH198" s="133"/>
      <c r="DCI198" s="133"/>
      <c r="DCJ198" s="133"/>
      <c r="DCK198" s="133"/>
      <c r="DCL198" s="133"/>
      <c r="DCM198" s="133"/>
      <c r="DCN198" s="133"/>
      <c r="DCO198" s="133"/>
      <c r="DCP198" s="133"/>
      <c r="DCQ198" s="133"/>
      <c r="DCR198" s="133"/>
      <c r="DCS198" s="133"/>
      <c r="DCT198" s="133"/>
      <c r="DCU198" s="133"/>
      <c r="DCV198" s="133"/>
      <c r="DCW198" s="133"/>
      <c r="DCX198" s="133"/>
      <c r="DCY198" s="133"/>
      <c r="DCZ198" s="133"/>
      <c r="DDA198" s="133"/>
      <c r="DDB198" s="133"/>
      <c r="DDC198" s="133"/>
      <c r="DDD198" s="133"/>
      <c r="DDE198" s="133"/>
      <c r="DDF198" s="133"/>
      <c r="DDG198" s="133"/>
      <c r="DDH198" s="133"/>
      <c r="DDI198" s="133"/>
      <c r="DDJ198" s="133"/>
      <c r="DDK198" s="133"/>
      <c r="DDL198" s="133"/>
      <c r="DDM198" s="133"/>
      <c r="DDN198" s="133"/>
      <c r="DDO198" s="133"/>
      <c r="DDP198" s="133"/>
      <c r="DDQ198" s="133"/>
      <c r="DDR198" s="133"/>
      <c r="DDS198" s="133"/>
      <c r="DDT198" s="133"/>
      <c r="DDU198" s="133"/>
      <c r="DDV198" s="133"/>
      <c r="DDW198" s="133"/>
      <c r="DDX198" s="133"/>
      <c r="DDY198" s="133"/>
      <c r="DDZ198" s="133"/>
      <c r="DEA198" s="133"/>
      <c r="DEB198" s="133"/>
      <c r="DEC198" s="133"/>
      <c r="DED198" s="133"/>
      <c r="DEE198" s="133"/>
      <c r="DEF198" s="133"/>
      <c r="DEG198" s="133"/>
      <c r="DEH198" s="133"/>
      <c r="DEI198" s="133"/>
      <c r="DEJ198" s="133"/>
      <c r="DEK198" s="133"/>
      <c r="DEL198" s="133"/>
      <c r="DEM198" s="133"/>
      <c r="DEN198" s="133"/>
      <c r="DEO198" s="133"/>
      <c r="DEP198" s="133"/>
      <c r="DEQ198" s="133"/>
      <c r="DER198" s="133"/>
      <c r="DES198" s="133"/>
      <c r="DET198" s="133"/>
      <c r="DEU198" s="133"/>
      <c r="DEV198" s="133"/>
      <c r="DEW198" s="133"/>
      <c r="DEX198" s="133"/>
      <c r="DEY198" s="133"/>
      <c r="DEZ198" s="133"/>
      <c r="DFA198" s="133"/>
      <c r="DFB198" s="133"/>
      <c r="DFC198" s="133"/>
      <c r="DFD198" s="133"/>
      <c r="DFE198" s="133"/>
      <c r="DFF198" s="133"/>
      <c r="DFG198" s="133"/>
      <c r="DFH198" s="133"/>
      <c r="DFI198" s="133"/>
      <c r="DFJ198" s="133"/>
      <c r="DFK198" s="133"/>
      <c r="DFL198" s="133"/>
      <c r="DFM198" s="133"/>
      <c r="DFN198" s="133"/>
      <c r="DFO198" s="133"/>
      <c r="DFP198" s="133"/>
      <c r="DFQ198" s="133"/>
      <c r="DFR198" s="133"/>
      <c r="DFS198" s="133"/>
      <c r="DFT198" s="133"/>
      <c r="DFU198" s="133"/>
      <c r="DFV198" s="133"/>
      <c r="DFW198" s="133"/>
      <c r="DFX198" s="133"/>
      <c r="DFY198" s="133"/>
      <c r="DFZ198" s="133"/>
      <c r="DGA198" s="133"/>
      <c r="DGB198" s="133"/>
      <c r="DGC198" s="133"/>
      <c r="DGD198" s="133"/>
      <c r="DGE198" s="133"/>
      <c r="DGF198" s="133"/>
      <c r="DGG198" s="133"/>
      <c r="DGH198" s="133"/>
      <c r="DGI198" s="133"/>
      <c r="DGJ198" s="133"/>
      <c r="DGK198" s="133"/>
      <c r="DGL198" s="133"/>
      <c r="DGM198" s="133"/>
      <c r="DGN198" s="133"/>
      <c r="DGO198" s="133"/>
      <c r="DGP198" s="133"/>
      <c r="DGQ198" s="133"/>
      <c r="DGR198" s="133"/>
      <c r="DGS198" s="133"/>
      <c r="DGT198" s="133"/>
      <c r="DGU198" s="133"/>
      <c r="DGV198" s="133"/>
      <c r="DGW198" s="133"/>
      <c r="DGX198" s="133"/>
      <c r="DGY198" s="133"/>
      <c r="DGZ198" s="133"/>
      <c r="DHA198" s="133"/>
      <c r="DHB198" s="133"/>
      <c r="DHC198" s="133"/>
      <c r="DHD198" s="133"/>
      <c r="DHE198" s="133"/>
      <c r="DHF198" s="133"/>
      <c r="DHG198" s="133"/>
      <c r="DHH198" s="133"/>
      <c r="DHI198" s="133"/>
      <c r="DHJ198" s="133"/>
      <c r="DHK198" s="133"/>
      <c r="DHL198" s="133"/>
      <c r="DHM198" s="133"/>
      <c r="DHN198" s="133"/>
      <c r="DHO198" s="133"/>
      <c r="DHP198" s="133"/>
      <c r="DHQ198" s="133"/>
      <c r="DHR198" s="133"/>
      <c r="DHS198" s="133"/>
      <c r="DHT198" s="133"/>
      <c r="DHU198" s="133"/>
      <c r="DHV198" s="133"/>
      <c r="DHW198" s="133"/>
      <c r="DHX198" s="133"/>
      <c r="DHY198" s="133"/>
      <c r="DHZ198" s="133"/>
      <c r="DIA198" s="133"/>
      <c r="DIB198" s="133"/>
      <c r="DIC198" s="133"/>
      <c r="DID198" s="133"/>
      <c r="DIE198" s="133"/>
      <c r="DIF198" s="133"/>
      <c r="DIG198" s="133"/>
      <c r="DIH198" s="133"/>
      <c r="DII198" s="133"/>
      <c r="DIJ198" s="133"/>
      <c r="DIK198" s="133"/>
      <c r="DIL198" s="133"/>
      <c r="DIM198" s="133"/>
      <c r="DIN198" s="133"/>
      <c r="DIO198" s="133"/>
      <c r="DIP198" s="133"/>
      <c r="DIQ198" s="133"/>
      <c r="DIR198" s="133"/>
      <c r="DIS198" s="133"/>
      <c r="DIT198" s="133"/>
      <c r="DIU198" s="133"/>
      <c r="DIV198" s="133"/>
      <c r="DIW198" s="133"/>
      <c r="DIX198" s="133"/>
      <c r="DIY198" s="133"/>
      <c r="DIZ198" s="133"/>
      <c r="DJA198" s="133"/>
      <c r="DJB198" s="133"/>
      <c r="DJC198" s="133"/>
      <c r="DJD198" s="133"/>
      <c r="DJE198" s="133"/>
      <c r="DJF198" s="133"/>
      <c r="DJG198" s="133"/>
      <c r="DJH198" s="133"/>
      <c r="DJI198" s="133"/>
      <c r="DJJ198" s="133"/>
      <c r="DJK198" s="133"/>
      <c r="DJL198" s="133"/>
      <c r="DJM198" s="133"/>
      <c r="DJN198" s="133"/>
      <c r="DJO198" s="133"/>
      <c r="DJP198" s="133"/>
      <c r="DJQ198" s="133"/>
      <c r="DJR198" s="133"/>
      <c r="DJS198" s="133"/>
      <c r="DJT198" s="133"/>
      <c r="DJU198" s="133"/>
      <c r="DJV198" s="133"/>
      <c r="DJW198" s="133"/>
      <c r="DJX198" s="133"/>
      <c r="DJY198" s="133"/>
      <c r="DJZ198" s="133"/>
      <c r="DKA198" s="133"/>
      <c r="DKB198" s="133"/>
      <c r="DKC198" s="133"/>
      <c r="DKD198" s="133"/>
      <c r="DKE198" s="133"/>
      <c r="DKF198" s="133"/>
      <c r="DKG198" s="133"/>
      <c r="DKH198" s="133"/>
      <c r="DKI198" s="133"/>
      <c r="DKJ198" s="133"/>
      <c r="DKK198" s="133"/>
      <c r="DKL198" s="133"/>
      <c r="DKM198" s="133"/>
      <c r="DKN198" s="133"/>
      <c r="DKO198" s="133"/>
      <c r="DKP198" s="133"/>
      <c r="DKQ198" s="133"/>
      <c r="DKR198" s="133"/>
      <c r="DKS198" s="133"/>
      <c r="DKT198" s="133"/>
      <c r="DKU198" s="133"/>
      <c r="DKV198" s="133"/>
      <c r="DKW198" s="133"/>
      <c r="DKX198" s="133"/>
      <c r="DKY198" s="133"/>
      <c r="DKZ198" s="133"/>
      <c r="DLA198" s="133"/>
      <c r="DLB198" s="133"/>
      <c r="DLC198" s="133"/>
      <c r="DLD198" s="133"/>
      <c r="DLE198" s="133"/>
      <c r="DLF198" s="133"/>
      <c r="DLG198" s="133"/>
      <c r="DLH198" s="133"/>
      <c r="DLI198" s="133"/>
      <c r="DLJ198" s="133"/>
      <c r="DLK198" s="133"/>
      <c r="DLL198" s="133"/>
      <c r="DLM198" s="133"/>
      <c r="DLN198" s="133"/>
      <c r="DLO198" s="133"/>
      <c r="DLP198" s="133"/>
      <c r="DLQ198" s="133"/>
      <c r="DLR198" s="133"/>
      <c r="DLS198" s="133"/>
      <c r="DLT198" s="133"/>
      <c r="DLU198" s="133"/>
      <c r="DLV198" s="133"/>
      <c r="DLW198" s="133"/>
      <c r="DLX198" s="133"/>
      <c r="DLY198" s="133"/>
      <c r="DLZ198" s="133"/>
      <c r="DMA198" s="133"/>
      <c r="DMB198" s="133"/>
      <c r="DMC198" s="133"/>
      <c r="DMD198" s="133"/>
      <c r="DME198" s="133"/>
      <c r="DMF198" s="133"/>
      <c r="DMG198" s="133"/>
      <c r="DMH198" s="133"/>
      <c r="DMI198" s="133"/>
      <c r="DMJ198" s="133"/>
      <c r="DMK198" s="133"/>
      <c r="DML198" s="133"/>
      <c r="DMM198" s="133"/>
      <c r="DMN198" s="133"/>
      <c r="DMO198" s="133"/>
      <c r="DMP198" s="133"/>
      <c r="DMQ198" s="133"/>
      <c r="DMR198" s="133"/>
      <c r="DMS198" s="133"/>
      <c r="DMT198" s="133"/>
      <c r="DMU198" s="133"/>
      <c r="DMV198" s="133"/>
      <c r="DMW198" s="133"/>
      <c r="DMX198" s="133"/>
      <c r="DMY198" s="133"/>
      <c r="DMZ198" s="133"/>
      <c r="DNA198" s="133"/>
      <c r="DNB198" s="133"/>
      <c r="DNC198" s="133"/>
      <c r="DND198" s="133"/>
      <c r="DNE198" s="133"/>
      <c r="DNF198" s="133"/>
      <c r="DNG198" s="133"/>
      <c r="DNH198" s="133"/>
      <c r="DNI198" s="133"/>
      <c r="DNJ198" s="133"/>
      <c r="DNK198" s="133"/>
      <c r="DNL198" s="133"/>
      <c r="DNM198" s="133"/>
      <c r="DNN198" s="133"/>
      <c r="DNO198" s="133"/>
      <c r="DNP198" s="133"/>
      <c r="DNQ198" s="133"/>
      <c r="DNR198" s="133"/>
      <c r="DNS198" s="133"/>
      <c r="DNT198" s="133"/>
      <c r="DNU198" s="133"/>
      <c r="DNV198" s="133"/>
      <c r="DNW198" s="133"/>
      <c r="DNX198" s="133"/>
      <c r="DNY198" s="133"/>
      <c r="DNZ198" s="133"/>
      <c r="DOA198" s="133"/>
      <c r="DOB198" s="133"/>
      <c r="DOC198" s="133"/>
      <c r="DOD198" s="133"/>
      <c r="DOE198" s="133"/>
      <c r="DOF198" s="133"/>
      <c r="DOG198" s="133"/>
      <c r="DOH198" s="133"/>
      <c r="DOI198" s="133"/>
      <c r="DOJ198" s="133"/>
      <c r="DOK198" s="133"/>
      <c r="DOL198" s="133"/>
      <c r="DOM198" s="133"/>
      <c r="DON198" s="133"/>
      <c r="DOO198" s="133"/>
      <c r="DOP198" s="133"/>
      <c r="DOQ198" s="133"/>
      <c r="DOR198" s="133"/>
      <c r="DOS198" s="133"/>
      <c r="DOT198" s="133"/>
      <c r="DOU198" s="133"/>
      <c r="DOV198" s="133"/>
      <c r="DOW198" s="133"/>
      <c r="DOX198" s="133"/>
      <c r="DOY198" s="133"/>
      <c r="DOZ198" s="133"/>
      <c r="DPA198" s="133"/>
      <c r="DPB198" s="133"/>
      <c r="DPC198" s="133"/>
      <c r="DPD198" s="133"/>
      <c r="DPE198" s="133"/>
      <c r="DPF198" s="133"/>
      <c r="DPG198" s="133"/>
      <c r="DPH198" s="133"/>
      <c r="DPI198" s="133"/>
      <c r="DPJ198" s="133"/>
      <c r="DPK198" s="133"/>
      <c r="DPL198" s="133"/>
      <c r="DPM198" s="133"/>
      <c r="DPN198" s="133"/>
      <c r="DPO198" s="133"/>
      <c r="DPP198" s="133"/>
      <c r="DPQ198" s="133"/>
      <c r="DPR198" s="133"/>
      <c r="DPS198" s="133"/>
      <c r="DPT198" s="133"/>
      <c r="DPU198" s="133"/>
      <c r="DPV198" s="133"/>
      <c r="DPW198" s="133"/>
      <c r="DPX198" s="133"/>
      <c r="DPY198" s="133"/>
      <c r="DPZ198" s="133"/>
      <c r="DQA198" s="133"/>
      <c r="DQB198" s="133"/>
      <c r="DQC198" s="133"/>
      <c r="DQD198" s="133"/>
      <c r="DQE198" s="133"/>
      <c r="DQF198" s="133"/>
      <c r="DQG198" s="133"/>
      <c r="DQH198" s="133"/>
      <c r="DQI198" s="133"/>
      <c r="DQJ198" s="133"/>
      <c r="DQK198" s="133"/>
      <c r="DQL198" s="133"/>
      <c r="DQM198" s="133"/>
      <c r="DQN198" s="133"/>
      <c r="DQO198" s="133"/>
      <c r="DQP198" s="133"/>
      <c r="DQQ198" s="133"/>
      <c r="DQR198" s="133"/>
      <c r="DQS198" s="133"/>
      <c r="DQT198" s="133"/>
      <c r="DQU198" s="133"/>
      <c r="DQV198" s="133"/>
      <c r="DQW198" s="133"/>
      <c r="DQX198" s="133"/>
      <c r="DQY198" s="133"/>
      <c r="DQZ198" s="133"/>
      <c r="DRA198" s="133"/>
      <c r="DRB198" s="133"/>
      <c r="DRC198" s="133"/>
      <c r="DRD198" s="133"/>
      <c r="DRE198" s="133"/>
      <c r="DRF198" s="133"/>
      <c r="DRG198" s="133"/>
      <c r="DRH198" s="133"/>
      <c r="DRI198" s="133"/>
      <c r="DRJ198" s="133"/>
      <c r="DRK198" s="133"/>
      <c r="DRL198" s="133"/>
      <c r="DRM198" s="133"/>
      <c r="DRN198" s="133"/>
      <c r="DRO198" s="133"/>
      <c r="DRP198" s="133"/>
      <c r="DRQ198" s="133"/>
      <c r="DRR198" s="133"/>
      <c r="DRS198" s="133"/>
      <c r="DRT198" s="133"/>
      <c r="DRU198" s="133"/>
      <c r="DRV198" s="133"/>
      <c r="DRW198" s="133"/>
      <c r="DRX198" s="133"/>
      <c r="DRY198" s="133"/>
      <c r="DRZ198" s="133"/>
      <c r="DSA198" s="133"/>
      <c r="DSB198" s="133"/>
      <c r="DSC198" s="133"/>
      <c r="DSD198" s="133"/>
      <c r="DSE198" s="133"/>
      <c r="DSF198" s="133"/>
      <c r="DSG198" s="133"/>
      <c r="DSH198" s="133"/>
      <c r="DSI198" s="133"/>
      <c r="DSJ198" s="133"/>
      <c r="DSK198" s="133"/>
      <c r="DSL198" s="133"/>
      <c r="DSM198" s="133"/>
      <c r="DSN198" s="133"/>
      <c r="DSO198" s="133"/>
      <c r="DSP198" s="133"/>
      <c r="DSQ198" s="133"/>
      <c r="DSR198" s="133"/>
      <c r="DSS198" s="133"/>
      <c r="DST198" s="133"/>
      <c r="DSU198" s="133"/>
      <c r="DSV198" s="133"/>
      <c r="DSW198" s="133"/>
      <c r="DSX198" s="133"/>
      <c r="DSY198" s="133"/>
      <c r="DSZ198" s="133"/>
      <c r="DTA198" s="133"/>
      <c r="DTB198" s="133"/>
      <c r="DTC198" s="133"/>
      <c r="DTD198" s="133"/>
      <c r="DTE198" s="133"/>
      <c r="DTF198" s="133"/>
      <c r="DTG198" s="133"/>
      <c r="DTH198" s="133"/>
      <c r="DTI198" s="133"/>
      <c r="DTJ198" s="133"/>
      <c r="DTK198" s="133"/>
      <c r="DTL198" s="133"/>
      <c r="DTM198" s="133"/>
      <c r="DTN198" s="133"/>
      <c r="DTO198" s="133"/>
      <c r="DTP198" s="133"/>
      <c r="DTQ198" s="133"/>
      <c r="DTR198" s="133"/>
      <c r="DTS198" s="133"/>
      <c r="DTT198" s="133"/>
      <c r="DTU198" s="133"/>
      <c r="DTV198" s="133"/>
      <c r="DTW198" s="133"/>
      <c r="DTX198" s="133"/>
      <c r="DTY198" s="133"/>
      <c r="DTZ198" s="133"/>
      <c r="DUA198" s="133"/>
      <c r="DUB198" s="133"/>
      <c r="DUC198" s="133"/>
      <c r="DUD198" s="133"/>
      <c r="DUE198" s="133"/>
      <c r="DUF198" s="133"/>
      <c r="DUG198" s="133"/>
      <c r="DUH198" s="133"/>
      <c r="DUI198" s="133"/>
      <c r="DUJ198" s="133"/>
      <c r="DUK198" s="133"/>
      <c r="DUL198" s="133"/>
      <c r="DUM198" s="133"/>
      <c r="DUN198" s="133"/>
      <c r="DUO198" s="133"/>
      <c r="DUP198" s="133"/>
      <c r="DUQ198" s="133"/>
      <c r="DUR198" s="133"/>
      <c r="DUS198" s="133"/>
      <c r="DUT198" s="133"/>
      <c r="DUU198" s="133"/>
      <c r="DUV198" s="133"/>
      <c r="DUW198" s="133"/>
      <c r="DUX198" s="133"/>
      <c r="DUY198" s="133"/>
      <c r="DUZ198" s="133"/>
      <c r="DVA198" s="133"/>
      <c r="DVB198" s="133"/>
      <c r="DVC198" s="133"/>
      <c r="DVD198" s="133"/>
      <c r="DVE198" s="133"/>
      <c r="DVF198" s="133"/>
      <c r="DVG198" s="133"/>
      <c r="DVH198" s="133"/>
      <c r="DVI198" s="133"/>
      <c r="DVJ198" s="133"/>
      <c r="DVK198" s="133"/>
      <c r="DVL198" s="133"/>
      <c r="DVM198" s="133"/>
      <c r="DVN198" s="133"/>
      <c r="DVO198" s="133"/>
      <c r="DVP198" s="133"/>
      <c r="DVQ198" s="133"/>
      <c r="DVR198" s="133"/>
      <c r="DVS198" s="133"/>
      <c r="DVT198" s="133"/>
      <c r="DVU198" s="133"/>
      <c r="DVV198" s="133"/>
      <c r="DVW198" s="133"/>
      <c r="DVX198" s="133"/>
      <c r="DVY198" s="133"/>
      <c r="DVZ198" s="133"/>
      <c r="DWA198" s="133"/>
      <c r="DWB198" s="133"/>
      <c r="DWC198" s="133"/>
      <c r="DWD198" s="133"/>
      <c r="DWE198" s="133"/>
      <c r="DWF198" s="133"/>
      <c r="DWG198" s="133"/>
      <c r="DWH198" s="133"/>
      <c r="DWI198" s="133"/>
      <c r="DWJ198" s="133"/>
      <c r="DWK198" s="133"/>
      <c r="DWL198" s="133"/>
      <c r="DWM198" s="133"/>
      <c r="DWN198" s="133"/>
      <c r="DWO198" s="133"/>
      <c r="DWP198" s="133"/>
      <c r="DWQ198" s="133"/>
      <c r="DWR198" s="133"/>
      <c r="DWS198" s="133"/>
      <c r="DWT198" s="133"/>
      <c r="DWU198" s="133"/>
      <c r="DWV198" s="133"/>
      <c r="DWW198" s="133"/>
      <c r="DWX198" s="133"/>
      <c r="DWY198" s="133"/>
      <c r="DWZ198" s="133"/>
      <c r="DXA198" s="133"/>
      <c r="DXB198" s="133"/>
      <c r="DXC198" s="133"/>
      <c r="DXD198" s="133"/>
      <c r="DXE198" s="133"/>
      <c r="DXF198" s="133"/>
      <c r="DXG198" s="133"/>
      <c r="DXH198" s="133"/>
      <c r="DXI198" s="133"/>
      <c r="DXJ198" s="133"/>
      <c r="DXK198" s="133"/>
      <c r="DXL198" s="133"/>
      <c r="DXM198" s="133"/>
      <c r="DXN198" s="133"/>
      <c r="DXO198" s="133"/>
      <c r="DXP198" s="133"/>
      <c r="DXQ198" s="133"/>
      <c r="DXR198" s="133"/>
      <c r="DXS198" s="133"/>
      <c r="DXT198" s="133"/>
      <c r="DXU198" s="133"/>
      <c r="DXV198" s="133"/>
      <c r="DXW198" s="133"/>
      <c r="DXX198" s="133"/>
      <c r="DXY198" s="133"/>
      <c r="DXZ198" s="133"/>
      <c r="DYA198" s="133"/>
      <c r="DYB198" s="133"/>
      <c r="DYC198" s="133"/>
      <c r="DYD198" s="133"/>
      <c r="DYE198" s="133"/>
      <c r="DYF198" s="133"/>
      <c r="DYG198" s="133"/>
      <c r="DYH198" s="133"/>
      <c r="DYI198" s="133"/>
      <c r="DYJ198" s="133"/>
      <c r="DYK198" s="133"/>
      <c r="DYL198" s="133"/>
      <c r="DYM198" s="133"/>
      <c r="DYN198" s="133"/>
      <c r="DYO198" s="133"/>
      <c r="DYP198" s="133"/>
      <c r="DYQ198" s="133"/>
      <c r="DYR198" s="133"/>
      <c r="DYS198" s="133"/>
      <c r="DYT198" s="133"/>
      <c r="DYU198" s="133"/>
      <c r="DYV198" s="133"/>
      <c r="DYW198" s="133"/>
      <c r="DYX198" s="133"/>
      <c r="DYY198" s="133"/>
      <c r="DYZ198" s="133"/>
      <c r="DZA198" s="133"/>
      <c r="DZB198" s="133"/>
      <c r="DZC198" s="133"/>
      <c r="DZD198" s="133"/>
      <c r="DZE198" s="133"/>
      <c r="DZF198" s="133"/>
      <c r="DZG198" s="133"/>
      <c r="DZH198" s="133"/>
      <c r="DZI198" s="133"/>
      <c r="DZJ198" s="133"/>
      <c r="DZK198" s="133"/>
      <c r="DZL198" s="133"/>
      <c r="DZM198" s="133"/>
      <c r="DZN198" s="133"/>
      <c r="DZO198" s="133"/>
      <c r="DZP198" s="133"/>
      <c r="DZQ198" s="133"/>
      <c r="DZR198" s="133"/>
      <c r="DZS198" s="133"/>
      <c r="DZT198" s="133"/>
      <c r="DZU198" s="133"/>
      <c r="DZV198" s="133"/>
      <c r="DZW198" s="133"/>
      <c r="DZX198" s="133"/>
      <c r="DZY198" s="133"/>
      <c r="DZZ198" s="133"/>
      <c r="EAA198" s="133"/>
      <c r="EAB198" s="133"/>
      <c r="EAC198" s="133"/>
      <c r="EAD198" s="133"/>
      <c r="EAE198" s="133"/>
      <c r="EAF198" s="133"/>
      <c r="EAG198" s="133"/>
      <c r="EAH198" s="133"/>
      <c r="EAI198" s="133"/>
      <c r="EAJ198" s="133"/>
      <c r="EAK198" s="133"/>
      <c r="EAL198" s="133"/>
      <c r="EAM198" s="133"/>
      <c r="EAN198" s="133"/>
      <c r="EAO198" s="133"/>
      <c r="EAP198" s="133"/>
      <c r="EAQ198" s="133"/>
      <c r="EAR198" s="133"/>
      <c r="EAS198" s="133"/>
      <c r="EAT198" s="133"/>
      <c r="EAU198" s="133"/>
      <c r="EAV198" s="133"/>
      <c r="EAW198" s="133"/>
      <c r="EAX198" s="133"/>
      <c r="EAY198" s="133"/>
      <c r="EAZ198" s="133"/>
      <c r="EBA198" s="133"/>
      <c r="EBB198" s="133"/>
      <c r="EBC198" s="133"/>
      <c r="EBD198" s="133"/>
      <c r="EBE198" s="133"/>
      <c r="EBF198" s="133"/>
      <c r="EBG198" s="133"/>
      <c r="EBH198" s="133"/>
      <c r="EBI198" s="133"/>
      <c r="EBJ198" s="133"/>
      <c r="EBK198" s="133"/>
      <c r="EBL198" s="133"/>
      <c r="EBM198" s="133"/>
      <c r="EBN198" s="133"/>
      <c r="EBO198" s="133"/>
      <c r="EBP198" s="133"/>
      <c r="EBQ198" s="133"/>
      <c r="EBR198" s="133"/>
      <c r="EBS198" s="133"/>
      <c r="EBT198" s="133"/>
      <c r="EBU198" s="133"/>
      <c r="EBV198" s="133"/>
      <c r="EBW198" s="133"/>
      <c r="EBX198" s="133"/>
      <c r="EBY198" s="133"/>
      <c r="EBZ198" s="133"/>
      <c r="ECA198" s="133"/>
      <c r="ECB198" s="133"/>
      <c r="ECC198" s="133"/>
      <c r="ECD198" s="133"/>
      <c r="ECE198" s="133"/>
      <c r="ECF198" s="133"/>
      <c r="ECG198" s="133"/>
      <c r="ECH198" s="133"/>
      <c r="ECI198" s="133"/>
      <c r="ECJ198" s="133"/>
      <c r="ECK198" s="133"/>
      <c r="ECL198" s="133"/>
      <c r="ECM198" s="133"/>
      <c r="ECN198" s="133"/>
      <c r="ECO198" s="133"/>
      <c r="ECP198" s="133"/>
      <c r="ECQ198" s="133"/>
      <c r="ECR198" s="133"/>
      <c r="ECS198" s="133"/>
      <c r="ECT198" s="133"/>
      <c r="ECU198" s="133"/>
      <c r="ECV198" s="133"/>
      <c r="ECW198" s="133"/>
      <c r="ECX198" s="133"/>
      <c r="ECY198" s="133"/>
      <c r="ECZ198" s="133"/>
      <c r="EDA198" s="133"/>
      <c r="EDB198" s="133"/>
      <c r="EDC198" s="133"/>
      <c r="EDD198" s="133"/>
      <c r="EDE198" s="133"/>
      <c r="EDF198" s="133"/>
      <c r="EDG198" s="133"/>
      <c r="EDH198" s="133"/>
      <c r="EDI198" s="133"/>
      <c r="EDJ198" s="133"/>
      <c r="EDK198" s="133"/>
      <c r="EDL198" s="133"/>
      <c r="EDM198" s="133"/>
      <c r="EDN198" s="133"/>
      <c r="EDO198" s="133"/>
      <c r="EDP198" s="133"/>
      <c r="EDQ198" s="133"/>
      <c r="EDR198" s="133"/>
      <c r="EDS198" s="133"/>
      <c r="EDT198" s="133"/>
      <c r="EDU198" s="133"/>
      <c r="EDV198" s="133"/>
      <c r="EDW198" s="133"/>
      <c r="EDX198" s="133"/>
      <c r="EDY198" s="133"/>
      <c r="EDZ198" s="133"/>
      <c r="EEA198" s="133"/>
      <c r="EEB198" s="133"/>
      <c r="EEC198" s="133"/>
      <c r="EED198" s="133"/>
      <c r="EEE198" s="133"/>
      <c r="EEF198" s="133"/>
      <c r="EEG198" s="133"/>
      <c r="EEH198" s="133"/>
      <c r="EEI198" s="133"/>
      <c r="EEJ198" s="133"/>
      <c r="EEK198" s="133"/>
      <c r="EEL198" s="133"/>
      <c r="EEM198" s="133"/>
      <c r="EEN198" s="133"/>
      <c r="EEO198" s="133"/>
      <c r="EEP198" s="133"/>
      <c r="EEQ198" s="133"/>
      <c r="EER198" s="133"/>
      <c r="EES198" s="133"/>
      <c r="EET198" s="133"/>
      <c r="EEU198" s="133"/>
      <c r="EEV198" s="133"/>
      <c r="EEW198" s="133"/>
      <c r="EEX198" s="133"/>
      <c r="EEY198" s="133"/>
      <c r="EEZ198" s="133"/>
      <c r="EFA198" s="133"/>
      <c r="EFB198" s="133"/>
      <c r="EFC198" s="133"/>
      <c r="EFD198" s="133"/>
      <c r="EFE198" s="133"/>
      <c r="EFF198" s="133"/>
      <c r="EFG198" s="133"/>
      <c r="EFH198" s="133"/>
      <c r="EFI198" s="133"/>
      <c r="EFJ198" s="133"/>
      <c r="EFK198" s="133"/>
      <c r="EFL198" s="133"/>
      <c r="EFM198" s="133"/>
      <c r="EFN198" s="133"/>
      <c r="EFO198" s="133"/>
      <c r="EFP198" s="133"/>
      <c r="EFQ198" s="133"/>
      <c r="EFR198" s="133"/>
      <c r="EFS198" s="133"/>
      <c r="EFT198" s="133"/>
      <c r="EFU198" s="133"/>
      <c r="EFV198" s="133"/>
      <c r="EFW198" s="133"/>
      <c r="EFX198" s="133"/>
      <c r="EFY198" s="133"/>
      <c r="EFZ198" s="133"/>
      <c r="EGA198" s="133"/>
      <c r="EGB198" s="133"/>
      <c r="EGC198" s="133"/>
      <c r="EGD198" s="133"/>
      <c r="EGE198" s="133"/>
      <c r="EGF198" s="133"/>
      <c r="EGG198" s="133"/>
      <c r="EGH198" s="133"/>
      <c r="EGI198" s="133"/>
      <c r="EGJ198" s="133"/>
      <c r="EGK198" s="133"/>
      <c r="EGL198" s="133"/>
      <c r="EGM198" s="133"/>
      <c r="EGN198" s="133"/>
      <c r="EGO198" s="133"/>
      <c r="EGP198" s="133"/>
      <c r="EGQ198" s="133"/>
      <c r="EGR198" s="133"/>
      <c r="EGS198" s="133"/>
      <c r="EGT198" s="133"/>
      <c r="EGU198" s="133"/>
      <c r="EGV198" s="133"/>
      <c r="EGW198" s="133"/>
      <c r="EGX198" s="133"/>
      <c r="EGY198" s="133"/>
      <c r="EGZ198" s="133"/>
      <c r="EHA198" s="133"/>
      <c r="EHB198" s="133"/>
      <c r="EHC198" s="133"/>
      <c r="EHD198" s="133"/>
      <c r="EHE198" s="133"/>
      <c r="EHF198" s="133"/>
      <c r="EHG198" s="133"/>
      <c r="EHH198" s="133"/>
      <c r="EHI198" s="133"/>
      <c r="EHJ198" s="133"/>
      <c r="EHK198" s="133"/>
      <c r="EHL198" s="133"/>
      <c r="EHM198" s="133"/>
      <c r="EHN198" s="133"/>
      <c r="EHO198" s="133"/>
      <c r="EHP198" s="133"/>
      <c r="EHQ198" s="133"/>
      <c r="EHR198" s="133"/>
      <c r="EHS198" s="133"/>
      <c r="EHT198" s="133"/>
      <c r="EHU198" s="133"/>
      <c r="EHV198" s="133"/>
      <c r="EHW198" s="133"/>
      <c r="EHX198" s="133"/>
      <c r="EHY198" s="133"/>
      <c r="EHZ198" s="133"/>
      <c r="EIA198" s="133"/>
      <c r="EIB198" s="133"/>
      <c r="EIC198" s="133"/>
      <c r="EID198" s="133"/>
      <c r="EIE198" s="133"/>
      <c r="EIF198" s="133"/>
      <c r="EIG198" s="133"/>
      <c r="EIH198" s="133"/>
      <c r="EII198" s="133"/>
      <c r="EIJ198" s="133"/>
      <c r="EIK198" s="133"/>
      <c r="EIL198" s="133"/>
      <c r="EIM198" s="133"/>
      <c r="EIN198" s="133"/>
      <c r="EIO198" s="133"/>
      <c r="EIP198" s="133"/>
      <c r="EIQ198" s="133"/>
      <c r="EIR198" s="133"/>
      <c r="EIS198" s="133"/>
      <c r="EIT198" s="133"/>
      <c r="EIU198" s="133"/>
      <c r="EIV198" s="133"/>
      <c r="EIW198" s="133"/>
      <c r="EIX198" s="133"/>
      <c r="EIY198" s="133"/>
      <c r="EIZ198" s="133"/>
      <c r="EJA198" s="133"/>
      <c r="EJB198" s="133"/>
      <c r="EJC198" s="133"/>
      <c r="EJD198" s="133"/>
      <c r="EJE198" s="133"/>
      <c r="EJF198" s="133"/>
      <c r="EJG198" s="133"/>
      <c r="EJH198" s="133"/>
      <c r="EJI198" s="133"/>
      <c r="EJJ198" s="133"/>
      <c r="EJK198" s="133"/>
      <c r="EJL198" s="133"/>
      <c r="EJM198" s="133"/>
      <c r="EJN198" s="133"/>
      <c r="EJO198" s="133"/>
      <c r="EJP198" s="133"/>
      <c r="EJQ198" s="133"/>
      <c r="EJR198" s="133"/>
      <c r="EJS198" s="133"/>
      <c r="EJT198" s="133"/>
      <c r="EJU198" s="133"/>
      <c r="EJV198" s="133"/>
      <c r="EJW198" s="133"/>
      <c r="EJX198" s="133"/>
      <c r="EJY198" s="133"/>
      <c r="EJZ198" s="133"/>
      <c r="EKA198" s="133"/>
      <c r="EKB198" s="133"/>
      <c r="EKC198" s="133"/>
      <c r="EKD198" s="133"/>
      <c r="EKE198" s="133"/>
      <c r="EKF198" s="133"/>
      <c r="EKG198" s="133"/>
      <c r="EKH198" s="133"/>
      <c r="EKI198" s="133"/>
      <c r="EKJ198" s="133"/>
      <c r="EKK198" s="133"/>
      <c r="EKL198" s="133"/>
      <c r="EKM198" s="133"/>
      <c r="EKN198" s="133"/>
      <c r="EKO198" s="133"/>
      <c r="EKP198" s="133"/>
      <c r="EKQ198" s="133"/>
      <c r="EKR198" s="133"/>
      <c r="EKS198" s="133"/>
      <c r="EKT198" s="133"/>
      <c r="EKU198" s="133"/>
      <c r="EKV198" s="133"/>
      <c r="EKW198" s="133"/>
      <c r="EKX198" s="133"/>
      <c r="EKY198" s="133"/>
      <c r="EKZ198" s="133"/>
      <c r="ELA198" s="133"/>
      <c r="ELB198" s="133"/>
      <c r="ELC198" s="133"/>
      <c r="ELD198" s="133"/>
      <c r="ELE198" s="133"/>
      <c r="ELF198" s="133"/>
      <c r="ELG198" s="133"/>
      <c r="ELH198" s="133"/>
      <c r="ELI198" s="133"/>
      <c r="ELJ198" s="133"/>
      <c r="ELK198" s="133"/>
      <c r="ELL198" s="133"/>
      <c r="ELM198" s="133"/>
      <c r="ELN198" s="133"/>
      <c r="ELO198" s="133"/>
      <c r="ELP198" s="133"/>
      <c r="ELQ198" s="133"/>
      <c r="ELR198" s="133"/>
      <c r="ELS198" s="133"/>
      <c r="ELT198" s="133"/>
      <c r="ELU198" s="133"/>
      <c r="ELV198" s="133"/>
      <c r="ELW198" s="133"/>
      <c r="ELX198" s="133"/>
      <c r="ELY198" s="133"/>
      <c r="ELZ198" s="133"/>
      <c r="EMA198" s="133"/>
      <c r="EMB198" s="133"/>
      <c r="EMC198" s="133"/>
      <c r="EMD198" s="133"/>
      <c r="EME198" s="133"/>
      <c r="EMF198" s="133"/>
      <c r="EMG198" s="133"/>
      <c r="EMH198" s="133"/>
      <c r="EMI198" s="133"/>
      <c r="EMJ198" s="133"/>
      <c r="EMK198" s="133"/>
      <c r="EML198" s="133"/>
      <c r="EMM198" s="133"/>
      <c r="EMN198" s="133"/>
      <c r="EMO198" s="133"/>
      <c r="EMP198" s="133"/>
      <c r="EMQ198" s="133"/>
      <c r="EMR198" s="133"/>
      <c r="EMS198" s="133"/>
      <c r="EMT198" s="133"/>
      <c r="EMU198" s="133"/>
      <c r="EMV198" s="133"/>
      <c r="EMW198" s="133"/>
      <c r="EMX198" s="133"/>
      <c r="EMY198" s="133"/>
      <c r="EMZ198" s="133"/>
      <c r="ENA198" s="133"/>
      <c r="ENB198" s="133"/>
      <c r="ENC198" s="133"/>
      <c r="END198" s="133"/>
      <c r="ENE198" s="133"/>
      <c r="ENF198" s="133"/>
      <c r="ENG198" s="133"/>
      <c r="ENH198" s="133"/>
      <c r="ENI198" s="133"/>
      <c r="ENJ198" s="133"/>
      <c r="ENK198" s="133"/>
      <c r="ENL198" s="133"/>
      <c r="ENM198" s="133"/>
      <c r="ENN198" s="133"/>
      <c r="ENO198" s="133"/>
      <c r="ENP198" s="133"/>
      <c r="ENQ198" s="133"/>
      <c r="ENR198" s="133"/>
      <c r="ENS198" s="133"/>
      <c r="ENT198" s="133"/>
      <c r="ENU198" s="133"/>
      <c r="ENV198" s="133"/>
      <c r="ENW198" s="133"/>
      <c r="ENX198" s="133"/>
      <c r="ENY198" s="133"/>
      <c r="ENZ198" s="133"/>
      <c r="EOA198" s="133"/>
      <c r="EOB198" s="133"/>
      <c r="EOC198" s="133"/>
      <c r="EOD198" s="133"/>
      <c r="EOE198" s="133"/>
      <c r="EOF198" s="133"/>
      <c r="EOG198" s="133"/>
      <c r="EOH198" s="133"/>
      <c r="EOI198" s="133"/>
      <c r="EOJ198" s="133"/>
      <c r="EOK198" s="133"/>
      <c r="EOL198" s="133"/>
      <c r="EOM198" s="133"/>
      <c r="EON198" s="133"/>
      <c r="EOO198" s="133"/>
      <c r="EOP198" s="133"/>
      <c r="EOQ198" s="133"/>
      <c r="EOR198" s="133"/>
      <c r="EOS198" s="133"/>
      <c r="EOT198" s="133"/>
      <c r="EOU198" s="133"/>
      <c r="EOV198" s="133"/>
      <c r="EOW198" s="133"/>
      <c r="EOX198" s="133"/>
      <c r="EOY198" s="133"/>
      <c r="EOZ198" s="133"/>
      <c r="EPA198" s="133"/>
      <c r="EPB198" s="133"/>
      <c r="EPC198" s="133"/>
      <c r="EPD198" s="133"/>
      <c r="EPE198" s="133"/>
      <c r="EPF198" s="133"/>
      <c r="EPG198" s="133"/>
      <c r="EPH198" s="133"/>
      <c r="EPI198" s="133"/>
      <c r="EPJ198" s="133"/>
      <c r="EPK198" s="133"/>
      <c r="EPL198" s="133"/>
      <c r="EPM198" s="133"/>
      <c r="EPN198" s="133"/>
      <c r="EPO198" s="133"/>
      <c r="EPP198" s="133"/>
      <c r="EPQ198" s="133"/>
      <c r="EPR198" s="133"/>
      <c r="EPS198" s="133"/>
      <c r="EPT198" s="133"/>
      <c r="EPU198" s="133"/>
      <c r="EPV198" s="133"/>
      <c r="EPW198" s="133"/>
      <c r="EPX198" s="133"/>
      <c r="EPY198" s="133"/>
      <c r="EPZ198" s="133"/>
      <c r="EQA198" s="133"/>
      <c r="EQB198" s="133"/>
      <c r="EQC198" s="133"/>
      <c r="EQD198" s="133"/>
      <c r="EQE198" s="133"/>
      <c r="EQF198" s="133"/>
      <c r="EQG198" s="133"/>
      <c r="EQH198" s="133"/>
      <c r="EQI198" s="133"/>
      <c r="EQJ198" s="133"/>
      <c r="EQK198" s="133"/>
      <c r="EQL198" s="133"/>
      <c r="EQM198" s="133"/>
      <c r="EQN198" s="133"/>
      <c r="EQO198" s="133"/>
      <c r="EQP198" s="133"/>
      <c r="EQQ198" s="133"/>
      <c r="EQR198" s="133"/>
      <c r="EQS198" s="133"/>
      <c r="EQT198" s="133"/>
      <c r="EQU198" s="133"/>
      <c r="EQV198" s="133"/>
      <c r="EQW198" s="133"/>
      <c r="EQX198" s="133"/>
      <c r="EQY198" s="133"/>
      <c r="EQZ198" s="133"/>
      <c r="ERA198" s="133"/>
      <c r="ERB198" s="133"/>
      <c r="ERC198" s="133"/>
      <c r="ERD198" s="133"/>
      <c r="ERE198" s="133"/>
      <c r="ERF198" s="133"/>
      <c r="ERG198" s="133"/>
      <c r="ERH198" s="133"/>
      <c r="ERI198" s="133"/>
      <c r="ERJ198" s="133"/>
      <c r="ERK198" s="133"/>
      <c r="ERL198" s="133"/>
      <c r="ERM198" s="133"/>
      <c r="ERN198" s="133"/>
      <c r="ERO198" s="133"/>
      <c r="ERP198" s="133"/>
      <c r="ERQ198" s="133"/>
      <c r="ERR198" s="133"/>
      <c r="ERS198" s="133"/>
      <c r="ERT198" s="133"/>
      <c r="ERU198" s="133"/>
      <c r="ERV198" s="133"/>
      <c r="ERW198" s="133"/>
      <c r="ERX198" s="133"/>
      <c r="ERY198" s="133"/>
      <c r="ERZ198" s="133"/>
      <c r="ESA198" s="133"/>
      <c r="ESB198" s="133"/>
      <c r="ESC198" s="133"/>
      <c r="ESD198" s="133"/>
      <c r="ESE198" s="133"/>
      <c r="ESF198" s="133"/>
      <c r="ESG198" s="133"/>
      <c r="ESH198" s="133"/>
      <c r="ESI198" s="133"/>
      <c r="ESJ198" s="133"/>
      <c r="ESK198" s="133"/>
      <c r="ESL198" s="133"/>
      <c r="ESM198" s="133"/>
      <c r="ESN198" s="133"/>
      <c r="ESO198" s="133"/>
      <c r="ESP198" s="133"/>
      <c r="ESQ198" s="133"/>
      <c r="ESR198" s="133"/>
      <c r="ESS198" s="133"/>
      <c r="EST198" s="133"/>
      <c r="ESU198" s="133"/>
      <c r="ESV198" s="133"/>
      <c r="ESW198" s="133"/>
      <c r="ESX198" s="133"/>
      <c r="ESY198" s="133"/>
      <c r="ESZ198" s="133"/>
      <c r="ETA198" s="133"/>
      <c r="ETB198" s="133"/>
      <c r="ETC198" s="133"/>
      <c r="ETD198" s="133"/>
      <c r="ETE198" s="133"/>
      <c r="ETF198" s="133"/>
      <c r="ETG198" s="133"/>
      <c r="ETH198" s="133"/>
      <c r="ETI198" s="133"/>
      <c r="ETJ198" s="133"/>
      <c r="ETK198" s="133"/>
      <c r="ETL198" s="133"/>
      <c r="ETM198" s="133"/>
      <c r="ETN198" s="133"/>
      <c r="ETO198" s="133"/>
      <c r="ETP198" s="133"/>
      <c r="ETQ198" s="133"/>
      <c r="ETR198" s="133"/>
      <c r="ETS198" s="133"/>
      <c r="ETT198" s="133"/>
      <c r="ETU198" s="133"/>
      <c r="ETV198" s="133"/>
      <c r="ETW198" s="133"/>
      <c r="ETX198" s="133"/>
      <c r="ETY198" s="133"/>
      <c r="ETZ198" s="133"/>
      <c r="EUA198" s="133"/>
      <c r="EUB198" s="133"/>
      <c r="EUC198" s="133"/>
      <c r="EUD198" s="133"/>
      <c r="EUE198" s="133"/>
      <c r="EUF198" s="133"/>
      <c r="EUG198" s="133"/>
      <c r="EUH198" s="133"/>
      <c r="EUI198" s="133"/>
      <c r="EUJ198" s="133"/>
      <c r="EUK198" s="133"/>
      <c r="EUL198" s="133"/>
      <c r="EUM198" s="133"/>
      <c r="EUN198" s="133"/>
      <c r="EUO198" s="133"/>
      <c r="EUP198" s="133"/>
      <c r="EUQ198" s="133"/>
      <c r="EUR198" s="133"/>
      <c r="EUS198" s="133"/>
      <c r="EUT198" s="133"/>
      <c r="EUU198" s="133"/>
      <c r="EUV198" s="133"/>
      <c r="EUW198" s="133"/>
      <c r="EUX198" s="133"/>
      <c r="EUY198" s="133"/>
      <c r="EUZ198" s="133"/>
      <c r="EVA198" s="133"/>
      <c r="EVB198" s="133"/>
      <c r="EVC198" s="133"/>
      <c r="EVD198" s="133"/>
      <c r="EVE198" s="133"/>
      <c r="EVF198" s="133"/>
      <c r="EVG198" s="133"/>
      <c r="EVH198" s="133"/>
      <c r="EVI198" s="133"/>
      <c r="EVJ198" s="133"/>
      <c r="EVK198" s="133"/>
      <c r="EVL198" s="133"/>
      <c r="EVM198" s="133"/>
      <c r="EVN198" s="133"/>
      <c r="EVO198" s="133"/>
      <c r="EVP198" s="133"/>
      <c r="EVQ198" s="133"/>
      <c r="EVR198" s="133"/>
      <c r="EVS198" s="133"/>
      <c r="EVT198" s="133"/>
      <c r="EVU198" s="133"/>
      <c r="EVV198" s="133"/>
      <c r="EVW198" s="133"/>
      <c r="EVX198" s="133"/>
      <c r="EVY198" s="133"/>
      <c r="EVZ198" s="133"/>
      <c r="EWA198" s="133"/>
      <c r="EWB198" s="133"/>
      <c r="EWC198" s="133"/>
      <c r="EWD198" s="133"/>
      <c r="EWE198" s="133"/>
      <c r="EWF198" s="133"/>
      <c r="EWG198" s="133"/>
      <c r="EWH198" s="133"/>
      <c r="EWI198" s="133"/>
      <c r="EWJ198" s="133"/>
      <c r="EWK198" s="133"/>
      <c r="EWL198" s="133"/>
      <c r="EWM198" s="133"/>
      <c r="EWN198" s="133"/>
      <c r="EWO198" s="133"/>
      <c r="EWP198" s="133"/>
      <c r="EWQ198" s="133"/>
      <c r="EWR198" s="133"/>
      <c r="EWS198" s="133"/>
      <c r="EWT198" s="133"/>
      <c r="EWU198" s="133"/>
      <c r="EWV198" s="133"/>
      <c r="EWW198" s="133"/>
      <c r="EWX198" s="133"/>
      <c r="EWY198" s="133"/>
      <c r="EWZ198" s="133"/>
      <c r="EXA198" s="133"/>
      <c r="EXB198" s="133"/>
      <c r="EXC198" s="133"/>
      <c r="EXD198" s="133"/>
      <c r="EXE198" s="133"/>
      <c r="EXF198" s="133"/>
      <c r="EXG198" s="133"/>
      <c r="EXH198" s="133"/>
      <c r="EXI198" s="133"/>
      <c r="EXJ198" s="133"/>
      <c r="EXK198" s="133"/>
      <c r="EXL198" s="133"/>
      <c r="EXM198" s="133"/>
      <c r="EXN198" s="133"/>
      <c r="EXO198" s="133"/>
      <c r="EXP198" s="133"/>
      <c r="EXQ198" s="133"/>
      <c r="EXR198" s="133"/>
      <c r="EXS198" s="133"/>
      <c r="EXT198" s="133"/>
      <c r="EXU198" s="133"/>
      <c r="EXV198" s="133"/>
      <c r="EXW198" s="133"/>
      <c r="EXX198" s="133"/>
      <c r="EXY198" s="133"/>
      <c r="EXZ198" s="133"/>
      <c r="EYA198" s="133"/>
      <c r="EYB198" s="133"/>
      <c r="EYC198" s="133"/>
      <c r="EYD198" s="133"/>
      <c r="EYE198" s="133"/>
      <c r="EYF198" s="133"/>
      <c r="EYG198" s="133"/>
      <c r="EYH198" s="133"/>
      <c r="EYI198" s="133"/>
      <c r="EYJ198" s="133"/>
      <c r="EYK198" s="133"/>
      <c r="EYL198" s="133"/>
      <c r="EYM198" s="133"/>
      <c r="EYN198" s="133"/>
      <c r="EYO198" s="133"/>
      <c r="EYP198" s="133"/>
      <c r="EYQ198" s="133"/>
      <c r="EYR198" s="133"/>
      <c r="EYS198" s="133"/>
      <c r="EYT198" s="133"/>
      <c r="EYU198" s="133"/>
      <c r="EYV198" s="133"/>
      <c r="EYW198" s="133"/>
      <c r="EYX198" s="133"/>
      <c r="EYY198" s="133"/>
      <c r="EYZ198" s="133"/>
      <c r="EZA198" s="133"/>
      <c r="EZB198" s="133"/>
      <c r="EZC198" s="133"/>
      <c r="EZD198" s="133"/>
      <c r="EZE198" s="133"/>
      <c r="EZF198" s="133"/>
      <c r="EZG198" s="133"/>
      <c r="EZH198" s="133"/>
      <c r="EZI198" s="133"/>
      <c r="EZJ198" s="133"/>
      <c r="EZK198" s="133"/>
      <c r="EZL198" s="133"/>
      <c r="EZM198" s="133"/>
      <c r="EZN198" s="133"/>
      <c r="EZO198" s="133"/>
      <c r="EZP198" s="133"/>
      <c r="EZQ198" s="133"/>
      <c r="EZR198" s="133"/>
      <c r="EZS198" s="133"/>
      <c r="EZT198" s="133"/>
      <c r="EZU198" s="133"/>
      <c r="EZV198" s="133"/>
      <c r="EZW198" s="133"/>
      <c r="EZX198" s="133"/>
      <c r="EZY198" s="133"/>
      <c r="EZZ198" s="133"/>
      <c r="FAA198" s="133"/>
      <c r="FAB198" s="133"/>
      <c r="FAC198" s="133"/>
      <c r="FAD198" s="133"/>
      <c r="FAE198" s="133"/>
      <c r="FAF198" s="133"/>
      <c r="FAG198" s="133"/>
      <c r="FAH198" s="133"/>
      <c r="FAI198" s="133"/>
      <c r="FAJ198" s="133"/>
      <c r="FAK198" s="133"/>
      <c r="FAL198" s="133"/>
      <c r="FAM198" s="133"/>
      <c r="FAN198" s="133"/>
      <c r="FAO198" s="133"/>
      <c r="FAP198" s="133"/>
      <c r="FAQ198" s="133"/>
      <c r="FAR198" s="133"/>
      <c r="FAS198" s="133"/>
      <c r="FAT198" s="133"/>
      <c r="FAU198" s="133"/>
      <c r="FAV198" s="133"/>
      <c r="FAW198" s="133"/>
      <c r="FAX198" s="133"/>
      <c r="FAY198" s="133"/>
      <c r="FAZ198" s="133"/>
      <c r="FBA198" s="133"/>
      <c r="FBB198" s="133"/>
      <c r="FBC198" s="133"/>
      <c r="FBD198" s="133"/>
      <c r="FBE198" s="133"/>
      <c r="FBF198" s="133"/>
      <c r="FBG198" s="133"/>
      <c r="FBH198" s="133"/>
      <c r="FBI198" s="133"/>
      <c r="FBJ198" s="133"/>
      <c r="FBK198" s="133"/>
      <c r="FBL198" s="133"/>
      <c r="FBM198" s="133"/>
      <c r="FBN198" s="133"/>
      <c r="FBO198" s="133"/>
      <c r="FBP198" s="133"/>
      <c r="FBQ198" s="133"/>
      <c r="FBR198" s="133"/>
      <c r="FBS198" s="133"/>
      <c r="FBT198" s="133"/>
      <c r="FBU198" s="133"/>
      <c r="FBV198" s="133"/>
      <c r="FBW198" s="133"/>
      <c r="FBX198" s="133"/>
      <c r="FBY198" s="133"/>
      <c r="FBZ198" s="133"/>
      <c r="FCA198" s="133"/>
      <c r="FCB198" s="133"/>
      <c r="FCC198" s="133"/>
      <c r="FCD198" s="133"/>
      <c r="FCE198" s="133"/>
      <c r="FCF198" s="133"/>
      <c r="FCG198" s="133"/>
      <c r="FCH198" s="133"/>
      <c r="FCI198" s="133"/>
      <c r="FCJ198" s="133"/>
      <c r="FCK198" s="133"/>
      <c r="FCL198" s="133"/>
      <c r="FCM198" s="133"/>
      <c r="FCN198" s="133"/>
      <c r="FCO198" s="133"/>
      <c r="FCP198" s="133"/>
      <c r="FCQ198" s="133"/>
      <c r="FCR198" s="133"/>
      <c r="FCS198" s="133"/>
      <c r="FCT198" s="133"/>
      <c r="FCU198" s="133"/>
      <c r="FCV198" s="133"/>
      <c r="FCW198" s="133"/>
      <c r="FCX198" s="133"/>
      <c r="FCY198" s="133"/>
      <c r="FCZ198" s="133"/>
      <c r="FDA198" s="133"/>
      <c r="FDB198" s="133"/>
      <c r="FDC198" s="133"/>
      <c r="FDD198" s="133"/>
      <c r="FDE198" s="133"/>
      <c r="FDF198" s="133"/>
      <c r="FDG198" s="133"/>
      <c r="FDH198" s="133"/>
      <c r="FDI198" s="133"/>
      <c r="FDJ198" s="133"/>
      <c r="FDK198" s="133"/>
      <c r="FDL198" s="133"/>
      <c r="FDM198" s="133"/>
      <c r="FDN198" s="133"/>
      <c r="FDO198" s="133"/>
      <c r="FDP198" s="133"/>
      <c r="FDQ198" s="133"/>
      <c r="FDR198" s="133"/>
      <c r="FDS198" s="133"/>
      <c r="FDT198" s="133"/>
      <c r="FDU198" s="133"/>
      <c r="FDV198" s="133"/>
      <c r="FDW198" s="133"/>
      <c r="FDX198" s="133"/>
      <c r="FDY198" s="133"/>
      <c r="FDZ198" s="133"/>
      <c r="FEA198" s="133"/>
      <c r="FEB198" s="133"/>
      <c r="FEC198" s="133"/>
      <c r="FED198" s="133"/>
      <c r="FEE198" s="133"/>
      <c r="FEF198" s="133"/>
      <c r="FEG198" s="133"/>
      <c r="FEH198" s="133"/>
      <c r="FEI198" s="133"/>
      <c r="FEJ198" s="133"/>
      <c r="FEK198" s="133"/>
      <c r="FEL198" s="133"/>
      <c r="FEM198" s="133"/>
      <c r="FEN198" s="133"/>
      <c r="FEO198" s="133"/>
      <c r="FEP198" s="133"/>
      <c r="FEQ198" s="133"/>
      <c r="FER198" s="133"/>
      <c r="FES198" s="133"/>
      <c r="FET198" s="133"/>
      <c r="FEU198" s="133"/>
      <c r="FEV198" s="133"/>
      <c r="FEW198" s="133"/>
      <c r="FEX198" s="133"/>
      <c r="FEY198" s="133"/>
      <c r="FEZ198" s="133"/>
      <c r="FFA198" s="133"/>
      <c r="FFB198" s="133"/>
      <c r="FFC198" s="133"/>
      <c r="FFD198" s="133"/>
      <c r="FFE198" s="133"/>
      <c r="FFF198" s="133"/>
      <c r="FFG198" s="133"/>
      <c r="FFH198" s="133"/>
      <c r="FFI198" s="133"/>
      <c r="FFJ198" s="133"/>
      <c r="FFK198" s="133"/>
      <c r="FFL198" s="133"/>
      <c r="FFM198" s="133"/>
      <c r="FFN198" s="133"/>
      <c r="FFO198" s="133"/>
      <c r="FFP198" s="133"/>
      <c r="FFQ198" s="133"/>
      <c r="FFR198" s="133"/>
      <c r="FFS198" s="133"/>
      <c r="FFT198" s="133"/>
      <c r="FFU198" s="133"/>
      <c r="FFV198" s="133"/>
      <c r="FFW198" s="133"/>
      <c r="FFX198" s="133"/>
      <c r="FFY198" s="133"/>
      <c r="FFZ198" s="133"/>
      <c r="FGA198" s="133"/>
      <c r="FGB198" s="133"/>
      <c r="FGC198" s="133"/>
      <c r="FGD198" s="133"/>
      <c r="FGE198" s="133"/>
      <c r="FGF198" s="133"/>
      <c r="FGG198" s="133"/>
      <c r="FGH198" s="133"/>
      <c r="FGI198" s="133"/>
      <c r="FGJ198" s="133"/>
      <c r="FGK198" s="133"/>
      <c r="FGL198" s="133"/>
      <c r="FGM198" s="133"/>
      <c r="FGN198" s="133"/>
      <c r="FGO198" s="133"/>
      <c r="FGP198" s="133"/>
      <c r="FGQ198" s="133"/>
      <c r="FGR198" s="133"/>
      <c r="FGS198" s="133"/>
      <c r="FGT198" s="133"/>
      <c r="FGU198" s="133"/>
      <c r="FGV198" s="133"/>
      <c r="FGW198" s="133"/>
      <c r="FGX198" s="133"/>
      <c r="FGY198" s="133"/>
      <c r="FGZ198" s="133"/>
      <c r="FHA198" s="133"/>
      <c r="FHB198" s="133"/>
      <c r="FHC198" s="133"/>
      <c r="FHD198" s="133"/>
      <c r="FHE198" s="133"/>
      <c r="FHF198" s="133"/>
      <c r="FHG198" s="133"/>
      <c r="FHH198" s="133"/>
      <c r="FHI198" s="133"/>
      <c r="FHJ198" s="133"/>
      <c r="FHK198" s="133"/>
      <c r="FHL198" s="133"/>
      <c r="FHM198" s="133"/>
      <c r="FHN198" s="133"/>
      <c r="FHO198" s="133"/>
      <c r="FHP198" s="133"/>
      <c r="FHQ198" s="133"/>
      <c r="FHR198" s="133"/>
      <c r="FHS198" s="133"/>
      <c r="FHT198" s="133"/>
      <c r="FHU198" s="133"/>
      <c r="FHV198" s="133"/>
      <c r="FHW198" s="133"/>
      <c r="FHX198" s="133"/>
      <c r="FHY198" s="133"/>
      <c r="FHZ198" s="133"/>
      <c r="FIA198" s="133"/>
      <c r="FIB198" s="133"/>
      <c r="FIC198" s="133"/>
      <c r="FID198" s="133"/>
      <c r="FIE198" s="133"/>
      <c r="FIF198" s="133"/>
      <c r="FIG198" s="133"/>
      <c r="FIH198" s="133"/>
      <c r="FII198" s="133"/>
      <c r="FIJ198" s="133"/>
      <c r="FIK198" s="133"/>
      <c r="FIL198" s="133"/>
      <c r="FIM198" s="133"/>
      <c r="FIN198" s="133"/>
      <c r="FIO198" s="133"/>
      <c r="FIP198" s="133"/>
      <c r="FIQ198" s="133"/>
      <c r="FIR198" s="133"/>
      <c r="FIS198" s="133"/>
      <c r="FIT198" s="133"/>
      <c r="FIU198" s="133"/>
      <c r="FIV198" s="133"/>
      <c r="FIW198" s="133"/>
      <c r="FIX198" s="133"/>
      <c r="FIY198" s="133"/>
      <c r="FIZ198" s="133"/>
      <c r="FJA198" s="133"/>
      <c r="FJB198" s="133"/>
      <c r="FJC198" s="133"/>
      <c r="FJD198" s="133"/>
      <c r="FJE198" s="133"/>
      <c r="FJF198" s="133"/>
      <c r="FJG198" s="133"/>
      <c r="FJH198" s="133"/>
      <c r="FJI198" s="133"/>
      <c r="FJJ198" s="133"/>
      <c r="FJK198" s="133"/>
      <c r="FJL198" s="133"/>
      <c r="FJM198" s="133"/>
      <c r="FJN198" s="133"/>
      <c r="FJO198" s="133"/>
      <c r="FJP198" s="133"/>
      <c r="FJQ198" s="133"/>
      <c r="FJR198" s="133"/>
      <c r="FJS198" s="133"/>
      <c r="FJT198" s="133"/>
      <c r="FJU198" s="133"/>
      <c r="FJV198" s="133"/>
      <c r="FJW198" s="133"/>
      <c r="FJX198" s="133"/>
      <c r="FJY198" s="133"/>
      <c r="FJZ198" s="133"/>
      <c r="FKA198" s="133"/>
      <c r="FKB198" s="133"/>
      <c r="FKC198" s="133"/>
      <c r="FKD198" s="133"/>
      <c r="FKE198" s="133"/>
      <c r="FKF198" s="133"/>
      <c r="FKG198" s="133"/>
      <c r="FKH198" s="133"/>
      <c r="FKI198" s="133"/>
      <c r="FKJ198" s="133"/>
      <c r="FKK198" s="133"/>
      <c r="FKL198" s="133"/>
      <c r="FKM198" s="133"/>
      <c r="FKN198" s="133"/>
      <c r="FKO198" s="133"/>
      <c r="FKP198" s="133"/>
      <c r="FKQ198" s="133"/>
      <c r="FKR198" s="133"/>
      <c r="FKS198" s="133"/>
      <c r="FKT198" s="133"/>
      <c r="FKU198" s="133"/>
      <c r="FKV198" s="133"/>
      <c r="FKW198" s="133"/>
      <c r="FKX198" s="133"/>
      <c r="FKY198" s="133"/>
      <c r="FKZ198" s="133"/>
      <c r="FLA198" s="133"/>
      <c r="FLB198" s="133"/>
      <c r="FLC198" s="133"/>
      <c r="FLD198" s="133"/>
      <c r="FLE198" s="133"/>
      <c r="FLF198" s="133"/>
      <c r="FLG198" s="133"/>
      <c r="FLH198" s="133"/>
      <c r="FLI198" s="133"/>
      <c r="FLJ198" s="133"/>
      <c r="FLK198" s="133"/>
      <c r="FLL198" s="133"/>
      <c r="FLM198" s="133"/>
      <c r="FLN198" s="133"/>
      <c r="FLO198" s="133"/>
      <c r="FLP198" s="133"/>
      <c r="FLQ198" s="133"/>
      <c r="FLR198" s="133"/>
      <c r="FLS198" s="133"/>
      <c r="FLT198" s="133"/>
      <c r="FLU198" s="133"/>
      <c r="FLV198" s="133"/>
      <c r="FLW198" s="133"/>
      <c r="FLX198" s="133"/>
      <c r="FLY198" s="133"/>
      <c r="FLZ198" s="133"/>
      <c r="FMA198" s="133"/>
      <c r="FMB198" s="133"/>
      <c r="FMC198" s="133"/>
      <c r="FMD198" s="133"/>
      <c r="FME198" s="133"/>
      <c r="FMF198" s="133"/>
      <c r="FMG198" s="133"/>
      <c r="FMH198" s="133"/>
      <c r="FMI198" s="133"/>
      <c r="FMJ198" s="133"/>
      <c r="FMK198" s="133"/>
      <c r="FML198" s="133"/>
      <c r="FMM198" s="133"/>
      <c r="FMN198" s="133"/>
      <c r="FMO198" s="133"/>
      <c r="FMP198" s="133"/>
      <c r="FMQ198" s="133"/>
      <c r="FMR198" s="133"/>
      <c r="FMS198" s="133"/>
      <c r="FMT198" s="133"/>
      <c r="FMU198" s="133"/>
      <c r="FMV198" s="133"/>
      <c r="FMW198" s="133"/>
      <c r="FMX198" s="133"/>
      <c r="FMY198" s="133"/>
      <c r="FMZ198" s="133"/>
      <c r="FNA198" s="133"/>
      <c r="FNB198" s="133"/>
      <c r="FNC198" s="133"/>
      <c r="FND198" s="133"/>
      <c r="FNE198" s="133"/>
      <c r="FNF198" s="133"/>
      <c r="FNG198" s="133"/>
      <c r="FNH198" s="133"/>
      <c r="FNI198" s="133"/>
      <c r="FNJ198" s="133"/>
      <c r="FNK198" s="133"/>
      <c r="FNL198" s="133"/>
      <c r="FNM198" s="133"/>
      <c r="FNN198" s="133"/>
      <c r="FNO198" s="133"/>
      <c r="FNP198" s="133"/>
      <c r="FNQ198" s="133"/>
      <c r="FNR198" s="133"/>
      <c r="FNS198" s="133"/>
      <c r="FNT198" s="133"/>
      <c r="FNU198" s="133"/>
      <c r="FNV198" s="133"/>
      <c r="FNW198" s="133"/>
      <c r="FNX198" s="133"/>
      <c r="FNY198" s="133"/>
      <c r="FNZ198" s="133"/>
      <c r="FOA198" s="133"/>
      <c r="FOB198" s="133"/>
      <c r="FOC198" s="133"/>
      <c r="FOD198" s="133"/>
      <c r="FOE198" s="133"/>
      <c r="FOF198" s="133"/>
      <c r="FOG198" s="133"/>
      <c r="FOH198" s="133"/>
      <c r="FOI198" s="133"/>
      <c r="FOJ198" s="133"/>
      <c r="FOK198" s="133"/>
      <c r="FOL198" s="133"/>
      <c r="FOM198" s="133"/>
      <c r="FON198" s="133"/>
      <c r="FOO198" s="133"/>
      <c r="FOP198" s="133"/>
      <c r="FOQ198" s="133"/>
      <c r="FOR198" s="133"/>
      <c r="FOS198" s="133"/>
      <c r="FOT198" s="133"/>
      <c r="FOU198" s="133"/>
      <c r="FOV198" s="133"/>
      <c r="FOW198" s="133"/>
      <c r="FOX198" s="133"/>
      <c r="FOY198" s="133"/>
      <c r="FOZ198" s="133"/>
      <c r="FPA198" s="133"/>
      <c r="FPB198" s="133"/>
      <c r="FPC198" s="133"/>
      <c r="FPD198" s="133"/>
      <c r="FPE198" s="133"/>
      <c r="FPF198" s="133"/>
      <c r="FPG198" s="133"/>
      <c r="FPH198" s="133"/>
      <c r="FPI198" s="133"/>
      <c r="FPJ198" s="133"/>
      <c r="FPK198" s="133"/>
      <c r="FPL198" s="133"/>
      <c r="FPM198" s="133"/>
      <c r="FPN198" s="133"/>
      <c r="FPO198" s="133"/>
      <c r="FPP198" s="133"/>
      <c r="FPQ198" s="133"/>
      <c r="FPR198" s="133"/>
      <c r="FPS198" s="133"/>
      <c r="FPT198" s="133"/>
      <c r="FPU198" s="133"/>
      <c r="FPV198" s="133"/>
      <c r="FPW198" s="133"/>
      <c r="FPX198" s="133"/>
      <c r="FPY198" s="133"/>
      <c r="FPZ198" s="133"/>
      <c r="FQA198" s="133"/>
      <c r="FQB198" s="133"/>
      <c r="FQC198" s="133"/>
      <c r="FQD198" s="133"/>
      <c r="FQE198" s="133"/>
      <c r="FQF198" s="133"/>
      <c r="FQG198" s="133"/>
      <c r="FQH198" s="133"/>
      <c r="FQI198" s="133"/>
      <c r="FQJ198" s="133"/>
      <c r="FQK198" s="133"/>
      <c r="FQL198" s="133"/>
      <c r="FQM198" s="133"/>
      <c r="FQN198" s="133"/>
      <c r="FQO198" s="133"/>
      <c r="FQP198" s="133"/>
      <c r="FQQ198" s="133"/>
      <c r="FQR198" s="133"/>
      <c r="FQS198" s="133"/>
      <c r="FQT198" s="133"/>
      <c r="FQU198" s="133"/>
      <c r="FQV198" s="133"/>
      <c r="FQW198" s="133"/>
      <c r="FQX198" s="133"/>
      <c r="FQY198" s="133"/>
      <c r="FQZ198" s="133"/>
      <c r="FRA198" s="133"/>
      <c r="FRB198" s="133"/>
      <c r="FRC198" s="133"/>
      <c r="FRD198" s="133"/>
      <c r="FRE198" s="133"/>
      <c r="FRF198" s="133"/>
      <c r="FRG198" s="133"/>
      <c r="FRH198" s="133"/>
      <c r="FRI198" s="133"/>
      <c r="FRJ198" s="133"/>
      <c r="FRK198" s="133"/>
      <c r="FRL198" s="133"/>
      <c r="FRM198" s="133"/>
      <c r="FRN198" s="133"/>
      <c r="FRO198" s="133"/>
      <c r="FRP198" s="133"/>
      <c r="FRQ198" s="133"/>
      <c r="FRR198" s="133"/>
      <c r="FRS198" s="133"/>
      <c r="FRT198" s="133"/>
      <c r="FRU198" s="133"/>
      <c r="FRV198" s="133"/>
      <c r="FRW198" s="133"/>
      <c r="FRX198" s="133"/>
      <c r="FRY198" s="133"/>
      <c r="FRZ198" s="133"/>
      <c r="FSA198" s="133"/>
      <c r="FSB198" s="133"/>
      <c r="FSC198" s="133"/>
      <c r="FSD198" s="133"/>
      <c r="FSE198" s="133"/>
      <c r="FSF198" s="133"/>
      <c r="FSG198" s="133"/>
      <c r="FSH198" s="133"/>
      <c r="FSI198" s="133"/>
      <c r="FSJ198" s="133"/>
      <c r="FSK198" s="133"/>
      <c r="FSL198" s="133"/>
      <c r="FSM198" s="133"/>
      <c r="FSN198" s="133"/>
      <c r="FSO198" s="133"/>
      <c r="FSP198" s="133"/>
      <c r="FSQ198" s="133"/>
      <c r="FSR198" s="133"/>
      <c r="FSS198" s="133"/>
      <c r="FST198" s="133"/>
      <c r="FSU198" s="133"/>
      <c r="FSV198" s="133"/>
      <c r="FSW198" s="133"/>
      <c r="FSX198" s="133"/>
      <c r="FSY198" s="133"/>
      <c r="FSZ198" s="133"/>
      <c r="FTA198" s="133"/>
      <c r="FTB198" s="133"/>
      <c r="FTC198" s="133"/>
      <c r="FTD198" s="133"/>
      <c r="FTE198" s="133"/>
      <c r="FTF198" s="133"/>
      <c r="FTG198" s="133"/>
      <c r="FTH198" s="133"/>
      <c r="FTI198" s="133"/>
      <c r="FTJ198" s="133"/>
      <c r="FTK198" s="133"/>
      <c r="FTL198" s="133"/>
      <c r="FTM198" s="133"/>
      <c r="FTN198" s="133"/>
      <c r="FTO198" s="133"/>
      <c r="FTP198" s="133"/>
      <c r="FTQ198" s="133"/>
      <c r="FTR198" s="133"/>
      <c r="FTS198" s="133"/>
      <c r="FTT198" s="133"/>
      <c r="FTU198" s="133"/>
      <c r="FTV198" s="133"/>
      <c r="FTW198" s="133"/>
      <c r="FTX198" s="133"/>
      <c r="FTY198" s="133"/>
      <c r="FTZ198" s="133"/>
      <c r="FUA198" s="133"/>
      <c r="FUB198" s="133"/>
      <c r="FUC198" s="133"/>
      <c r="FUD198" s="133"/>
      <c r="FUE198" s="133"/>
      <c r="FUF198" s="133"/>
      <c r="FUG198" s="133"/>
      <c r="FUH198" s="133"/>
      <c r="FUI198" s="133"/>
      <c r="FUJ198" s="133"/>
      <c r="FUK198" s="133"/>
      <c r="FUL198" s="133"/>
      <c r="FUM198" s="133"/>
      <c r="FUN198" s="133"/>
      <c r="FUO198" s="133"/>
      <c r="FUP198" s="133"/>
      <c r="FUQ198" s="133"/>
      <c r="FUR198" s="133"/>
      <c r="FUS198" s="133"/>
      <c r="FUT198" s="133"/>
      <c r="FUU198" s="133"/>
      <c r="FUV198" s="133"/>
      <c r="FUW198" s="133"/>
      <c r="FUX198" s="133"/>
      <c r="FUY198" s="133"/>
      <c r="FUZ198" s="133"/>
      <c r="FVA198" s="133"/>
      <c r="FVB198" s="133"/>
      <c r="FVC198" s="133"/>
      <c r="FVD198" s="133"/>
      <c r="FVE198" s="133"/>
      <c r="FVF198" s="133"/>
      <c r="FVG198" s="133"/>
      <c r="FVH198" s="133"/>
      <c r="FVI198" s="133"/>
      <c r="FVJ198" s="133"/>
      <c r="FVK198" s="133"/>
      <c r="FVL198" s="133"/>
      <c r="FVM198" s="133"/>
      <c r="FVN198" s="133"/>
      <c r="FVO198" s="133"/>
      <c r="FVP198" s="133"/>
      <c r="FVQ198" s="133"/>
      <c r="FVR198" s="133"/>
      <c r="FVS198" s="133"/>
      <c r="FVT198" s="133"/>
      <c r="FVU198" s="133"/>
      <c r="FVV198" s="133"/>
      <c r="FVW198" s="133"/>
      <c r="FVX198" s="133"/>
      <c r="FVY198" s="133"/>
      <c r="FVZ198" s="133"/>
      <c r="FWA198" s="133"/>
      <c r="FWB198" s="133"/>
      <c r="FWC198" s="133"/>
      <c r="FWD198" s="133"/>
      <c r="FWE198" s="133"/>
      <c r="FWF198" s="133"/>
      <c r="FWG198" s="133"/>
      <c r="FWH198" s="133"/>
      <c r="FWI198" s="133"/>
      <c r="FWJ198" s="133"/>
      <c r="FWK198" s="133"/>
      <c r="FWL198" s="133"/>
      <c r="FWM198" s="133"/>
      <c r="FWN198" s="133"/>
      <c r="FWO198" s="133"/>
      <c r="FWP198" s="133"/>
      <c r="FWQ198" s="133"/>
      <c r="FWR198" s="133"/>
      <c r="FWS198" s="133"/>
      <c r="FWT198" s="133"/>
      <c r="FWU198" s="133"/>
      <c r="FWV198" s="133"/>
      <c r="FWW198" s="133"/>
      <c r="FWX198" s="133"/>
      <c r="FWY198" s="133"/>
      <c r="FWZ198" s="133"/>
      <c r="FXA198" s="133"/>
      <c r="FXB198" s="133"/>
      <c r="FXC198" s="133"/>
      <c r="FXD198" s="133"/>
      <c r="FXE198" s="133"/>
      <c r="FXF198" s="133"/>
      <c r="FXG198" s="133"/>
      <c r="FXH198" s="133"/>
      <c r="FXI198" s="133"/>
      <c r="FXJ198" s="133"/>
      <c r="FXK198" s="133"/>
      <c r="FXL198" s="133"/>
      <c r="FXM198" s="133"/>
      <c r="FXN198" s="133"/>
      <c r="FXO198" s="133"/>
      <c r="FXP198" s="133"/>
      <c r="FXQ198" s="133"/>
      <c r="FXR198" s="133"/>
      <c r="FXS198" s="133"/>
      <c r="FXT198" s="133"/>
      <c r="FXU198" s="133"/>
      <c r="FXV198" s="133"/>
      <c r="FXW198" s="133"/>
      <c r="FXX198" s="133"/>
      <c r="FXY198" s="133"/>
      <c r="FXZ198" s="133"/>
      <c r="FYA198" s="133"/>
      <c r="FYB198" s="133"/>
      <c r="FYC198" s="133"/>
      <c r="FYD198" s="133"/>
      <c r="FYE198" s="133"/>
      <c r="FYF198" s="133"/>
      <c r="FYG198" s="133"/>
      <c r="FYH198" s="133"/>
      <c r="FYI198" s="133"/>
      <c r="FYJ198" s="133"/>
      <c r="FYK198" s="133"/>
      <c r="FYL198" s="133"/>
      <c r="FYM198" s="133"/>
      <c r="FYN198" s="133"/>
      <c r="FYO198" s="133"/>
      <c r="FYP198" s="133"/>
      <c r="FYQ198" s="133"/>
      <c r="FYR198" s="133"/>
      <c r="FYS198" s="133"/>
      <c r="FYT198" s="133"/>
      <c r="FYU198" s="133"/>
      <c r="FYV198" s="133"/>
      <c r="FYW198" s="133"/>
      <c r="FYX198" s="133"/>
      <c r="FYY198" s="133"/>
      <c r="FYZ198" s="133"/>
      <c r="FZA198" s="133"/>
      <c r="FZB198" s="133"/>
      <c r="FZC198" s="133"/>
      <c r="FZD198" s="133"/>
      <c r="FZE198" s="133"/>
      <c r="FZF198" s="133"/>
      <c r="FZG198" s="133"/>
      <c r="FZH198" s="133"/>
      <c r="FZI198" s="133"/>
      <c r="FZJ198" s="133"/>
      <c r="FZK198" s="133"/>
      <c r="FZL198" s="133"/>
      <c r="FZM198" s="133"/>
      <c r="FZN198" s="133"/>
      <c r="FZO198" s="133"/>
      <c r="FZP198" s="133"/>
      <c r="FZQ198" s="133"/>
      <c r="FZR198" s="133"/>
      <c r="FZS198" s="133"/>
      <c r="FZT198" s="133"/>
      <c r="FZU198" s="133"/>
      <c r="FZV198" s="133"/>
      <c r="FZW198" s="133"/>
      <c r="FZX198" s="133"/>
      <c r="FZY198" s="133"/>
      <c r="FZZ198" s="133"/>
      <c r="GAA198" s="133"/>
      <c r="GAB198" s="133"/>
      <c r="GAC198" s="133"/>
      <c r="GAD198" s="133"/>
      <c r="GAE198" s="133"/>
      <c r="GAF198" s="133"/>
      <c r="GAG198" s="133"/>
      <c r="GAH198" s="133"/>
      <c r="GAI198" s="133"/>
      <c r="GAJ198" s="133"/>
      <c r="GAK198" s="133"/>
      <c r="GAL198" s="133"/>
      <c r="GAM198" s="133"/>
      <c r="GAN198" s="133"/>
      <c r="GAO198" s="133"/>
      <c r="GAP198" s="133"/>
      <c r="GAQ198" s="133"/>
      <c r="GAR198" s="133"/>
      <c r="GAS198" s="133"/>
      <c r="GAT198" s="133"/>
      <c r="GAU198" s="133"/>
      <c r="GAV198" s="133"/>
      <c r="GAW198" s="133"/>
      <c r="GAX198" s="133"/>
      <c r="GAY198" s="133"/>
      <c r="GAZ198" s="133"/>
      <c r="GBA198" s="133"/>
      <c r="GBB198" s="133"/>
      <c r="GBC198" s="133"/>
      <c r="GBD198" s="133"/>
      <c r="GBE198" s="133"/>
      <c r="GBF198" s="133"/>
      <c r="GBG198" s="133"/>
      <c r="GBH198" s="133"/>
      <c r="GBI198" s="133"/>
      <c r="GBJ198" s="133"/>
      <c r="GBK198" s="133"/>
      <c r="GBL198" s="133"/>
      <c r="GBM198" s="133"/>
      <c r="GBN198" s="133"/>
      <c r="GBO198" s="133"/>
      <c r="GBP198" s="133"/>
      <c r="GBQ198" s="133"/>
      <c r="GBR198" s="133"/>
      <c r="GBS198" s="133"/>
      <c r="GBT198" s="133"/>
      <c r="GBU198" s="133"/>
      <c r="GBV198" s="133"/>
      <c r="GBW198" s="133"/>
      <c r="GBX198" s="133"/>
      <c r="GBY198" s="133"/>
      <c r="GBZ198" s="133"/>
      <c r="GCA198" s="133"/>
      <c r="GCB198" s="133"/>
      <c r="GCC198" s="133"/>
      <c r="GCD198" s="133"/>
      <c r="GCE198" s="133"/>
      <c r="GCF198" s="133"/>
      <c r="GCG198" s="133"/>
      <c r="GCH198" s="133"/>
      <c r="GCI198" s="133"/>
      <c r="GCJ198" s="133"/>
      <c r="GCK198" s="133"/>
      <c r="GCL198" s="133"/>
      <c r="GCM198" s="133"/>
      <c r="GCN198" s="133"/>
      <c r="GCO198" s="133"/>
      <c r="GCP198" s="133"/>
      <c r="GCQ198" s="133"/>
      <c r="GCR198" s="133"/>
      <c r="GCS198" s="133"/>
      <c r="GCT198" s="133"/>
      <c r="GCU198" s="133"/>
      <c r="GCV198" s="133"/>
      <c r="GCW198" s="133"/>
      <c r="GCX198" s="133"/>
      <c r="GCY198" s="133"/>
      <c r="GCZ198" s="133"/>
      <c r="GDA198" s="133"/>
      <c r="GDB198" s="133"/>
      <c r="GDC198" s="133"/>
      <c r="GDD198" s="133"/>
      <c r="GDE198" s="133"/>
      <c r="GDF198" s="133"/>
      <c r="GDG198" s="133"/>
      <c r="GDH198" s="133"/>
      <c r="GDI198" s="133"/>
      <c r="GDJ198" s="133"/>
      <c r="GDK198" s="133"/>
      <c r="GDL198" s="133"/>
      <c r="GDM198" s="133"/>
      <c r="GDN198" s="133"/>
      <c r="GDO198" s="133"/>
      <c r="GDP198" s="133"/>
      <c r="GDQ198" s="133"/>
      <c r="GDR198" s="133"/>
      <c r="GDS198" s="133"/>
      <c r="GDT198" s="133"/>
      <c r="GDU198" s="133"/>
      <c r="GDV198" s="133"/>
      <c r="GDW198" s="133"/>
      <c r="GDX198" s="133"/>
      <c r="GDY198" s="133"/>
      <c r="GDZ198" s="133"/>
      <c r="GEA198" s="133"/>
      <c r="GEB198" s="133"/>
      <c r="GEC198" s="133"/>
      <c r="GED198" s="133"/>
      <c r="GEE198" s="133"/>
      <c r="GEF198" s="133"/>
      <c r="GEG198" s="133"/>
      <c r="GEH198" s="133"/>
      <c r="GEI198" s="133"/>
      <c r="GEJ198" s="133"/>
      <c r="GEK198" s="133"/>
      <c r="GEL198" s="133"/>
      <c r="GEM198" s="133"/>
      <c r="GEN198" s="133"/>
      <c r="GEO198" s="133"/>
      <c r="GEP198" s="133"/>
      <c r="GEQ198" s="133"/>
      <c r="GER198" s="133"/>
      <c r="GES198" s="133"/>
      <c r="GET198" s="133"/>
      <c r="GEU198" s="133"/>
      <c r="GEV198" s="133"/>
      <c r="GEW198" s="133"/>
      <c r="GEX198" s="133"/>
      <c r="GEY198" s="133"/>
      <c r="GEZ198" s="133"/>
      <c r="GFA198" s="133"/>
      <c r="GFB198" s="133"/>
      <c r="GFC198" s="133"/>
      <c r="GFD198" s="133"/>
      <c r="GFE198" s="133"/>
      <c r="GFF198" s="133"/>
      <c r="GFG198" s="133"/>
      <c r="GFH198" s="133"/>
      <c r="GFI198" s="133"/>
      <c r="GFJ198" s="133"/>
      <c r="GFK198" s="133"/>
      <c r="GFL198" s="133"/>
      <c r="GFM198" s="133"/>
      <c r="GFN198" s="133"/>
      <c r="GFO198" s="133"/>
      <c r="GFP198" s="133"/>
      <c r="GFQ198" s="133"/>
      <c r="GFR198" s="133"/>
      <c r="GFS198" s="133"/>
      <c r="GFT198" s="133"/>
      <c r="GFU198" s="133"/>
      <c r="GFV198" s="133"/>
      <c r="GFW198" s="133"/>
      <c r="GFX198" s="133"/>
      <c r="GFY198" s="133"/>
      <c r="GFZ198" s="133"/>
      <c r="GGA198" s="133"/>
      <c r="GGB198" s="133"/>
      <c r="GGC198" s="133"/>
      <c r="GGD198" s="133"/>
      <c r="GGE198" s="133"/>
      <c r="GGF198" s="133"/>
      <c r="GGG198" s="133"/>
      <c r="GGH198" s="133"/>
      <c r="GGI198" s="133"/>
      <c r="GGJ198" s="133"/>
      <c r="GGK198" s="133"/>
      <c r="GGL198" s="133"/>
      <c r="GGM198" s="133"/>
      <c r="GGN198" s="133"/>
      <c r="GGO198" s="133"/>
      <c r="GGP198" s="133"/>
      <c r="GGQ198" s="133"/>
      <c r="GGR198" s="133"/>
      <c r="GGS198" s="133"/>
      <c r="GGT198" s="133"/>
      <c r="GGU198" s="133"/>
      <c r="GGV198" s="133"/>
      <c r="GGW198" s="133"/>
      <c r="GGX198" s="133"/>
      <c r="GGY198" s="133"/>
      <c r="GGZ198" s="133"/>
      <c r="GHA198" s="133"/>
      <c r="GHB198" s="133"/>
      <c r="GHC198" s="133"/>
      <c r="GHD198" s="133"/>
      <c r="GHE198" s="133"/>
      <c r="GHF198" s="133"/>
      <c r="GHG198" s="133"/>
      <c r="GHH198" s="133"/>
      <c r="GHI198" s="133"/>
      <c r="GHJ198" s="133"/>
      <c r="GHK198" s="133"/>
      <c r="GHL198" s="133"/>
      <c r="GHM198" s="133"/>
      <c r="GHN198" s="133"/>
      <c r="GHO198" s="133"/>
      <c r="GHP198" s="133"/>
      <c r="GHQ198" s="133"/>
      <c r="GHR198" s="133"/>
      <c r="GHS198" s="133"/>
      <c r="GHT198" s="133"/>
      <c r="GHU198" s="133"/>
      <c r="GHV198" s="133"/>
      <c r="GHW198" s="133"/>
      <c r="GHX198" s="133"/>
      <c r="GHY198" s="133"/>
      <c r="GHZ198" s="133"/>
      <c r="GIA198" s="133"/>
      <c r="GIB198" s="133"/>
      <c r="GIC198" s="133"/>
      <c r="GID198" s="133"/>
      <c r="GIE198" s="133"/>
      <c r="GIF198" s="133"/>
      <c r="GIG198" s="133"/>
      <c r="GIH198" s="133"/>
      <c r="GII198" s="133"/>
      <c r="GIJ198" s="133"/>
      <c r="GIK198" s="133"/>
      <c r="GIL198" s="133"/>
      <c r="GIM198" s="133"/>
      <c r="GIN198" s="133"/>
      <c r="GIO198" s="133"/>
      <c r="GIP198" s="133"/>
      <c r="GIQ198" s="133"/>
      <c r="GIR198" s="133"/>
      <c r="GIS198" s="133"/>
      <c r="GIT198" s="133"/>
      <c r="GIU198" s="133"/>
      <c r="GIV198" s="133"/>
      <c r="GIW198" s="133"/>
      <c r="GIX198" s="133"/>
      <c r="GIY198" s="133"/>
      <c r="GIZ198" s="133"/>
      <c r="GJA198" s="133"/>
      <c r="GJB198" s="133"/>
      <c r="GJC198" s="133"/>
      <c r="GJD198" s="133"/>
      <c r="GJE198" s="133"/>
      <c r="GJF198" s="133"/>
      <c r="GJG198" s="133"/>
      <c r="GJH198" s="133"/>
      <c r="GJI198" s="133"/>
      <c r="GJJ198" s="133"/>
      <c r="GJK198" s="133"/>
      <c r="GJL198" s="133"/>
      <c r="GJM198" s="133"/>
      <c r="GJN198" s="133"/>
      <c r="GJO198" s="133"/>
      <c r="GJP198" s="133"/>
      <c r="GJQ198" s="133"/>
      <c r="GJR198" s="133"/>
      <c r="GJS198" s="133"/>
      <c r="GJT198" s="133"/>
      <c r="GJU198" s="133"/>
      <c r="GJV198" s="133"/>
      <c r="GJW198" s="133"/>
      <c r="GJX198" s="133"/>
      <c r="GJY198" s="133"/>
      <c r="GJZ198" s="133"/>
      <c r="GKA198" s="133"/>
      <c r="GKB198" s="133"/>
      <c r="GKC198" s="133"/>
      <c r="GKD198" s="133"/>
      <c r="GKE198" s="133"/>
      <c r="GKF198" s="133"/>
      <c r="GKG198" s="133"/>
      <c r="GKH198" s="133"/>
      <c r="GKI198" s="133"/>
      <c r="GKJ198" s="133"/>
      <c r="GKK198" s="133"/>
      <c r="GKL198" s="133"/>
      <c r="GKM198" s="133"/>
      <c r="GKN198" s="133"/>
      <c r="GKO198" s="133"/>
      <c r="GKP198" s="133"/>
      <c r="GKQ198" s="133"/>
      <c r="GKR198" s="133"/>
      <c r="GKS198" s="133"/>
      <c r="GKT198" s="133"/>
      <c r="GKU198" s="133"/>
      <c r="GKV198" s="133"/>
      <c r="GKW198" s="133"/>
      <c r="GKX198" s="133"/>
      <c r="GKY198" s="133"/>
      <c r="GKZ198" s="133"/>
      <c r="GLA198" s="133"/>
      <c r="GLB198" s="133"/>
      <c r="GLC198" s="133"/>
      <c r="GLD198" s="133"/>
      <c r="GLE198" s="133"/>
      <c r="GLF198" s="133"/>
      <c r="GLG198" s="133"/>
      <c r="GLH198" s="133"/>
      <c r="GLI198" s="133"/>
      <c r="GLJ198" s="133"/>
      <c r="GLK198" s="133"/>
      <c r="GLL198" s="133"/>
      <c r="GLM198" s="133"/>
      <c r="GLN198" s="133"/>
      <c r="GLO198" s="133"/>
      <c r="GLP198" s="133"/>
      <c r="GLQ198" s="133"/>
      <c r="GLR198" s="133"/>
      <c r="GLS198" s="133"/>
      <c r="GLT198" s="133"/>
      <c r="GLU198" s="133"/>
      <c r="GLV198" s="133"/>
      <c r="GLW198" s="133"/>
      <c r="GLX198" s="133"/>
      <c r="GLY198" s="133"/>
      <c r="GLZ198" s="133"/>
      <c r="GMA198" s="133"/>
      <c r="GMB198" s="133"/>
      <c r="GMC198" s="133"/>
      <c r="GMD198" s="133"/>
      <c r="GME198" s="133"/>
      <c r="GMF198" s="133"/>
      <c r="GMG198" s="133"/>
      <c r="GMH198" s="133"/>
      <c r="GMI198" s="133"/>
      <c r="GMJ198" s="133"/>
      <c r="GMK198" s="133"/>
      <c r="GML198" s="133"/>
      <c r="GMM198" s="133"/>
      <c r="GMN198" s="133"/>
      <c r="GMO198" s="133"/>
      <c r="GMP198" s="133"/>
      <c r="GMQ198" s="133"/>
      <c r="GMR198" s="133"/>
      <c r="GMS198" s="133"/>
      <c r="GMT198" s="133"/>
      <c r="GMU198" s="133"/>
      <c r="GMV198" s="133"/>
      <c r="GMW198" s="133"/>
      <c r="GMX198" s="133"/>
      <c r="GMY198" s="133"/>
      <c r="GMZ198" s="133"/>
      <c r="GNA198" s="133"/>
      <c r="GNB198" s="133"/>
      <c r="GNC198" s="133"/>
      <c r="GND198" s="133"/>
      <c r="GNE198" s="133"/>
      <c r="GNF198" s="133"/>
      <c r="GNG198" s="133"/>
      <c r="GNH198" s="133"/>
      <c r="GNI198" s="133"/>
      <c r="GNJ198" s="133"/>
      <c r="GNK198" s="133"/>
      <c r="GNL198" s="133"/>
      <c r="GNM198" s="133"/>
      <c r="GNN198" s="133"/>
      <c r="GNO198" s="133"/>
      <c r="GNP198" s="133"/>
      <c r="GNQ198" s="133"/>
      <c r="GNR198" s="133"/>
      <c r="GNS198" s="133"/>
      <c r="GNT198" s="133"/>
      <c r="GNU198" s="133"/>
      <c r="GNV198" s="133"/>
      <c r="GNW198" s="133"/>
      <c r="GNX198" s="133"/>
      <c r="GNY198" s="133"/>
      <c r="GNZ198" s="133"/>
      <c r="GOA198" s="133"/>
      <c r="GOB198" s="133"/>
      <c r="GOC198" s="133"/>
      <c r="GOD198" s="133"/>
      <c r="GOE198" s="133"/>
      <c r="GOF198" s="133"/>
      <c r="GOG198" s="133"/>
      <c r="GOH198" s="133"/>
      <c r="GOI198" s="133"/>
      <c r="GOJ198" s="133"/>
      <c r="GOK198" s="133"/>
      <c r="GOL198" s="133"/>
      <c r="GOM198" s="133"/>
      <c r="GON198" s="133"/>
      <c r="GOO198" s="133"/>
      <c r="GOP198" s="133"/>
      <c r="GOQ198" s="133"/>
      <c r="GOR198" s="133"/>
      <c r="GOS198" s="133"/>
      <c r="GOT198" s="133"/>
      <c r="GOU198" s="133"/>
      <c r="GOV198" s="133"/>
      <c r="GOW198" s="133"/>
      <c r="GOX198" s="133"/>
      <c r="GOY198" s="133"/>
      <c r="GOZ198" s="133"/>
      <c r="GPA198" s="133"/>
      <c r="GPB198" s="133"/>
      <c r="GPC198" s="133"/>
      <c r="GPD198" s="133"/>
      <c r="GPE198" s="133"/>
      <c r="GPF198" s="133"/>
      <c r="GPG198" s="133"/>
      <c r="GPH198" s="133"/>
      <c r="GPI198" s="133"/>
      <c r="GPJ198" s="133"/>
      <c r="GPK198" s="133"/>
      <c r="GPL198" s="133"/>
      <c r="GPM198" s="133"/>
      <c r="GPN198" s="133"/>
      <c r="GPO198" s="133"/>
      <c r="GPP198" s="133"/>
      <c r="GPQ198" s="133"/>
      <c r="GPR198" s="133"/>
      <c r="GPS198" s="133"/>
      <c r="GPT198" s="133"/>
      <c r="GPU198" s="133"/>
      <c r="GPV198" s="133"/>
      <c r="GPW198" s="133"/>
      <c r="GPX198" s="133"/>
      <c r="GPY198" s="133"/>
      <c r="GPZ198" s="133"/>
      <c r="GQA198" s="133"/>
      <c r="GQB198" s="133"/>
      <c r="GQC198" s="133"/>
      <c r="GQD198" s="133"/>
      <c r="GQE198" s="133"/>
      <c r="GQF198" s="133"/>
      <c r="GQG198" s="133"/>
      <c r="GQH198" s="133"/>
      <c r="GQI198" s="133"/>
      <c r="GQJ198" s="133"/>
      <c r="GQK198" s="133"/>
      <c r="GQL198" s="133"/>
      <c r="GQM198" s="133"/>
      <c r="GQN198" s="133"/>
      <c r="GQO198" s="133"/>
      <c r="GQP198" s="133"/>
      <c r="GQQ198" s="133"/>
      <c r="GQR198" s="133"/>
      <c r="GQS198" s="133"/>
      <c r="GQT198" s="133"/>
      <c r="GQU198" s="133"/>
      <c r="GQV198" s="133"/>
      <c r="GQW198" s="133"/>
      <c r="GQX198" s="133"/>
      <c r="GQY198" s="133"/>
      <c r="GQZ198" s="133"/>
      <c r="GRA198" s="133"/>
      <c r="GRB198" s="133"/>
      <c r="GRC198" s="133"/>
      <c r="GRD198" s="133"/>
      <c r="GRE198" s="133"/>
      <c r="GRF198" s="133"/>
      <c r="GRG198" s="133"/>
      <c r="GRH198" s="133"/>
      <c r="GRI198" s="133"/>
      <c r="GRJ198" s="133"/>
      <c r="GRK198" s="133"/>
      <c r="GRL198" s="133"/>
      <c r="GRM198" s="133"/>
      <c r="GRN198" s="133"/>
      <c r="GRO198" s="133"/>
      <c r="GRP198" s="133"/>
      <c r="GRQ198" s="133"/>
      <c r="GRR198" s="133"/>
      <c r="GRS198" s="133"/>
      <c r="GRT198" s="133"/>
      <c r="GRU198" s="133"/>
      <c r="GRV198" s="133"/>
      <c r="GRW198" s="133"/>
      <c r="GRX198" s="133"/>
      <c r="GRY198" s="133"/>
      <c r="GRZ198" s="133"/>
      <c r="GSA198" s="133"/>
      <c r="GSB198" s="133"/>
      <c r="GSC198" s="133"/>
      <c r="GSD198" s="133"/>
      <c r="GSE198" s="133"/>
      <c r="GSF198" s="133"/>
      <c r="GSG198" s="133"/>
      <c r="GSH198" s="133"/>
      <c r="GSI198" s="133"/>
      <c r="GSJ198" s="133"/>
      <c r="GSK198" s="133"/>
      <c r="GSL198" s="133"/>
      <c r="GSM198" s="133"/>
      <c r="GSN198" s="133"/>
      <c r="GSO198" s="133"/>
      <c r="GSP198" s="133"/>
      <c r="GSQ198" s="133"/>
      <c r="GSR198" s="133"/>
      <c r="GSS198" s="133"/>
      <c r="GST198" s="133"/>
      <c r="GSU198" s="133"/>
      <c r="GSV198" s="133"/>
      <c r="GSW198" s="133"/>
      <c r="GSX198" s="133"/>
      <c r="GSY198" s="133"/>
      <c r="GSZ198" s="133"/>
      <c r="GTA198" s="133"/>
      <c r="GTB198" s="133"/>
      <c r="GTC198" s="133"/>
      <c r="GTD198" s="133"/>
      <c r="GTE198" s="133"/>
      <c r="GTF198" s="133"/>
      <c r="GTG198" s="133"/>
      <c r="GTH198" s="133"/>
      <c r="GTI198" s="133"/>
      <c r="GTJ198" s="133"/>
      <c r="GTK198" s="133"/>
      <c r="GTL198" s="133"/>
      <c r="GTM198" s="133"/>
      <c r="GTN198" s="133"/>
      <c r="GTO198" s="133"/>
      <c r="GTP198" s="133"/>
      <c r="GTQ198" s="133"/>
      <c r="GTR198" s="133"/>
      <c r="GTS198" s="133"/>
      <c r="GTT198" s="133"/>
      <c r="GTU198" s="133"/>
      <c r="GTV198" s="133"/>
      <c r="GTW198" s="133"/>
      <c r="GTX198" s="133"/>
      <c r="GTY198" s="133"/>
      <c r="GTZ198" s="133"/>
      <c r="GUA198" s="133"/>
      <c r="GUB198" s="133"/>
      <c r="GUC198" s="133"/>
      <c r="GUD198" s="133"/>
      <c r="GUE198" s="133"/>
      <c r="GUF198" s="133"/>
      <c r="GUG198" s="133"/>
      <c r="GUH198" s="133"/>
      <c r="GUI198" s="133"/>
      <c r="GUJ198" s="133"/>
      <c r="GUK198" s="133"/>
      <c r="GUL198" s="133"/>
      <c r="GUM198" s="133"/>
      <c r="GUN198" s="133"/>
      <c r="GUO198" s="133"/>
      <c r="GUP198" s="133"/>
      <c r="GUQ198" s="133"/>
      <c r="GUR198" s="133"/>
      <c r="GUS198" s="133"/>
      <c r="GUT198" s="133"/>
      <c r="GUU198" s="133"/>
      <c r="GUV198" s="133"/>
      <c r="GUW198" s="133"/>
      <c r="GUX198" s="133"/>
      <c r="GUY198" s="133"/>
      <c r="GUZ198" s="133"/>
      <c r="GVA198" s="133"/>
      <c r="GVB198" s="133"/>
      <c r="GVC198" s="133"/>
      <c r="GVD198" s="133"/>
      <c r="GVE198" s="133"/>
      <c r="GVF198" s="133"/>
      <c r="GVG198" s="133"/>
      <c r="GVH198" s="133"/>
      <c r="GVI198" s="133"/>
      <c r="GVJ198" s="133"/>
      <c r="GVK198" s="133"/>
      <c r="GVL198" s="133"/>
      <c r="GVM198" s="133"/>
      <c r="GVN198" s="133"/>
      <c r="GVO198" s="133"/>
      <c r="GVP198" s="133"/>
      <c r="GVQ198" s="133"/>
      <c r="GVR198" s="133"/>
      <c r="GVS198" s="133"/>
      <c r="GVT198" s="133"/>
      <c r="GVU198" s="133"/>
      <c r="GVV198" s="133"/>
      <c r="GVW198" s="133"/>
      <c r="GVX198" s="133"/>
      <c r="GVY198" s="133"/>
      <c r="GVZ198" s="133"/>
      <c r="GWA198" s="133"/>
      <c r="GWB198" s="133"/>
      <c r="GWC198" s="133"/>
      <c r="GWD198" s="133"/>
      <c r="GWE198" s="133"/>
      <c r="GWF198" s="133"/>
      <c r="GWG198" s="133"/>
      <c r="GWH198" s="133"/>
      <c r="GWI198" s="133"/>
      <c r="GWJ198" s="133"/>
      <c r="GWK198" s="133"/>
      <c r="GWL198" s="133"/>
      <c r="GWM198" s="133"/>
      <c r="GWN198" s="133"/>
      <c r="GWO198" s="133"/>
      <c r="GWP198" s="133"/>
      <c r="GWQ198" s="133"/>
      <c r="GWR198" s="133"/>
      <c r="GWS198" s="133"/>
      <c r="GWT198" s="133"/>
      <c r="GWU198" s="133"/>
      <c r="GWV198" s="133"/>
      <c r="GWW198" s="133"/>
      <c r="GWX198" s="133"/>
      <c r="GWY198" s="133"/>
      <c r="GWZ198" s="133"/>
      <c r="GXA198" s="133"/>
      <c r="GXB198" s="133"/>
      <c r="GXC198" s="133"/>
      <c r="GXD198" s="133"/>
      <c r="GXE198" s="133"/>
      <c r="GXF198" s="133"/>
      <c r="GXG198" s="133"/>
      <c r="GXH198" s="133"/>
      <c r="GXI198" s="133"/>
      <c r="GXJ198" s="133"/>
      <c r="GXK198" s="133"/>
      <c r="GXL198" s="133"/>
      <c r="GXM198" s="133"/>
      <c r="GXN198" s="133"/>
      <c r="GXO198" s="133"/>
      <c r="GXP198" s="133"/>
      <c r="GXQ198" s="133"/>
      <c r="GXR198" s="133"/>
      <c r="GXS198" s="133"/>
      <c r="GXT198" s="133"/>
      <c r="GXU198" s="133"/>
      <c r="GXV198" s="133"/>
      <c r="GXW198" s="133"/>
      <c r="GXX198" s="133"/>
      <c r="GXY198" s="133"/>
      <c r="GXZ198" s="133"/>
      <c r="GYA198" s="133"/>
      <c r="GYB198" s="133"/>
      <c r="GYC198" s="133"/>
      <c r="GYD198" s="133"/>
      <c r="GYE198" s="133"/>
      <c r="GYF198" s="133"/>
      <c r="GYG198" s="133"/>
      <c r="GYH198" s="133"/>
      <c r="GYI198" s="133"/>
      <c r="GYJ198" s="133"/>
      <c r="GYK198" s="133"/>
      <c r="GYL198" s="133"/>
      <c r="GYM198" s="133"/>
      <c r="GYN198" s="133"/>
      <c r="GYO198" s="133"/>
      <c r="GYP198" s="133"/>
      <c r="GYQ198" s="133"/>
      <c r="GYR198" s="133"/>
      <c r="GYS198" s="133"/>
      <c r="GYT198" s="133"/>
      <c r="GYU198" s="133"/>
      <c r="GYV198" s="133"/>
      <c r="GYW198" s="133"/>
      <c r="GYX198" s="133"/>
      <c r="GYY198" s="133"/>
      <c r="GYZ198" s="133"/>
      <c r="GZA198" s="133"/>
      <c r="GZB198" s="133"/>
      <c r="GZC198" s="133"/>
      <c r="GZD198" s="133"/>
      <c r="GZE198" s="133"/>
      <c r="GZF198" s="133"/>
      <c r="GZG198" s="133"/>
      <c r="GZH198" s="133"/>
      <c r="GZI198" s="133"/>
      <c r="GZJ198" s="133"/>
      <c r="GZK198" s="133"/>
      <c r="GZL198" s="133"/>
      <c r="GZM198" s="133"/>
      <c r="GZN198" s="133"/>
      <c r="GZO198" s="133"/>
      <c r="GZP198" s="133"/>
      <c r="GZQ198" s="133"/>
      <c r="GZR198" s="133"/>
      <c r="GZS198" s="133"/>
      <c r="GZT198" s="133"/>
      <c r="GZU198" s="133"/>
      <c r="GZV198" s="133"/>
      <c r="GZW198" s="133"/>
      <c r="GZX198" s="133"/>
      <c r="GZY198" s="133"/>
      <c r="GZZ198" s="133"/>
      <c r="HAA198" s="133"/>
      <c r="HAB198" s="133"/>
      <c r="HAC198" s="133"/>
      <c r="HAD198" s="133"/>
      <c r="HAE198" s="133"/>
      <c r="HAF198" s="133"/>
      <c r="HAG198" s="133"/>
      <c r="HAH198" s="133"/>
      <c r="HAI198" s="133"/>
      <c r="HAJ198" s="133"/>
      <c r="HAK198" s="133"/>
      <c r="HAL198" s="133"/>
      <c r="HAM198" s="133"/>
      <c r="HAN198" s="133"/>
      <c r="HAO198" s="133"/>
      <c r="HAP198" s="133"/>
      <c r="HAQ198" s="133"/>
      <c r="HAR198" s="133"/>
      <c r="HAS198" s="133"/>
      <c r="HAT198" s="133"/>
      <c r="HAU198" s="133"/>
      <c r="HAV198" s="133"/>
      <c r="HAW198" s="133"/>
      <c r="HAX198" s="133"/>
      <c r="HAY198" s="133"/>
      <c r="HAZ198" s="133"/>
      <c r="HBA198" s="133"/>
      <c r="HBB198" s="133"/>
      <c r="HBC198" s="133"/>
      <c r="HBD198" s="133"/>
      <c r="HBE198" s="133"/>
      <c r="HBF198" s="133"/>
      <c r="HBG198" s="133"/>
      <c r="HBH198" s="133"/>
      <c r="HBI198" s="133"/>
      <c r="HBJ198" s="133"/>
      <c r="HBK198" s="133"/>
      <c r="HBL198" s="133"/>
      <c r="HBM198" s="133"/>
      <c r="HBN198" s="133"/>
      <c r="HBO198" s="133"/>
      <c r="HBP198" s="133"/>
      <c r="HBQ198" s="133"/>
      <c r="HBR198" s="133"/>
      <c r="HBS198" s="133"/>
      <c r="HBT198" s="133"/>
      <c r="HBU198" s="133"/>
      <c r="HBV198" s="133"/>
      <c r="HBW198" s="133"/>
      <c r="HBX198" s="133"/>
      <c r="HBY198" s="133"/>
      <c r="HBZ198" s="133"/>
      <c r="HCA198" s="133"/>
      <c r="HCB198" s="133"/>
      <c r="HCC198" s="133"/>
      <c r="HCD198" s="133"/>
      <c r="HCE198" s="133"/>
      <c r="HCF198" s="133"/>
      <c r="HCG198" s="133"/>
      <c r="HCH198" s="133"/>
      <c r="HCI198" s="133"/>
      <c r="HCJ198" s="133"/>
      <c r="HCK198" s="133"/>
      <c r="HCL198" s="133"/>
      <c r="HCM198" s="133"/>
      <c r="HCN198" s="133"/>
      <c r="HCO198" s="133"/>
      <c r="HCP198" s="133"/>
      <c r="HCQ198" s="133"/>
      <c r="HCR198" s="133"/>
      <c r="HCS198" s="133"/>
      <c r="HCT198" s="133"/>
      <c r="HCU198" s="133"/>
      <c r="HCV198" s="133"/>
      <c r="HCW198" s="133"/>
      <c r="HCX198" s="133"/>
      <c r="HCY198" s="133"/>
      <c r="HCZ198" s="133"/>
      <c r="HDA198" s="133"/>
      <c r="HDB198" s="133"/>
      <c r="HDC198" s="133"/>
      <c r="HDD198" s="133"/>
      <c r="HDE198" s="133"/>
      <c r="HDF198" s="133"/>
      <c r="HDG198" s="133"/>
      <c r="HDH198" s="133"/>
      <c r="HDI198" s="133"/>
      <c r="HDJ198" s="133"/>
      <c r="HDK198" s="133"/>
      <c r="HDL198" s="133"/>
      <c r="HDM198" s="133"/>
      <c r="HDN198" s="133"/>
      <c r="HDO198" s="133"/>
      <c r="HDP198" s="133"/>
      <c r="HDQ198" s="133"/>
      <c r="HDR198" s="133"/>
      <c r="HDS198" s="133"/>
      <c r="HDT198" s="133"/>
      <c r="HDU198" s="133"/>
      <c r="HDV198" s="133"/>
      <c r="HDW198" s="133"/>
      <c r="HDX198" s="133"/>
      <c r="HDY198" s="133"/>
      <c r="HDZ198" s="133"/>
      <c r="HEA198" s="133"/>
      <c r="HEB198" s="133"/>
      <c r="HEC198" s="133"/>
      <c r="HED198" s="133"/>
      <c r="HEE198" s="133"/>
      <c r="HEF198" s="133"/>
      <c r="HEG198" s="133"/>
      <c r="HEH198" s="133"/>
      <c r="HEI198" s="133"/>
      <c r="HEJ198" s="133"/>
      <c r="HEK198" s="133"/>
      <c r="HEL198" s="133"/>
      <c r="HEM198" s="133"/>
      <c r="HEN198" s="133"/>
      <c r="HEO198" s="133"/>
      <c r="HEP198" s="133"/>
      <c r="HEQ198" s="133"/>
      <c r="HER198" s="133"/>
      <c r="HES198" s="133"/>
      <c r="HET198" s="133"/>
      <c r="HEU198" s="133"/>
      <c r="HEV198" s="133"/>
      <c r="HEW198" s="133"/>
      <c r="HEX198" s="133"/>
      <c r="HEY198" s="133"/>
      <c r="HEZ198" s="133"/>
      <c r="HFA198" s="133"/>
      <c r="HFB198" s="133"/>
      <c r="HFC198" s="133"/>
      <c r="HFD198" s="133"/>
      <c r="HFE198" s="133"/>
      <c r="HFF198" s="133"/>
      <c r="HFG198" s="133"/>
      <c r="HFH198" s="133"/>
      <c r="HFI198" s="133"/>
      <c r="HFJ198" s="133"/>
      <c r="HFK198" s="133"/>
      <c r="HFL198" s="133"/>
      <c r="HFM198" s="133"/>
      <c r="HFN198" s="133"/>
      <c r="HFO198" s="133"/>
      <c r="HFP198" s="133"/>
      <c r="HFQ198" s="133"/>
      <c r="HFR198" s="133"/>
      <c r="HFS198" s="133"/>
      <c r="HFT198" s="133"/>
      <c r="HFU198" s="133"/>
      <c r="HFV198" s="133"/>
      <c r="HFW198" s="133"/>
      <c r="HFX198" s="133"/>
      <c r="HFY198" s="133"/>
      <c r="HFZ198" s="133"/>
      <c r="HGA198" s="133"/>
      <c r="HGB198" s="133"/>
      <c r="HGC198" s="133"/>
      <c r="HGD198" s="133"/>
      <c r="HGE198" s="133"/>
      <c r="HGF198" s="133"/>
      <c r="HGG198" s="133"/>
      <c r="HGH198" s="133"/>
      <c r="HGI198" s="133"/>
      <c r="HGJ198" s="133"/>
      <c r="HGK198" s="133"/>
      <c r="HGL198" s="133"/>
      <c r="HGM198" s="133"/>
      <c r="HGN198" s="133"/>
      <c r="HGO198" s="133"/>
      <c r="HGP198" s="133"/>
      <c r="HGQ198" s="133"/>
      <c r="HGR198" s="133"/>
      <c r="HGS198" s="133"/>
      <c r="HGT198" s="133"/>
      <c r="HGU198" s="133"/>
      <c r="HGV198" s="133"/>
      <c r="HGW198" s="133"/>
      <c r="HGX198" s="133"/>
      <c r="HGY198" s="133"/>
      <c r="HGZ198" s="133"/>
      <c r="HHA198" s="133"/>
      <c r="HHB198" s="133"/>
      <c r="HHC198" s="133"/>
      <c r="HHD198" s="133"/>
      <c r="HHE198" s="133"/>
      <c r="HHF198" s="133"/>
      <c r="HHG198" s="133"/>
      <c r="HHH198" s="133"/>
      <c r="HHI198" s="133"/>
      <c r="HHJ198" s="133"/>
      <c r="HHK198" s="133"/>
      <c r="HHL198" s="133"/>
      <c r="HHM198" s="133"/>
      <c r="HHN198" s="133"/>
      <c r="HHO198" s="133"/>
      <c r="HHP198" s="133"/>
      <c r="HHQ198" s="133"/>
      <c r="HHR198" s="133"/>
      <c r="HHS198" s="133"/>
      <c r="HHT198" s="133"/>
      <c r="HHU198" s="133"/>
      <c r="HHV198" s="133"/>
      <c r="HHW198" s="133"/>
      <c r="HHX198" s="133"/>
      <c r="HHY198" s="133"/>
      <c r="HHZ198" s="133"/>
      <c r="HIA198" s="133"/>
      <c r="HIB198" s="133"/>
      <c r="HIC198" s="133"/>
      <c r="HID198" s="133"/>
      <c r="HIE198" s="133"/>
      <c r="HIF198" s="133"/>
      <c r="HIG198" s="133"/>
      <c r="HIH198" s="133"/>
      <c r="HII198" s="133"/>
      <c r="HIJ198" s="133"/>
      <c r="HIK198" s="133"/>
      <c r="HIL198" s="133"/>
      <c r="HIM198" s="133"/>
      <c r="HIN198" s="133"/>
      <c r="HIO198" s="133"/>
      <c r="HIP198" s="133"/>
      <c r="HIQ198" s="133"/>
      <c r="HIR198" s="133"/>
      <c r="HIS198" s="133"/>
      <c r="HIT198" s="133"/>
      <c r="HIU198" s="133"/>
      <c r="HIV198" s="133"/>
      <c r="HIW198" s="133"/>
      <c r="HIX198" s="133"/>
      <c r="HIY198" s="133"/>
      <c r="HIZ198" s="133"/>
      <c r="HJA198" s="133"/>
      <c r="HJB198" s="133"/>
      <c r="HJC198" s="133"/>
      <c r="HJD198" s="133"/>
      <c r="HJE198" s="133"/>
      <c r="HJF198" s="133"/>
      <c r="HJG198" s="133"/>
      <c r="HJH198" s="133"/>
      <c r="HJI198" s="133"/>
      <c r="HJJ198" s="133"/>
      <c r="HJK198" s="133"/>
      <c r="HJL198" s="133"/>
      <c r="HJM198" s="133"/>
      <c r="HJN198" s="133"/>
      <c r="HJO198" s="133"/>
      <c r="HJP198" s="133"/>
      <c r="HJQ198" s="133"/>
      <c r="HJR198" s="133"/>
      <c r="HJS198" s="133"/>
      <c r="HJT198" s="133"/>
      <c r="HJU198" s="133"/>
      <c r="HJV198" s="133"/>
      <c r="HJW198" s="133"/>
      <c r="HJX198" s="133"/>
      <c r="HJY198" s="133"/>
      <c r="HJZ198" s="133"/>
      <c r="HKA198" s="133"/>
      <c r="HKB198" s="133"/>
      <c r="HKC198" s="133"/>
      <c r="HKD198" s="133"/>
      <c r="HKE198" s="133"/>
      <c r="HKF198" s="133"/>
      <c r="HKG198" s="133"/>
      <c r="HKH198" s="133"/>
      <c r="HKI198" s="133"/>
      <c r="HKJ198" s="133"/>
      <c r="HKK198" s="133"/>
      <c r="HKL198" s="133"/>
      <c r="HKM198" s="133"/>
      <c r="HKN198" s="133"/>
      <c r="HKO198" s="133"/>
      <c r="HKP198" s="133"/>
      <c r="HKQ198" s="133"/>
      <c r="HKR198" s="133"/>
      <c r="HKS198" s="133"/>
      <c r="HKT198" s="133"/>
      <c r="HKU198" s="133"/>
      <c r="HKV198" s="133"/>
      <c r="HKW198" s="133"/>
      <c r="HKX198" s="133"/>
      <c r="HKY198" s="133"/>
      <c r="HKZ198" s="133"/>
      <c r="HLA198" s="133"/>
      <c r="HLB198" s="133"/>
      <c r="HLC198" s="133"/>
      <c r="HLD198" s="133"/>
      <c r="HLE198" s="133"/>
      <c r="HLF198" s="133"/>
      <c r="HLG198" s="133"/>
      <c r="HLH198" s="133"/>
      <c r="HLI198" s="133"/>
      <c r="HLJ198" s="133"/>
      <c r="HLK198" s="133"/>
      <c r="HLL198" s="133"/>
      <c r="HLM198" s="133"/>
      <c r="HLN198" s="133"/>
      <c r="HLO198" s="133"/>
      <c r="HLP198" s="133"/>
      <c r="HLQ198" s="133"/>
      <c r="HLR198" s="133"/>
      <c r="HLS198" s="133"/>
      <c r="HLT198" s="133"/>
      <c r="HLU198" s="133"/>
      <c r="HLV198" s="133"/>
      <c r="HLW198" s="133"/>
      <c r="HLX198" s="133"/>
      <c r="HLY198" s="133"/>
      <c r="HLZ198" s="133"/>
      <c r="HMA198" s="133"/>
      <c r="HMB198" s="133"/>
      <c r="HMC198" s="133"/>
      <c r="HMD198" s="133"/>
      <c r="HME198" s="133"/>
      <c r="HMF198" s="133"/>
      <c r="HMG198" s="133"/>
      <c r="HMH198" s="133"/>
      <c r="HMI198" s="133"/>
      <c r="HMJ198" s="133"/>
      <c r="HMK198" s="133"/>
      <c r="HML198" s="133"/>
      <c r="HMM198" s="133"/>
      <c r="HMN198" s="133"/>
      <c r="HMO198" s="133"/>
      <c r="HMP198" s="133"/>
      <c r="HMQ198" s="133"/>
      <c r="HMR198" s="133"/>
      <c r="HMS198" s="133"/>
      <c r="HMT198" s="133"/>
      <c r="HMU198" s="133"/>
      <c r="HMV198" s="133"/>
      <c r="HMW198" s="133"/>
      <c r="HMX198" s="133"/>
      <c r="HMY198" s="133"/>
      <c r="HMZ198" s="133"/>
      <c r="HNA198" s="133"/>
      <c r="HNB198" s="133"/>
      <c r="HNC198" s="133"/>
      <c r="HND198" s="133"/>
      <c r="HNE198" s="133"/>
      <c r="HNF198" s="133"/>
      <c r="HNG198" s="133"/>
      <c r="HNH198" s="133"/>
      <c r="HNI198" s="133"/>
      <c r="HNJ198" s="133"/>
      <c r="HNK198" s="133"/>
      <c r="HNL198" s="133"/>
      <c r="HNM198" s="133"/>
      <c r="HNN198" s="133"/>
      <c r="HNO198" s="133"/>
      <c r="HNP198" s="133"/>
      <c r="HNQ198" s="133"/>
      <c r="HNR198" s="133"/>
      <c r="HNS198" s="133"/>
      <c r="HNT198" s="133"/>
      <c r="HNU198" s="133"/>
      <c r="HNV198" s="133"/>
      <c r="HNW198" s="133"/>
      <c r="HNX198" s="133"/>
      <c r="HNY198" s="133"/>
      <c r="HNZ198" s="133"/>
      <c r="HOA198" s="133"/>
      <c r="HOB198" s="133"/>
      <c r="HOC198" s="133"/>
      <c r="HOD198" s="133"/>
      <c r="HOE198" s="133"/>
      <c r="HOF198" s="133"/>
      <c r="HOG198" s="133"/>
      <c r="HOH198" s="133"/>
      <c r="HOI198" s="133"/>
      <c r="HOJ198" s="133"/>
      <c r="HOK198" s="133"/>
      <c r="HOL198" s="133"/>
      <c r="HOM198" s="133"/>
      <c r="HON198" s="133"/>
      <c r="HOO198" s="133"/>
      <c r="HOP198" s="133"/>
      <c r="HOQ198" s="133"/>
      <c r="HOR198" s="133"/>
      <c r="HOS198" s="133"/>
      <c r="HOT198" s="133"/>
      <c r="HOU198" s="133"/>
      <c r="HOV198" s="133"/>
      <c r="HOW198" s="133"/>
      <c r="HOX198" s="133"/>
      <c r="HOY198" s="133"/>
      <c r="HOZ198" s="133"/>
      <c r="HPA198" s="133"/>
      <c r="HPB198" s="133"/>
      <c r="HPC198" s="133"/>
      <c r="HPD198" s="133"/>
      <c r="HPE198" s="133"/>
      <c r="HPF198" s="133"/>
      <c r="HPG198" s="133"/>
      <c r="HPH198" s="133"/>
      <c r="HPI198" s="133"/>
      <c r="HPJ198" s="133"/>
      <c r="HPK198" s="133"/>
      <c r="HPL198" s="133"/>
      <c r="HPM198" s="133"/>
      <c r="HPN198" s="133"/>
      <c r="HPO198" s="133"/>
      <c r="HPP198" s="133"/>
      <c r="HPQ198" s="133"/>
      <c r="HPR198" s="133"/>
      <c r="HPS198" s="133"/>
      <c r="HPT198" s="133"/>
      <c r="HPU198" s="133"/>
      <c r="HPV198" s="133"/>
      <c r="HPW198" s="133"/>
      <c r="HPX198" s="133"/>
      <c r="HPY198" s="133"/>
      <c r="HPZ198" s="133"/>
      <c r="HQA198" s="133"/>
      <c r="HQB198" s="133"/>
      <c r="HQC198" s="133"/>
      <c r="HQD198" s="133"/>
      <c r="HQE198" s="133"/>
      <c r="HQF198" s="133"/>
      <c r="HQG198" s="133"/>
      <c r="HQH198" s="133"/>
      <c r="HQI198" s="133"/>
      <c r="HQJ198" s="133"/>
      <c r="HQK198" s="133"/>
      <c r="HQL198" s="133"/>
      <c r="HQM198" s="133"/>
      <c r="HQN198" s="133"/>
      <c r="HQO198" s="133"/>
      <c r="HQP198" s="133"/>
      <c r="HQQ198" s="133"/>
      <c r="HQR198" s="133"/>
      <c r="HQS198" s="133"/>
      <c r="HQT198" s="133"/>
      <c r="HQU198" s="133"/>
      <c r="HQV198" s="133"/>
      <c r="HQW198" s="133"/>
      <c r="HQX198" s="133"/>
      <c r="HQY198" s="133"/>
      <c r="HQZ198" s="133"/>
      <c r="HRA198" s="133"/>
      <c r="HRB198" s="133"/>
      <c r="HRC198" s="133"/>
      <c r="HRD198" s="133"/>
      <c r="HRE198" s="133"/>
      <c r="HRF198" s="133"/>
      <c r="HRG198" s="133"/>
      <c r="HRH198" s="133"/>
      <c r="HRI198" s="133"/>
      <c r="HRJ198" s="133"/>
      <c r="HRK198" s="133"/>
      <c r="HRL198" s="133"/>
      <c r="HRM198" s="133"/>
      <c r="HRN198" s="133"/>
      <c r="HRO198" s="133"/>
      <c r="HRP198" s="133"/>
      <c r="HRQ198" s="133"/>
      <c r="HRR198" s="133"/>
      <c r="HRS198" s="133"/>
      <c r="HRT198" s="133"/>
      <c r="HRU198" s="133"/>
      <c r="HRV198" s="133"/>
      <c r="HRW198" s="133"/>
      <c r="HRX198" s="133"/>
      <c r="HRY198" s="133"/>
      <c r="HRZ198" s="133"/>
      <c r="HSA198" s="133"/>
      <c r="HSB198" s="133"/>
      <c r="HSC198" s="133"/>
      <c r="HSD198" s="133"/>
      <c r="HSE198" s="133"/>
      <c r="HSF198" s="133"/>
      <c r="HSG198" s="133"/>
      <c r="HSH198" s="133"/>
      <c r="HSI198" s="133"/>
      <c r="HSJ198" s="133"/>
      <c r="HSK198" s="133"/>
      <c r="HSL198" s="133"/>
      <c r="HSM198" s="133"/>
      <c r="HSN198" s="133"/>
      <c r="HSO198" s="133"/>
      <c r="HSP198" s="133"/>
      <c r="HSQ198" s="133"/>
      <c r="HSR198" s="133"/>
      <c r="HSS198" s="133"/>
      <c r="HST198" s="133"/>
      <c r="HSU198" s="133"/>
      <c r="HSV198" s="133"/>
      <c r="HSW198" s="133"/>
      <c r="HSX198" s="133"/>
      <c r="HSY198" s="133"/>
      <c r="HSZ198" s="133"/>
      <c r="HTA198" s="133"/>
      <c r="HTB198" s="133"/>
      <c r="HTC198" s="133"/>
      <c r="HTD198" s="133"/>
      <c r="HTE198" s="133"/>
      <c r="HTF198" s="133"/>
      <c r="HTG198" s="133"/>
      <c r="HTH198" s="133"/>
      <c r="HTI198" s="133"/>
      <c r="HTJ198" s="133"/>
      <c r="HTK198" s="133"/>
      <c r="HTL198" s="133"/>
      <c r="HTM198" s="133"/>
      <c r="HTN198" s="133"/>
      <c r="HTO198" s="133"/>
      <c r="HTP198" s="133"/>
      <c r="HTQ198" s="133"/>
      <c r="HTR198" s="133"/>
      <c r="HTS198" s="133"/>
      <c r="HTT198" s="133"/>
      <c r="HTU198" s="133"/>
      <c r="HTV198" s="133"/>
      <c r="HTW198" s="133"/>
      <c r="HTX198" s="133"/>
      <c r="HTY198" s="133"/>
      <c r="HTZ198" s="133"/>
      <c r="HUA198" s="133"/>
      <c r="HUB198" s="133"/>
      <c r="HUC198" s="133"/>
      <c r="HUD198" s="133"/>
      <c r="HUE198" s="133"/>
      <c r="HUF198" s="133"/>
      <c r="HUG198" s="133"/>
      <c r="HUH198" s="133"/>
      <c r="HUI198" s="133"/>
      <c r="HUJ198" s="133"/>
      <c r="HUK198" s="133"/>
      <c r="HUL198" s="133"/>
      <c r="HUM198" s="133"/>
      <c r="HUN198" s="133"/>
      <c r="HUO198" s="133"/>
      <c r="HUP198" s="133"/>
      <c r="HUQ198" s="133"/>
      <c r="HUR198" s="133"/>
      <c r="HUS198" s="133"/>
      <c r="HUT198" s="133"/>
      <c r="HUU198" s="133"/>
      <c r="HUV198" s="133"/>
      <c r="HUW198" s="133"/>
      <c r="HUX198" s="133"/>
      <c r="HUY198" s="133"/>
      <c r="HUZ198" s="133"/>
      <c r="HVA198" s="133"/>
      <c r="HVB198" s="133"/>
      <c r="HVC198" s="133"/>
      <c r="HVD198" s="133"/>
      <c r="HVE198" s="133"/>
      <c r="HVF198" s="133"/>
      <c r="HVG198" s="133"/>
      <c r="HVH198" s="133"/>
      <c r="HVI198" s="133"/>
      <c r="HVJ198" s="133"/>
      <c r="HVK198" s="133"/>
      <c r="HVL198" s="133"/>
      <c r="HVM198" s="133"/>
      <c r="HVN198" s="133"/>
      <c r="HVO198" s="133"/>
      <c r="HVP198" s="133"/>
      <c r="HVQ198" s="133"/>
      <c r="HVR198" s="133"/>
      <c r="HVS198" s="133"/>
      <c r="HVT198" s="133"/>
      <c r="HVU198" s="133"/>
      <c r="HVV198" s="133"/>
      <c r="HVW198" s="133"/>
      <c r="HVX198" s="133"/>
      <c r="HVY198" s="133"/>
      <c r="HVZ198" s="133"/>
      <c r="HWA198" s="133"/>
      <c r="HWB198" s="133"/>
      <c r="HWC198" s="133"/>
      <c r="HWD198" s="133"/>
      <c r="HWE198" s="133"/>
      <c r="HWF198" s="133"/>
      <c r="HWG198" s="133"/>
      <c r="HWH198" s="133"/>
      <c r="HWI198" s="133"/>
      <c r="HWJ198" s="133"/>
      <c r="HWK198" s="133"/>
      <c r="HWL198" s="133"/>
      <c r="HWM198" s="133"/>
      <c r="HWN198" s="133"/>
      <c r="HWO198" s="133"/>
      <c r="HWP198" s="133"/>
      <c r="HWQ198" s="133"/>
      <c r="HWR198" s="133"/>
      <c r="HWS198" s="133"/>
      <c r="HWT198" s="133"/>
      <c r="HWU198" s="133"/>
      <c r="HWV198" s="133"/>
      <c r="HWW198" s="133"/>
      <c r="HWX198" s="133"/>
      <c r="HWY198" s="133"/>
      <c r="HWZ198" s="133"/>
      <c r="HXA198" s="133"/>
      <c r="HXB198" s="133"/>
      <c r="HXC198" s="133"/>
      <c r="HXD198" s="133"/>
      <c r="HXE198" s="133"/>
      <c r="HXF198" s="133"/>
      <c r="HXG198" s="133"/>
      <c r="HXH198" s="133"/>
      <c r="HXI198" s="133"/>
      <c r="HXJ198" s="133"/>
      <c r="HXK198" s="133"/>
      <c r="HXL198" s="133"/>
      <c r="HXM198" s="133"/>
      <c r="HXN198" s="133"/>
      <c r="HXO198" s="133"/>
      <c r="HXP198" s="133"/>
      <c r="HXQ198" s="133"/>
      <c r="HXR198" s="133"/>
      <c r="HXS198" s="133"/>
      <c r="HXT198" s="133"/>
      <c r="HXU198" s="133"/>
      <c r="HXV198" s="133"/>
      <c r="HXW198" s="133"/>
      <c r="HXX198" s="133"/>
      <c r="HXY198" s="133"/>
      <c r="HXZ198" s="133"/>
      <c r="HYA198" s="133"/>
      <c r="HYB198" s="133"/>
      <c r="HYC198" s="133"/>
      <c r="HYD198" s="133"/>
      <c r="HYE198" s="133"/>
      <c r="HYF198" s="133"/>
      <c r="HYG198" s="133"/>
      <c r="HYH198" s="133"/>
      <c r="HYI198" s="133"/>
      <c r="HYJ198" s="133"/>
      <c r="HYK198" s="133"/>
      <c r="HYL198" s="133"/>
      <c r="HYM198" s="133"/>
      <c r="HYN198" s="133"/>
      <c r="HYO198" s="133"/>
      <c r="HYP198" s="133"/>
      <c r="HYQ198" s="133"/>
      <c r="HYR198" s="133"/>
      <c r="HYS198" s="133"/>
      <c r="HYT198" s="133"/>
      <c r="HYU198" s="133"/>
      <c r="HYV198" s="133"/>
      <c r="HYW198" s="133"/>
      <c r="HYX198" s="133"/>
      <c r="HYY198" s="133"/>
      <c r="HYZ198" s="133"/>
      <c r="HZA198" s="133"/>
      <c r="HZB198" s="133"/>
      <c r="HZC198" s="133"/>
      <c r="HZD198" s="133"/>
      <c r="HZE198" s="133"/>
      <c r="HZF198" s="133"/>
      <c r="HZG198" s="133"/>
      <c r="HZH198" s="133"/>
      <c r="HZI198" s="133"/>
      <c r="HZJ198" s="133"/>
      <c r="HZK198" s="133"/>
      <c r="HZL198" s="133"/>
      <c r="HZM198" s="133"/>
      <c r="HZN198" s="133"/>
      <c r="HZO198" s="133"/>
      <c r="HZP198" s="133"/>
      <c r="HZQ198" s="133"/>
      <c r="HZR198" s="133"/>
      <c r="HZS198" s="133"/>
      <c r="HZT198" s="133"/>
      <c r="HZU198" s="133"/>
      <c r="HZV198" s="133"/>
      <c r="HZW198" s="133"/>
      <c r="HZX198" s="133"/>
      <c r="HZY198" s="133"/>
      <c r="HZZ198" s="133"/>
      <c r="IAA198" s="133"/>
      <c r="IAB198" s="133"/>
      <c r="IAC198" s="133"/>
      <c r="IAD198" s="133"/>
      <c r="IAE198" s="133"/>
      <c r="IAF198" s="133"/>
      <c r="IAG198" s="133"/>
      <c r="IAH198" s="133"/>
      <c r="IAI198" s="133"/>
      <c r="IAJ198" s="133"/>
      <c r="IAK198" s="133"/>
      <c r="IAL198" s="133"/>
      <c r="IAM198" s="133"/>
      <c r="IAN198" s="133"/>
      <c r="IAO198" s="133"/>
      <c r="IAP198" s="133"/>
      <c r="IAQ198" s="133"/>
      <c r="IAR198" s="133"/>
      <c r="IAS198" s="133"/>
      <c r="IAT198" s="133"/>
      <c r="IAU198" s="133"/>
      <c r="IAV198" s="133"/>
      <c r="IAW198" s="133"/>
      <c r="IAX198" s="133"/>
      <c r="IAY198" s="133"/>
      <c r="IAZ198" s="133"/>
      <c r="IBA198" s="133"/>
      <c r="IBB198" s="133"/>
      <c r="IBC198" s="133"/>
      <c r="IBD198" s="133"/>
      <c r="IBE198" s="133"/>
      <c r="IBF198" s="133"/>
      <c r="IBG198" s="133"/>
      <c r="IBH198" s="133"/>
      <c r="IBI198" s="133"/>
      <c r="IBJ198" s="133"/>
      <c r="IBK198" s="133"/>
      <c r="IBL198" s="133"/>
      <c r="IBM198" s="133"/>
      <c r="IBN198" s="133"/>
      <c r="IBO198" s="133"/>
      <c r="IBP198" s="133"/>
      <c r="IBQ198" s="133"/>
      <c r="IBR198" s="133"/>
      <c r="IBS198" s="133"/>
      <c r="IBT198" s="133"/>
      <c r="IBU198" s="133"/>
      <c r="IBV198" s="133"/>
      <c r="IBW198" s="133"/>
      <c r="IBX198" s="133"/>
      <c r="IBY198" s="133"/>
      <c r="IBZ198" s="133"/>
      <c r="ICA198" s="133"/>
      <c r="ICB198" s="133"/>
      <c r="ICC198" s="133"/>
      <c r="ICD198" s="133"/>
      <c r="ICE198" s="133"/>
      <c r="ICF198" s="133"/>
      <c r="ICG198" s="133"/>
      <c r="ICH198" s="133"/>
      <c r="ICI198" s="133"/>
      <c r="ICJ198" s="133"/>
      <c r="ICK198" s="133"/>
      <c r="ICL198" s="133"/>
      <c r="ICM198" s="133"/>
      <c r="ICN198" s="133"/>
      <c r="ICO198" s="133"/>
      <c r="ICP198" s="133"/>
      <c r="ICQ198" s="133"/>
      <c r="ICR198" s="133"/>
      <c r="ICS198" s="133"/>
      <c r="ICT198" s="133"/>
      <c r="ICU198" s="133"/>
      <c r="ICV198" s="133"/>
      <c r="ICW198" s="133"/>
      <c r="ICX198" s="133"/>
      <c r="ICY198" s="133"/>
      <c r="ICZ198" s="133"/>
      <c r="IDA198" s="133"/>
      <c r="IDB198" s="133"/>
      <c r="IDC198" s="133"/>
      <c r="IDD198" s="133"/>
      <c r="IDE198" s="133"/>
      <c r="IDF198" s="133"/>
      <c r="IDG198" s="133"/>
      <c r="IDH198" s="133"/>
      <c r="IDI198" s="133"/>
      <c r="IDJ198" s="133"/>
      <c r="IDK198" s="133"/>
      <c r="IDL198" s="133"/>
      <c r="IDM198" s="133"/>
      <c r="IDN198" s="133"/>
      <c r="IDO198" s="133"/>
      <c r="IDP198" s="133"/>
      <c r="IDQ198" s="133"/>
      <c r="IDR198" s="133"/>
      <c r="IDS198" s="133"/>
      <c r="IDT198" s="133"/>
      <c r="IDU198" s="133"/>
      <c r="IDV198" s="133"/>
      <c r="IDW198" s="133"/>
      <c r="IDX198" s="133"/>
      <c r="IDY198" s="133"/>
      <c r="IDZ198" s="133"/>
      <c r="IEA198" s="133"/>
      <c r="IEB198" s="133"/>
      <c r="IEC198" s="133"/>
      <c r="IED198" s="133"/>
      <c r="IEE198" s="133"/>
      <c r="IEF198" s="133"/>
      <c r="IEG198" s="133"/>
      <c r="IEH198" s="133"/>
      <c r="IEI198" s="133"/>
      <c r="IEJ198" s="133"/>
      <c r="IEK198" s="133"/>
      <c r="IEL198" s="133"/>
      <c r="IEM198" s="133"/>
      <c r="IEN198" s="133"/>
      <c r="IEO198" s="133"/>
      <c r="IEP198" s="133"/>
      <c r="IEQ198" s="133"/>
      <c r="IER198" s="133"/>
      <c r="IES198" s="133"/>
      <c r="IET198" s="133"/>
      <c r="IEU198" s="133"/>
      <c r="IEV198" s="133"/>
      <c r="IEW198" s="133"/>
      <c r="IEX198" s="133"/>
      <c r="IEY198" s="133"/>
      <c r="IEZ198" s="133"/>
      <c r="IFA198" s="133"/>
      <c r="IFB198" s="133"/>
      <c r="IFC198" s="133"/>
      <c r="IFD198" s="133"/>
      <c r="IFE198" s="133"/>
      <c r="IFF198" s="133"/>
      <c r="IFG198" s="133"/>
      <c r="IFH198" s="133"/>
      <c r="IFI198" s="133"/>
      <c r="IFJ198" s="133"/>
      <c r="IFK198" s="133"/>
      <c r="IFL198" s="133"/>
      <c r="IFM198" s="133"/>
      <c r="IFN198" s="133"/>
      <c r="IFO198" s="133"/>
      <c r="IFP198" s="133"/>
      <c r="IFQ198" s="133"/>
      <c r="IFR198" s="133"/>
      <c r="IFS198" s="133"/>
      <c r="IFT198" s="133"/>
      <c r="IFU198" s="133"/>
      <c r="IFV198" s="133"/>
      <c r="IFW198" s="133"/>
      <c r="IFX198" s="133"/>
      <c r="IFY198" s="133"/>
      <c r="IFZ198" s="133"/>
      <c r="IGA198" s="133"/>
      <c r="IGB198" s="133"/>
      <c r="IGC198" s="133"/>
      <c r="IGD198" s="133"/>
      <c r="IGE198" s="133"/>
      <c r="IGF198" s="133"/>
      <c r="IGG198" s="133"/>
      <c r="IGH198" s="133"/>
      <c r="IGI198" s="133"/>
      <c r="IGJ198" s="133"/>
      <c r="IGK198" s="133"/>
      <c r="IGL198" s="133"/>
      <c r="IGM198" s="133"/>
      <c r="IGN198" s="133"/>
      <c r="IGO198" s="133"/>
      <c r="IGP198" s="133"/>
      <c r="IGQ198" s="133"/>
      <c r="IGR198" s="133"/>
      <c r="IGS198" s="133"/>
      <c r="IGT198" s="133"/>
      <c r="IGU198" s="133"/>
      <c r="IGV198" s="133"/>
      <c r="IGW198" s="133"/>
      <c r="IGX198" s="133"/>
      <c r="IGY198" s="133"/>
      <c r="IGZ198" s="133"/>
      <c r="IHA198" s="133"/>
      <c r="IHB198" s="133"/>
      <c r="IHC198" s="133"/>
      <c r="IHD198" s="133"/>
      <c r="IHE198" s="133"/>
      <c r="IHF198" s="133"/>
      <c r="IHG198" s="133"/>
      <c r="IHH198" s="133"/>
      <c r="IHI198" s="133"/>
      <c r="IHJ198" s="133"/>
      <c r="IHK198" s="133"/>
      <c r="IHL198" s="133"/>
      <c r="IHM198" s="133"/>
      <c r="IHN198" s="133"/>
      <c r="IHO198" s="133"/>
      <c r="IHP198" s="133"/>
      <c r="IHQ198" s="133"/>
      <c r="IHR198" s="133"/>
      <c r="IHS198" s="133"/>
      <c r="IHT198" s="133"/>
      <c r="IHU198" s="133"/>
      <c r="IHV198" s="133"/>
      <c r="IHW198" s="133"/>
      <c r="IHX198" s="133"/>
      <c r="IHY198" s="133"/>
      <c r="IHZ198" s="133"/>
      <c r="IIA198" s="133"/>
      <c r="IIB198" s="133"/>
      <c r="IIC198" s="133"/>
      <c r="IID198" s="133"/>
      <c r="IIE198" s="133"/>
      <c r="IIF198" s="133"/>
      <c r="IIG198" s="133"/>
      <c r="IIH198" s="133"/>
      <c r="III198" s="133"/>
      <c r="IIJ198" s="133"/>
      <c r="IIK198" s="133"/>
      <c r="IIL198" s="133"/>
      <c r="IIM198" s="133"/>
      <c r="IIN198" s="133"/>
      <c r="IIO198" s="133"/>
      <c r="IIP198" s="133"/>
      <c r="IIQ198" s="133"/>
      <c r="IIR198" s="133"/>
      <c r="IIS198" s="133"/>
      <c r="IIT198" s="133"/>
      <c r="IIU198" s="133"/>
      <c r="IIV198" s="133"/>
      <c r="IIW198" s="133"/>
      <c r="IIX198" s="133"/>
      <c r="IIY198" s="133"/>
      <c r="IIZ198" s="133"/>
      <c r="IJA198" s="133"/>
      <c r="IJB198" s="133"/>
      <c r="IJC198" s="133"/>
      <c r="IJD198" s="133"/>
      <c r="IJE198" s="133"/>
      <c r="IJF198" s="133"/>
      <c r="IJG198" s="133"/>
      <c r="IJH198" s="133"/>
      <c r="IJI198" s="133"/>
      <c r="IJJ198" s="133"/>
      <c r="IJK198" s="133"/>
      <c r="IJL198" s="133"/>
      <c r="IJM198" s="133"/>
      <c r="IJN198" s="133"/>
      <c r="IJO198" s="133"/>
      <c r="IJP198" s="133"/>
      <c r="IJQ198" s="133"/>
      <c r="IJR198" s="133"/>
      <c r="IJS198" s="133"/>
      <c r="IJT198" s="133"/>
      <c r="IJU198" s="133"/>
      <c r="IJV198" s="133"/>
      <c r="IJW198" s="133"/>
      <c r="IJX198" s="133"/>
      <c r="IJY198" s="133"/>
      <c r="IJZ198" s="133"/>
      <c r="IKA198" s="133"/>
      <c r="IKB198" s="133"/>
      <c r="IKC198" s="133"/>
      <c r="IKD198" s="133"/>
      <c r="IKE198" s="133"/>
      <c r="IKF198" s="133"/>
      <c r="IKG198" s="133"/>
      <c r="IKH198" s="133"/>
      <c r="IKI198" s="133"/>
      <c r="IKJ198" s="133"/>
      <c r="IKK198" s="133"/>
      <c r="IKL198" s="133"/>
      <c r="IKM198" s="133"/>
      <c r="IKN198" s="133"/>
      <c r="IKO198" s="133"/>
      <c r="IKP198" s="133"/>
      <c r="IKQ198" s="133"/>
      <c r="IKR198" s="133"/>
      <c r="IKS198" s="133"/>
      <c r="IKT198" s="133"/>
      <c r="IKU198" s="133"/>
      <c r="IKV198" s="133"/>
      <c r="IKW198" s="133"/>
      <c r="IKX198" s="133"/>
      <c r="IKY198" s="133"/>
      <c r="IKZ198" s="133"/>
      <c r="ILA198" s="133"/>
      <c r="ILB198" s="133"/>
      <c r="ILC198" s="133"/>
      <c r="ILD198" s="133"/>
      <c r="ILE198" s="133"/>
      <c r="ILF198" s="133"/>
      <c r="ILG198" s="133"/>
      <c r="ILH198" s="133"/>
      <c r="ILI198" s="133"/>
      <c r="ILJ198" s="133"/>
      <c r="ILK198" s="133"/>
      <c r="ILL198" s="133"/>
      <c r="ILM198" s="133"/>
      <c r="ILN198" s="133"/>
      <c r="ILO198" s="133"/>
      <c r="ILP198" s="133"/>
      <c r="ILQ198" s="133"/>
      <c r="ILR198" s="133"/>
      <c r="ILS198" s="133"/>
      <c r="ILT198" s="133"/>
      <c r="ILU198" s="133"/>
      <c r="ILV198" s="133"/>
      <c r="ILW198" s="133"/>
      <c r="ILX198" s="133"/>
      <c r="ILY198" s="133"/>
      <c r="ILZ198" s="133"/>
      <c r="IMA198" s="133"/>
      <c r="IMB198" s="133"/>
      <c r="IMC198" s="133"/>
      <c r="IMD198" s="133"/>
      <c r="IME198" s="133"/>
      <c r="IMF198" s="133"/>
      <c r="IMG198" s="133"/>
      <c r="IMH198" s="133"/>
      <c r="IMI198" s="133"/>
      <c r="IMJ198" s="133"/>
      <c r="IMK198" s="133"/>
      <c r="IML198" s="133"/>
      <c r="IMM198" s="133"/>
      <c r="IMN198" s="133"/>
      <c r="IMO198" s="133"/>
      <c r="IMP198" s="133"/>
      <c r="IMQ198" s="133"/>
      <c r="IMR198" s="133"/>
      <c r="IMS198" s="133"/>
      <c r="IMT198" s="133"/>
      <c r="IMU198" s="133"/>
      <c r="IMV198" s="133"/>
      <c r="IMW198" s="133"/>
      <c r="IMX198" s="133"/>
      <c r="IMY198" s="133"/>
      <c r="IMZ198" s="133"/>
      <c r="INA198" s="133"/>
      <c r="INB198" s="133"/>
      <c r="INC198" s="133"/>
      <c r="IND198" s="133"/>
      <c r="INE198" s="133"/>
      <c r="INF198" s="133"/>
      <c r="ING198" s="133"/>
      <c r="INH198" s="133"/>
      <c r="INI198" s="133"/>
      <c r="INJ198" s="133"/>
      <c r="INK198" s="133"/>
      <c r="INL198" s="133"/>
      <c r="INM198" s="133"/>
      <c r="INN198" s="133"/>
      <c r="INO198" s="133"/>
      <c r="INP198" s="133"/>
      <c r="INQ198" s="133"/>
      <c r="INR198" s="133"/>
      <c r="INS198" s="133"/>
      <c r="INT198" s="133"/>
      <c r="INU198" s="133"/>
      <c r="INV198" s="133"/>
      <c r="INW198" s="133"/>
      <c r="INX198" s="133"/>
      <c r="INY198" s="133"/>
      <c r="INZ198" s="133"/>
      <c r="IOA198" s="133"/>
      <c r="IOB198" s="133"/>
      <c r="IOC198" s="133"/>
      <c r="IOD198" s="133"/>
      <c r="IOE198" s="133"/>
      <c r="IOF198" s="133"/>
      <c r="IOG198" s="133"/>
      <c r="IOH198" s="133"/>
      <c r="IOI198" s="133"/>
      <c r="IOJ198" s="133"/>
      <c r="IOK198" s="133"/>
      <c r="IOL198" s="133"/>
      <c r="IOM198" s="133"/>
      <c r="ION198" s="133"/>
      <c r="IOO198" s="133"/>
      <c r="IOP198" s="133"/>
      <c r="IOQ198" s="133"/>
      <c r="IOR198" s="133"/>
      <c r="IOS198" s="133"/>
      <c r="IOT198" s="133"/>
      <c r="IOU198" s="133"/>
      <c r="IOV198" s="133"/>
      <c r="IOW198" s="133"/>
      <c r="IOX198" s="133"/>
      <c r="IOY198" s="133"/>
      <c r="IOZ198" s="133"/>
      <c r="IPA198" s="133"/>
      <c r="IPB198" s="133"/>
      <c r="IPC198" s="133"/>
      <c r="IPD198" s="133"/>
      <c r="IPE198" s="133"/>
      <c r="IPF198" s="133"/>
      <c r="IPG198" s="133"/>
      <c r="IPH198" s="133"/>
      <c r="IPI198" s="133"/>
      <c r="IPJ198" s="133"/>
      <c r="IPK198" s="133"/>
      <c r="IPL198" s="133"/>
      <c r="IPM198" s="133"/>
      <c r="IPN198" s="133"/>
      <c r="IPO198" s="133"/>
      <c r="IPP198" s="133"/>
      <c r="IPQ198" s="133"/>
      <c r="IPR198" s="133"/>
      <c r="IPS198" s="133"/>
      <c r="IPT198" s="133"/>
      <c r="IPU198" s="133"/>
      <c r="IPV198" s="133"/>
      <c r="IPW198" s="133"/>
      <c r="IPX198" s="133"/>
      <c r="IPY198" s="133"/>
      <c r="IPZ198" s="133"/>
      <c r="IQA198" s="133"/>
      <c r="IQB198" s="133"/>
      <c r="IQC198" s="133"/>
      <c r="IQD198" s="133"/>
      <c r="IQE198" s="133"/>
      <c r="IQF198" s="133"/>
      <c r="IQG198" s="133"/>
      <c r="IQH198" s="133"/>
      <c r="IQI198" s="133"/>
      <c r="IQJ198" s="133"/>
      <c r="IQK198" s="133"/>
      <c r="IQL198" s="133"/>
      <c r="IQM198" s="133"/>
      <c r="IQN198" s="133"/>
      <c r="IQO198" s="133"/>
      <c r="IQP198" s="133"/>
      <c r="IQQ198" s="133"/>
      <c r="IQR198" s="133"/>
      <c r="IQS198" s="133"/>
      <c r="IQT198" s="133"/>
      <c r="IQU198" s="133"/>
      <c r="IQV198" s="133"/>
      <c r="IQW198" s="133"/>
      <c r="IQX198" s="133"/>
      <c r="IQY198" s="133"/>
      <c r="IQZ198" s="133"/>
      <c r="IRA198" s="133"/>
      <c r="IRB198" s="133"/>
      <c r="IRC198" s="133"/>
      <c r="IRD198" s="133"/>
      <c r="IRE198" s="133"/>
      <c r="IRF198" s="133"/>
      <c r="IRG198" s="133"/>
      <c r="IRH198" s="133"/>
      <c r="IRI198" s="133"/>
      <c r="IRJ198" s="133"/>
      <c r="IRK198" s="133"/>
      <c r="IRL198" s="133"/>
      <c r="IRM198" s="133"/>
      <c r="IRN198" s="133"/>
      <c r="IRO198" s="133"/>
      <c r="IRP198" s="133"/>
      <c r="IRQ198" s="133"/>
      <c r="IRR198" s="133"/>
      <c r="IRS198" s="133"/>
      <c r="IRT198" s="133"/>
      <c r="IRU198" s="133"/>
      <c r="IRV198" s="133"/>
      <c r="IRW198" s="133"/>
      <c r="IRX198" s="133"/>
      <c r="IRY198" s="133"/>
      <c r="IRZ198" s="133"/>
      <c r="ISA198" s="133"/>
      <c r="ISB198" s="133"/>
      <c r="ISC198" s="133"/>
      <c r="ISD198" s="133"/>
      <c r="ISE198" s="133"/>
      <c r="ISF198" s="133"/>
      <c r="ISG198" s="133"/>
      <c r="ISH198" s="133"/>
      <c r="ISI198" s="133"/>
      <c r="ISJ198" s="133"/>
      <c r="ISK198" s="133"/>
      <c r="ISL198" s="133"/>
      <c r="ISM198" s="133"/>
      <c r="ISN198" s="133"/>
      <c r="ISO198" s="133"/>
      <c r="ISP198" s="133"/>
      <c r="ISQ198" s="133"/>
      <c r="ISR198" s="133"/>
      <c r="ISS198" s="133"/>
      <c r="IST198" s="133"/>
      <c r="ISU198" s="133"/>
      <c r="ISV198" s="133"/>
      <c r="ISW198" s="133"/>
      <c r="ISX198" s="133"/>
      <c r="ISY198" s="133"/>
      <c r="ISZ198" s="133"/>
      <c r="ITA198" s="133"/>
      <c r="ITB198" s="133"/>
      <c r="ITC198" s="133"/>
      <c r="ITD198" s="133"/>
      <c r="ITE198" s="133"/>
      <c r="ITF198" s="133"/>
      <c r="ITG198" s="133"/>
      <c r="ITH198" s="133"/>
      <c r="ITI198" s="133"/>
      <c r="ITJ198" s="133"/>
      <c r="ITK198" s="133"/>
      <c r="ITL198" s="133"/>
      <c r="ITM198" s="133"/>
      <c r="ITN198" s="133"/>
      <c r="ITO198" s="133"/>
      <c r="ITP198" s="133"/>
      <c r="ITQ198" s="133"/>
      <c r="ITR198" s="133"/>
      <c r="ITS198" s="133"/>
      <c r="ITT198" s="133"/>
      <c r="ITU198" s="133"/>
      <c r="ITV198" s="133"/>
      <c r="ITW198" s="133"/>
      <c r="ITX198" s="133"/>
      <c r="ITY198" s="133"/>
      <c r="ITZ198" s="133"/>
      <c r="IUA198" s="133"/>
      <c r="IUB198" s="133"/>
      <c r="IUC198" s="133"/>
      <c r="IUD198" s="133"/>
      <c r="IUE198" s="133"/>
      <c r="IUF198" s="133"/>
      <c r="IUG198" s="133"/>
      <c r="IUH198" s="133"/>
      <c r="IUI198" s="133"/>
      <c r="IUJ198" s="133"/>
      <c r="IUK198" s="133"/>
      <c r="IUL198" s="133"/>
      <c r="IUM198" s="133"/>
      <c r="IUN198" s="133"/>
      <c r="IUO198" s="133"/>
      <c r="IUP198" s="133"/>
      <c r="IUQ198" s="133"/>
      <c r="IUR198" s="133"/>
      <c r="IUS198" s="133"/>
      <c r="IUT198" s="133"/>
      <c r="IUU198" s="133"/>
      <c r="IUV198" s="133"/>
      <c r="IUW198" s="133"/>
      <c r="IUX198" s="133"/>
      <c r="IUY198" s="133"/>
      <c r="IUZ198" s="133"/>
      <c r="IVA198" s="133"/>
      <c r="IVB198" s="133"/>
      <c r="IVC198" s="133"/>
      <c r="IVD198" s="133"/>
      <c r="IVE198" s="133"/>
      <c r="IVF198" s="133"/>
      <c r="IVG198" s="133"/>
      <c r="IVH198" s="133"/>
      <c r="IVI198" s="133"/>
      <c r="IVJ198" s="133"/>
      <c r="IVK198" s="133"/>
      <c r="IVL198" s="133"/>
      <c r="IVM198" s="133"/>
      <c r="IVN198" s="133"/>
      <c r="IVO198" s="133"/>
      <c r="IVP198" s="133"/>
      <c r="IVQ198" s="133"/>
      <c r="IVR198" s="133"/>
      <c r="IVS198" s="133"/>
      <c r="IVT198" s="133"/>
      <c r="IVU198" s="133"/>
      <c r="IVV198" s="133"/>
      <c r="IVW198" s="133"/>
      <c r="IVX198" s="133"/>
      <c r="IVY198" s="133"/>
      <c r="IVZ198" s="133"/>
      <c r="IWA198" s="133"/>
      <c r="IWB198" s="133"/>
      <c r="IWC198" s="133"/>
      <c r="IWD198" s="133"/>
      <c r="IWE198" s="133"/>
      <c r="IWF198" s="133"/>
      <c r="IWG198" s="133"/>
      <c r="IWH198" s="133"/>
      <c r="IWI198" s="133"/>
      <c r="IWJ198" s="133"/>
      <c r="IWK198" s="133"/>
      <c r="IWL198" s="133"/>
      <c r="IWM198" s="133"/>
      <c r="IWN198" s="133"/>
      <c r="IWO198" s="133"/>
      <c r="IWP198" s="133"/>
      <c r="IWQ198" s="133"/>
      <c r="IWR198" s="133"/>
      <c r="IWS198" s="133"/>
      <c r="IWT198" s="133"/>
      <c r="IWU198" s="133"/>
      <c r="IWV198" s="133"/>
      <c r="IWW198" s="133"/>
      <c r="IWX198" s="133"/>
      <c r="IWY198" s="133"/>
      <c r="IWZ198" s="133"/>
      <c r="IXA198" s="133"/>
      <c r="IXB198" s="133"/>
      <c r="IXC198" s="133"/>
      <c r="IXD198" s="133"/>
      <c r="IXE198" s="133"/>
      <c r="IXF198" s="133"/>
      <c r="IXG198" s="133"/>
      <c r="IXH198" s="133"/>
      <c r="IXI198" s="133"/>
      <c r="IXJ198" s="133"/>
      <c r="IXK198" s="133"/>
      <c r="IXL198" s="133"/>
      <c r="IXM198" s="133"/>
      <c r="IXN198" s="133"/>
      <c r="IXO198" s="133"/>
      <c r="IXP198" s="133"/>
      <c r="IXQ198" s="133"/>
      <c r="IXR198" s="133"/>
      <c r="IXS198" s="133"/>
      <c r="IXT198" s="133"/>
      <c r="IXU198" s="133"/>
      <c r="IXV198" s="133"/>
      <c r="IXW198" s="133"/>
      <c r="IXX198" s="133"/>
      <c r="IXY198" s="133"/>
      <c r="IXZ198" s="133"/>
      <c r="IYA198" s="133"/>
      <c r="IYB198" s="133"/>
      <c r="IYC198" s="133"/>
      <c r="IYD198" s="133"/>
      <c r="IYE198" s="133"/>
      <c r="IYF198" s="133"/>
      <c r="IYG198" s="133"/>
      <c r="IYH198" s="133"/>
      <c r="IYI198" s="133"/>
      <c r="IYJ198" s="133"/>
      <c r="IYK198" s="133"/>
      <c r="IYL198" s="133"/>
      <c r="IYM198" s="133"/>
      <c r="IYN198" s="133"/>
      <c r="IYO198" s="133"/>
      <c r="IYP198" s="133"/>
      <c r="IYQ198" s="133"/>
      <c r="IYR198" s="133"/>
      <c r="IYS198" s="133"/>
      <c r="IYT198" s="133"/>
      <c r="IYU198" s="133"/>
      <c r="IYV198" s="133"/>
      <c r="IYW198" s="133"/>
      <c r="IYX198" s="133"/>
      <c r="IYY198" s="133"/>
      <c r="IYZ198" s="133"/>
      <c r="IZA198" s="133"/>
      <c r="IZB198" s="133"/>
      <c r="IZC198" s="133"/>
      <c r="IZD198" s="133"/>
      <c r="IZE198" s="133"/>
      <c r="IZF198" s="133"/>
      <c r="IZG198" s="133"/>
      <c r="IZH198" s="133"/>
      <c r="IZI198" s="133"/>
      <c r="IZJ198" s="133"/>
      <c r="IZK198" s="133"/>
      <c r="IZL198" s="133"/>
      <c r="IZM198" s="133"/>
      <c r="IZN198" s="133"/>
      <c r="IZO198" s="133"/>
      <c r="IZP198" s="133"/>
      <c r="IZQ198" s="133"/>
      <c r="IZR198" s="133"/>
      <c r="IZS198" s="133"/>
      <c r="IZT198" s="133"/>
      <c r="IZU198" s="133"/>
      <c r="IZV198" s="133"/>
      <c r="IZW198" s="133"/>
      <c r="IZX198" s="133"/>
      <c r="IZY198" s="133"/>
      <c r="IZZ198" s="133"/>
      <c r="JAA198" s="133"/>
      <c r="JAB198" s="133"/>
      <c r="JAC198" s="133"/>
      <c r="JAD198" s="133"/>
      <c r="JAE198" s="133"/>
      <c r="JAF198" s="133"/>
      <c r="JAG198" s="133"/>
      <c r="JAH198" s="133"/>
      <c r="JAI198" s="133"/>
      <c r="JAJ198" s="133"/>
      <c r="JAK198" s="133"/>
      <c r="JAL198" s="133"/>
      <c r="JAM198" s="133"/>
      <c r="JAN198" s="133"/>
      <c r="JAO198" s="133"/>
      <c r="JAP198" s="133"/>
      <c r="JAQ198" s="133"/>
      <c r="JAR198" s="133"/>
      <c r="JAS198" s="133"/>
      <c r="JAT198" s="133"/>
      <c r="JAU198" s="133"/>
      <c r="JAV198" s="133"/>
      <c r="JAW198" s="133"/>
      <c r="JAX198" s="133"/>
      <c r="JAY198" s="133"/>
      <c r="JAZ198" s="133"/>
      <c r="JBA198" s="133"/>
      <c r="JBB198" s="133"/>
      <c r="JBC198" s="133"/>
      <c r="JBD198" s="133"/>
      <c r="JBE198" s="133"/>
      <c r="JBF198" s="133"/>
      <c r="JBG198" s="133"/>
      <c r="JBH198" s="133"/>
      <c r="JBI198" s="133"/>
      <c r="JBJ198" s="133"/>
      <c r="JBK198" s="133"/>
      <c r="JBL198" s="133"/>
      <c r="JBM198" s="133"/>
      <c r="JBN198" s="133"/>
      <c r="JBO198" s="133"/>
      <c r="JBP198" s="133"/>
      <c r="JBQ198" s="133"/>
      <c r="JBR198" s="133"/>
      <c r="JBS198" s="133"/>
      <c r="JBT198" s="133"/>
      <c r="JBU198" s="133"/>
      <c r="JBV198" s="133"/>
      <c r="JBW198" s="133"/>
      <c r="JBX198" s="133"/>
      <c r="JBY198" s="133"/>
      <c r="JBZ198" s="133"/>
      <c r="JCA198" s="133"/>
      <c r="JCB198" s="133"/>
      <c r="JCC198" s="133"/>
      <c r="JCD198" s="133"/>
      <c r="JCE198" s="133"/>
      <c r="JCF198" s="133"/>
      <c r="JCG198" s="133"/>
      <c r="JCH198" s="133"/>
      <c r="JCI198" s="133"/>
      <c r="JCJ198" s="133"/>
      <c r="JCK198" s="133"/>
      <c r="JCL198" s="133"/>
      <c r="JCM198" s="133"/>
      <c r="JCN198" s="133"/>
      <c r="JCO198" s="133"/>
      <c r="JCP198" s="133"/>
      <c r="JCQ198" s="133"/>
      <c r="JCR198" s="133"/>
      <c r="JCS198" s="133"/>
      <c r="JCT198" s="133"/>
      <c r="JCU198" s="133"/>
      <c r="JCV198" s="133"/>
      <c r="JCW198" s="133"/>
      <c r="JCX198" s="133"/>
      <c r="JCY198" s="133"/>
      <c r="JCZ198" s="133"/>
      <c r="JDA198" s="133"/>
      <c r="JDB198" s="133"/>
      <c r="JDC198" s="133"/>
      <c r="JDD198" s="133"/>
      <c r="JDE198" s="133"/>
      <c r="JDF198" s="133"/>
      <c r="JDG198" s="133"/>
      <c r="JDH198" s="133"/>
      <c r="JDI198" s="133"/>
      <c r="JDJ198" s="133"/>
      <c r="JDK198" s="133"/>
      <c r="JDL198" s="133"/>
      <c r="JDM198" s="133"/>
      <c r="JDN198" s="133"/>
      <c r="JDO198" s="133"/>
      <c r="JDP198" s="133"/>
      <c r="JDQ198" s="133"/>
      <c r="JDR198" s="133"/>
      <c r="JDS198" s="133"/>
      <c r="JDT198" s="133"/>
      <c r="JDU198" s="133"/>
      <c r="JDV198" s="133"/>
      <c r="JDW198" s="133"/>
      <c r="JDX198" s="133"/>
      <c r="JDY198" s="133"/>
      <c r="JDZ198" s="133"/>
      <c r="JEA198" s="133"/>
      <c r="JEB198" s="133"/>
      <c r="JEC198" s="133"/>
      <c r="JED198" s="133"/>
      <c r="JEE198" s="133"/>
      <c r="JEF198" s="133"/>
      <c r="JEG198" s="133"/>
      <c r="JEH198" s="133"/>
      <c r="JEI198" s="133"/>
      <c r="JEJ198" s="133"/>
      <c r="JEK198" s="133"/>
      <c r="JEL198" s="133"/>
      <c r="JEM198" s="133"/>
      <c r="JEN198" s="133"/>
      <c r="JEO198" s="133"/>
      <c r="JEP198" s="133"/>
      <c r="JEQ198" s="133"/>
      <c r="JER198" s="133"/>
      <c r="JES198" s="133"/>
      <c r="JET198" s="133"/>
      <c r="JEU198" s="133"/>
      <c r="JEV198" s="133"/>
      <c r="JEW198" s="133"/>
      <c r="JEX198" s="133"/>
      <c r="JEY198" s="133"/>
      <c r="JEZ198" s="133"/>
      <c r="JFA198" s="133"/>
      <c r="JFB198" s="133"/>
      <c r="JFC198" s="133"/>
      <c r="JFD198" s="133"/>
      <c r="JFE198" s="133"/>
      <c r="JFF198" s="133"/>
      <c r="JFG198" s="133"/>
      <c r="JFH198" s="133"/>
      <c r="JFI198" s="133"/>
      <c r="JFJ198" s="133"/>
      <c r="JFK198" s="133"/>
      <c r="JFL198" s="133"/>
      <c r="JFM198" s="133"/>
      <c r="JFN198" s="133"/>
      <c r="JFO198" s="133"/>
      <c r="JFP198" s="133"/>
      <c r="JFQ198" s="133"/>
      <c r="JFR198" s="133"/>
      <c r="JFS198" s="133"/>
      <c r="JFT198" s="133"/>
      <c r="JFU198" s="133"/>
      <c r="JFV198" s="133"/>
      <c r="JFW198" s="133"/>
      <c r="JFX198" s="133"/>
      <c r="JFY198" s="133"/>
      <c r="JFZ198" s="133"/>
      <c r="JGA198" s="133"/>
      <c r="JGB198" s="133"/>
      <c r="JGC198" s="133"/>
      <c r="JGD198" s="133"/>
      <c r="JGE198" s="133"/>
      <c r="JGF198" s="133"/>
      <c r="JGG198" s="133"/>
      <c r="JGH198" s="133"/>
      <c r="JGI198" s="133"/>
      <c r="JGJ198" s="133"/>
      <c r="JGK198" s="133"/>
      <c r="JGL198" s="133"/>
      <c r="JGM198" s="133"/>
      <c r="JGN198" s="133"/>
      <c r="JGO198" s="133"/>
      <c r="JGP198" s="133"/>
      <c r="JGQ198" s="133"/>
      <c r="JGR198" s="133"/>
      <c r="JGS198" s="133"/>
      <c r="JGT198" s="133"/>
      <c r="JGU198" s="133"/>
      <c r="JGV198" s="133"/>
      <c r="JGW198" s="133"/>
      <c r="JGX198" s="133"/>
      <c r="JGY198" s="133"/>
      <c r="JGZ198" s="133"/>
      <c r="JHA198" s="133"/>
      <c r="JHB198" s="133"/>
      <c r="JHC198" s="133"/>
      <c r="JHD198" s="133"/>
      <c r="JHE198" s="133"/>
      <c r="JHF198" s="133"/>
      <c r="JHG198" s="133"/>
      <c r="JHH198" s="133"/>
      <c r="JHI198" s="133"/>
      <c r="JHJ198" s="133"/>
      <c r="JHK198" s="133"/>
      <c r="JHL198" s="133"/>
      <c r="JHM198" s="133"/>
      <c r="JHN198" s="133"/>
      <c r="JHO198" s="133"/>
      <c r="JHP198" s="133"/>
      <c r="JHQ198" s="133"/>
      <c r="JHR198" s="133"/>
      <c r="JHS198" s="133"/>
      <c r="JHT198" s="133"/>
      <c r="JHU198" s="133"/>
      <c r="JHV198" s="133"/>
      <c r="JHW198" s="133"/>
      <c r="JHX198" s="133"/>
      <c r="JHY198" s="133"/>
      <c r="JHZ198" s="133"/>
      <c r="JIA198" s="133"/>
      <c r="JIB198" s="133"/>
      <c r="JIC198" s="133"/>
      <c r="JID198" s="133"/>
      <c r="JIE198" s="133"/>
      <c r="JIF198" s="133"/>
      <c r="JIG198" s="133"/>
      <c r="JIH198" s="133"/>
      <c r="JII198" s="133"/>
      <c r="JIJ198" s="133"/>
      <c r="JIK198" s="133"/>
      <c r="JIL198" s="133"/>
      <c r="JIM198" s="133"/>
      <c r="JIN198" s="133"/>
      <c r="JIO198" s="133"/>
      <c r="JIP198" s="133"/>
      <c r="JIQ198" s="133"/>
      <c r="JIR198" s="133"/>
      <c r="JIS198" s="133"/>
      <c r="JIT198" s="133"/>
      <c r="JIU198" s="133"/>
      <c r="JIV198" s="133"/>
      <c r="JIW198" s="133"/>
      <c r="JIX198" s="133"/>
      <c r="JIY198" s="133"/>
      <c r="JIZ198" s="133"/>
      <c r="JJA198" s="133"/>
      <c r="JJB198" s="133"/>
      <c r="JJC198" s="133"/>
      <c r="JJD198" s="133"/>
      <c r="JJE198" s="133"/>
      <c r="JJF198" s="133"/>
      <c r="JJG198" s="133"/>
      <c r="JJH198" s="133"/>
      <c r="JJI198" s="133"/>
      <c r="JJJ198" s="133"/>
      <c r="JJK198" s="133"/>
      <c r="JJL198" s="133"/>
      <c r="JJM198" s="133"/>
      <c r="JJN198" s="133"/>
      <c r="JJO198" s="133"/>
      <c r="JJP198" s="133"/>
      <c r="JJQ198" s="133"/>
      <c r="JJR198" s="133"/>
      <c r="JJS198" s="133"/>
      <c r="JJT198" s="133"/>
      <c r="JJU198" s="133"/>
      <c r="JJV198" s="133"/>
      <c r="JJW198" s="133"/>
      <c r="JJX198" s="133"/>
      <c r="JJY198" s="133"/>
      <c r="JJZ198" s="133"/>
      <c r="JKA198" s="133"/>
      <c r="JKB198" s="133"/>
      <c r="JKC198" s="133"/>
      <c r="JKD198" s="133"/>
      <c r="JKE198" s="133"/>
      <c r="JKF198" s="133"/>
      <c r="JKG198" s="133"/>
      <c r="JKH198" s="133"/>
      <c r="JKI198" s="133"/>
      <c r="JKJ198" s="133"/>
      <c r="JKK198" s="133"/>
      <c r="JKL198" s="133"/>
      <c r="JKM198" s="133"/>
      <c r="JKN198" s="133"/>
      <c r="JKO198" s="133"/>
      <c r="JKP198" s="133"/>
      <c r="JKQ198" s="133"/>
      <c r="JKR198" s="133"/>
      <c r="JKS198" s="133"/>
      <c r="JKT198" s="133"/>
      <c r="JKU198" s="133"/>
      <c r="JKV198" s="133"/>
      <c r="JKW198" s="133"/>
      <c r="JKX198" s="133"/>
      <c r="JKY198" s="133"/>
      <c r="JKZ198" s="133"/>
      <c r="JLA198" s="133"/>
      <c r="JLB198" s="133"/>
      <c r="JLC198" s="133"/>
      <c r="JLD198" s="133"/>
      <c r="JLE198" s="133"/>
      <c r="JLF198" s="133"/>
      <c r="JLG198" s="133"/>
      <c r="JLH198" s="133"/>
      <c r="JLI198" s="133"/>
      <c r="JLJ198" s="133"/>
      <c r="JLK198" s="133"/>
      <c r="JLL198" s="133"/>
      <c r="JLM198" s="133"/>
      <c r="JLN198" s="133"/>
      <c r="JLO198" s="133"/>
      <c r="JLP198" s="133"/>
      <c r="JLQ198" s="133"/>
      <c r="JLR198" s="133"/>
      <c r="JLS198" s="133"/>
      <c r="JLT198" s="133"/>
      <c r="JLU198" s="133"/>
      <c r="JLV198" s="133"/>
      <c r="JLW198" s="133"/>
      <c r="JLX198" s="133"/>
      <c r="JLY198" s="133"/>
      <c r="JLZ198" s="133"/>
      <c r="JMA198" s="133"/>
      <c r="JMB198" s="133"/>
      <c r="JMC198" s="133"/>
      <c r="JMD198" s="133"/>
      <c r="JME198" s="133"/>
      <c r="JMF198" s="133"/>
      <c r="JMG198" s="133"/>
      <c r="JMH198" s="133"/>
      <c r="JMI198" s="133"/>
      <c r="JMJ198" s="133"/>
      <c r="JMK198" s="133"/>
      <c r="JML198" s="133"/>
      <c r="JMM198" s="133"/>
      <c r="JMN198" s="133"/>
      <c r="JMO198" s="133"/>
      <c r="JMP198" s="133"/>
      <c r="JMQ198" s="133"/>
      <c r="JMR198" s="133"/>
      <c r="JMS198" s="133"/>
      <c r="JMT198" s="133"/>
      <c r="JMU198" s="133"/>
      <c r="JMV198" s="133"/>
      <c r="JMW198" s="133"/>
      <c r="JMX198" s="133"/>
      <c r="JMY198" s="133"/>
      <c r="JMZ198" s="133"/>
      <c r="JNA198" s="133"/>
      <c r="JNB198" s="133"/>
      <c r="JNC198" s="133"/>
      <c r="JND198" s="133"/>
      <c r="JNE198" s="133"/>
      <c r="JNF198" s="133"/>
      <c r="JNG198" s="133"/>
      <c r="JNH198" s="133"/>
      <c r="JNI198" s="133"/>
      <c r="JNJ198" s="133"/>
      <c r="JNK198" s="133"/>
      <c r="JNL198" s="133"/>
      <c r="JNM198" s="133"/>
      <c r="JNN198" s="133"/>
      <c r="JNO198" s="133"/>
      <c r="JNP198" s="133"/>
      <c r="JNQ198" s="133"/>
      <c r="JNR198" s="133"/>
      <c r="JNS198" s="133"/>
      <c r="JNT198" s="133"/>
      <c r="JNU198" s="133"/>
      <c r="JNV198" s="133"/>
      <c r="JNW198" s="133"/>
      <c r="JNX198" s="133"/>
      <c r="JNY198" s="133"/>
      <c r="JNZ198" s="133"/>
      <c r="JOA198" s="133"/>
      <c r="JOB198" s="133"/>
      <c r="JOC198" s="133"/>
      <c r="JOD198" s="133"/>
      <c r="JOE198" s="133"/>
      <c r="JOF198" s="133"/>
      <c r="JOG198" s="133"/>
      <c r="JOH198" s="133"/>
      <c r="JOI198" s="133"/>
      <c r="JOJ198" s="133"/>
      <c r="JOK198" s="133"/>
      <c r="JOL198" s="133"/>
      <c r="JOM198" s="133"/>
      <c r="JON198" s="133"/>
      <c r="JOO198" s="133"/>
      <c r="JOP198" s="133"/>
      <c r="JOQ198" s="133"/>
      <c r="JOR198" s="133"/>
      <c r="JOS198" s="133"/>
      <c r="JOT198" s="133"/>
      <c r="JOU198" s="133"/>
      <c r="JOV198" s="133"/>
      <c r="JOW198" s="133"/>
      <c r="JOX198" s="133"/>
      <c r="JOY198" s="133"/>
      <c r="JOZ198" s="133"/>
      <c r="JPA198" s="133"/>
      <c r="JPB198" s="133"/>
      <c r="JPC198" s="133"/>
      <c r="JPD198" s="133"/>
      <c r="JPE198" s="133"/>
      <c r="JPF198" s="133"/>
      <c r="JPG198" s="133"/>
      <c r="JPH198" s="133"/>
      <c r="JPI198" s="133"/>
      <c r="JPJ198" s="133"/>
      <c r="JPK198" s="133"/>
      <c r="JPL198" s="133"/>
      <c r="JPM198" s="133"/>
      <c r="JPN198" s="133"/>
      <c r="JPO198" s="133"/>
      <c r="JPP198" s="133"/>
      <c r="JPQ198" s="133"/>
      <c r="JPR198" s="133"/>
      <c r="JPS198" s="133"/>
      <c r="JPT198" s="133"/>
      <c r="JPU198" s="133"/>
      <c r="JPV198" s="133"/>
      <c r="JPW198" s="133"/>
      <c r="JPX198" s="133"/>
      <c r="JPY198" s="133"/>
      <c r="JPZ198" s="133"/>
      <c r="JQA198" s="133"/>
      <c r="JQB198" s="133"/>
      <c r="JQC198" s="133"/>
      <c r="JQD198" s="133"/>
      <c r="JQE198" s="133"/>
      <c r="JQF198" s="133"/>
      <c r="JQG198" s="133"/>
      <c r="JQH198" s="133"/>
      <c r="JQI198" s="133"/>
      <c r="JQJ198" s="133"/>
      <c r="JQK198" s="133"/>
      <c r="JQL198" s="133"/>
      <c r="JQM198" s="133"/>
      <c r="JQN198" s="133"/>
      <c r="JQO198" s="133"/>
      <c r="JQP198" s="133"/>
      <c r="JQQ198" s="133"/>
      <c r="JQR198" s="133"/>
      <c r="JQS198" s="133"/>
      <c r="JQT198" s="133"/>
      <c r="JQU198" s="133"/>
      <c r="JQV198" s="133"/>
      <c r="JQW198" s="133"/>
      <c r="JQX198" s="133"/>
      <c r="JQY198" s="133"/>
      <c r="JQZ198" s="133"/>
      <c r="JRA198" s="133"/>
      <c r="JRB198" s="133"/>
      <c r="JRC198" s="133"/>
      <c r="JRD198" s="133"/>
      <c r="JRE198" s="133"/>
      <c r="JRF198" s="133"/>
      <c r="JRG198" s="133"/>
      <c r="JRH198" s="133"/>
      <c r="JRI198" s="133"/>
      <c r="JRJ198" s="133"/>
      <c r="JRK198" s="133"/>
      <c r="JRL198" s="133"/>
      <c r="JRM198" s="133"/>
      <c r="JRN198" s="133"/>
      <c r="JRO198" s="133"/>
      <c r="JRP198" s="133"/>
      <c r="JRQ198" s="133"/>
      <c r="JRR198" s="133"/>
      <c r="JRS198" s="133"/>
      <c r="JRT198" s="133"/>
      <c r="JRU198" s="133"/>
      <c r="JRV198" s="133"/>
      <c r="JRW198" s="133"/>
      <c r="JRX198" s="133"/>
      <c r="JRY198" s="133"/>
      <c r="JRZ198" s="133"/>
      <c r="JSA198" s="133"/>
      <c r="JSB198" s="133"/>
      <c r="JSC198" s="133"/>
      <c r="JSD198" s="133"/>
      <c r="JSE198" s="133"/>
      <c r="JSF198" s="133"/>
      <c r="JSG198" s="133"/>
      <c r="JSH198" s="133"/>
      <c r="JSI198" s="133"/>
      <c r="JSJ198" s="133"/>
      <c r="JSK198" s="133"/>
      <c r="JSL198" s="133"/>
      <c r="JSM198" s="133"/>
      <c r="JSN198" s="133"/>
      <c r="JSO198" s="133"/>
      <c r="JSP198" s="133"/>
      <c r="JSQ198" s="133"/>
      <c r="JSR198" s="133"/>
      <c r="JSS198" s="133"/>
      <c r="JST198" s="133"/>
      <c r="JSU198" s="133"/>
      <c r="JSV198" s="133"/>
      <c r="JSW198" s="133"/>
      <c r="JSX198" s="133"/>
      <c r="JSY198" s="133"/>
      <c r="JSZ198" s="133"/>
      <c r="JTA198" s="133"/>
      <c r="JTB198" s="133"/>
      <c r="JTC198" s="133"/>
      <c r="JTD198" s="133"/>
      <c r="JTE198" s="133"/>
      <c r="JTF198" s="133"/>
      <c r="JTG198" s="133"/>
      <c r="JTH198" s="133"/>
      <c r="JTI198" s="133"/>
      <c r="JTJ198" s="133"/>
      <c r="JTK198" s="133"/>
      <c r="JTL198" s="133"/>
      <c r="JTM198" s="133"/>
      <c r="JTN198" s="133"/>
      <c r="JTO198" s="133"/>
      <c r="JTP198" s="133"/>
      <c r="JTQ198" s="133"/>
      <c r="JTR198" s="133"/>
      <c r="JTS198" s="133"/>
      <c r="JTT198" s="133"/>
      <c r="JTU198" s="133"/>
      <c r="JTV198" s="133"/>
      <c r="JTW198" s="133"/>
      <c r="JTX198" s="133"/>
      <c r="JTY198" s="133"/>
      <c r="JTZ198" s="133"/>
      <c r="JUA198" s="133"/>
      <c r="JUB198" s="133"/>
      <c r="JUC198" s="133"/>
      <c r="JUD198" s="133"/>
      <c r="JUE198" s="133"/>
      <c r="JUF198" s="133"/>
      <c r="JUG198" s="133"/>
      <c r="JUH198" s="133"/>
      <c r="JUI198" s="133"/>
      <c r="JUJ198" s="133"/>
      <c r="JUK198" s="133"/>
      <c r="JUL198" s="133"/>
      <c r="JUM198" s="133"/>
      <c r="JUN198" s="133"/>
      <c r="JUO198" s="133"/>
      <c r="JUP198" s="133"/>
      <c r="JUQ198" s="133"/>
      <c r="JUR198" s="133"/>
      <c r="JUS198" s="133"/>
      <c r="JUT198" s="133"/>
      <c r="JUU198" s="133"/>
      <c r="JUV198" s="133"/>
      <c r="JUW198" s="133"/>
      <c r="JUX198" s="133"/>
      <c r="JUY198" s="133"/>
      <c r="JUZ198" s="133"/>
      <c r="JVA198" s="133"/>
      <c r="JVB198" s="133"/>
      <c r="JVC198" s="133"/>
      <c r="JVD198" s="133"/>
      <c r="JVE198" s="133"/>
      <c r="JVF198" s="133"/>
      <c r="JVG198" s="133"/>
      <c r="JVH198" s="133"/>
      <c r="JVI198" s="133"/>
      <c r="JVJ198" s="133"/>
      <c r="JVK198" s="133"/>
      <c r="JVL198" s="133"/>
      <c r="JVM198" s="133"/>
      <c r="JVN198" s="133"/>
      <c r="JVO198" s="133"/>
      <c r="JVP198" s="133"/>
      <c r="JVQ198" s="133"/>
      <c r="JVR198" s="133"/>
      <c r="JVS198" s="133"/>
      <c r="JVT198" s="133"/>
      <c r="JVU198" s="133"/>
      <c r="JVV198" s="133"/>
      <c r="JVW198" s="133"/>
      <c r="JVX198" s="133"/>
      <c r="JVY198" s="133"/>
      <c r="JVZ198" s="133"/>
      <c r="JWA198" s="133"/>
      <c r="JWB198" s="133"/>
      <c r="JWC198" s="133"/>
      <c r="JWD198" s="133"/>
      <c r="JWE198" s="133"/>
      <c r="JWF198" s="133"/>
      <c r="JWG198" s="133"/>
      <c r="JWH198" s="133"/>
      <c r="JWI198" s="133"/>
      <c r="JWJ198" s="133"/>
      <c r="JWK198" s="133"/>
      <c r="JWL198" s="133"/>
      <c r="JWM198" s="133"/>
      <c r="JWN198" s="133"/>
      <c r="JWO198" s="133"/>
      <c r="JWP198" s="133"/>
      <c r="JWQ198" s="133"/>
      <c r="JWR198" s="133"/>
      <c r="JWS198" s="133"/>
      <c r="JWT198" s="133"/>
      <c r="JWU198" s="133"/>
      <c r="JWV198" s="133"/>
      <c r="JWW198" s="133"/>
      <c r="JWX198" s="133"/>
      <c r="JWY198" s="133"/>
      <c r="JWZ198" s="133"/>
      <c r="JXA198" s="133"/>
      <c r="JXB198" s="133"/>
      <c r="JXC198" s="133"/>
      <c r="JXD198" s="133"/>
      <c r="JXE198" s="133"/>
      <c r="JXF198" s="133"/>
      <c r="JXG198" s="133"/>
      <c r="JXH198" s="133"/>
      <c r="JXI198" s="133"/>
      <c r="JXJ198" s="133"/>
      <c r="JXK198" s="133"/>
      <c r="JXL198" s="133"/>
      <c r="JXM198" s="133"/>
      <c r="JXN198" s="133"/>
      <c r="JXO198" s="133"/>
      <c r="JXP198" s="133"/>
      <c r="JXQ198" s="133"/>
      <c r="JXR198" s="133"/>
      <c r="JXS198" s="133"/>
      <c r="JXT198" s="133"/>
      <c r="JXU198" s="133"/>
      <c r="JXV198" s="133"/>
      <c r="JXW198" s="133"/>
      <c r="JXX198" s="133"/>
      <c r="JXY198" s="133"/>
      <c r="JXZ198" s="133"/>
      <c r="JYA198" s="133"/>
      <c r="JYB198" s="133"/>
      <c r="JYC198" s="133"/>
      <c r="JYD198" s="133"/>
      <c r="JYE198" s="133"/>
      <c r="JYF198" s="133"/>
      <c r="JYG198" s="133"/>
      <c r="JYH198" s="133"/>
      <c r="JYI198" s="133"/>
      <c r="JYJ198" s="133"/>
      <c r="JYK198" s="133"/>
      <c r="JYL198" s="133"/>
      <c r="JYM198" s="133"/>
      <c r="JYN198" s="133"/>
      <c r="JYO198" s="133"/>
      <c r="JYP198" s="133"/>
      <c r="JYQ198" s="133"/>
      <c r="JYR198" s="133"/>
      <c r="JYS198" s="133"/>
      <c r="JYT198" s="133"/>
      <c r="JYU198" s="133"/>
      <c r="JYV198" s="133"/>
      <c r="JYW198" s="133"/>
      <c r="JYX198" s="133"/>
      <c r="JYY198" s="133"/>
      <c r="JYZ198" s="133"/>
      <c r="JZA198" s="133"/>
      <c r="JZB198" s="133"/>
      <c r="JZC198" s="133"/>
      <c r="JZD198" s="133"/>
      <c r="JZE198" s="133"/>
      <c r="JZF198" s="133"/>
      <c r="JZG198" s="133"/>
      <c r="JZH198" s="133"/>
      <c r="JZI198" s="133"/>
      <c r="JZJ198" s="133"/>
      <c r="JZK198" s="133"/>
      <c r="JZL198" s="133"/>
      <c r="JZM198" s="133"/>
      <c r="JZN198" s="133"/>
      <c r="JZO198" s="133"/>
      <c r="JZP198" s="133"/>
      <c r="JZQ198" s="133"/>
      <c r="JZR198" s="133"/>
      <c r="JZS198" s="133"/>
      <c r="JZT198" s="133"/>
      <c r="JZU198" s="133"/>
      <c r="JZV198" s="133"/>
      <c r="JZW198" s="133"/>
      <c r="JZX198" s="133"/>
      <c r="JZY198" s="133"/>
      <c r="JZZ198" s="133"/>
      <c r="KAA198" s="133"/>
      <c r="KAB198" s="133"/>
      <c r="KAC198" s="133"/>
      <c r="KAD198" s="133"/>
      <c r="KAE198" s="133"/>
      <c r="KAF198" s="133"/>
      <c r="KAG198" s="133"/>
      <c r="KAH198" s="133"/>
      <c r="KAI198" s="133"/>
      <c r="KAJ198" s="133"/>
      <c r="KAK198" s="133"/>
      <c r="KAL198" s="133"/>
      <c r="KAM198" s="133"/>
      <c r="KAN198" s="133"/>
      <c r="KAO198" s="133"/>
      <c r="KAP198" s="133"/>
      <c r="KAQ198" s="133"/>
      <c r="KAR198" s="133"/>
      <c r="KAS198" s="133"/>
      <c r="KAT198" s="133"/>
      <c r="KAU198" s="133"/>
      <c r="KAV198" s="133"/>
      <c r="KAW198" s="133"/>
      <c r="KAX198" s="133"/>
      <c r="KAY198" s="133"/>
      <c r="KAZ198" s="133"/>
      <c r="KBA198" s="133"/>
      <c r="KBB198" s="133"/>
      <c r="KBC198" s="133"/>
      <c r="KBD198" s="133"/>
      <c r="KBE198" s="133"/>
      <c r="KBF198" s="133"/>
      <c r="KBG198" s="133"/>
      <c r="KBH198" s="133"/>
      <c r="KBI198" s="133"/>
      <c r="KBJ198" s="133"/>
      <c r="KBK198" s="133"/>
      <c r="KBL198" s="133"/>
      <c r="KBM198" s="133"/>
      <c r="KBN198" s="133"/>
      <c r="KBO198" s="133"/>
      <c r="KBP198" s="133"/>
      <c r="KBQ198" s="133"/>
      <c r="KBR198" s="133"/>
      <c r="KBS198" s="133"/>
      <c r="KBT198" s="133"/>
      <c r="KBU198" s="133"/>
      <c r="KBV198" s="133"/>
      <c r="KBW198" s="133"/>
      <c r="KBX198" s="133"/>
      <c r="KBY198" s="133"/>
      <c r="KBZ198" s="133"/>
      <c r="KCA198" s="133"/>
      <c r="KCB198" s="133"/>
      <c r="KCC198" s="133"/>
      <c r="KCD198" s="133"/>
      <c r="KCE198" s="133"/>
      <c r="KCF198" s="133"/>
      <c r="KCG198" s="133"/>
      <c r="KCH198" s="133"/>
      <c r="KCI198" s="133"/>
      <c r="KCJ198" s="133"/>
      <c r="KCK198" s="133"/>
      <c r="KCL198" s="133"/>
      <c r="KCM198" s="133"/>
      <c r="KCN198" s="133"/>
      <c r="KCO198" s="133"/>
      <c r="KCP198" s="133"/>
      <c r="KCQ198" s="133"/>
      <c r="KCR198" s="133"/>
      <c r="KCS198" s="133"/>
      <c r="KCT198" s="133"/>
      <c r="KCU198" s="133"/>
      <c r="KCV198" s="133"/>
      <c r="KCW198" s="133"/>
      <c r="KCX198" s="133"/>
      <c r="KCY198" s="133"/>
      <c r="KCZ198" s="133"/>
      <c r="KDA198" s="133"/>
      <c r="KDB198" s="133"/>
      <c r="KDC198" s="133"/>
      <c r="KDD198" s="133"/>
      <c r="KDE198" s="133"/>
      <c r="KDF198" s="133"/>
      <c r="KDG198" s="133"/>
      <c r="KDH198" s="133"/>
      <c r="KDI198" s="133"/>
      <c r="KDJ198" s="133"/>
      <c r="KDK198" s="133"/>
      <c r="KDL198" s="133"/>
      <c r="KDM198" s="133"/>
      <c r="KDN198" s="133"/>
      <c r="KDO198" s="133"/>
      <c r="KDP198" s="133"/>
      <c r="KDQ198" s="133"/>
      <c r="KDR198" s="133"/>
      <c r="KDS198" s="133"/>
      <c r="KDT198" s="133"/>
      <c r="KDU198" s="133"/>
      <c r="KDV198" s="133"/>
      <c r="KDW198" s="133"/>
      <c r="KDX198" s="133"/>
      <c r="KDY198" s="133"/>
      <c r="KDZ198" s="133"/>
      <c r="KEA198" s="133"/>
      <c r="KEB198" s="133"/>
      <c r="KEC198" s="133"/>
      <c r="KED198" s="133"/>
      <c r="KEE198" s="133"/>
      <c r="KEF198" s="133"/>
      <c r="KEG198" s="133"/>
      <c r="KEH198" s="133"/>
      <c r="KEI198" s="133"/>
      <c r="KEJ198" s="133"/>
      <c r="KEK198" s="133"/>
      <c r="KEL198" s="133"/>
      <c r="KEM198" s="133"/>
      <c r="KEN198" s="133"/>
      <c r="KEO198" s="133"/>
      <c r="KEP198" s="133"/>
      <c r="KEQ198" s="133"/>
      <c r="KER198" s="133"/>
      <c r="KES198" s="133"/>
      <c r="KET198" s="133"/>
      <c r="KEU198" s="133"/>
      <c r="KEV198" s="133"/>
      <c r="KEW198" s="133"/>
      <c r="KEX198" s="133"/>
      <c r="KEY198" s="133"/>
      <c r="KEZ198" s="133"/>
      <c r="KFA198" s="133"/>
      <c r="KFB198" s="133"/>
      <c r="KFC198" s="133"/>
      <c r="KFD198" s="133"/>
      <c r="KFE198" s="133"/>
      <c r="KFF198" s="133"/>
      <c r="KFG198" s="133"/>
      <c r="KFH198" s="133"/>
      <c r="KFI198" s="133"/>
      <c r="KFJ198" s="133"/>
      <c r="KFK198" s="133"/>
      <c r="KFL198" s="133"/>
      <c r="KFM198" s="133"/>
      <c r="KFN198" s="133"/>
      <c r="KFO198" s="133"/>
      <c r="KFP198" s="133"/>
      <c r="KFQ198" s="133"/>
      <c r="KFR198" s="133"/>
      <c r="KFS198" s="133"/>
      <c r="KFT198" s="133"/>
      <c r="KFU198" s="133"/>
      <c r="KFV198" s="133"/>
      <c r="KFW198" s="133"/>
      <c r="KFX198" s="133"/>
      <c r="KFY198" s="133"/>
      <c r="KFZ198" s="133"/>
      <c r="KGA198" s="133"/>
      <c r="KGB198" s="133"/>
      <c r="KGC198" s="133"/>
      <c r="KGD198" s="133"/>
      <c r="KGE198" s="133"/>
      <c r="KGF198" s="133"/>
      <c r="KGG198" s="133"/>
      <c r="KGH198" s="133"/>
      <c r="KGI198" s="133"/>
      <c r="KGJ198" s="133"/>
      <c r="KGK198" s="133"/>
      <c r="KGL198" s="133"/>
      <c r="KGM198" s="133"/>
      <c r="KGN198" s="133"/>
      <c r="KGO198" s="133"/>
      <c r="KGP198" s="133"/>
      <c r="KGQ198" s="133"/>
      <c r="KGR198" s="133"/>
      <c r="KGS198" s="133"/>
      <c r="KGT198" s="133"/>
      <c r="KGU198" s="133"/>
      <c r="KGV198" s="133"/>
      <c r="KGW198" s="133"/>
      <c r="KGX198" s="133"/>
      <c r="KGY198" s="133"/>
      <c r="KGZ198" s="133"/>
      <c r="KHA198" s="133"/>
      <c r="KHB198" s="133"/>
      <c r="KHC198" s="133"/>
      <c r="KHD198" s="133"/>
      <c r="KHE198" s="133"/>
      <c r="KHF198" s="133"/>
      <c r="KHG198" s="133"/>
      <c r="KHH198" s="133"/>
      <c r="KHI198" s="133"/>
      <c r="KHJ198" s="133"/>
      <c r="KHK198" s="133"/>
      <c r="KHL198" s="133"/>
      <c r="KHM198" s="133"/>
      <c r="KHN198" s="133"/>
      <c r="KHO198" s="133"/>
      <c r="KHP198" s="133"/>
      <c r="KHQ198" s="133"/>
      <c r="KHR198" s="133"/>
      <c r="KHS198" s="133"/>
      <c r="KHT198" s="133"/>
      <c r="KHU198" s="133"/>
      <c r="KHV198" s="133"/>
      <c r="KHW198" s="133"/>
      <c r="KHX198" s="133"/>
      <c r="KHY198" s="133"/>
      <c r="KHZ198" s="133"/>
      <c r="KIA198" s="133"/>
      <c r="KIB198" s="133"/>
      <c r="KIC198" s="133"/>
      <c r="KID198" s="133"/>
      <c r="KIE198" s="133"/>
      <c r="KIF198" s="133"/>
      <c r="KIG198" s="133"/>
      <c r="KIH198" s="133"/>
      <c r="KII198" s="133"/>
      <c r="KIJ198" s="133"/>
      <c r="KIK198" s="133"/>
      <c r="KIL198" s="133"/>
      <c r="KIM198" s="133"/>
      <c r="KIN198" s="133"/>
      <c r="KIO198" s="133"/>
      <c r="KIP198" s="133"/>
      <c r="KIQ198" s="133"/>
      <c r="KIR198" s="133"/>
      <c r="KIS198" s="133"/>
      <c r="KIT198" s="133"/>
      <c r="KIU198" s="133"/>
      <c r="KIV198" s="133"/>
      <c r="KIW198" s="133"/>
      <c r="KIX198" s="133"/>
      <c r="KIY198" s="133"/>
      <c r="KIZ198" s="133"/>
      <c r="KJA198" s="133"/>
      <c r="KJB198" s="133"/>
      <c r="KJC198" s="133"/>
      <c r="KJD198" s="133"/>
      <c r="KJE198" s="133"/>
      <c r="KJF198" s="133"/>
      <c r="KJG198" s="133"/>
      <c r="KJH198" s="133"/>
      <c r="KJI198" s="133"/>
      <c r="KJJ198" s="133"/>
      <c r="KJK198" s="133"/>
      <c r="KJL198" s="133"/>
      <c r="KJM198" s="133"/>
      <c r="KJN198" s="133"/>
      <c r="KJO198" s="133"/>
      <c r="KJP198" s="133"/>
      <c r="KJQ198" s="133"/>
      <c r="KJR198" s="133"/>
      <c r="KJS198" s="133"/>
      <c r="KJT198" s="133"/>
      <c r="KJU198" s="133"/>
      <c r="KJV198" s="133"/>
      <c r="KJW198" s="133"/>
      <c r="KJX198" s="133"/>
      <c r="KJY198" s="133"/>
      <c r="KJZ198" s="133"/>
      <c r="KKA198" s="133"/>
      <c r="KKB198" s="133"/>
      <c r="KKC198" s="133"/>
      <c r="KKD198" s="133"/>
      <c r="KKE198" s="133"/>
      <c r="KKF198" s="133"/>
      <c r="KKG198" s="133"/>
      <c r="KKH198" s="133"/>
      <c r="KKI198" s="133"/>
      <c r="KKJ198" s="133"/>
      <c r="KKK198" s="133"/>
      <c r="KKL198" s="133"/>
      <c r="KKM198" s="133"/>
      <c r="KKN198" s="133"/>
      <c r="KKO198" s="133"/>
      <c r="KKP198" s="133"/>
      <c r="KKQ198" s="133"/>
      <c r="KKR198" s="133"/>
      <c r="KKS198" s="133"/>
      <c r="KKT198" s="133"/>
      <c r="KKU198" s="133"/>
      <c r="KKV198" s="133"/>
      <c r="KKW198" s="133"/>
      <c r="KKX198" s="133"/>
      <c r="KKY198" s="133"/>
      <c r="KKZ198" s="133"/>
      <c r="KLA198" s="133"/>
      <c r="KLB198" s="133"/>
      <c r="KLC198" s="133"/>
      <c r="KLD198" s="133"/>
      <c r="KLE198" s="133"/>
      <c r="KLF198" s="133"/>
      <c r="KLG198" s="133"/>
      <c r="KLH198" s="133"/>
      <c r="KLI198" s="133"/>
      <c r="KLJ198" s="133"/>
      <c r="KLK198" s="133"/>
      <c r="KLL198" s="133"/>
      <c r="KLM198" s="133"/>
      <c r="KLN198" s="133"/>
      <c r="KLO198" s="133"/>
      <c r="KLP198" s="133"/>
      <c r="KLQ198" s="133"/>
      <c r="KLR198" s="133"/>
      <c r="KLS198" s="133"/>
      <c r="KLT198" s="133"/>
      <c r="KLU198" s="133"/>
      <c r="KLV198" s="133"/>
      <c r="KLW198" s="133"/>
      <c r="KLX198" s="133"/>
      <c r="KLY198" s="133"/>
      <c r="KLZ198" s="133"/>
      <c r="KMA198" s="133"/>
      <c r="KMB198" s="133"/>
      <c r="KMC198" s="133"/>
      <c r="KMD198" s="133"/>
      <c r="KME198" s="133"/>
      <c r="KMF198" s="133"/>
      <c r="KMG198" s="133"/>
      <c r="KMH198" s="133"/>
      <c r="KMI198" s="133"/>
      <c r="KMJ198" s="133"/>
      <c r="KMK198" s="133"/>
      <c r="KML198" s="133"/>
      <c r="KMM198" s="133"/>
      <c r="KMN198" s="133"/>
      <c r="KMO198" s="133"/>
      <c r="KMP198" s="133"/>
      <c r="KMQ198" s="133"/>
      <c r="KMR198" s="133"/>
      <c r="KMS198" s="133"/>
      <c r="KMT198" s="133"/>
      <c r="KMU198" s="133"/>
      <c r="KMV198" s="133"/>
      <c r="KMW198" s="133"/>
      <c r="KMX198" s="133"/>
      <c r="KMY198" s="133"/>
      <c r="KMZ198" s="133"/>
      <c r="KNA198" s="133"/>
      <c r="KNB198" s="133"/>
      <c r="KNC198" s="133"/>
      <c r="KND198" s="133"/>
      <c r="KNE198" s="133"/>
      <c r="KNF198" s="133"/>
      <c r="KNG198" s="133"/>
      <c r="KNH198" s="133"/>
      <c r="KNI198" s="133"/>
      <c r="KNJ198" s="133"/>
      <c r="KNK198" s="133"/>
      <c r="KNL198" s="133"/>
      <c r="KNM198" s="133"/>
      <c r="KNN198" s="133"/>
      <c r="KNO198" s="133"/>
      <c r="KNP198" s="133"/>
      <c r="KNQ198" s="133"/>
      <c r="KNR198" s="133"/>
      <c r="KNS198" s="133"/>
      <c r="KNT198" s="133"/>
      <c r="KNU198" s="133"/>
      <c r="KNV198" s="133"/>
      <c r="KNW198" s="133"/>
      <c r="KNX198" s="133"/>
      <c r="KNY198" s="133"/>
      <c r="KNZ198" s="133"/>
      <c r="KOA198" s="133"/>
      <c r="KOB198" s="133"/>
      <c r="KOC198" s="133"/>
      <c r="KOD198" s="133"/>
      <c r="KOE198" s="133"/>
      <c r="KOF198" s="133"/>
      <c r="KOG198" s="133"/>
      <c r="KOH198" s="133"/>
      <c r="KOI198" s="133"/>
      <c r="KOJ198" s="133"/>
      <c r="KOK198" s="133"/>
      <c r="KOL198" s="133"/>
      <c r="KOM198" s="133"/>
      <c r="KON198" s="133"/>
      <c r="KOO198" s="133"/>
      <c r="KOP198" s="133"/>
      <c r="KOQ198" s="133"/>
      <c r="KOR198" s="133"/>
      <c r="KOS198" s="133"/>
      <c r="KOT198" s="133"/>
      <c r="KOU198" s="133"/>
      <c r="KOV198" s="133"/>
      <c r="KOW198" s="133"/>
      <c r="KOX198" s="133"/>
      <c r="KOY198" s="133"/>
      <c r="KOZ198" s="133"/>
      <c r="KPA198" s="133"/>
      <c r="KPB198" s="133"/>
      <c r="KPC198" s="133"/>
      <c r="KPD198" s="133"/>
      <c r="KPE198" s="133"/>
      <c r="KPF198" s="133"/>
      <c r="KPG198" s="133"/>
      <c r="KPH198" s="133"/>
      <c r="KPI198" s="133"/>
      <c r="KPJ198" s="133"/>
      <c r="KPK198" s="133"/>
      <c r="KPL198" s="133"/>
      <c r="KPM198" s="133"/>
      <c r="KPN198" s="133"/>
      <c r="KPO198" s="133"/>
      <c r="KPP198" s="133"/>
      <c r="KPQ198" s="133"/>
      <c r="KPR198" s="133"/>
      <c r="KPS198" s="133"/>
      <c r="KPT198" s="133"/>
      <c r="KPU198" s="133"/>
      <c r="KPV198" s="133"/>
      <c r="KPW198" s="133"/>
      <c r="KPX198" s="133"/>
      <c r="KPY198" s="133"/>
      <c r="KPZ198" s="133"/>
      <c r="KQA198" s="133"/>
      <c r="KQB198" s="133"/>
      <c r="KQC198" s="133"/>
      <c r="KQD198" s="133"/>
      <c r="KQE198" s="133"/>
      <c r="KQF198" s="133"/>
      <c r="KQG198" s="133"/>
      <c r="KQH198" s="133"/>
      <c r="KQI198" s="133"/>
      <c r="KQJ198" s="133"/>
      <c r="KQK198" s="133"/>
      <c r="KQL198" s="133"/>
      <c r="KQM198" s="133"/>
      <c r="KQN198" s="133"/>
      <c r="KQO198" s="133"/>
      <c r="KQP198" s="133"/>
      <c r="KQQ198" s="133"/>
      <c r="KQR198" s="133"/>
      <c r="KQS198" s="133"/>
      <c r="KQT198" s="133"/>
      <c r="KQU198" s="133"/>
      <c r="KQV198" s="133"/>
      <c r="KQW198" s="133"/>
      <c r="KQX198" s="133"/>
      <c r="KQY198" s="133"/>
      <c r="KQZ198" s="133"/>
      <c r="KRA198" s="133"/>
      <c r="KRB198" s="133"/>
      <c r="KRC198" s="133"/>
      <c r="KRD198" s="133"/>
      <c r="KRE198" s="133"/>
      <c r="KRF198" s="133"/>
      <c r="KRG198" s="133"/>
      <c r="KRH198" s="133"/>
      <c r="KRI198" s="133"/>
      <c r="KRJ198" s="133"/>
      <c r="KRK198" s="133"/>
      <c r="KRL198" s="133"/>
      <c r="KRM198" s="133"/>
      <c r="KRN198" s="133"/>
      <c r="KRO198" s="133"/>
      <c r="KRP198" s="133"/>
      <c r="KRQ198" s="133"/>
      <c r="KRR198" s="133"/>
      <c r="KRS198" s="133"/>
      <c r="KRT198" s="133"/>
      <c r="KRU198" s="133"/>
      <c r="KRV198" s="133"/>
      <c r="KRW198" s="133"/>
      <c r="KRX198" s="133"/>
      <c r="KRY198" s="133"/>
      <c r="KRZ198" s="133"/>
      <c r="KSA198" s="133"/>
      <c r="KSB198" s="133"/>
      <c r="KSC198" s="133"/>
      <c r="KSD198" s="133"/>
      <c r="KSE198" s="133"/>
      <c r="KSF198" s="133"/>
      <c r="KSG198" s="133"/>
      <c r="KSH198" s="133"/>
      <c r="KSI198" s="133"/>
      <c r="KSJ198" s="133"/>
      <c r="KSK198" s="133"/>
      <c r="KSL198" s="133"/>
      <c r="KSM198" s="133"/>
      <c r="KSN198" s="133"/>
      <c r="KSO198" s="133"/>
      <c r="KSP198" s="133"/>
      <c r="KSQ198" s="133"/>
      <c r="KSR198" s="133"/>
      <c r="KSS198" s="133"/>
      <c r="KST198" s="133"/>
      <c r="KSU198" s="133"/>
      <c r="KSV198" s="133"/>
      <c r="KSW198" s="133"/>
      <c r="KSX198" s="133"/>
      <c r="KSY198" s="133"/>
      <c r="KSZ198" s="133"/>
      <c r="KTA198" s="133"/>
      <c r="KTB198" s="133"/>
      <c r="KTC198" s="133"/>
      <c r="KTD198" s="133"/>
      <c r="KTE198" s="133"/>
      <c r="KTF198" s="133"/>
      <c r="KTG198" s="133"/>
      <c r="KTH198" s="133"/>
      <c r="KTI198" s="133"/>
      <c r="KTJ198" s="133"/>
      <c r="KTK198" s="133"/>
      <c r="KTL198" s="133"/>
      <c r="KTM198" s="133"/>
      <c r="KTN198" s="133"/>
      <c r="KTO198" s="133"/>
      <c r="KTP198" s="133"/>
      <c r="KTQ198" s="133"/>
      <c r="KTR198" s="133"/>
      <c r="KTS198" s="133"/>
      <c r="KTT198" s="133"/>
      <c r="KTU198" s="133"/>
      <c r="KTV198" s="133"/>
      <c r="KTW198" s="133"/>
      <c r="KTX198" s="133"/>
      <c r="KTY198" s="133"/>
      <c r="KTZ198" s="133"/>
      <c r="KUA198" s="133"/>
      <c r="KUB198" s="133"/>
      <c r="KUC198" s="133"/>
      <c r="KUD198" s="133"/>
      <c r="KUE198" s="133"/>
      <c r="KUF198" s="133"/>
      <c r="KUG198" s="133"/>
      <c r="KUH198" s="133"/>
      <c r="KUI198" s="133"/>
      <c r="KUJ198" s="133"/>
      <c r="KUK198" s="133"/>
      <c r="KUL198" s="133"/>
      <c r="KUM198" s="133"/>
      <c r="KUN198" s="133"/>
      <c r="KUO198" s="133"/>
      <c r="KUP198" s="133"/>
      <c r="KUQ198" s="133"/>
      <c r="KUR198" s="133"/>
      <c r="KUS198" s="133"/>
      <c r="KUT198" s="133"/>
      <c r="KUU198" s="133"/>
      <c r="KUV198" s="133"/>
      <c r="KUW198" s="133"/>
      <c r="KUX198" s="133"/>
      <c r="KUY198" s="133"/>
      <c r="KUZ198" s="133"/>
      <c r="KVA198" s="133"/>
      <c r="KVB198" s="133"/>
      <c r="KVC198" s="133"/>
      <c r="KVD198" s="133"/>
      <c r="KVE198" s="133"/>
      <c r="KVF198" s="133"/>
      <c r="KVG198" s="133"/>
      <c r="KVH198" s="133"/>
      <c r="KVI198" s="133"/>
      <c r="KVJ198" s="133"/>
      <c r="KVK198" s="133"/>
      <c r="KVL198" s="133"/>
      <c r="KVM198" s="133"/>
      <c r="KVN198" s="133"/>
      <c r="KVO198" s="133"/>
      <c r="KVP198" s="133"/>
      <c r="KVQ198" s="133"/>
      <c r="KVR198" s="133"/>
      <c r="KVS198" s="133"/>
      <c r="KVT198" s="133"/>
      <c r="KVU198" s="133"/>
      <c r="KVV198" s="133"/>
      <c r="KVW198" s="133"/>
      <c r="KVX198" s="133"/>
      <c r="KVY198" s="133"/>
      <c r="KVZ198" s="133"/>
      <c r="KWA198" s="133"/>
      <c r="KWB198" s="133"/>
      <c r="KWC198" s="133"/>
      <c r="KWD198" s="133"/>
      <c r="KWE198" s="133"/>
      <c r="KWF198" s="133"/>
      <c r="KWG198" s="133"/>
      <c r="KWH198" s="133"/>
      <c r="KWI198" s="133"/>
      <c r="KWJ198" s="133"/>
      <c r="KWK198" s="133"/>
      <c r="KWL198" s="133"/>
      <c r="KWM198" s="133"/>
      <c r="KWN198" s="133"/>
      <c r="KWO198" s="133"/>
      <c r="KWP198" s="133"/>
      <c r="KWQ198" s="133"/>
      <c r="KWR198" s="133"/>
      <c r="KWS198" s="133"/>
      <c r="KWT198" s="133"/>
      <c r="KWU198" s="133"/>
      <c r="KWV198" s="133"/>
      <c r="KWW198" s="133"/>
      <c r="KWX198" s="133"/>
      <c r="KWY198" s="133"/>
      <c r="KWZ198" s="133"/>
      <c r="KXA198" s="133"/>
      <c r="KXB198" s="133"/>
      <c r="KXC198" s="133"/>
      <c r="KXD198" s="133"/>
      <c r="KXE198" s="133"/>
      <c r="KXF198" s="133"/>
      <c r="KXG198" s="133"/>
      <c r="KXH198" s="133"/>
      <c r="KXI198" s="133"/>
      <c r="KXJ198" s="133"/>
      <c r="KXK198" s="133"/>
      <c r="KXL198" s="133"/>
      <c r="KXM198" s="133"/>
      <c r="KXN198" s="133"/>
      <c r="KXO198" s="133"/>
      <c r="KXP198" s="133"/>
      <c r="KXQ198" s="133"/>
      <c r="KXR198" s="133"/>
      <c r="KXS198" s="133"/>
      <c r="KXT198" s="133"/>
      <c r="KXU198" s="133"/>
      <c r="KXV198" s="133"/>
      <c r="KXW198" s="133"/>
      <c r="KXX198" s="133"/>
      <c r="KXY198" s="133"/>
      <c r="KXZ198" s="133"/>
      <c r="KYA198" s="133"/>
      <c r="KYB198" s="133"/>
      <c r="KYC198" s="133"/>
      <c r="KYD198" s="133"/>
      <c r="KYE198" s="133"/>
      <c r="KYF198" s="133"/>
      <c r="KYG198" s="133"/>
      <c r="KYH198" s="133"/>
      <c r="KYI198" s="133"/>
      <c r="KYJ198" s="133"/>
      <c r="KYK198" s="133"/>
      <c r="KYL198" s="133"/>
      <c r="KYM198" s="133"/>
      <c r="KYN198" s="133"/>
      <c r="KYO198" s="133"/>
      <c r="KYP198" s="133"/>
      <c r="KYQ198" s="133"/>
      <c r="KYR198" s="133"/>
      <c r="KYS198" s="133"/>
      <c r="KYT198" s="133"/>
      <c r="KYU198" s="133"/>
      <c r="KYV198" s="133"/>
      <c r="KYW198" s="133"/>
      <c r="KYX198" s="133"/>
      <c r="KYY198" s="133"/>
      <c r="KYZ198" s="133"/>
      <c r="KZA198" s="133"/>
      <c r="KZB198" s="133"/>
      <c r="KZC198" s="133"/>
      <c r="KZD198" s="133"/>
      <c r="KZE198" s="133"/>
      <c r="KZF198" s="133"/>
      <c r="KZG198" s="133"/>
      <c r="KZH198" s="133"/>
      <c r="KZI198" s="133"/>
      <c r="KZJ198" s="133"/>
      <c r="KZK198" s="133"/>
      <c r="KZL198" s="133"/>
      <c r="KZM198" s="133"/>
      <c r="KZN198" s="133"/>
      <c r="KZO198" s="133"/>
      <c r="KZP198" s="133"/>
      <c r="KZQ198" s="133"/>
      <c r="KZR198" s="133"/>
      <c r="KZS198" s="133"/>
      <c r="KZT198" s="133"/>
      <c r="KZU198" s="133"/>
      <c r="KZV198" s="133"/>
      <c r="KZW198" s="133"/>
      <c r="KZX198" s="133"/>
      <c r="KZY198" s="133"/>
      <c r="KZZ198" s="133"/>
      <c r="LAA198" s="133"/>
      <c r="LAB198" s="133"/>
      <c r="LAC198" s="133"/>
      <c r="LAD198" s="133"/>
      <c r="LAE198" s="133"/>
      <c r="LAF198" s="133"/>
      <c r="LAG198" s="133"/>
      <c r="LAH198" s="133"/>
      <c r="LAI198" s="133"/>
      <c r="LAJ198" s="133"/>
      <c r="LAK198" s="133"/>
      <c r="LAL198" s="133"/>
      <c r="LAM198" s="133"/>
      <c r="LAN198" s="133"/>
      <c r="LAO198" s="133"/>
      <c r="LAP198" s="133"/>
      <c r="LAQ198" s="133"/>
      <c r="LAR198" s="133"/>
      <c r="LAS198" s="133"/>
      <c r="LAT198" s="133"/>
      <c r="LAU198" s="133"/>
      <c r="LAV198" s="133"/>
      <c r="LAW198" s="133"/>
      <c r="LAX198" s="133"/>
      <c r="LAY198" s="133"/>
      <c r="LAZ198" s="133"/>
      <c r="LBA198" s="133"/>
      <c r="LBB198" s="133"/>
      <c r="LBC198" s="133"/>
      <c r="LBD198" s="133"/>
      <c r="LBE198" s="133"/>
      <c r="LBF198" s="133"/>
      <c r="LBG198" s="133"/>
      <c r="LBH198" s="133"/>
      <c r="LBI198" s="133"/>
      <c r="LBJ198" s="133"/>
      <c r="LBK198" s="133"/>
      <c r="LBL198" s="133"/>
      <c r="LBM198" s="133"/>
      <c r="LBN198" s="133"/>
      <c r="LBO198" s="133"/>
      <c r="LBP198" s="133"/>
      <c r="LBQ198" s="133"/>
      <c r="LBR198" s="133"/>
      <c r="LBS198" s="133"/>
      <c r="LBT198" s="133"/>
      <c r="LBU198" s="133"/>
      <c r="LBV198" s="133"/>
      <c r="LBW198" s="133"/>
      <c r="LBX198" s="133"/>
      <c r="LBY198" s="133"/>
      <c r="LBZ198" s="133"/>
      <c r="LCA198" s="133"/>
      <c r="LCB198" s="133"/>
      <c r="LCC198" s="133"/>
      <c r="LCD198" s="133"/>
      <c r="LCE198" s="133"/>
      <c r="LCF198" s="133"/>
      <c r="LCG198" s="133"/>
      <c r="LCH198" s="133"/>
      <c r="LCI198" s="133"/>
      <c r="LCJ198" s="133"/>
      <c r="LCK198" s="133"/>
      <c r="LCL198" s="133"/>
      <c r="LCM198" s="133"/>
      <c r="LCN198" s="133"/>
      <c r="LCO198" s="133"/>
      <c r="LCP198" s="133"/>
      <c r="LCQ198" s="133"/>
      <c r="LCR198" s="133"/>
      <c r="LCS198" s="133"/>
      <c r="LCT198" s="133"/>
      <c r="LCU198" s="133"/>
      <c r="LCV198" s="133"/>
      <c r="LCW198" s="133"/>
      <c r="LCX198" s="133"/>
      <c r="LCY198" s="133"/>
      <c r="LCZ198" s="133"/>
      <c r="LDA198" s="133"/>
      <c r="LDB198" s="133"/>
      <c r="LDC198" s="133"/>
      <c r="LDD198" s="133"/>
      <c r="LDE198" s="133"/>
      <c r="LDF198" s="133"/>
      <c r="LDG198" s="133"/>
      <c r="LDH198" s="133"/>
      <c r="LDI198" s="133"/>
      <c r="LDJ198" s="133"/>
      <c r="LDK198" s="133"/>
      <c r="LDL198" s="133"/>
      <c r="LDM198" s="133"/>
      <c r="LDN198" s="133"/>
      <c r="LDO198" s="133"/>
      <c r="LDP198" s="133"/>
      <c r="LDQ198" s="133"/>
      <c r="LDR198" s="133"/>
      <c r="LDS198" s="133"/>
      <c r="LDT198" s="133"/>
      <c r="LDU198" s="133"/>
      <c r="LDV198" s="133"/>
      <c r="LDW198" s="133"/>
      <c r="LDX198" s="133"/>
      <c r="LDY198" s="133"/>
      <c r="LDZ198" s="133"/>
      <c r="LEA198" s="133"/>
      <c r="LEB198" s="133"/>
      <c r="LEC198" s="133"/>
      <c r="LED198" s="133"/>
      <c r="LEE198" s="133"/>
      <c r="LEF198" s="133"/>
      <c r="LEG198" s="133"/>
      <c r="LEH198" s="133"/>
      <c r="LEI198" s="133"/>
      <c r="LEJ198" s="133"/>
      <c r="LEK198" s="133"/>
      <c r="LEL198" s="133"/>
      <c r="LEM198" s="133"/>
      <c r="LEN198" s="133"/>
      <c r="LEO198" s="133"/>
      <c r="LEP198" s="133"/>
      <c r="LEQ198" s="133"/>
      <c r="LER198" s="133"/>
      <c r="LES198" s="133"/>
      <c r="LET198" s="133"/>
      <c r="LEU198" s="133"/>
      <c r="LEV198" s="133"/>
      <c r="LEW198" s="133"/>
      <c r="LEX198" s="133"/>
      <c r="LEY198" s="133"/>
      <c r="LEZ198" s="133"/>
      <c r="LFA198" s="133"/>
      <c r="LFB198" s="133"/>
      <c r="LFC198" s="133"/>
      <c r="LFD198" s="133"/>
      <c r="LFE198" s="133"/>
      <c r="LFF198" s="133"/>
      <c r="LFG198" s="133"/>
      <c r="LFH198" s="133"/>
      <c r="LFI198" s="133"/>
      <c r="LFJ198" s="133"/>
      <c r="LFK198" s="133"/>
      <c r="LFL198" s="133"/>
      <c r="LFM198" s="133"/>
      <c r="LFN198" s="133"/>
      <c r="LFO198" s="133"/>
      <c r="LFP198" s="133"/>
      <c r="LFQ198" s="133"/>
      <c r="LFR198" s="133"/>
      <c r="LFS198" s="133"/>
      <c r="LFT198" s="133"/>
      <c r="LFU198" s="133"/>
      <c r="LFV198" s="133"/>
      <c r="LFW198" s="133"/>
      <c r="LFX198" s="133"/>
      <c r="LFY198" s="133"/>
      <c r="LFZ198" s="133"/>
      <c r="LGA198" s="133"/>
      <c r="LGB198" s="133"/>
      <c r="LGC198" s="133"/>
      <c r="LGD198" s="133"/>
      <c r="LGE198" s="133"/>
      <c r="LGF198" s="133"/>
      <c r="LGG198" s="133"/>
      <c r="LGH198" s="133"/>
      <c r="LGI198" s="133"/>
      <c r="LGJ198" s="133"/>
      <c r="LGK198" s="133"/>
      <c r="LGL198" s="133"/>
      <c r="LGM198" s="133"/>
      <c r="LGN198" s="133"/>
      <c r="LGO198" s="133"/>
      <c r="LGP198" s="133"/>
      <c r="LGQ198" s="133"/>
      <c r="LGR198" s="133"/>
      <c r="LGS198" s="133"/>
      <c r="LGT198" s="133"/>
      <c r="LGU198" s="133"/>
      <c r="LGV198" s="133"/>
      <c r="LGW198" s="133"/>
      <c r="LGX198" s="133"/>
      <c r="LGY198" s="133"/>
      <c r="LGZ198" s="133"/>
      <c r="LHA198" s="133"/>
      <c r="LHB198" s="133"/>
      <c r="LHC198" s="133"/>
      <c r="LHD198" s="133"/>
      <c r="LHE198" s="133"/>
      <c r="LHF198" s="133"/>
      <c r="LHG198" s="133"/>
      <c r="LHH198" s="133"/>
      <c r="LHI198" s="133"/>
      <c r="LHJ198" s="133"/>
      <c r="LHK198" s="133"/>
      <c r="LHL198" s="133"/>
      <c r="LHM198" s="133"/>
      <c r="LHN198" s="133"/>
      <c r="LHO198" s="133"/>
      <c r="LHP198" s="133"/>
      <c r="LHQ198" s="133"/>
      <c r="LHR198" s="133"/>
      <c r="LHS198" s="133"/>
      <c r="LHT198" s="133"/>
      <c r="LHU198" s="133"/>
      <c r="LHV198" s="133"/>
      <c r="LHW198" s="133"/>
      <c r="LHX198" s="133"/>
      <c r="LHY198" s="133"/>
      <c r="LHZ198" s="133"/>
      <c r="LIA198" s="133"/>
      <c r="LIB198" s="133"/>
      <c r="LIC198" s="133"/>
      <c r="LID198" s="133"/>
      <c r="LIE198" s="133"/>
      <c r="LIF198" s="133"/>
      <c r="LIG198" s="133"/>
      <c r="LIH198" s="133"/>
      <c r="LII198" s="133"/>
      <c r="LIJ198" s="133"/>
      <c r="LIK198" s="133"/>
      <c r="LIL198" s="133"/>
      <c r="LIM198" s="133"/>
      <c r="LIN198" s="133"/>
      <c r="LIO198" s="133"/>
      <c r="LIP198" s="133"/>
      <c r="LIQ198" s="133"/>
      <c r="LIR198" s="133"/>
      <c r="LIS198" s="133"/>
      <c r="LIT198" s="133"/>
      <c r="LIU198" s="133"/>
      <c r="LIV198" s="133"/>
      <c r="LIW198" s="133"/>
      <c r="LIX198" s="133"/>
      <c r="LIY198" s="133"/>
      <c r="LIZ198" s="133"/>
      <c r="LJA198" s="133"/>
      <c r="LJB198" s="133"/>
      <c r="LJC198" s="133"/>
      <c r="LJD198" s="133"/>
      <c r="LJE198" s="133"/>
      <c r="LJF198" s="133"/>
      <c r="LJG198" s="133"/>
      <c r="LJH198" s="133"/>
      <c r="LJI198" s="133"/>
      <c r="LJJ198" s="133"/>
      <c r="LJK198" s="133"/>
      <c r="LJL198" s="133"/>
      <c r="LJM198" s="133"/>
      <c r="LJN198" s="133"/>
      <c r="LJO198" s="133"/>
      <c r="LJP198" s="133"/>
      <c r="LJQ198" s="133"/>
      <c r="LJR198" s="133"/>
      <c r="LJS198" s="133"/>
      <c r="LJT198" s="133"/>
      <c r="LJU198" s="133"/>
      <c r="LJV198" s="133"/>
      <c r="LJW198" s="133"/>
      <c r="LJX198" s="133"/>
      <c r="LJY198" s="133"/>
      <c r="LJZ198" s="133"/>
      <c r="LKA198" s="133"/>
      <c r="LKB198" s="133"/>
      <c r="LKC198" s="133"/>
      <c r="LKD198" s="133"/>
      <c r="LKE198" s="133"/>
      <c r="LKF198" s="133"/>
      <c r="LKG198" s="133"/>
      <c r="LKH198" s="133"/>
      <c r="LKI198" s="133"/>
      <c r="LKJ198" s="133"/>
      <c r="LKK198" s="133"/>
      <c r="LKL198" s="133"/>
      <c r="LKM198" s="133"/>
      <c r="LKN198" s="133"/>
      <c r="LKO198" s="133"/>
      <c r="LKP198" s="133"/>
      <c r="LKQ198" s="133"/>
      <c r="LKR198" s="133"/>
      <c r="LKS198" s="133"/>
      <c r="LKT198" s="133"/>
      <c r="LKU198" s="133"/>
      <c r="LKV198" s="133"/>
      <c r="LKW198" s="133"/>
      <c r="LKX198" s="133"/>
      <c r="LKY198" s="133"/>
      <c r="LKZ198" s="133"/>
      <c r="LLA198" s="133"/>
      <c r="LLB198" s="133"/>
      <c r="LLC198" s="133"/>
      <c r="LLD198" s="133"/>
      <c r="LLE198" s="133"/>
      <c r="LLF198" s="133"/>
      <c r="LLG198" s="133"/>
      <c r="LLH198" s="133"/>
      <c r="LLI198" s="133"/>
      <c r="LLJ198" s="133"/>
      <c r="LLK198" s="133"/>
      <c r="LLL198" s="133"/>
      <c r="LLM198" s="133"/>
      <c r="LLN198" s="133"/>
      <c r="LLO198" s="133"/>
      <c r="LLP198" s="133"/>
      <c r="LLQ198" s="133"/>
      <c r="LLR198" s="133"/>
      <c r="LLS198" s="133"/>
      <c r="LLT198" s="133"/>
      <c r="LLU198" s="133"/>
      <c r="LLV198" s="133"/>
      <c r="LLW198" s="133"/>
      <c r="LLX198" s="133"/>
      <c r="LLY198" s="133"/>
      <c r="LLZ198" s="133"/>
      <c r="LMA198" s="133"/>
      <c r="LMB198" s="133"/>
      <c r="LMC198" s="133"/>
      <c r="LMD198" s="133"/>
      <c r="LME198" s="133"/>
      <c r="LMF198" s="133"/>
      <c r="LMG198" s="133"/>
      <c r="LMH198" s="133"/>
      <c r="LMI198" s="133"/>
      <c r="LMJ198" s="133"/>
      <c r="LMK198" s="133"/>
      <c r="LML198" s="133"/>
      <c r="LMM198" s="133"/>
      <c r="LMN198" s="133"/>
      <c r="LMO198" s="133"/>
      <c r="LMP198" s="133"/>
      <c r="LMQ198" s="133"/>
      <c r="LMR198" s="133"/>
      <c r="LMS198" s="133"/>
      <c r="LMT198" s="133"/>
      <c r="LMU198" s="133"/>
      <c r="LMV198" s="133"/>
      <c r="LMW198" s="133"/>
      <c r="LMX198" s="133"/>
      <c r="LMY198" s="133"/>
      <c r="LMZ198" s="133"/>
      <c r="LNA198" s="133"/>
      <c r="LNB198" s="133"/>
      <c r="LNC198" s="133"/>
      <c r="LND198" s="133"/>
      <c r="LNE198" s="133"/>
      <c r="LNF198" s="133"/>
      <c r="LNG198" s="133"/>
      <c r="LNH198" s="133"/>
      <c r="LNI198" s="133"/>
      <c r="LNJ198" s="133"/>
      <c r="LNK198" s="133"/>
      <c r="LNL198" s="133"/>
      <c r="LNM198" s="133"/>
      <c r="LNN198" s="133"/>
      <c r="LNO198" s="133"/>
      <c r="LNP198" s="133"/>
      <c r="LNQ198" s="133"/>
      <c r="LNR198" s="133"/>
      <c r="LNS198" s="133"/>
      <c r="LNT198" s="133"/>
      <c r="LNU198" s="133"/>
      <c r="LNV198" s="133"/>
      <c r="LNW198" s="133"/>
      <c r="LNX198" s="133"/>
      <c r="LNY198" s="133"/>
      <c r="LNZ198" s="133"/>
      <c r="LOA198" s="133"/>
      <c r="LOB198" s="133"/>
      <c r="LOC198" s="133"/>
      <c r="LOD198" s="133"/>
      <c r="LOE198" s="133"/>
      <c r="LOF198" s="133"/>
      <c r="LOG198" s="133"/>
      <c r="LOH198" s="133"/>
      <c r="LOI198" s="133"/>
      <c r="LOJ198" s="133"/>
      <c r="LOK198" s="133"/>
      <c r="LOL198" s="133"/>
      <c r="LOM198" s="133"/>
      <c r="LON198" s="133"/>
      <c r="LOO198" s="133"/>
      <c r="LOP198" s="133"/>
      <c r="LOQ198" s="133"/>
      <c r="LOR198" s="133"/>
      <c r="LOS198" s="133"/>
      <c r="LOT198" s="133"/>
      <c r="LOU198" s="133"/>
      <c r="LOV198" s="133"/>
      <c r="LOW198" s="133"/>
      <c r="LOX198" s="133"/>
      <c r="LOY198" s="133"/>
      <c r="LOZ198" s="133"/>
      <c r="LPA198" s="133"/>
      <c r="LPB198" s="133"/>
      <c r="LPC198" s="133"/>
      <c r="LPD198" s="133"/>
      <c r="LPE198" s="133"/>
      <c r="LPF198" s="133"/>
      <c r="LPG198" s="133"/>
      <c r="LPH198" s="133"/>
      <c r="LPI198" s="133"/>
      <c r="LPJ198" s="133"/>
      <c r="LPK198" s="133"/>
      <c r="LPL198" s="133"/>
      <c r="LPM198" s="133"/>
      <c r="LPN198" s="133"/>
      <c r="LPO198" s="133"/>
      <c r="LPP198" s="133"/>
      <c r="LPQ198" s="133"/>
      <c r="LPR198" s="133"/>
      <c r="LPS198" s="133"/>
      <c r="LPT198" s="133"/>
      <c r="LPU198" s="133"/>
      <c r="LPV198" s="133"/>
      <c r="LPW198" s="133"/>
      <c r="LPX198" s="133"/>
      <c r="LPY198" s="133"/>
      <c r="LPZ198" s="133"/>
      <c r="LQA198" s="133"/>
      <c r="LQB198" s="133"/>
      <c r="LQC198" s="133"/>
      <c r="LQD198" s="133"/>
      <c r="LQE198" s="133"/>
      <c r="LQF198" s="133"/>
      <c r="LQG198" s="133"/>
      <c r="LQH198" s="133"/>
      <c r="LQI198" s="133"/>
      <c r="LQJ198" s="133"/>
      <c r="LQK198" s="133"/>
      <c r="LQL198" s="133"/>
      <c r="LQM198" s="133"/>
      <c r="LQN198" s="133"/>
      <c r="LQO198" s="133"/>
      <c r="LQP198" s="133"/>
      <c r="LQQ198" s="133"/>
      <c r="LQR198" s="133"/>
      <c r="LQS198" s="133"/>
      <c r="LQT198" s="133"/>
      <c r="LQU198" s="133"/>
      <c r="LQV198" s="133"/>
      <c r="LQW198" s="133"/>
      <c r="LQX198" s="133"/>
      <c r="LQY198" s="133"/>
      <c r="LQZ198" s="133"/>
      <c r="LRA198" s="133"/>
      <c r="LRB198" s="133"/>
      <c r="LRC198" s="133"/>
      <c r="LRD198" s="133"/>
      <c r="LRE198" s="133"/>
      <c r="LRF198" s="133"/>
      <c r="LRG198" s="133"/>
      <c r="LRH198" s="133"/>
      <c r="LRI198" s="133"/>
      <c r="LRJ198" s="133"/>
      <c r="LRK198" s="133"/>
      <c r="LRL198" s="133"/>
      <c r="LRM198" s="133"/>
      <c r="LRN198" s="133"/>
      <c r="LRO198" s="133"/>
      <c r="LRP198" s="133"/>
      <c r="LRQ198" s="133"/>
      <c r="LRR198" s="133"/>
      <c r="LRS198" s="133"/>
      <c r="LRT198" s="133"/>
      <c r="LRU198" s="133"/>
      <c r="LRV198" s="133"/>
      <c r="LRW198" s="133"/>
      <c r="LRX198" s="133"/>
      <c r="LRY198" s="133"/>
      <c r="LRZ198" s="133"/>
      <c r="LSA198" s="133"/>
      <c r="LSB198" s="133"/>
      <c r="LSC198" s="133"/>
      <c r="LSD198" s="133"/>
      <c r="LSE198" s="133"/>
      <c r="LSF198" s="133"/>
      <c r="LSG198" s="133"/>
      <c r="LSH198" s="133"/>
      <c r="LSI198" s="133"/>
      <c r="LSJ198" s="133"/>
      <c r="LSK198" s="133"/>
      <c r="LSL198" s="133"/>
      <c r="LSM198" s="133"/>
      <c r="LSN198" s="133"/>
      <c r="LSO198" s="133"/>
      <c r="LSP198" s="133"/>
      <c r="LSQ198" s="133"/>
      <c r="LSR198" s="133"/>
      <c r="LSS198" s="133"/>
      <c r="LST198" s="133"/>
      <c r="LSU198" s="133"/>
      <c r="LSV198" s="133"/>
      <c r="LSW198" s="133"/>
      <c r="LSX198" s="133"/>
      <c r="LSY198" s="133"/>
      <c r="LSZ198" s="133"/>
      <c r="LTA198" s="133"/>
      <c r="LTB198" s="133"/>
      <c r="LTC198" s="133"/>
      <c r="LTD198" s="133"/>
      <c r="LTE198" s="133"/>
      <c r="LTF198" s="133"/>
      <c r="LTG198" s="133"/>
      <c r="LTH198" s="133"/>
      <c r="LTI198" s="133"/>
      <c r="LTJ198" s="133"/>
      <c r="LTK198" s="133"/>
      <c r="LTL198" s="133"/>
      <c r="LTM198" s="133"/>
      <c r="LTN198" s="133"/>
      <c r="LTO198" s="133"/>
      <c r="LTP198" s="133"/>
      <c r="LTQ198" s="133"/>
      <c r="LTR198" s="133"/>
      <c r="LTS198" s="133"/>
      <c r="LTT198" s="133"/>
      <c r="LTU198" s="133"/>
      <c r="LTV198" s="133"/>
      <c r="LTW198" s="133"/>
      <c r="LTX198" s="133"/>
      <c r="LTY198" s="133"/>
      <c r="LTZ198" s="133"/>
      <c r="LUA198" s="133"/>
      <c r="LUB198" s="133"/>
      <c r="LUC198" s="133"/>
      <c r="LUD198" s="133"/>
      <c r="LUE198" s="133"/>
      <c r="LUF198" s="133"/>
      <c r="LUG198" s="133"/>
      <c r="LUH198" s="133"/>
      <c r="LUI198" s="133"/>
      <c r="LUJ198" s="133"/>
      <c r="LUK198" s="133"/>
      <c r="LUL198" s="133"/>
      <c r="LUM198" s="133"/>
      <c r="LUN198" s="133"/>
      <c r="LUO198" s="133"/>
      <c r="LUP198" s="133"/>
      <c r="LUQ198" s="133"/>
      <c r="LUR198" s="133"/>
      <c r="LUS198" s="133"/>
      <c r="LUT198" s="133"/>
      <c r="LUU198" s="133"/>
      <c r="LUV198" s="133"/>
      <c r="LUW198" s="133"/>
      <c r="LUX198" s="133"/>
      <c r="LUY198" s="133"/>
      <c r="LUZ198" s="133"/>
      <c r="LVA198" s="133"/>
      <c r="LVB198" s="133"/>
      <c r="LVC198" s="133"/>
      <c r="LVD198" s="133"/>
      <c r="LVE198" s="133"/>
      <c r="LVF198" s="133"/>
      <c r="LVG198" s="133"/>
      <c r="LVH198" s="133"/>
      <c r="LVI198" s="133"/>
      <c r="LVJ198" s="133"/>
      <c r="LVK198" s="133"/>
      <c r="LVL198" s="133"/>
      <c r="LVM198" s="133"/>
      <c r="LVN198" s="133"/>
      <c r="LVO198" s="133"/>
      <c r="LVP198" s="133"/>
      <c r="LVQ198" s="133"/>
      <c r="LVR198" s="133"/>
      <c r="LVS198" s="133"/>
      <c r="LVT198" s="133"/>
      <c r="LVU198" s="133"/>
      <c r="LVV198" s="133"/>
      <c r="LVW198" s="133"/>
      <c r="LVX198" s="133"/>
      <c r="LVY198" s="133"/>
      <c r="LVZ198" s="133"/>
      <c r="LWA198" s="133"/>
      <c r="LWB198" s="133"/>
      <c r="LWC198" s="133"/>
      <c r="LWD198" s="133"/>
      <c r="LWE198" s="133"/>
      <c r="LWF198" s="133"/>
      <c r="LWG198" s="133"/>
      <c r="LWH198" s="133"/>
      <c r="LWI198" s="133"/>
      <c r="LWJ198" s="133"/>
      <c r="LWK198" s="133"/>
      <c r="LWL198" s="133"/>
      <c r="LWM198" s="133"/>
      <c r="LWN198" s="133"/>
      <c r="LWO198" s="133"/>
      <c r="LWP198" s="133"/>
      <c r="LWQ198" s="133"/>
      <c r="LWR198" s="133"/>
      <c r="LWS198" s="133"/>
      <c r="LWT198" s="133"/>
      <c r="LWU198" s="133"/>
      <c r="LWV198" s="133"/>
      <c r="LWW198" s="133"/>
      <c r="LWX198" s="133"/>
      <c r="LWY198" s="133"/>
      <c r="LWZ198" s="133"/>
      <c r="LXA198" s="133"/>
      <c r="LXB198" s="133"/>
      <c r="LXC198" s="133"/>
      <c r="LXD198" s="133"/>
      <c r="LXE198" s="133"/>
      <c r="LXF198" s="133"/>
      <c r="LXG198" s="133"/>
      <c r="LXH198" s="133"/>
      <c r="LXI198" s="133"/>
      <c r="LXJ198" s="133"/>
      <c r="LXK198" s="133"/>
      <c r="LXL198" s="133"/>
      <c r="LXM198" s="133"/>
      <c r="LXN198" s="133"/>
      <c r="LXO198" s="133"/>
      <c r="LXP198" s="133"/>
      <c r="LXQ198" s="133"/>
      <c r="LXR198" s="133"/>
      <c r="LXS198" s="133"/>
      <c r="LXT198" s="133"/>
      <c r="LXU198" s="133"/>
      <c r="LXV198" s="133"/>
      <c r="LXW198" s="133"/>
      <c r="LXX198" s="133"/>
      <c r="LXY198" s="133"/>
      <c r="LXZ198" s="133"/>
      <c r="LYA198" s="133"/>
      <c r="LYB198" s="133"/>
      <c r="LYC198" s="133"/>
      <c r="LYD198" s="133"/>
      <c r="LYE198" s="133"/>
      <c r="LYF198" s="133"/>
      <c r="LYG198" s="133"/>
      <c r="LYH198" s="133"/>
      <c r="LYI198" s="133"/>
      <c r="LYJ198" s="133"/>
      <c r="LYK198" s="133"/>
      <c r="LYL198" s="133"/>
      <c r="LYM198" s="133"/>
      <c r="LYN198" s="133"/>
      <c r="LYO198" s="133"/>
      <c r="LYP198" s="133"/>
      <c r="LYQ198" s="133"/>
      <c r="LYR198" s="133"/>
      <c r="LYS198" s="133"/>
      <c r="LYT198" s="133"/>
      <c r="LYU198" s="133"/>
      <c r="LYV198" s="133"/>
      <c r="LYW198" s="133"/>
      <c r="LYX198" s="133"/>
      <c r="LYY198" s="133"/>
      <c r="LYZ198" s="133"/>
      <c r="LZA198" s="133"/>
      <c r="LZB198" s="133"/>
      <c r="LZC198" s="133"/>
      <c r="LZD198" s="133"/>
      <c r="LZE198" s="133"/>
      <c r="LZF198" s="133"/>
      <c r="LZG198" s="133"/>
      <c r="LZH198" s="133"/>
      <c r="LZI198" s="133"/>
      <c r="LZJ198" s="133"/>
      <c r="LZK198" s="133"/>
      <c r="LZL198" s="133"/>
      <c r="LZM198" s="133"/>
      <c r="LZN198" s="133"/>
      <c r="LZO198" s="133"/>
      <c r="LZP198" s="133"/>
      <c r="LZQ198" s="133"/>
      <c r="LZR198" s="133"/>
      <c r="LZS198" s="133"/>
      <c r="LZT198" s="133"/>
      <c r="LZU198" s="133"/>
      <c r="LZV198" s="133"/>
      <c r="LZW198" s="133"/>
      <c r="LZX198" s="133"/>
      <c r="LZY198" s="133"/>
      <c r="LZZ198" s="133"/>
      <c r="MAA198" s="133"/>
      <c r="MAB198" s="133"/>
      <c r="MAC198" s="133"/>
      <c r="MAD198" s="133"/>
      <c r="MAE198" s="133"/>
      <c r="MAF198" s="133"/>
      <c r="MAG198" s="133"/>
      <c r="MAH198" s="133"/>
      <c r="MAI198" s="133"/>
      <c r="MAJ198" s="133"/>
      <c r="MAK198" s="133"/>
      <c r="MAL198" s="133"/>
      <c r="MAM198" s="133"/>
      <c r="MAN198" s="133"/>
      <c r="MAO198" s="133"/>
      <c r="MAP198" s="133"/>
      <c r="MAQ198" s="133"/>
      <c r="MAR198" s="133"/>
      <c r="MAS198" s="133"/>
      <c r="MAT198" s="133"/>
      <c r="MAU198" s="133"/>
      <c r="MAV198" s="133"/>
      <c r="MAW198" s="133"/>
      <c r="MAX198" s="133"/>
      <c r="MAY198" s="133"/>
      <c r="MAZ198" s="133"/>
      <c r="MBA198" s="133"/>
      <c r="MBB198" s="133"/>
      <c r="MBC198" s="133"/>
      <c r="MBD198" s="133"/>
      <c r="MBE198" s="133"/>
      <c r="MBF198" s="133"/>
      <c r="MBG198" s="133"/>
      <c r="MBH198" s="133"/>
      <c r="MBI198" s="133"/>
      <c r="MBJ198" s="133"/>
      <c r="MBK198" s="133"/>
      <c r="MBL198" s="133"/>
      <c r="MBM198" s="133"/>
      <c r="MBN198" s="133"/>
      <c r="MBO198" s="133"/>
      <c r="MBP198" s="133"/>
      <c r="MBQ198" s="133"/>
      <c r="MBR198" s="133"/>
      <c r="MBS198" s="133"/>
      <c r="MBT198" s="133"/>
      <c r="MBU198" s="133"/>
      <c r="MBV198" s="133"/>
      <c r="MBW198" s="133"/>
      <c r="MBX198" s="133"/>
      <c r="MBY198" s="133"/>
      <c r="MBZ198" s="133"/>
      <c r="MCA198" s="133"/>
      <c r="MCB198" s="133"/>
      <c r="MCC198" s="133"/>
      <c r="MCD198" s="133"/>
      <c r="MCE198" s="133"/>
      <c r="MCF198" s="133"/>
      <c r="MCG198" s="133"/>
      <c r="MCH198" s="133"/>
      <c r="MCI198" s="133"/>
      <c r="MCJ198" s="133"/>
      <c r="MCK198" s="133"/>
      <c r="MCL198" s="133"/>
      <c r="MCM198" s="133"/>
      <c r="MCN198" s="133"/>
      <c r="MCO198" s="133"/>
      <c r="MCP198" s="133"/>
      <c r="MCQ198" s="133"/>
      <c r="MCR198" s="133"/>
      <c r="MCS198" s="133"/>
      <c r="MCT198" s="133"/>
      <c r="MCU198" s="133"/>
      <c r="MCV198" s="133"/>
      <c r="MCW198" s="133"/>
      <c r="MCX198" s="133"/>
      <c r="MCY198" s="133"/>
      <c r="MCZ198" s="133"/>
      <c r="MDA198" s="133"/>
      <c r="MDB198" s="133"/>
      <c r="MDC198" s="133"/>
      <c r="MDD198" s="133"/>
      <c r="MDE198" s="133"/>
      <c r="MDF198" s="133"/>
      <c r="MDG198" s="133"/>
      <c r="MDH198" s="133"/>
      <c r="MDI198" s="133"/>
      <c r="MDJ198" s="133"/>
      <c r="MDK198" s="133"/>
      <c r="MDL198" s="133"/>
      <c r="MDM198" s="133"/>
      <c r="MDN198" s="133"/>
      <c r="MDO198" s="133"/>
      <c r="MDP198" s="133"/>
      <c r="MDQ198" s="133"/>
      <c r="MDR198" s="133"/>
      <c r="MDS198" s="133"/>
      <c r="MDT198" s="133"/>
      <c r="MDU198" s="133"/>
      <c r="MDV198" s="133"/>
      <c r="MDW198" s="133"/>
      <c r="MDX198" s="133"/>
      <c r="MDY198" s="133"/>
      <c r="MDZ198" s="133"/>
      <c r="MEA198" s="133"/>
      <c r="MEB198" s="133"/>
      <c r="MEC198" s="133"/>
      <c r="MED198" s="133"/>
      <c r="MEE198" s="133"/>
      <c r="MEF198" s="133"/>
      <c r="MEG198" s="133"/>
      <c r="MEH198" s="133"/>
      <c r="MEI198" s="133"/>
      <c r="MEJ198" s="133"/>
      <c r="MEK198" s="133"/>
      <c r="MEL198" s="133"/>
      <c r="MEM198" s="133"/>
      <c r="MEN198" s="133"/>
      <c r="MEO198" s="133"/>
      <c r="MEP198" s="133"/>
      <c r="MEQ198" s="133"/>
      <c r="MER198" s="133"/>
      <c r="MES198" s="133"/>
      <c r="MET198" s="133"/>
      <c r="MEU198" s="133"/>
      <c r="MEV198" s="133"/>
      <c r="MEW198" s="133"/>
      <c r="MEX198" s="133"/>
      <c r="MEY198" s="133"/>
      <c r="MEZ198" s="133"/>
      <c r="MFA198" s="133"/>
      <c r="MFB198" s="133"/>
      <c r="MFC198" s="133"/>
      <c r="MFD198" s="133"/>
      <c r="MFE198" s="133"/>
      <c r="MFF198" s="133"/>
      <c r="MFG198" s="133"/>
      <c r="MFH198" s="133"/>
      <c r="MFI198" s="133"/>
      <c r="MFJ198" s="133"/>
      <c r="MFK198" s="133"/>
      <c r="MFL198" s="133"/>
      <c r="MFM198" s="133"/>
      <c r="MFN198" s="133"/>
      <c r="MFO198" s="133"/>
      <c r="MFP198" s="133"/>
      <c r="MFQ198" s="133"/>
      <c r="MFR198" s="133"/>
      <c r="MFS198" s="133"/>
      <c r="MFT198" s="133"/>
      <c r="MFU198" s="133"/>
      <c r="MFV198" s="133"/>
      <c r="MFW198" s="133"/>
      <c r="MFX198" s="133"/>
      <c r="MFY198" s="133"/>
      <c r="MFZ198" s="133"/>
      <c r="MGA198" s="133"/>
      <c r="MGB198" s="133"/>
      <c r="MGC198" s="133"/>
      <c r="MGD198" s="133"/>
      <c r="MGE198" s="133"/>
      <c r="MGF198" s="133"/>
      <c r="MGG198" s="133"/>
      <c r="MGH198" s="133"/>
      <c r="MGI198" s="133"/>
      <c r="MGJ198" s="133"/>
      <c r="MGK198" s="133"/>
      <c r="MGL198" s="133"/>
      <c r="MGM198" s="133"/>
      <c r="MGN198" s="133"/>
      <c r="MGO198" s="133"/>
      <c r="MGP198" s="133"/>
      <c r="MGQ198" s="133"/>
      <c r="MGR198" s="133"/>
      <c r="MGS198" s="133"/>
      <c r="MGT198" s="133"/>
      <c r="MGU198" s="133"/>
      <c r="MGV198" s="133"/>
      <c r="MGW198" s="133"/>
      <c r="MGX198" s="133"/>
      <c r="MGY198" s="133"/>
      <c r="MGZ198" s="133"/>
      <c r="MHA198" s="133"/>
      <c r="MHB198" s="133"/>
      <c r="MHC198" s="133"/>
      <c r="MHD198" s="133"/>
      <c r="MHE198" s="133"/>
      <c r="MHF198" s="133"/>
      <c r="MHG198" s="133"/>
      <c r="MHH198" s="133"/>
      <c r="MHI198" s="133"/>
      <c r="MHJ198" s="133"/>
      <c r="MHK198" s="133"/>
      <c r="MHL198" s="133"/>
      <c r="MHM198" s="133"/>
      <c r="MHN198" s="133"/>
      <c r="MHO198" s="133"/>
      <c r="MHP198" s="133"/>
      <c r="MHQ198" s="133"/>
      <c r="MHR198" s="133"/>
      <c r="MHS198" s="133"/>
      <c r="MHT198" s="133"/>
      <c r="MHU198" s="133"/>
      <c r="MHV198" s="133"/>
      <c r="MHW198" s="133"/>
      <c r="MHX198" s="133"/>
      <c r="MHY198" s="133"/>
      <c r="MHZ198" s="133"/>
      <c r="MIA198" s="133"/>
      <c r="MIB198" s="133"/>
      <c r="MIC198" s="133"/>
      <c r="MID198" s="133"/>
      <c r="MIE198" s="133"/>
      <c r="MIF198" s="133"/>
      <c r="MIG198" s="133"/>
      <c r="MIH198" s="133"/>
      <c r="MII198" s="133"/>
      <c r="MIJ198" s="133"/>
      <c r="MIK198" s="133"/>
      <c r="MIL198" s="133"/>
      <c r="MIM198" s="133"/>
      <c r="MIN198" s="133"/>
      <c r="MIO198" s="133"/>
      <c r="MIP198" s="133"/>
      <c r="MIQ198" s="133"/>
      <c r="MIR198" s="133"/>
      <c r="MIS198" s="133"/>
      <c r="MIT198" s="133"/>
      <c r="MIU198" s="133"/>
      <c r="MIV198" s="133"/>
      <c r="MIW198" s="133"/>
      <c r="MIX198" s="133"/>
      <c r="MIY198" s="133"/>
      <c r="MIZ198" s="133"/>
      <c r="MJA198" s="133"/>
      <c r="MJB198" s="133"/>
      <c r="MJC198" s="133"/>
      <c r="MJD198" s="133"/>
      <c r="MJE198" s="133"/>
      <c r="MJF198" s="133"/>
      <c r="MJG198" s="133"/>
      <c r="MJH198" s="133"/>
      <c r="MJI198" s="133"/>
      <c r="MJJ198" s="133"/>
      <c r="MJK198" s="133"/>
      <c r="MJL198" s="133"/>
      <c r="MJM198" s="133"/>
      <c r="MJN198" s="133"/>
      <c r="MJO198" s="133"/>
      <c r="MJP198" s="133"/>
      <c r="MJQ198" s="133"/>
      <c r="MJR198" s="133"/>
      <c r="MJS198" s="133"/>
      <c r="MJT198" s="133"/>
      <c r="MJU198" s="133"/>
      <c r="MJV198" s="133"/>
      <c r="MJW198" s="133"/>
      <c r="MJX198" s="133"/>
      <c r="MJY198" s="133"/>
      <c r="MJZ198" s="133"/>
      <c r="MKA198" s="133"/>
      <c r="MKB198" s="133"/>
      <c r="MKC198" s="133"/>
      <c r="MKD198" s="133"/>
      <c r="MKE198" s="133"/>
      <c r="MKF198" s="133"/>
      <c r="MKG198" s="133"/>
      <c r="MKH198" s="133"/>
      <c r="MKI198" s="133"/>
      <c r="MKJ198" s="133"/>
      <c r="MKK198" s="133"/>
      <c r="MKL198" s="133"/>
      <c r="MKM198" s="133"/>
      <c r="MKN198" s="133"/>
      <c r="MKO198" s="133"/>
      <c r="MKP198" s="133"/>
      <c r="MKQ198" s="133"/>
      <c r="MKR198" s="133"/>
      <c r="MKS198" s="133"/>
      <c r="MKT198" s="133"/>
      <c r="MKU198" s="133"/>
      <c r="MKV198" s="133"/>
      <c r="MKW198" s="133"/>
      <c r="MKX198" s="133"/>
      <c r="MKY198" s="133"/>
      <c r="MKZ198" s="133"/>
      <c r="MLA198" s="133"/>
      <c r="MLB198" s="133"/>
      <c r="MLC198" s="133"/>
      <c r="MLD198" s="133"/>
      <c r="MLE198" s="133"/>
      <c r="MLF198" s="133"/>
      <c r="MLG198" s="133"/>
      <c r="MLH198" s="133"/>
      <c r="MLI198" s="133"/>
      <c r="MLJ198" s="133"/>
      <c r="MLK198" s="133"/>
      <c r="MLL198" s="133"/>
      <c r="MLM198" s="133"/>
      <c r="MLN198" s="133"/>
      <c r="MLO198" s="133"/>
      <c r="MLP198" s="133"/>
      <c r="MLQ198" s="133"/>
      <c r="MLR198" s="133"/>
      <c r="MLS198" s="133"/>
      <c r="MLT198" s="133"/>
      <c r="MLU198" s="133"/>
      <c r="MLV198" s="133"/>
      <c r="MLW198" s="133"/>
      <c r="MLX198" s="133"/>
      <c r="MLY198" s="133"/>
      <c r="MLZ198" s="133"/>
      <c r="MMA198" s="133"/>
      <c r="MMB198" s="133"/>
      <c r="MMC198" s="133"/>
      <c r="MMD198" s="133"/>
      <c r="MME198" s="133"/>
      <c r="MMF198" s="133"/>
      <c r="MMG198" s="133"/>
      <c r="MMH198" s="133"/>
      <c r="MMI198" s="133"/>
      <c r="MMJ198" s="133"/>
      <c r="MMK198" s="133"/>
      <c r="MML198" s="133"/>
      <c r="MMM198" s="133"/>
      <c r="MMN198" s="133"/>
      <c r="MMO198" s="133"/>
      <c r="MMP198" s="133"/>
      <c r="MMQ198" s="133"/>
      <c r="MMR198" s="133"/>
      <c r="MMS198" s="133"/>
      <c r="MMT198" s="133"/>
      <c r="MMU198" s="133"/>
      <c r="MMV198" s="133"/>
      <c r="MMW198" s="133"/>
      <c r="MMX198" s="133"/>
      <c r="MMY198" s="133"/>
      <c r="MMZ198" s="133"/>
      <c r="MNA198" s="133"/>
      <c r="MNB198" s="133"/>
      <c r="MNC198" s="133"/>
      <c r="MND198" s="133"/>
      <c r="MNE198" s="133"/>
      <c r="MNF198" s="133"/>
      <c r="MNG198" s="133"/>
      <c r="MNH198" s="133"/>
      <c r="MNI198" s="133"/>
      <c r="MNJ198" s="133"/>
      <c r="MNK198" s="133"/>
      <c r="MNL198" s="133"/>
      <c r="MNM198" s="133"/>
      <c r="MNN198" s="133"/>
      <c r="MNO198" s="133"/>
      <c r="MNP198" s="133"/>
      <c r="MNQ198" s="133"/>
      <c r="MNR198" s="133"/>
      <c r="MNS198" s="133"/>
      <c r="MNT198" s="133"/>
      <c r="MNU198" s="133"/>
      <c r="MNV198" s="133"/>
      <c r="MNW198" s="133"/>
      <c r="MNX198" s="133"/>
      <c r="MNY198" s="133"/>
      <c r="MNZ198" s="133"/>
      <c r="MOA198" s="133"/>
      <c r="MOB198" s="133"/>
      <c r="MOC198" s="133"/>
      <c r="MOD198" s="133"/>
      <c r="MOE198" s="133"/>
      <c r="MOF198" s="133"/>
      <c r="MOG198" s="133"/>
      <c r="MOH198" s="133"/>
      <c r="MOI198" s="133"/>
      <c r="MOJ198" s="133"/>
      <c r="MOK198" s="133"/>
      <c r="MOL198" s="133"/>
      <c r="MOM198" s="133"/>
      <c r="MON198" s="133"/>
      <c r="MOO198" s="133"/>
      <c r="MOP198" s="133"/>
      <c r="MOQ198" s="133"/>
      <c r="MOR198" s="133"/>
      <c r="MOS198" s="133"/>
      <c r="MOT198" s="133"/>
      <c r="MOU198" s="133"/>
      <c r="MOV198" s="133"/>
      <c r="MOW198" s="133"/>
      <c r="MOX198" s="133"/>
      <c r="MOY198" s="133"/>
      <c r="MOZ198" s="133"/>
      <c r="MPA198" s="133"/>
      <c r="MPB198" s="133"/>
      <c r="MPC198" s="133"/>
      <c r="MPD198" s="133"/>
      <c r="MPE198" s="133"/>
      <c r="MPF198" s="133"/>
      <c r="MPG198" s="133"/>
      <c r="MPH198" s="133"/>
      <c r="MPI198" s="133"/>
      <c r="MPJ198" s="133"/>
      <c r="MPK198" s="133"/>
      <c r="MPL198" s="133"/>
      <c r="MPM198" s="133"/>
      <c r="MPN198" s="133"/>
      <c r="MPO198" s="133"/>
      <c r="MPP198" s="133"/>
      <c r="MPQ198" s="133"/>
      <c r="MPR198" s="133"/>
      <c r="MPS198" s="133"/>
      <c r="MPT198" s="133"/>
      <c r="MPU198" s="133"/>
      <c r="MPV198" s="133"/>
      <c r="MPW198" s="133"/>
      <c r="MPX198" s="133"/>
      <c r="MPY198" s="133"/>
      <c r="MPZ198" s="133"/>
      <c r="MQA198" s="133"/>
      <c r="MQB198" s="133"/>
      <c r="MQC198" s="133"/>
      <c r="MQD198" s="133"/>
      <c r="MQE198" s="133"/>
      <c r="MQF198" s="133"/>
      <c r="MQG198" s="133"/>
      <c r="MQH198" s="133"/>
      <c r="MQI198" s="133"/>
      <c r="MQJ198" s="133"/>
      <c r="MQK198" s="133"/>
      <c r="MQL198" s="133"/>
      <c r="MQM198" s="133"/>
      <c r="MQN198" s="133"/>
      <c r="MQO198" s="133"/>
      <c r="MQP198" s="133"/>
      <c r="MQQ198" s="133"/>
      <c r="MQR198" s="133"/>
      <c r="MQS198" s="133"/>
      <c r="MQT198" s="133"/>
      <c r="MQU198" s="133"/>
      <c r="MQV198" s="133"/>
      <c r="MQW198" s="133"/>
      <c r="MQX198" s="133"/>
      <c r="MQY198" s="133"/>
      <c r="MQZ198" s="133"/>
      <c r="MRA198" s="133"/>
      <c r="MRB198" s="133"/>
      <c r="MRC198" s="133"/>
      <c r="MRD198" s="133"/>
      <c r="MRE198" s="133"/>
      <c r="MRF198" s="133"/>
      <c r="MRG198" s="133"/>
      <c r="MRH198" s="133"/>
      <c r="MRI198" s="133"/>
      <c r="MRJ198" s="133"/>
      <c r="MRK198" s="133"/>
      <c r="MRL198" s="133"/>
      <c r="MRM198" s="133"/>
      <c r="MRN198" s="133"/>
      <c r="MRO198" s="133"/>
      <c r="MRP198" s="133"/>
      <c r="MRQ198" s="133"/>
      <c r="MRR198" s="133"/>
      <c r="MRS198" s="133"/>
      <c r="MRT198" s="133"/>
      <c r="MRU198" s="133"/>
      <c r="MRV198" s="133"/>
      <c r="MRW198" s="133"/>
      <c r="MRX198" s="133"/>
      <c r="MRY198" s="133"/>
      <c r="MRZ198" s="133"/>
      <c r="MSA198" s="133"/>
      <c r="MSB198" s="133"/>
      <c r="MSC198" s="133"/>
      <c r="MSD198" s="133"/>
      <c r="MSE198" s="133"/>
      <c r="MSF198" s="133"/>
      <c r="MSG198" s="133"/>
      <c r="MSH198" s="133"/>
      <c r="MSI198" s="133"/>
      <c r="MSJ198" s="133"/>
      <c r="MSK198" s="133"/>
      <c r="MSL198" s="133"/>
      <c r="MSM198" s="133"/>
      <c r="MSN198" s="133"/>
      <c r="MSO198" s="133"/>
      <c r="MSP198" s="133"/>
      <c r="MSQ198" s="133"/>
      <c r="MSR198" s="133"/>
      <c r="MSS198" s="133"/>
      <c r="MST198" s="133"/>
      <c r="MSU198" s="133"/>
      <c r="MSV198" s="133"/>
      <c r="MSW198" s="133"/>
      <c r="MSX198" s="133"/>
      <c r="MSY198" s="133"/>
      <c r="MSZ198" s="133"/>
      <c r="MTA198" s="133"/>
      <c r="MTB198" s="133"/>
      <c r="MTC198" s="133"/>
      <c r="MTD198" s="133"/>
      <c r="MTE198" s="133"/>
      <c r="MTF198" s="133"/>
      <c r="MTG198" s="133"/>
      <c r="MTH198" s="133"/>
      <c r="MTI198" s="133"/>
      <c r="MTJ198" s="133"/>
      <c r="MTK198" s="133"/>
      <c r="MTL198" s="133"/>
      <c r="MTM198" s="133"/>
      <c r="MTN198" s="133"/>
      <c r="MTO198" s="133"/>
      <c r="MTP198" s="133"/>
      <c r="MTQ198" s="133"/>
      <c r="MTR198" s="133"/>
      <c r="MTS198" s="133"/>
      <c r="MTT198" s="133"/>
      <c r="MTU198" s="133"/>
      <c r="MTV198" s="133"/>
      <c r="MTW198" s="133"/>
      <c r="MTX198" s="133"/>
      <c r="MTY198" s="133"/>
      <c r="MTZ198" s="133"/>
      <c r="MUA198" s="133"/>
      <c r="MUB198" s="133"/>
      <c r="MUC198" s="133"/>
      <c r="MUD198" s="133"/>
      <c r="MUE198" s="133"/>
      <c r="MUF198" s="133"/>
      <c r="MUG198" s="133"/>
      <c r="MUH198" s="133"/>
      <c r="MUI198" s="133"/>
      <c r="MUJ198" s="133"/>
      <c r="MUK198" s="133"/>
      <c r="MUL198" s="133"/>
      <c r="MUM198" s="133"/>
      <c r="MUN198" s="133"/>
      <c r="MUO198" s="133"/>
      <c r="MUP198" s="133"/>
      <c r="MUQ198" s="133"/>
      <c r="MUR198" s="133"/>
      <c r="MUS198" s="133"/>
      <c r="MUT198" s="133"/>
      <c r="MUU198" s="133"/>
      <c r="MUV198" s="133"/>
      <c r="MUW198" s="133"/>
      <c r="MUX198" s="133"/>
      <c r="MUY198" s="133"/>
      <c r="MUZ198" s="133"/>
      <c r="MVA198" s="133"/>
      <c r="MVB198" s="133"/>
      <c r="MVC198" s="133"/>
      <c r="MVD198" s="133"/>
      <c r="MVE198" s="133"/>
      <c r="MVF198" s="133"/>
      <c r="MVG198" s="133"/>
      <c r="MVH198" s="133"/>
      <c r="MVI198" s="133"/>
      <c r="MVJ198" s="133"/>
      <c r="MVK198" s="133"/>
      <c r="MVL198" s="133"/>
      <c r="MVM198" s="133"/>
      <c r="MVN198" s="133"/>
      <c r="MVO198" s="133"/>
      <c r="MVP198" s="133"/>
      <c r="MVQ198" s="133"/>
      <c r="MVR198" s="133"/>
      <c r="MVS198" s="133"/>
      <c r="MVT198" s="133"/>
      <c r="MVU198" s="133"/>
      <c r="MVV198" s="133"/>
      <c r="MVW198" s="133"/>
      <c r="MVX198" s="133"/>
      <c r="MVY198" s="133"/>
      <c r="MVZ198" s="133"/>
      <c r="MWA198" s="133"/>
      <c r="MWB198" s="133"/>
      <c r="MWC198" s="133"/>
      <c r="MWD198" s="133"/>
      <c r="MWE198" s="133"/>
      <c r="MWF198" s="133"/>
      <c r="MWG198" s="133"/>
      <c r="MWH198" s="133"/>
      <c r="MWI198" s="133"/>
      <c r="MWJ198" s="133"/>
      <c r="MWK198" s="133"/>
      <c r="MWL198" s="133"/>
      <c r="MWM198" s="133"/>
      <c r="MWN198" s="133"/>
      <c r="MWO198" s="133"/>
      <c r="MWP198" s="133"/>
      <c r="MWQ198" s="133"/>
      <c r="MWR198" s="133"/>
      <c r="MWS198" s="133"/>
      <c r="MWT198" s="133"/>
      <c r="MWU198" s="133"/>
      <c r="MWV198" s="133"/>
      <c r="MWW198" s="133"/>
      <c r="MWX198" s="133"/>
      <c r="MWY198" s="133"/>
      <c r="MWZ198" s="133"/>
      <c r="MXA198" s="133"/>
      <c r="MXB198" s="133"/>
      <c r="MXC198" s="133"/>
      <c r="MXD198" s="133"/>
      <c r="MXE198" s="133"/>
      <c r="MXF198" s="133"/>
      <c r="MXG198" s="133"/>
      <c r="MXH198" s="133"/>
      <c r="MXI198" s="133"/>
      <c r="MXJ198" s="133"/>
      <c r="MXK198" s="133"/>
      <c r="MXL198" s="133"/>
      <c r="MXM198" s="133"/>
      <c r="MXN198" s="133"/>
      <c r="MXO198" s="133"/>
      <c r="MXP198" s="133"/>
      <c r="MXQ198" s="133"/>
      <c r="MXR198" s="133"/>
      <c r="MXS198" s="133"/>
      <c r="MXT198" s="133"/>
      <c r="MXU198" s="133"/>
      <c r="MXV198" s="133"/>
      <c r="MXW198" s="133"/>
      <c r="MXX198" s="133"/>
      <c r="MXY198" s="133"/>
      <c r="MXZ198" s="133"/>
      <c r="MYA198" s="133"/>
      <c r="MYB198" s="133"/>
      <c r="MYC198" s="133"/>
      <c r="MYD198" s="133"/>
      <c r="MYE198" s="133"/>
      <c r="MYF198" s="133"/>
      <c r="MYG198" s="133"/>
      <c r="MYH198" s="133"/>
      <c r="MYI198" s="133"/>
      <c r="MYJ198" s="133"/>
      <c r="MYK198" s="133"/>
      <c r="MYL198" s="133"/>
      <c r="MYM198" s="133"/>
      <c r="MYN198" s="133"/>
      <c r="MYO198" s="133"/>
      <c r="MYP198" s="133"/>
      <c r="MYQ198" s="133"/>
      <c r="MYR198" s="133"/>
      <c r="MYS198" s="133"/>
      <c r="MYT198" s="133"/>
      <c r="MYU198" s="133"/>
      <c r="MYV198" s="133"/>
      <c r="MYW198" s="133"/>
      <c r="MYX198" s="133"/>
      <c r="MYY198" s="133"/>
      <c r="MYZ198" s="133"/>
      <c r="MZA198" s="133"/>
      <c r="MZB198" s="133"/>
      <c r="MZC198" s="133"/>
      <c r="MZD198" s="133"/>
      <c r="MZE198" s="133"/>
      <c r="MZF198" s="133"/>
      <c r="MZG198" s="133"/>
      <c r="MZH198" s="133"/>
      <c r="MZI198" s="133"/>
      <c r="MZJ198" s="133"/>
      <c r="MZK198" s="133"/>
      <c r="MZL198" s="133"/>
      <c r="MZM198" s="133"/>
      <c r="MZN198" s="133"/>
      <c r="MZO198" s="133"/>
      <c r="MZP198" s="133"/>
      <c r="MZQ198" s="133"/>
      <c r="MZR198" s="133"/>
      <c r="MZS198" s="133"/>
      <c r="MZT198" s="133"/>
      <c r="MZU198" s="133"/>
      <c r="MZV198" s="133"/>
      <c r="MZW198" s="133"/>
      <c r="MZX198" s="133"/>
      <c r="MZY198" s="133"/>
      <c r="MZZ198" s="133"/>
      <c r="NAA198" s="133"/>
      <c r="NAB198" s="133"/>
      <c r="NAC198" s="133"/>
      <c r="NAD198" s="133"/>
      <c r="NAE198" s="133"/>
      <c r="NAF198" s="133"/>
      <c r="NAG198" s="133"/>
      <c r="NAH198" s="133"/>
      <c r="NAI198" s="133"/>
      <c r="NAJ198" s="133"/>
      <c r="NAK198" s="133"/>
      <c r="NAL198" s="133"/>
      <c r="NAM198" s="133"/>
      <c r="NAN198" s="133"/>
      <c r="NAO198" s="133"/>
      <c r="NAP198" s="133"/>
      <c r="NAQ198" s="133"/>
      <c r="NAR198" s="133"/>
      <c r="NAS198" s="133"/>
      <c r="NAT198" s="133"/>
      <c r="NAU198" s="133"/>
      <c r="NAV198" s="133"/>
      <c r="NAW198" s="133"/>
      <c r="NAX198" s="133"/>
      <c r="NAY198" s="133"/>
      <c r="NAZ198" s="133"/>
      <c r="NBA198" s="133"/>
      <c r="NBB198" s="133"/>
      <c r="NBC198" s="133"/>
      <c r="NBD198" s="133"/>
      <c r="NBE198" s="133"/>
      <c r="NBF198" s="133"/>
      <c r="NBG198" s="133"/>
      <c r="NBH198" s="133"/>
      <c r="NBI198" s="133"/>
      <c r="NBJ198" s="133"/>
      <c r="NBK198" s="133"/>
      <c r="NBL198" s="133"/>
      <c r="NBM198" s="133"/>
      <c r="NBN198" s="133"/>
      <c r="NBO198" s="133"/>
      <c r="NBP198" s="133"/>
      <c r="NBQ198" s="133"/>
      <c r="NBR198" s="133"/>
      <c r="NBS198" s="133"/>
      <c r="NBT198" s="133"/>
      <c r="NBU198" s="133"/>
      <c r="NBV198" s="133"/>
      <c r="NBW198" s="133"/>
      <c r="NBX198" s="133"/>
      <c r="NBY198" s="133"/>
      <c r="NBZ198" s="133"/>
      <c r="NCA198" s="133"/>
      <c r="NCB198" s="133"/>
      <c r="NCC198" s="133"/>
      <c r="NCD198" s="133"/>
      <c r="NCE198" s="133"/>
      <c r="NCF198" s="133"/>
      <c r="NCG198" s="133"/>
      <c r="NCH198" s="133"/>
      <c r="NCI198" s="133"/>
      <c r="NCJ198" s="133"/>
      <c r="NCK198" s="133"/>
      <c r="NCL198" s="133"/>
      <c r="NCM198" s="133"/>
      <c r="NCN198" s="133"/>
      <c r="NCO198" s="133"/>
      <c r="NCP198" s="133"/>
      <c r="NCQ198" s="133"/>
      <c r="NCR198" s="133"/>
      <c r="NCS198" s="133"/>
      <c r="NCT198" s="133"/>
      <c r="NCU198" s="133"/>
      <c r="NCV198" s="133"/>
      <c r="NCW198" s="133"/>
      <c r="NCX198" s="133"/>
      <c r="NCY198" s="133"/>
      <c r="NCZ198" s="133"/>
      <c r="NDA198" s="133"/>
      <c r="NDB198" s="133"/>
      <c r="NDC198" s="133"/>
      <c r="NDD198" s="133"/>
      <c r="NDE198" s="133"/>
      <c r="NDF198" s="133"/>
      <c r="NDG198" s="133"/>
      <c r="NDH198" s="133"/>
      <c r="NDI198" s="133"/>
      <c r="NDJ198" s="133"/>
      <c r="NDK198" s="133"/>
      <c r="NDL198" s="133"/>
      <c r="NDM198" s="133"/>
      <c r="NDN198" s="133"/>
      <c r="NDO198" s="133"/>
      <c r="NDP198" s="133"/>
      <c r="NDQ198" s="133"/>
      <c r="NDR198" s="133"/>
      <c r="NDS198" s="133"/>
      <c r="NDT198" s="133"/>
      <c r="NDU198" s="133"/>
      <c r="NDV198" s="133"/>
      <c r="NDW198" s="133"/>
      <c r="NDX198" s="133"/>
      <c r="NDY198" s="133"/>
      <c r="NDZ198" s="133"/>
      <c r="NEA198" s="133"/>
      <c r="NEB198" s="133"/>
      <c r="NEC198" s="133"/>
      <c r="NED198" s="133"/>
      <c r="NEE198" s="133"/>
      <c r="NEF198" s="133"/>
      <c r="NEG198" s="133"/>
      <c r="NEH198" s="133"/>
      <c r="NEI198" s="133"/>
      <c r="NEJ198" s="133"/>
      <c r="NEK198" s="133"/>
      <c r="NEL198" s="133"/>
      <c r="NEM198" s="133"/>
      <c r="NEN198" s="133"/>
      <c r="NEO198" s="133"/>
      <c r="NEP198" s="133"/>
      <c r="NEQ198" s="133"/>
      <c r="NER198" s="133"/>
      <c r="NES198" s="133"/>
      <c r="NET198" s="133"/>
      <c r="NEU198" s="133"/>
      <c r="NEV198" s="133"/>
      <c r="NEW198" s="133"/>
      <c r="NEX198" s="133"/>
      <c r="NEY198" s="133"/>
      <c r="NEZ198" s="133"/>
      <c r="NFA198" s="133"/>
      <c r="NFB198" s="133"/>
      <c r="NFC198" s="133"/>
      <c r="NFD198" s="133"/>
      <c r="NFE198" s="133"/>
      <c r="NFF198" s="133"/>
      <c r="NFG198" s="133"/>
      <c r="NFH198" s="133"/>
      <c r="NFI198" s="133"/>
      <c r="NFJ198" s="133"/>
      <c r="NFK198" s="133"/>
      <c r="NFL198" s="133"/>
      <c r="NFM198" s="133"/>
      <c r="NFN198" s="133"/>
      <c r="NFO198" s="133"/>
      <c r="NFP198" s="133"/>
      <c r="NFQ198" s="133"/>
      <c r="NFR198" s="133"/>
      <c r="NFS198" s="133"/>
      <c r="NFT198" s="133"/>
      <c r="NFU198" s="133"/>
      <c r="NFV198" s="133"/>
      <c r="NFW198" s="133"/>
      <c r="NFX198" s="133"/>
      <c r="NFY198" s="133"/>
      <c r="NFZ198" s="133"/>
      <c r="NGA198" s="133"/>
      <c r="NGB198" s="133"/>
      <c r="NGC198" s="133"/>
      <c r="NGD198" s="133"/>
      <c r="NGE198" s="133"/>
      <c r="NGF198" s="133"/>
      <c r="NGG198" s="133"/>
      <c r="NGH198" s="133"/>
      <c r="NGI198" s="133"/>
      <c r="NGJ198" s="133"/>
      <c r="NGK198" s="133"/>
      <c r="NGL198" s="133"/>
      <c r="NGM198" s="133"/>
      <c r="NGN198" s="133"/>
      <c r="NGO198" s="133"/>
      <c r="NGP198" s="133"/>
      <c r="NGQ198" s="133"/>
      <c r="NGR198" s="133"/>
      <c r="NGS198" s="133"/>
      <c r="NGT198" s="133"/>
      <c r="NGU198" s="133"/>
      <c r="NGV198" s="133"/>
      <c r="NGW198" s="133"/>
      <c r="NGX198" s="133"/>
      <c r="NGY198" s="133"/>
      <c r="NGZ198" s="133"/>
      <c r="NHA198" s="133"/>
      <c r="NHB198" s="133"/>
      <c r="NHC198" s="133"/>
      <c r="NHD198" s="133"/>
      <c r="NHE198" s="133"/>
      <c r="NHF198" s="133"/>
      <c r="NHG198" s="133"/>
      <c r="NHH198" s="133"/>
      <c r="NHI198" s="133"/>
      <c r="NHJ198" s="133"/>
      <c r="NHK198" s="133"/>
      <c r="NHL198" s="133"/>
      <c r="NHM198" s="133"/>
      <c r="NHN198" s="133"/>
      <c r="NHO198" s="133"/>
      <c r="NHP198" s="133"/>
      <c r="NHQ198" s="133"/>
      <c r="NHR198" s="133"/>
      <c r="NHS198" s="133"/>
      <c r="NHT198" s="133"/>
      <c r="NHU198" s="133"/>
      <c r="NHV198" s="133"/>
      <c r="NHW198" s="133"/>
      <c r="NHX198" s="133"/>
      <c r="NHY198" s="133"/>
      <c r="NHZ198" s="133"/>
      <c r="NIA198" s="133"/>
      <c r="NIB198" s="133"/>
      <c r="NIC198" s="133"/>
      <c r="NID198" s="133"/>
      <c r="NIE198" s="133"/>
      <c r="NIF198" s="133"/>
      <c r="NIG198" s="133"/>
      <c r="NIH198" s="133"/>
      <c r="NII198" s="133"/>
      <c r="NIJ198" s="133"/>
      <c r="NIK198" s="133"/>
      <c r="NIL198" s="133"/>
      <c r="NIM198" s="133"/>
      <c r="NIN198" s="133"/>
      <c r="NIO198" s="133"/>
      <c r="NIP198" s="133"/>
      <c r="NIQ198" s="133"/>
      <c r="NIR198" s="133"/>
      <c r="NIS198" s="133"/>
      <c r="NIT198" s="133"/>
      <c r="NIU198" s="133"/>
      <c r="NIV198" s="133"/>
      <c r="NIW198" s="133"/>
      <c r="NIX198" s="133"/>
      <c r="NIY198" s="133"/>
      <c r="NIZ198" s="133"/>
      <c r="NJA198" s="133"/>
      <c r="NJB198" s="133"/>
      <c r="NJC198" s="133"/>
      <c r="NJD198" s="133"/>
      <c r="NJE198" s="133"/>
      <c r="NJF198" s="133"/>
      <c r="NJG198" s="133"/>
      <c r="NJH198" s="133"/>
      <c r="NJI198" s="133"/>
      <c r="NJJ198" s="133"/>
      <c r="NJK198" s="133"/>
      <c r="NJL198" s="133"/>
      <c r="NJM198" s="133"/>
      <c r="NJN198" s="133"/>
      <c r="NJO198" s="133"/>
      <c r="NJP198" s="133"/>
      <c r="NJQ198" s="133"/>
      <c r="NJR198" s="133"/>
      <c r="NJS198" s="133"/>
      <c r="NJT198" s="133"/>
      <c r="NJU198" s="133"/>
      <c r="NJV198" s="133"/>
      <c r="NJW198" s="133"/>
      <c r="NJX198" s="133"/>
      <c r="NJY198" s="133"/>
      <c r="NJZ198" s="133"/>
      <c r="NKA198" s="133"/>
      <c r="NKB198" s="133"/>
      <c r="NKC198" s="133"/>
      <c r="NKD198" s="133"/>
      <c r="NKE198" s="133"/>
      <c r="NKF198" s="133"/>
      <c r="NKG198" s="133"/>
      <c r="NKH198" s="133"/>
      <c r="NKI198" s="133"/>
      <c r="NKJ198" s="133"/>
      <c r="NKK198" s="133"/>
      <c r="NKL198" s="133"/>
      <c r="NKM198" s="133"/>
      <c r="NKN198" s="133"/>
      <c r="NKO198" s="133"/>
      <c r="NKP198" s="133"/>
      <c r="NKQ198" s="133"/>
      <c r="NKR198" s="133"/>
      <c r="NKS198" s="133"/>
      <c r="NKT198" s="133"/>
      <c r="NKU198" s="133"/>
      <c r="NKV198" s="133"/>
      <c r="NKW198" s="133"/>
      <c r="NKX198" s="133"/>
      <c r="NKY198" s="133"/>
      <c r="NKZ198" s="133"/>
      <c r="NLA198" s="133"/>
      <c r="NLB198" s="133"/>
      <c r="NLC198" s="133"/>
      <c r="NLD198" s="133"/>
      <c r="NLE198" s="133"/>
      <c r="NLF198" s="133"/>
      <c r="NLG198" s="133"/>
      <c r="NLH198" s="133"/>
      <c r="NLI198" s="133"/>
      <c r="NLJ198" s="133"/>
      <c r="NLK198" s="133"/>
      <c r="NLL198" s="133"/>
      <c r="NLM198" s="133"/>
      <c r="NLN198" s="133"/>
      <c r="NLO198" s="133"/>
      <c r="NLP198" s="133"/>
      <c r="NLQ198" s="133"/>
      <c r="NLR198" s="133"/>
      <c r="NLS198" s="133"/>
      <c r="NLT198" s="133"/>
      <c r="NLU198" s="133"/>
      <c r="NLV198" s="133"/>
      <c r="NLW198" s="133"/>
      <c r="NLX198" s="133"/>
      <c r="NLY198" s="133"/>
      <c r="NLZ198" s="133"/>
      <c r="NMA198" s="133"/>
      <c r="NMB198" s="133"/>
      <c r="NMC198" s="133"/>
      <c r="NMD198" s="133"/>
      <c r="NME198" s="133"/>
      <c r="NMF198" s="133"/>
      <c r="NMG198" s="133"/>
      <c r="NMH198" s="133"/>
      <c r="NMI198" s="133"/>
      <c r="NMJ198" s="133"/>
      <c r="NMK198" s="133"/>
      <c r="NML198" s="133"/>
      <c r="NMM198" s="133"/>
      <c r="NMN198" s="133"/>
      <c r="NMO198" s="133"/>
      <c r="NMP198" s="133"/>
      <c r="NMQ198" s="133"/>
      <c r="NMR198" s="133"/>
      <c r="NMS198" s="133"/>
      <c r="NMT198" s="133"/>
      <c r="NMU198" s="133"/>
      <c r="NMV198" s="133"/>
      <c r="NMW198" s="133"/>
      <c r="NMX198" s="133"/>
      <c r="NMY198" s="133"/>
      <c r="NMZ198" s="133"/>
      <c r="NNA198" s="133"/>
      <c r="NNB198" s="133"/>
      <c r="NNC198" s="133"/>
      <c r="NND198" s="133"/>
      <c r="NNE198" s="133"/>
      <c r="NNF198" s="133"/>
      <c r="NNG198" s="133"/>
      <c r="NNH198" s="133"/>
      <c r="NNI198" s="133"/>
      <c r="NNJ198" s="133"/>
      <c r="NNK198" s="133"/>
      <c r="NNL198" s="133"/>
      <c r="NNM198" s="133"/>
      <c r="NNN198" s="133"/>
      <c r="NNO198" s="133"/>
      <c r="NNP198" s="133"/>
      <c r="NNQ198" s="133"/>
      <c r="NNR198" s="133"/>
      <c r="NNS198" s="133"/>
      <c r="NNT198" s="133"/>
      <c r="NNU198" s="133"/>
      <c r="NNV198" s="133"/>
      <c r="NNW198" s="133"/>
      <c r="NNX198" s="133"/>
      <c r="NNY198" s="133"/>
      <c r="NNZ198" s="133"/>
      <c r="NOA198" s="133"/>
      <c r="NOB198" s="133"/>
      <c r="NOC198" s="133"/>
      <c r="NOD198" s="133"/>
      <c r="NOE198" s="133"/>
      <c r="NOF198" s="133"/>
      <c r="NOG198" s="133"/>
      <c r="NOH198" s="133"/>
      <c r="NOI198" s="133"/>
      <c r="NOJ198" s="133"/>
      <c r="NOK198" s="133"/>
      <c r="NOL198" s="133"/>
      <c r="NOM198" s="133"/>
      <c r="NON198" s="133"/>
      <c r="NOO198" s="133"/>
      <c r="NOP198" s="133"/>
      <c r="NOQ198" s="133"/>
      <c r="NOR198" s="133"/>
      <c r="NOS198" s="133"/>
      <c r="NOT198" s="133"/>
      <c r="NOU198" s="133"/>
      <c r="NOV198" s="133"/>
      <c r="NOW198" s="133"/>
      <c r="NOX198" s="133"/>
      <c r="NOY198" s="133"/>
      <c r="NOZ198" s="133"/>
      <c r="NPA198" s="133"/>
      <c r="NPB198" s="133"/>
      <c r="NPC198" s="133"/>
      <c r="NPD198" s="133"/>
      <c r="NPE198" s="133"/>
      <c r="NPF198" s="133"/>
      <c r="NPG198" s="133"/>
      <c r="NPH198" s="133"/>
      <c r="NPI198" s="133"/>
      <c r="NPJ198" s="133"/>
      <c r="NPK198" s="133"/>
      <c r="NPL198" s="133"/>
      <c r="NPM198" s="133"/>
      <c r="NPN198" s="133"/>
      <c r="NPO198" s="133"/>
      <c r="NPP198" s="133"/>
      <c r="NPQ198" s="133"/>
      <c r="NPR198" s="133"/>
      <c r="NPS198" s="133"/>
      <c r="NPT198" s="133"/>
      <c r="NPU198" s="133"/>
      <c r="NPV198" s="133"/>
      <c r="NPW198" s="133"/>
      <c r="NPX198" s="133"/>
      <c r="NPY198" s="133"/>
      <c r="NPZ198" s="133"/>
      <c r="NQA198" s="133"/>
      <c r="NQB198" s="133"/>
      <c r="NQC198" s="133"/>
      <c r="NQD198" s="133"/>
      <c r="NQE198" s="133"/>
      <c r="NQF198" s="133"/>
      <c r="NQG198" s="133"/>
      <c r="NQH198" s="133"/>
      <c r="NQI198" s="133"/>
      <c r="NQJ198" s="133"/>
      <c r="NQK198" s="133"/>
      <c r="NQL198" s="133"/>
      <c r="NQM198" s="133"/>
      <c r="NQN198" s="133"/>
      <c r="NQO198" s="133"/>
      <c r="NQP198" s="133"/>
      <c r="NQQ198" s="133"/>
      <c r="NQR198" s="133"/>
      <c r="NQS198" s="133"/>
      <c r="NQT198" s="133"/>
      <c r="NQU198" s="133"/>
      <c r="NQV198" s="133"/>
      <c r="NQW198" s="133"/>
      <c r="NQX198" s="133"/>
      <c r="NQY198" s="133"/>
      <c r="NQZ198" s="133"/>
      <c r="NRA198" s="133"/>
      <c r="NRB198" s="133"/>
      <c r="NRC198" s="133"/>
      <c r="NRD198" s="133"/>
      <c r="NRE198" s="133"/>
      <c r="NRF198" s="133"/>
      <c r="NRG198" s="133"/>
      <c r="NRH198" s="133"/>
      <c r="NRI198" s="133"/>
      <c r="NRJ198" s="133"/>
      <c r="NRK198" s="133"/>
      <c r="NRL198" s="133"/>
      <c r="NRM198" s="133"/>
      <c r="NRN198" s="133"/>
      <c r="NRO198" s="133"/>
      <c r="NRP198" s="133"/>
      <c r="NRQ198" s="133"/>
      <c r="NRR198" s="133"/>
      <c r="NRS198" s="133"/>
      <c r="NRT198" s="133"/>
      <c r="NRU198" s="133"/>
      <c r="NRV198" s="133"/>
      <c r="NRW198" s="133"/>
      <c r="NRX198" s="133"/>
      <c r="NRY198" s="133"/>
      <c r="NRZ198" s="133"/>
      <c r="NSA198" s="133"/>
      <c r="NSB198" s="133"/>
      <c r="NSC198" s="133"/>
      <c r="NSD198" s="133"/>
      <c r="NSE198" s="133"/>
      <c r="NSF198" s="133"/>
      <c r="NSG198" s="133"/>
      <c r="NSH198" s="133"/>
      <c r="NSI198" s="133"/>
      <c r="NSJ198" s="133"/>
      <c r="NSK198" s="133"/>
      <c r="NSL198" s="133"/>
      <c r="NSM198" s="133"/>
      <c r="NSN198" s="133"/>
      <c r="NSO198" s="133"/>
      <c r="NSP198" s="133"/>
      <c r="NSQ198" s="133"/>
      <c r="NSR198" s="133"/>
      <c r="NSS198" s="133"/>
      <c r="NST198" s="133"/>
      <c r="NSU198" s="133"/>
      <c r="NSV198" s="133"/>
      <c r="NSW198" s="133"/>
      <c r="NSX198" s="133"/>
      <c r="NSY198" s="133"/>
      <c r="NSZ198" s="133"/>
      <c r="NTA198" s="133"/>
      <c r="NTB198" s="133"/>
      <c r="NTC198" s="133"/>
      <c r="NTD198" s="133"/>
      <c r="NTE198" s="133"/>
      <c r="NTF198" s="133"/>
      <c r="NTG198" s="133"/>
      <c r="NTH198" s="133"/>
      <c r="NTI198" s="133"/>
      <c r="NTJ198" s="133"/>
      <c r="NTK198" s="133"/>
      <c r="NTL198" s="133"/>
      <c r="NTM198" s="133"/>
      <c r="NTN198" s="133"/>
      <c r="NTO198" s="133"/>
      <c r="NTP198" s="133"/>
      <c r="NTQ198" s="133"/>
      <c r="NTR198" s="133"/>
      <c r="NTS198" s="133"/>
      <c r="NTT198" s="133"/>
      <c r="NTU198" s="133"/>
      <c r="NTV198" s="133"/>
      <c r="NTW198" s="133"/>
      <c r="NTX198" s="133"/>
      <c r="NTY198" s="133"/>
      <c r="NTZ198" s="133"/>
      <c r="NUA198" s="133"/>
      <c r="NUB198" s="133"/>
      <c r="NUC198" s="133"/>
      <c r="NUD198" s="133"/>
      <c r="NUE198" s="133"/>
      <c r="NUF198" s="133"/>
      <c r="NUG198" s="133"/>
      <c r="NUH198" s="133"/>
      <c r="NUI198" s="133"/>
      <c r="NUJ198" s="133"/>
      <c r="NUK198" s="133"/>
      <c r="NUL198" s="133"/>
      <c r="NUM198" s="133"/>
      <c r="NUN198" s="133"/>
      <c r="NUO198" s="133"/>
      <c r="NUP198" s="133"/>
      <c r="NUQ198" s="133"/>
      <c r="NUR198" s="133"/>
      <c r="NUS198" s="133"/>
      <c r="NUT198" s="133"/>
      <c r="NUU198" s="133"/>
      <c r="NUV198" s="133"/>
      <c r="NUW198" s="133"/>
      <c r="NUX198" s="133"/>
      <c r="NUY198" s="133"/>
      <c r="NUZ198" s="133"/>
      <c r="NVA198" s="133"/>
      <c r="NVB198" s="133"/>
      <c r="NVC198" s="133"/>
      <c r="NVD198" s="133"/>
      <c r="NVE198" s="133"/>
      <c r="NVF198" s="133"/>
      <c r="NVG198" s="133"/>
      <c r="NVH198" s="133"/>
      <c r="NVI198" s="133"/>
      <c r="NVJ198" s="133"/>
      <c r="NVK198" s="133"/>
      <c r="NVL198" s="133"/>
      <c r="NVM198" s="133"/>
      <c r="NVN198" s="133"/>
      <c r="NVO198" s="133"/>
      <c r="NVP198" s="133"/>
      <c r="NVQ198" s="133"/>
      <c r="NVR198" s="133"/>
      <c r="NVS198" s="133"/>
      <c r="NVT198" s="133"/>
      <c r="NVU198" s="133"/>
      <c r="NVV198" s="133"/>
      <c r="NVW198" s="133"/>
      <c r="NVX198" s="133"/>
      <c r="NVY198" s="133"/>
      <c r="NVZ198" s="133"/>
      <c r="NWA198" s="133"/>
      <c r="NWB198" s="133"/>
      <c r="NWC198" s="133"/>
      <c r="NWD198" s="133"/>
      <c r="NWE198" s="133"/>
      <c r="NWF198" s="133"/>
      <c r="NWG198" s="133"/>
      <c r="NWH198" s="133"/>
      <c r="NWI198" s="133"/>
      <c r="NWJ198" s="133"/>
      <c r="NWK198" s="133"/>
      <c r="NWL198" s="133"/>
      <c r="NWM198" s="133"/>
      <c r="NWN198" s="133"/>
      <c r="NWO198" s="133"/>
      <c r="NWP198" s="133"/>
      <c r="NWQ198" s="133"/>
      <c r="NWR198" s="133"/>
      <c r="NWS198" s="133"/>
      <c r="NWT198" s="133"/>
      <c r="NWU198" s="133"/>
      <c r="NWV198" s="133"/>
      <c r="NWW198" s="133"/>
      <c r="NWX198" s="133"/>
      <c r="NWY198" s="133"/>
      <c r="NWZ198" s="133"/>
      <c r="NXA198" s="133"/>
      <c r="NXB198" s="133"/>
      <c r="NXC198" s="133"/>
      <c r="NXD198" s="133"/>
      <c r="NXE198" s="133"/>
      <c r="NXF198" s="133"/>
      <c r="NXG198" s="133"/>
      <c r="NXH198" s="133"/>
      <c r="NXI198" s="133"/>
      <c r="NXJ198" s="133"/>
      <c r="NXK198" s="133"/>
      <c r="NXL198" s="133"/>
      <c r="NXM198" s="133"/>
      <c r="NXN198" s="133"/>
      <c r="NXO198" s="133"/>
      <c r="NXP198" s="133"/>
      <c r="NXQ198" s="133"/>
      <c r="NXR198" s="133"/>
      <c r="NXS198" s="133"/>
      <c r="NXT198" s="133"/>
      <c r="NXU198" s="133"/>
      <c r="NXV198" s="133"/>
      <c r="NXW198" s="133"/>
      <c r="NXX198" s="133"/>
      <c r="NXY198" s="133"/>
      <c r="NXZ198" s="133"/>
      <c r="NYA198" s="133"/>
      <c r="NYB198" s="133"/>
      <c r="NYC198" s="133"/>
      <c r="NYD198" s="133"/>
      <c r="NYE198" s="133"/>
      <c r="NYF198" s="133"/>
      <c r="NYG198" s="133"/>
      <c r="NYH198" s="133"/>
      <c r="NYI198" s="133"/>
      <c r="NYJ198" s="133"/>
      <c r="NYK198" s="133"/>
      <c r="NYL198" s="133"/>
      <c r="NYM198" s="133"/>
      <c r="NYN198" s="133"/>
      <c r="NYO198" s="133"/>
      <c r="NYP198" s="133"/>
      <c r="NYQ198" s="133"/>
      <c r="NYR198" s="133"/>
      <c r="NYS198" s="133"/>
      <c r="NYT198" s="133"/>
      <c r="NYU198" s="133"/>
      <c r="NYV198" s="133"/>
      <c r="NYW198" s="133"/>
      <c r="NYX198" s="133"/>
      <c r="NYY198" s="133"/>
      <c r="NYZ198" s="133"/>
      <c r="NZA198" s="133"/>
      <c r="NZB198" s="133"/>
      <c r="NZC198" s="133"/>
      <c r="NZD198" s="133"/>
      <c r="NZE198" s="133"/>
      <c r="NZF198" s="133"/>
      <c r="NZG198" s="133"/>
      <c r="NZH198" s="133"/>
      <c r="NZI198" s="133"/>
      <c r="NZJ198" s="133"/>
      <c r="NZK198" s="133"/>
      <c r="NZL198" s="133"/>
      <c r="NZM198" s="133"/>
      <c r="NZN198" s="133"/>
      <c r="NZO198" s="133"/>
      <c r="NZP198" s="133"/>
      <c r="NZQ198" s="133"/>
      <c r="NZR198" s="133"/>
      <c r="NZS198" s="133"/>
      <c r="NZT198" s="133"/>
      <c r="NZU198" s="133"/>
      <c r="NZV198" s="133"/>
      <c r="NZW198" s="133"/>
      <c r="NZX198" s="133"/>
      <c r="NZY198" s="133"/>
      <c r="NZZ198" s="133"/>
      <c r="OAA198" s="133"/>
      <c r="OAB198" s="133"/>
      <c r="OAC198" s="133"/>
      <c r="OAD198" s="133"/>
      <c r="OAE198" s="133"/>
      <c r="OAF198" s="133"/>
      <c r="OAG198" s="133"/>
      <c r="OAH198" s="133"/>
      <c r="OAI198" s="133"/>
      <c r="OAJ198" s="133"/>
      <c r="OAK198" s="133"/>
      <c r="OAL198" s="133"/>
      <c r="OAM198" s="133"/>
      <c r="OAN198" s="133"/>
      <c r="OAO198" s="133"/>
      <c r="OAP198" s="133"/>
      <c r="OAQ198" s="133"/>
      <c r="OAR198" s="133"/>
      <c r="OAS198" s="133"/>
      <c r="OAT198" s="133"/>
      <c r="OAU198" s="133"/>
      <c r="OAV198" s="133"/>
      <c r="OAW198" s="133"/>
      <c r="OAX198" s="133"/>
      <c r="OAY198" s="133"/>
      <c r="OAZ198" s="133"/>
      <c r="OBA198" s="133"/>
      <c r="OBB198" s="133"/>
      <c r="OBC198" s="133"/>
      <c r="OBD198" s="133"/>
      <c r="OBE198" s="133"/>
      <c r="OBF198" s="133"/>
      <c r="OBG198" s="133"/>
      <c r="OBH198" s="133"/>
      <c r="OBI198" s="133"/>
      <c r="OBJ198" s="133"/>
      <c r="OBK198" s="133"/>
      <c r="OBL198" s="133"/>
      <c r="OBM198" s="133"/>
      <c r="OBN198" s="133"/>
      <c r="OBO198" s="133"/>
      <c r="OBP198" s="133"/>
      <c r="OBQ198" s="133"/>
      <c r="OBR198" s="133"/>
      <c r="OBS198" s="133"/>
      <c r="OBT198" s="133"/>
      <c r="OBU198" s="133"/>
      <c r="OBV198" s="133"/>
      <c r="OBW198" s="133"/>
      <c r="OBX198" s="133"/>
      <c r="OBY198" s="133"/>
      <c r="OBZ198" s="133"/>
      <c r="OCA198" s="133"/>
      <c r="OCB198" s="133"/>
      <c r="OCC198" s="133"/>
      <c r="OCD198" s="133"/>
      <c r="OCE198" s="133"/>
      <c r="OCF198" s="133"/>
      <c r="OCG198" s="133"/>
      <c r="OCH198" s="133"/>
      <c r="OCI198" s="133"/>
      <c r="OCJ198" s="133"/>
      <c r="OCK198" s="133"/>
      <c r="OCL198" s="133"/>
      <c r="OCM198" s="133"/>
      <c r="OCN198" s="133"/>
      <c r="OCO198" s="133"/>
      <c r="OCP198" s="133"/>
      <c r="OCQ198" s="133"/>
      <c r="OCR198" s="133"/>
      <c r="OCS198" s="133"/>
      <c r="OCT198" s="133"/>
      <c r="OCU198" s="133"/>
      <c r="OCV198" s="133"/>
      <c r="OCW198" s="133"/>
      <c r="OCX198" s="133"/>
      <c r="OCY198" s="133"/>
      <c r="OCZ198" s="133"/>
      <c r="ODA198" s="133"/>
      <c r="ODB198" s="133"/>
      <c r="ODC198" s="133"/>
      <c r="ODD198" s="133"/>
      <c r="ODE198" s="133"/>
      <c r="ODF198" s="133"/>
      <c r="ODG198" s="133"/>
      <c r="ODH198" s="133"/>
      <c r="ODI198" s="133"/>
      <c r="ODJ198" s="133"/>
      <c r="ODK198" s="133"/>
      <c r="ODL198" s="133"/>
      <c r="ODM198" s="133"/>
      <c r="ODN198" s="133"/>
      <c r="ODO198" s="133"/>
      <c r="ODP198" s="133"/>
      <c r="ODQ198" s="133"/>
      <c r="ODR198" s="133"/>
      <c r="ODS198" s="133"/>
      <c r="ODT198" s="133"/>
      <c r="ODU198" s="133"/>
      <c r="ODV198" s="133"/>
      <c r="ODW198" s="133"/>
      <c r="ODX198" s="133"/>
      <c r="ODY198" s="133"/>
      <c r="ODZ198" s="133"/>
      <c r="OEA198" s="133"/>
      <c r="OEB198" s="133"/>
      <c r="OEC198" s="133"/>
      <c r="OED198" s="133"/>
      <c r="OEE198" s="133"/>
      <c r="OEF198" s="133"/>
      <c r="OEG198" s="133"/>
      <c r="OEH198" s="133"/>
      <c r="OEI198" s="133"/>
      <c r="OEJ198" s="133"/>
      <c r="OEK198" s="133"/>
      <c r="OEL198" s="133"/>
      <c r="OEM198" s="133"/>
      <c r="OEN198" s="133"/>
      <c r="OEO198" s="133"/>
      <c r="OEP198" s="133"/>
      <c r="OEQ198" s="133"/>
      <c r="OER198" s="133"/>
      <c r="OES198" s="133"/>
      <c r="OET198" s="133"/>
      <c r="OEU198" s="133"/>
      <c r="OEV198" s="133"/>
      <c r="OEW198" s="133"/>
      <c r="OEX198" s="133"/>
      <c r="OEY198" s="133"/>
      <c r="OEZ198" s="133"/>
      <c r="OFA198" s="133"/>
      <c r="OFB198" s="133"/>
      <c r="OFC198" s="133"/>
      <c r="OFD198" s="133"/>
      <c r="OFE198" s="133"/>
      <c r="OFF198" s="133"/>
      <c r="OFG198" s="133"/>
      <c r="OFH198" s="133"/>
      <c r="OFI198" s="133"/>
      <c r="OFJ198" s="133"/>
      <c r="OFK198" s="133"/>
      <c r="OFL198" s="133"/>
      <c r="OFM198" s="133"/>
      <c r="OFN198" s="133"/>
      <c r="OFO198" s="133"/>
      <c r="OFP198" s="133"/>
      <c r="OFQ198" s="133"/>
      <c r="OFR198" s="133"/>
      <c r="OFS198" s="133"/>
      <c r="OFT198" s="133"/>
      <c r="OFU198" s="133"/>
      <c r="OFV198" s="133"/>
      <c r="OFW198" s="133"/>
      <c r="OFX198" s="133"/>
      <c r="OFY198" s="133"/>
      <c r="OFZ198" s="133"/>
      <c r="OGA198" s="133"/>
      <c r="OGB198" s="133"/>
      <c r="OGC198" s="133"/>
      <c r="OGD198" s="133"/>
      <c r="OGE198" s="133"/>
      <c r="OGF198" s="133"/>
      <c r="OGG198" s="133"/>
      <c r="OGH198" s="133"/>
      <c r="OGI198" s="133"/>
      <c r="OGJ198" s="133"/>
      <c r="OGK198" s="133"/>
      <c r="OGL198" s="133"/>
      <c r="OGM198" s="133"/>
      <c r="OGN198" s="133"/>
      <c r="OGO198" s="133"/>
      <c r="OGP198" s="133"/>
      <c r="OGQ198" s="133"/>
      <c r="OGR198" s="133"/>
      <c r="OGS198" s="133"/>
      <c r="OGT198" s="133"/>
      <c r="OGU198" s="133"/>
      <c r="OGV198" s="133"/>
      <c r="OGW198" s="133"/>
      <c r="OGX198" s="133"/>
      <c r="OGY198" s="133"/>
      <c r="OGZ198" s="133"/>
      <c r="OHA198" s="133"/>
      <c r="OHB198" s="133"/>
      <c r="OHC198" s="133"/>
      <c r="OHD198" s="133"/>
      <c r="OHE198" s="133"/>
      <c r="OHF198" s="133"/>
      <c r="OHG198" s="133"/>
      <c r="OHH198" s="133"/>
      <c r="OHI198" s="133"/>
      <c r="OHJ198" s="133"/>
      <c r="OHK198" s="133"/>
      <c r="OHL198" s="133"/>
      <c r="OHM198" s="133"/>
      <c r="OHN198" s="133"/>
      <c r="OHO198" s="133"/>
      <c r="OHP198" s="133"/>
      <c r="OHQ198" s="133"/>
      <c r="OHR198" s="133"/>
      <c r="OHS198" s="133"/>
      <c r="OHT198" s="133"/>
      <c r="OHU198" s="133"/>
      <c r="OHV198" s="133"/>
      <c r="OHW198" s="133"/>
      <c r="OHX198" s="133"/>
      <c r="OHY198" s="133"/>
      <c r="OHZ198" s="133"/>
      <c r="OIA198" s="133"/>
      <c r="OIB198" s="133"/>
      <c r="OIC198" s="133"/>
      <c r="OID198" s="133"/>
      <c r="OIE198" s="133"/>
      <c r="OIF198" s="133"/>
      <c r="OIG198" s="133"/>
      <c r="OIH198" s="133"/>
      <c r="OII198" s="133"/>
      <c r="OIJ198" s="133"/>
      <c r="OIK198" s="133"/>
      <c r="OIL198" s="133"/>
      <c r="OIM198" s="133"/>
      <c r="OIN198" s="133"/>
      <c r="OIO198" s="133"/>
      <c r="OIP198" s="133"/>
      <c r="OIQ198" s="133"/>
      <c r="OIR198" s="133"/>
      <c r="OIS198" s="133"/>
      <c r="OIT198" s="133"/>
      <c r="OIU198" s="133"/>
      <c r="OIV198" s="133"/>
      <c r="OIW198" s="133"/>
      <c r="OIX198" s="133"/>
      <c r="OIY198" s="133"/>
      <c r="OIZ198" s="133"/>
      <c r="OJA198" s="133"/>
      <c r="OJB198" s="133"/>
      <c r="OJC198" s="133"/>
      <c r="OJD198" s="133"/>
      <c r="OJE198" s="133"/>
      <c r="OJF198" s="133"/>
      <c r="OJG198" s="133"/>
      <c r="OJH198" s="133"/>
      <c r="OJI198" s="133"/>
      <c r="OJJ198" s="133"/>
      <c r="OJK198" s="133"/>
      <c r="OJL198" s="133"/>
      <c r="OJM198" s="133"/>
      <c r="OJN198" s="133"/>
      <c r="OJO198" s="133"/>
      <c r="OJP198" s="133"/>
      <c r="OJQ198" s="133"/>
      <c r="OJR198" s="133"/>
      <c r="OJS198" s="133"/>
      <c r="OJT198" s="133"/>
      <c r="OJU198" s="133"/>
      <c r="OJV198" s="133"/>
      <c r="OJW198" s="133"/>
      <c r="OJX198" s="133"/>
      <c r="OJY198" s="133"/>
      <c r="OJZ198" s="133"/>
      <c r="OKA198" s="133"/>
      <c r="OKB198" s="133"/>
      <c r="OKC198" s="133"/>
      <c r="OKD198" s="133"/>
      <c r="OKE198" s="133"/>
      <c r="OKF198" s="133"/>
      <c r="OKG198" s="133"/>
      <c r="OKH198" s="133"/>
      <c r="OKI198" s="133"/>
      <c r="OKJ198" s="133"/>
      <c r="OKK198" s="133"/>
      <c r="OKL198" s="133"/>
      <c r="OKM198" s="133"/>
      <c r="OKN198" s="133"/>
      <c r="OKO198" s="133"/>
      <c r="OKP198" s="133"/>
      <c r="OKQ198" s="133"/>
      <c r="OKR198" s="133"/>
      <c r="OKS198" s="133"/>
      <c r="OKT198" s="133"/>
      <c r="OKU198" s="133"/>
      <c r="OKV198" s="133"/>
      <c r="OKW198" s="133"/>
      <c r="OKX198" s="133"/>
      <c r="OKY198" s="133"/>
      <c r="OKZ198" s="133"/>
      <c r="OLA198" s="133"/>
      <c r="OLB198" s="133"/>
      <c r="OLC198" s="133"/>
      <c r="OLD198" s="133"/>
      <c r="OLE198" s="133"/>
      <c r="OLF198" s="133"/>
      <c r="OLG198" s="133"/>
      <c r="OLH198" s="133"/>
      <c r="OLI198" s="133"/>
      <c r="OLJ198" s="133"/>
      <c r="OLK198" s="133"/>
      <c r="OLL198" s="133"/>
      <c r="OLM198" s="133"/>
      <c r="OLN198" s="133"/>
      <c r="OLO198" s="133"/>
      <c r="OLP198" s="133"/>
      <c r="OLQ198" s="133"/>
      <c r="OLR198" s="133"/>
      <c r="OLS198" s="133"/>
      <c r="OLT198" s="133"/>
      <c r="OLU198" s="133"/>
      <c r="OLV198" s="133"/>
      <c r="OLW198" s="133"/>
      <c r="OLX198" s="133"/>
      <c r="OLY198" s="133"/>
      <c r="OLZ198" s="133"/>
      <c r="OMA198" s="133"/>
      <c r="OMB198" s="133"/>
      <c r="OMC198" s="133"/>
      <c r="OMD198" s="133"/>
      <c r="OME198" s="133"/>
      <c r="OMF198" s="133"/>
      <c r="OMG198" s="133"/>
      <c r="OMH198" s="133"/>
      <c r="OMI198" s="133"/>
      <c r="OMJ198" s="133"/>
      <c r="OMK198" s="133"/>
      <c r="OML198" s="133"/>
      <c r="OMM198" s="133"/>
      <c r="OMN198" s="133"/>
      <c r="OMO198" s="133"/>
      <c r="OMP198" s="133"/>
      <c r="OMQ198" s="133"/>
      <c r="OMR198" s="133"/>
      <c r="OMS198" s="133"/>
      <c r="OMT198" s="133"/>
      <c r="OMU198" s="133"/>
      <c r="OMV198" s="133"/>
      <c r="OMW198" s="133"/>
      <c r="OMX198" s="133"/>
      <c r="OMY198" s="133"/>
      <c r="OMZ198" s="133"/>
      <c r="ONA198" s="133"/>
      <c r="ONB198" s="133"/>
      <c r="ONC198" s="133"/>
      <c r="OND198" s="133"/>
      <c r="ONE198" s="133"/>
      <c r="ONF198" s="133"/>
      <c r="ONG198" s="133"/>
      <c r="ONH198" s="133"/>
      <c r="ONI198" s="133"/>
      <c r="ONJ198" s="133"/>
      <c r="ONK198" s="133"/>
      <c r="ONL198" s="133"/>
      <c r="ONM198" s="133"/>
      <c r="ONN198" s="133"/>
      <c r="ONO198" s="133"/>
      <c r="ONP198" s="133"/>
      <c r="ONQ198" s="133"/>
      <c r="ONR198" s="133"/>
      <c r="ONS198" s="133"/>
      <c r="ONT198" s="133"/>
      <c r="ONU198" s="133"/>
      <c r="ONV198" s="133"/>
      <c r="ONW198" s="133"/>
      <c r="ONX198" s="133"/>
      <c r="ONY198" s="133"/>
      <c r="ONZ198" s="133"/>
      <c r="OOA198" s="133"/>
      <c r="OOB198" s="133"/>
      <c r="OOC198" s="133"/>
      <c r="OOD198" s="133"/>
      <c r="OOE198" s="133"/>
      <c r="OOF198" s="133"/>
      <c r="OOG198" s="133"/>
      <c r="OOH198" s="133"/>
      <c r="OOI198" s="133"/>
      <c r="OOJ198" s="133"/>
      <c r="OOK198" s="133"/>
      <c r="OOL198" s="133"/>
      <c r="OOM198" s="133"/>
      <c r="OON198" s="133"/>
      <c r="OOO198" s="133"/>
      <c r="OOP198" s="133"/>
      <c r="OOQ198" s="133"/>
      <c r="OOR198" s="133"/>
      <c r="OOS198" s="133"/>
      <c r="OOT198" s="133"/>
      <c r="OOU198" s="133"/>
      <c r="OOV198" s="133"/>
      <c r="OOW198" s="133"/>
      <c r="OOX198" s="133"/>
      <c r="OOY198" s="133"/>
      <c r="OOZ198" s="133"/>
      <c r="OPA198" s="133"/>
      <c r="OPB198" s="133"/>
      <c r="OPC198" s="133"/>
      <c r="OPD198" s="133"/>
      <c r="OPE198" s="133"/>
      <c r="OPF198" s="133"/>
      <c r="OPG198" s="133"/>
      <c r="OPH198" s="133"/>
      <c r="OPI198" s="133"/>
      <c r="OPJ198" s="133"/>
      <c r="OPK198" s="133"/>
      <c r="OPL198" s="133"/>
      <c r="OPM198" s="133"/>
      <c r="OPN198" s="133"/>
      <c r="OPO198" s="133"/>
      <c r="OPP198" s="133"/>
      <c r="OPQ198" s="133"/>
      <c r="OPR198" s="133"/>
      <c r="OPS198" s="133"/>
      <c r="OPT198" s="133"/>
      <c r="OPU198" s="133"/>
      <c r="OPV198" s="133"/>
      <c r="OPW198" s="133"/>
      <c r="OPX198" s="133"/>
      <c r="OPY198" s="133"/>
      <c r="OPZ198" s="133"/>
      <c r="OQA198" s="133"/>
      <c r="OQB198" s="133"/>
      <c r="OQC198" s="133"/>
      <c r="OQD198" s="133"/>
      <c r="OQE198" s="133"/>
      <c r="OQF198" s="133"/>
      <c r="OQG198" s="133"/>
      <c r="OQH198" s="133"/>
      <c r="OQI198" s="133"/>
      <c r="OQJ198" s="133"/>
      <c r="OQK198" s="133"/>
      <c r="OQL198" s="133"/>
      <c r="OQM198" s="133"/>
      <c r="OQN198" s="133"/>
      <c r="OQO198" s="133"/>
      <c r="OQP198" s="133"/>
      <c r="OQQ198" s="133"/>
      <c r="OQR198" s="133"/>
      <c r="OQS198" s="133"/>
      <c r="OQT198" s="133"/>
      <c r="OQU198" s="133"/>
      <c r="OQV198" s="133"/>
      <c r="OQW198" s="133"/>
      <c r="OQX198" s="133"/>
      <c r="OQY198" s="133"/>
      <c r="OQZ198" s="133"/>
      <c r="ORA198" s="133"/>
      <c r="ORB198" s="133"/>
      <c r="ORC198" s="133"/>
      <c r="ORD198" s="133"/>
      <c r="ORE198" s="133"/>
      <c r="ORF198" s="133"/>
      <c r="ORG198" s="133"/>
      <c r="ORH198" s="133"/>
      <c r="ORI198" s="133"/>
      <c r="ORJ198" s="133"/>
      <c r="ORK198" s="133"/>
      <c r="ORL198" s="133"/>
      <c r="ORM198" s="133"/>
      <c r="ORN198" s="133"/>
      <c r="ORO198" s="133"/>
      <c r="ORP198" s="133"/>
      <c r="ORQ198" s="133"/>
      <c r="ORR198" s="133"/>
      <c r="ORS198" s="133"/>
      <c r="ORT198" s="133"/>
      <c r="ORU198" s="133"/>
      <c r="ORV198" s="133"/>
      <c r="ORW198" s="133"/>
      <c r="ORX198" s="133"/>
      <c r="ORY198" s="133"/>
      <c r="ORZ198" s="133"/>
      <c r="OSA198" s="133"/>
      <c r="OSB198" s="133"/>
      <c r="OSC198" s="133"/>
      <c r="OSD198" s="133"/>
      <c r="OSE198" s="133"/>
      <c r="OSF198" s="133"/>
      <c r="OSG198" s="133"/>
      <c r="OSH198" s="133"/>
      <c r="OSI198" s="133"/>
      <c r="OSJ198" s="133"/>
      <c r="OSK198" s="133"/>
      <c r="OSL198" s="133"/>
      <c r="OSM198" s="133"/>
      <c r="OSN198" s="133"/>
      <c r="OSO198" s="133"/>
      <c r="OSP198" s="133"/>
      <c r="OSQ198" s="133"/>
      <c r="OSR198" s="133"/>
      <c r="OSS198" s="133"/>
      <c r="OST198" s="133"/>
      <c r="OSU198" s="133"/>
      <c r="OSV198" s="133"/>
      <c r="OSW198" s="133"/>
      <c r="OSX198" s="133"/>
      <c r="OSY198" s="133"/>
      <c r="OSZ198" s="133"/>
      <c r="OTA198" s="133"/>
      <c r="OTB198" s="133"/>
      <c r="OTC198" s="133"/>
      <c r="OTD198" s="133"/>
      <c r="OTE198" s="133"/>
      <c r="OTF198" s="133"/>
      <c r="OTG198" s="133"/>
      <c r="OTH198" s="133"/>
      <c r="OTI198" s="133"/>
      <c r="OTJ198" s="133"/>
      <c r="OTK198" s="133"/>
      <c r="OTL198" s="133"/>
      <c r="OTM198" s="133"/>
      <c r="OTN198" s="133"/>
      <c r="OTO198" s="133"/>
      <c r="OTP198" s="133"/>
      <c r="OTQ198" s="133"/>
      <c r="OTR198" s="133"/>
      <c r="OTS198" s="133"/>
      <c r="OTT198" s="133"/>
      <c r="OTU198" s="133"/>
      <c r="OTV198" s="133"/>
      <c r="OTW198" s="133"/>
      <c r="OTX198" s="133"/>
      <c r="OTY198" s="133"/>
      <c r="OTZ198" s="133"/>
      <c r="OUA198" s="133"/>
      <c r="OUB198" s="133"/>
      <c r="OUC198" s="133"/>
      <c r="OUD198" s="133"/>
      <c r="OUE198" s="133"/>
      <c r="OUF198" s="133"/>
      <c r="OUG198" s="133"/>
      <c r="OUH198" s="133"/>
      <c r="OUI198" s="133"/>
      <c r="OUJ198" s="133"/>
      <c r="OUK198" s="133"/>
      <c r="OUL198" s="133"/>
      <c r="OUM198" s="133"/>
      <c r="OUN198" s="133"/>
      <c r="OUO198" s="133"/>
      <c r="OUP198" s="133"/>
      <c r="OUQ198" s="133"/>
      <c r="OUR198" s="133"/>
      <c r="OUS198" s="133"/>
      <c r="OUT198" s="133"/>
      <c r="OUU198" s="133"/>
      <c r="OUV198" s="133"/>
      <c r="OUW198" s="133"/>
      <c r="OUX198" s="133"/>
      <c r="OUY198" s="133"/>
      <c r="OUZ198" s="133"/>
      <c r="OVA198" s="133"/>
      <c r="OVB198" s="133"/>
      <c r="OVC198" s="133"/>
      <c r="OVD198" s="133"/>
      <c r="OVE198" s="133"/>
      <c r="OVF198" s="133"/>
      <c r="OVG198" s="133"/>
      <c r="OVH198" s="133"/>
      <c r="OVI198" s="133"/>
      <c r="OVJ198" s="133"/>
      <c r="OVK198" s="133"/>
      <c r="OVL198" s="133"/>
      <c r="OVM198" s="133"/>
      <c r="OVN198" s="133"/>
      <c r="OVO198" s="133"/>
      <c r="OVP198" s="133"/>
      <c r="OVQ198" s="133"/>
      <c r="OVR198" s="133"/>
      <c r="OVS198" s="133"/>
      <c r="OVT198" s="133"/>
      <c r="OVU198" s="133"/>
      <c r="OVV198" s="133"/>
      <c r="OVW198" s="133"/>
      <c r="OVX198" s="133"/>
      <c r="OVY198" s="133"/>
      <c r="OVZ198" s="133"/>
      <c r="OWA198" s="133"/>
      <c r="OWB198" s="133"/>
      <c r="OWC198" s="133"/>
      <c r="OWD198" s="133"/>
      <c r="OWE198" s="133"/>
      <c r="OWF198" s="133"/>
      <c r="OWG198" s="133"/>
      <c r="OWH198" s="133"/>
      <c r="OWI198" s="133"/>
      <c r="OWJ198" s="133"/>
      <c r="OWK198" s="133"/>
      <c r="OWL198" s="133"/>
      <c r="OWM198" s="133"/>
      <c r="OWN198" s="133"/>
      <c r="OWO198" s="133"/>
      <c r="OWP198" s="133"/>
      <c r="OWQ198" s="133"/>
      <c r="OWR198" s="133"/>
      <c r="OWS198" s="133"/>
      <c r="OWT198" s="133"/>
      <c r="OWU198" s="133"/>
      <c r="OWV198" s="133"/>
      <c r="OWW198" s="133"/>
      <c r="OWX198" s="133"/>
      <c r="OWY198" s="133"/>
      <c r="OWZ198" s="133"/>
      <c r="OXA198" s="133"/>
      <c r="OXB198" s="133"/>
      <c r="OXC198" s="133"/>
      <c r="OXD198" s="133"/>
      <c r="OXE198" s="133"/>
      <c r="OXF198" s="133"/>
      <c r="OXG198" s="133"/>
      <c r="OXH198" s="133"/>
      <c r="OXI198" s="133"/>
      <c r="OXJ198" s="133"/>
      <c r="OXK198" s="133"/>
      <c r="OXL198" s="133"/>
      <c r="OXM198" s="133"/>
      <c r="OXN198" s="133"/>
      <c r="OXO198" s="133"/>
      <c r="OXP198" s="133"/>
      <c r="OXQ198" s="133"/>
      <c r="OXR198" s="133"/>
      <c r="OXS198" s="133"/>
      <c r="OXT198" s="133"/>
      <c r="OXU198" s="133"/>
      <c r="OXV198" s="133"/>
      <c r="OXW198" s="133"/>
      <c r="OXX198" s="133"/>
      <c r="OXY198" s="133"/>
      <c r="OXZ198" s="133"/>
      <c r="OYA198" s="133"/>
      <c r="OYB198" s="133"/>
      <c r="OYC198" s="133"/>
      <c r="OYD198" s="133"/>
      <c r="OYE198" s="133"/>
      <c r="OYF198" s="133"/>
      <c r="OYG198" s="133"/>
      <c r="OYH198" s="133"/>
      <c r="OYI198" s="133"/>
      <c r="OYJ198" s="133"/>
      <c r="OYK198" s="133"/>
      <c r="OYL198" s="133"/>
      <c r="OYM198" s="133"/>
      <c r="OYN198" s="133"/>
      <c r="OYO198" s="133"/>
      <c r="OYP198" s="133"/>
      <c r="OYQ198" s="133"/>
      <c r="OYR198" s="133"/>
      <c r="OYS198" s="133"/>
      <c r="OYT198" s="133"/>
      <c r="OYU198" s="133"/>
      <c r="OYV198" s="133"/>
      <c r="OYW198" s="133"/>
      <c r="OYX198" s="133"/>
      <c r="OYY198" s="133"/>
      <c r="OYZ198" s="133"/>
      <c r="OZA198" s="133"/>
      <c r="OZB198" s="133"/>
      <c r="OZC198" s="133"/>
      <c r="OZD198" s="133"/>
      <c r="OZE198" s="133"/>
      <c r="OZF198" s="133"/>
      <c r="OZG198" s="133"/>
      <c r="OZH198" s="133"/>
      <c r="OZI198" s="133"/>
      <c r="OZJ198" s="133"/>
      <c r="OZK198" s="133"/>
      <c r="OZL198" s="133"/>
      <c r="OZM198" s="133"/>
      <c r="OZN198" s="133"/>
      <c r="OZO198" s="133"/>
      <c r="OZP198" s="133"/>
      <c r="OZQ198" s="133"/>
      <c r="OZR198" s="133"/>
      <c r="OZS198" s="133"/>
      <c r="OZT198" s="133"/>
      <c r="OZU198" s="133"/>
      <c r="OZV198" s="133"/>
      <c r="OZW198" s="133"/>
      <c r="OZX198" s="133"/>
      <c r="OZY198" s="133"/>
      <c r="OZZ198" s="133"/>
      <c r="PAA198" s="133"/>
      <c r="PAB198" s="133"/>
      <c r="PAC198" s="133"/>
      <c r="PAD198" s="133"/>
      <c r="PAE198" s="133"/>
      <c r="PAF198" s="133"/>
      <c r="PAG198" s="133"/>
      <c r="PAH198" s="133"/>
      <c r="PAI198" s="133"/>
      <c r="PAJ198" s="133"/>
      <c r="PAK198" s="133"/>
      <c r="PAL198" s="133"/>
      <c r="PAM198" s="133"/>
      <c r="PAN198" s="133"/>
      <c r="PAO198" s="133"/>
      <c r="PAP198" s="133"/>
      <c r="PAQ198" s="133"/>
      <c r="PAR198" s="133"/>
      <c r="PAS198" s="133"/>
      <c r="PAT198" s="133"/>
      <c r="PAU198" s="133"/>
      <c r="PAV198" s="133"/>
      <c r="PAW198" s="133"/>
      <c r="PAX198" s="133"/>
      <c r="PAY198" s="133"/>
      <c r="PAZ198" s="133"/>
      <c r="PBA198" s="133"/>
      <c r="PBB198" s="133"/>
      <c r="PBC198" s="133"/>
      <c r="PBD198" s="133"/>
      <c r="PBE198" s="133"/>
      <c r="PBF198" s="133"/>
      <c r="PBG198" s="133"/>
      <c r="PBH198" s="133"/>
      <c r="PBI198" s="133"/>
      <c r="PBJ198" s="133"/>
      <c r="PBK198" s="133"/>
      <c r="PBL198" s="133"/>
      <c r="PBM198" s="133"/>
      <c r="PBN198" s="133"/>
      <c r="PBO198" s="133"/>
      <c r="PBP198" s="133"/>
      <c r="PBQ198" s="133"/>
      <c r="PBR198" s="133"/>
      <c r="PBS198" s="133"/>
      <c r="PBT198" s="133"/>
      <c r="PBU198" s="133"/>
      <c r="PBV198" s="133"/>
      <c r="PBW198" s="133"/>
      <c r="PBX198" s="133"/>
      <c r="PBY198" s="133"/>
      <c r="PBZ198" s="133"/>
      <c r="PCA198" s="133"/>
      <c r="PCB198" s="133"/>
      <c r="PCC198" s="133"/>
      <c r="PCD198" s="133"/>
      <c r="PCE198" s="133"/>
      <c r="PCF198" s="133"/>
      <c r="PCG198" s="133"/>
      <c r="PCH198" s="133"/>
      <c r="PCI198" s="133"/>
      <c r="PCJ198" s="133"/>
      <c r="PCK198" s="133"/>
      <c r="PCL198" s="133"/>
      <c r="PCM198" s="133"/>
      <c r="PCN198" s="133"/>
      <c r="PCO198" s="133"/>
      <c r="PCP198" s="133"/>
      <c r="PCQ198" s="133"/>
      <c r="PCR198" s="133"/>
      <c r="PCS198" s="133"/>
      <c r="PCT198" s="133"/>
      <c r="PCU198" s="133"/>
      <c r="PCV198" s="133"/>
      <c r="PCW198" s="133"/>
      <c r="PCX198" s="133"/>
      <c r="PCY198" s="133"/>
      <c r="PCZ198" s="133"/>
      <c r="PDA198" s="133"/>
      <c r="PDB198" s="133"/>
      <c r="PDC198" s="133"/>
      <c r="PDD198" s="133"/>
      <c r="PDE198" s="133"/>
      <c r="PDF198" s="133"/>
      <c r="PDG198" s="133"/>
      <c r="PDH198" s="133"/>
      <c r="PDI198" s="133"/>
      <c r="PDJ198" s="133"/>
      <c r="PDK198" s="133"/>
      <c r="PDL198" s="133"/>
      <c r="PDM198" s="133"/>
      <c r="PDN198" s="133"/>
      <c r="PDO198" s="133"/>
      <c r="PDP198" s="133"/>
      <c r="PDQ198" s="133"/>
      <c r="PDR198" s="133"/>
      <c r="PDS198" s="133"/>
      <c r="PDT198" s="133"/>
      <c r="PDU198" s="133"/>
      <c r="PDV198" s="133"/>
      <c r="PDW198" s="133"/>
      <c r="PDX198" s="133"/>
      <c r="PDY198" s="133"/>
      <c r="PDZ198" s="133"/>
      <c r="PEA198" s="133"/>
      <c r="PEB198" s="133"/>
      <c r="PEC198" s="133"/>
      <c r="PED198" s="133"/>
      <c r="PEE198" s="133"/>
      <c r="PEF198" s="133"/>
      <c r="PEG198" s="133"/>
      <c r="PEH198" s="133"/>
      <c r="PEI198" s="133"/>
      <c r="PEJ198" s="133"/>
      <c r="PEK198" s="133"/>
      <c r="PEL198" s="133"/>
      <c r="PEM198" s="133"/>
      <c r="PEN198" s="133"/>
      <c r="PEO198" s="133"/>
      <c r="PEP198" s="133"/>
      <c r="PEQ198" s="133"/>
      <c r="PER198" s="133"/>
      <c r="PES198" s="133"/>
      <c r="PET198" s="133"/>
      <c r="PEU198" s="133"/>
      <c r="PEV198" s="133"/>
      <c r="PEW198" s="133"/>
      <c r="PEX198" s="133"/>
      <c r="PEY198" s="133"/>
      <c r="PEZ198" s="133"/>
      <c r="PFA198" s="133"/>
      <c r="PFB198" s="133"/>
      <c r="PFC198" s="133"/>
      <c r="PFD198" s="133"/>
      <c r="PFE198" s="133"/>
      <c r="PFF198" s="133"/>
      <c r="PFG198" s="133"/>
      <c r="PFH198" s="133"/>
      <c r="PFI198" s="133"/>
      <c r="PFJ198" s="133"/>
      <c r="PFK198" s="133"/>
      <c r="PFL198" s="133"/>
      <c r="PFM198" s="133"/>
      <c r="PFN198" s="133"/>
      <c r="PFO198" s="133"/>
      <c r="PFP198" s="133"/>
      <c r="PFQ198" s="133"/>
      <c r="PFR198" s="133"/>
      <c r="PFS198" s="133"/>
      <c r="PFT198" s="133"/>
      <c r="PFU198" s="133"/>
      <c r="PFV198" s="133"/>
      <c r="PFW198" s="133"/>
      <c r="PFX198" s="133"/>
      <c r="PFY198" s="133"/>
      <c r="PFZ198" s="133"/>
      <c r="PGA198" s="133"/>
      <c r="PGB198" s="133"/>
      <c r="PGC198" s="133"/>
      <c r="PGD198" s="133"/>
      <c r="PGE198" s="133"/>
      <c r="PGF198" s="133"/>
      <c r="PGG198" s="133"/>
      <c r="PGH198" s="133"/>
      <c r="PGI198" s="133"/>
      <c r="PGJ198" s="133"/>
      <c r="PGK198" s="133"/>
      <c r="PGL198" s="133"/>
      <c r="PGM198" s="133"/>
      <c r="PGN198" s="133"/>
      <c r="PGO198" s="133"/>
      <c r="PGP198" s="133"/>
      <c r="PGQ198" s="133"/>
      <c r="PGR198" s="133"/>
      <c r="PGS198" s="133"/>
      <c r="PGT198" s="133"/>
      <c r="PGU198" s="133"/>
      <c r="PGV198" s="133"/>
      <c r="PGW198" s="133"/>
      <c r="PGX198" s="133"/>
      <c r="PGY198" s="133"/>
      <c r="PGZ198" s="133"/>
      <c r="PHA198" s="133"/>
      <c r="PHB198" s="133"/>
      <c r="PHC198" s="133"/>
      <c r="PHD198" s="133"/>
      <c r="PHE198" s="133"/>
      <c r="PHF198" s="133"/>
      <c r="PHG198" s="133"/>
      <c r="PHH198" s="133"/>
      <c r="PHI198" s="133"/>
      <c r="PHJ198" s="133"/>
      <c r="PHK198" s="133"/>
      <c r="PHL198" s="133"/>
      <c r="PHM198" s="133"/>
      <c r="PHN198" s="133"/>
      <c r="PHO198" s="133"/>
      <c r="PHP198" s="133"/>
      <c r="PHQ198" s="133"/>
      <c r="PHR198" s="133"/>
      <c r="PHS198" s="133"/>
      <c r="PHT198" s="133"/>
      <c r="PHU198" s="133"/>
      <c r="PHV198" s="133"/>
      <c r="PHW198" s="133"/>
      <c r="PHX198" s="133"/>
      <c r="PHY198" s="133"/>
      <c r="PHZ198" s="133"/>
      <c r="PIA198" s="133"/>
      <c r="PIB198" s="133"/>
      <c r="PIC198" s="133"/>
      <c r="PID198" s="133"/>
      <c r="PIE198" s="133"/>
      <c r="PIF198" s="133"/>
      <c r="PIG198" s="133"/>
      <c r="PIH198" s="133"/>
      <c r="PII198" s="133"/>
      <c r="PIJ198" s="133"/>
      <c r="PIK198" s="133"/>
      <c r="PIL198" s="133"/>
      <c r="PIM198" s="133"/>
      <c r="PIN198" s="133"/>
      <c r="PIO198" s="133"/>
      <c r="PIP198" s="133"/>
      <c r="PIQ198" s="133"/>
      <c r="PIR198" s="133"/>
      <c r="PIS198" s="133"/>
      <c r="PIT198" s="133"/>
      <c r="PIU198" s="133"/>
      <c r="PIV198" s="133"/>
      <c r="PIW198" s="133"/>
      <c r="PIX198" s="133"/>
      <c r="PIY198" s="133"/>
      <c r="PIZ198" s="133"/>
      <c r="PJA198" s="133"/>
      <c r="PJB198" s="133"/>
      <c r="PJC198" s="133"/>
      <c r="PJD198" s="133"/>
      <c r="PJE198" s="133"/>
      <c r="PJF198" s="133"/>
      <c r="PJG198" s="133"/>
      <c r="PJH198" s="133"/>
      <c r="PJI198" s="133"/>
      <c r="PJJ198" s="133"/>
      <c r="PJK198" s="133"/>
      <c r="PJL198" s="133"/>
      <c r="PJM198" s="133"/>
      <c r="PJN198" s="133"/>
      <c r="PJO198" s="133"/>
      <c r="PJP198" s="133"/>
      <c r="PJQ198" s="133"/>
      <c r="PJR198" s="133"/>
      <c r="PJS198" s="133"/>
      <c r="PJT198" s="133"/>
      <c r="PJU198" s="133"/>
      <c r="PJV198" s="133"/>
      <c r="PJW198" s="133"/>
      <c r="PJX198" s="133"/>
      <c r="PJY198" s="133"/>
      <c r="PJZ198" s="133"/>
      <c r="PKA198" s="133"/>
      <c r="PKB198" s="133"/>
      <c r="PKC198" s="133"/>
      <c r="PKD198" s="133"/>
      <c r="PKE198" s="133"/>
      <c r="PKF198" s="133"/>
      <c r="PKG198" s="133"/>
      <c r="PKH198" s="133"/>
      <c r="PKI198" s="133"/>
      <c r="PKJ198" s="133"/>
      <c r="PKK198" s="133"/>
      <c r="PKL198" s="133"/>
      <c r="PKM198" s="133"/>
      <c r="PKN198" s="133"/>
      <c r="PKO198" s="133"/>
      <c r="PKP198" s="133"/>
      <c r="PKQ198" s="133"/>
      <c r="PKR198" s="133"/>
      <c r="PKS198" s="133"/>
      <c r="PKT198" s="133"/>
      <c r="PKU198" s="133"/>
      <c r="PKV198" s="133"/>
      <c r="PKW198" s="133"/>
      <c r="PKX198" s="133"/>
      <c r="PKY198" s="133"/>
      <c r="PKZ198" s="133"/>
      <c r="PLA198" s="133"/>
      <c r="PLB198" s="133"/>
      <c r="PLC198" s="133"/>
      <c r="PLD198" s="133"/>
      <c r="PLE198" s="133"/>
      <c r="PLF198" s="133"/>
      <c r="PLG198" s="133"/>
      <c r="PLH198" s="133"/>
      <c r="PLI198" s="133"/>
      <c r="PLJ198" s="133"/>
      <c r="PLK198" s="133"/>
      <c r="PLL198" s="133"/>
      <c r="PLM198" s="133"/>
      <c r="PLN198" s="133"/>
      <c r="PLO198" s="133"/>
      <c r="PLP198" s="133"/>
      <c r="PLQ198" s="133"/>
      <c r="PLR198" s="133"/>
      <c r="PLS198" s="133"/>
      <c r="PLT198" s="133"/>
      <c r="PLU198" s="133"/>
      <c r="PLV198" s="133"/>
      <c r="PLW198" s="133"/>
      <c r="PLX198" s="133"/>
      <c r="PLY198" s="133"/>
      <c r="PLZ198" s="133"/>
      <c r="PMA198" s="133"/>
      <c r="PMB198" s="133"/>
      <c r="PMC198" s="133"/>
      <c r="PMD198" s="133"/>
      <c r="PME198" s="133"/>
      <c r="PMF198" s="133"/>
      <c r="PMG198" s="133"/>
      <c r="PMH198" s="133"/>
      <c r="PMI198" s="133"/>
      <c r="PMJ198" s="133"/>
      <c r="PMK198" s="133"/>
      <c r="PML198" s="133"/>
      <c r="PMM198" s="133"/>
      <c r="PMN198" s="133"/>
      <c r="PMO198" s="133"/>
      <c r="PMP198" s="133"/>
      <c r="PMQ198" s="133"/>
      <c r="PMR198" s="133"/>
      <c r="PMS198" s="133"/>
      <c r="PMT198" s="133"/>
      <c r="PMU198" s="133"/>
      <c r="PMV198" s="133"/>
      <c r="PMW198" s="133"/>
      <c r="PMX198" s="133"/>
      <c r="PMY198" s="133"/>
      <c r="PMZ198" s="133"/>
      <c r="PNA198" s="133"/>
      <c r="PNB198" s="133"/>
      <c r="PNC198" s="133"/>
      <c r="PND198" s="133"/>
      <c r="PNE198" s="133"/>
      <c r="PNF198" s="133"/>
      <c r="PNG198" s="133"/>
      <c r="PNH198" s="133"/>
      <c r="PNI198" s="133"/>
      <c r="PNJ198" s="133"/>
      <c r="PNK198" s="133"/>
      <c r="PNL198" s="133"/>
      <c r="PNM198" s="133"/>
      <c r="PNN198" s="133"/>
      <c r="PNO198" s="133"/>
      <c r="PNP198" s="133"/>
      <c r="PNQ198" s="133"/>
      <c r="PNR198" s="133"/>
      <c r="PNS198" s="133"/>
      <c r="PNT198" s="133"/>
      <c r="PNU198" s="133"/>
      <c r="PNV198" s="133"/>
      <c r="PNW198" s="133"/>
      <c r="PNX198" s="133"/>
      <c r="PNY198" s="133"/>
      <c r="PNZ198" s="133"/>
      <c r="POA198" s="133"/>
      <c r="POB198" s="133"/>
      <c r="POC198" s="133"/>
      <c r="POD198" s="133"/>
      <c r="POE198" s="133"/>
      <c r="POF198" s="133"/>
      <c r="POG198" s="133"/>
      <c r="POH198" s="133"/>
      <c r="POI198" s="133"/>
      <c r="POJ198" s="133"/>
      <c r="POK198" s="133"/>
      <c r="POL198" s="133"/>
      <c r="POM198" s="133"/>
      <c r="PON198" s="133"/>
      <c r="POO198" s="133"/>
      <c r="POP198" s="133"/>
      <c r="POQ198" s="133"/>
      <c r="POR198" s="133"/>
      <c r="POS198" s="133"/>
      <c r="POT198" s="133"/>
      <c r="POU198" s="133"/>
      <c r="POV198" s="133"/>
      <c r="POW198" s="133"/>
      <c r="POX198" s="133"/>
      <c r="POY198" s="133"/>
      <c r="POZ198" s="133"/>
      <c r="PPA198" s="133"/>
      <c r="PPB198" s="133"/>
      <c r="PPC198" s="133"/>
      <c r="PPD198" s="133"/>
      <c r="PPE198" s="133"/>
      <c r="PPF198" s="133"/>
      <c r="PPG198" s="133"/>
      <c r="PPH198" s="133"/>
      <c r="PPI198" s="133"/>
      <c r="PPJ198" s="133"/>
      <c r="PPK198" s="133"/>
      <c r="PPL198" s="133"/>
      <c r="PPM198" s="133"/>
      <c r="PPN198" s="133"/>
      <c r="PPO198" s="133"/>
      <c r="PPP198" s="133"/>
      <c r="PPQ198" s="133"/>
      <c r="PPR198" s="133"/>
      <c r="PPS198" s="133"/>
      <c r="PPT198" s="133"/>
      <c r="PPU198" s="133"/>
      <c r="PPV198" s="133"/>
      <c r="PPW198" s="133"/>
      <c r="PPX198" s="133"/>
      <c r="PPY198" s="133"/>
      <c r="PPZ198" s="133"/>
      <c r="PQA198" s="133"/>
      <c r="PQB198" s="133"/>
      <c r="PQC198" s="133"/>
      <c r="PQD198" s="133"/>
      <c r="PQE198" s="133"/>
      <c r="PQF198" s="133"/>
      <c r="PQG198" s="133"/>
      <c r="PQH198" s="133"/>
      <c r="PQI198" s="133"/>
      <c r="PQJ198" s="133"/>
      <c r="PQK198" s="133"/>
      <c r="PQL198" s="133"/>
      <c r="PQM198" s="133"/>
      <c r="PQN198" s="133"/>
      <c r="PQO198" s="133"/>
      <c r="PQP198" s="133"/>
      <c r="PQQ198" s="133"/>
      <c r="PQR198" s="133"/>
      <c r="PQS198" s="133"/>
      <c r="PQT198" s="133"/>
      <c r="PQU198" s="133"/>
      <c r="PQV198" s="133"/>
      <c r="PQW198" s="133"/>
      <c r="PQX198" s="133"/>
      <c r="PQY198" s="133"/>
      <c r="PQZ198" s="133"/>
      <c r="PRA198" s="133"/>
      <c r="PRB198" s="133"/>
      <c r="PRC198" s="133"/>
      <c r="PRD198" s="133"/>
      <c r="PRE198" s="133"/>
      <c r="PRF198" s="133"/>
      <c r="PRG198" s="133"/>
      <c r="PRH198" s="133"/>
      <c r="PRI198" s="133"/>
      <c r="PRJ198" s="133"/>
      <c r="PRK198" s="133"/>
      <c r="PRL198" s="133"/>
      <c r="PRM198" s="133"/>
      <c r="PRN198" s="133"/>
      <c r="PRO198" s="133"/>
      <c r="PRP198" s="133"/>
      <c r="PRQ198" s="133"/>
      <c r="PRR198" s="133"/>
      <c r="PRS198" s="133"/>
      <c r="PRT198" s="133"/>
      <c r="PRU198" s="133"/>
      <c r="PRV198" s="133"/>
      <c r="PRW198" s="133"/>
      <c r="PRX198" s="133"/>
      <c r="PRY198" s="133"/>
      <c r="PRZ198" s="133"/>
      <c r="PSA198" s="133"/>
      <c r="PSB198" s="133"/>
      <c r="PSC198" s="133"/>
      <c r="PSD198" s="133"/>
      <c r="PSE198" s="133"/>
      <c r="PSF198" s="133"/>
      <c r="PSG198" s="133"/>
      <c r="PSH198" s="133"/>
      <c r="PSI198" s="133"/>
      <c r="PSJ198" s="133"/>
      <c r="PSK198" s="133"/>
      <c r="PSL198" s="133"/>
      <c r="PSM198" s="133"/>
      <c r="PSN198" s="133"/>
      <c r="PSO198" s="133"/>
      <c r="PSP198" s="133"/>
      <c r="PSQ198" s="133"/>
      <c r="PSR198" s="133"/>
      <c r="PSS198" s="133"/>
      <c r="PST198" s="133"/>
      <c r="PSU198" s="133"/>
      <c r="PSV198" s="133"/>
      <c r="PSW198" s="133"/>
      <c r="PSX198" s="133"/>
      <c r="PSY198" s="133"/>
      <c r="PSZ198" s="133"/>
      <c r="PTA198" s="133"/>
      <c r="PTB198" s="133"/>
      <c r="PTC198" s="133"/>
      <c r="PTD198" s="133"/>
      <c r="PTE198" s="133"/>
      <c r="PTF198" s="133"/>
      <c r="PTG198" s="133"/>
      <c r="PTH198" s="133"/>
      <c r="PTI198" s="133"/>
      <c r="PTJ198" s="133"/>
      <c r="PTK198" s="133"/>
      <c r="PTL198" s="133"/>
      <c r="PTM198" s="133"/>
      <c r="PTN198" s="133"/>
      <c r="PTO198" s="133"/>
      <c r="PTP198" s="133"/>
      <c r="PTQ198" s="133"/>
      <c r="PTR198" s="133"/>
      <c r="PTS198" s="133"/>
      <c r="PTT198" s="133"/>
      <c r="PTU198" s="133"/>
      <c r="PTV198" s="133"/>
      <c r="PTW198" s="133"/>
      <c r="PTX198" s="133"/>
      <c r="PTY198" s="133"/>
      <c r="PTZ198" s="133"/>
      <c r="PUA198" s="133"/>
      <c r="PUB198" s="133"/>
      <c r="PUC198" s="133"/>
      <c r="PUD198" s="133"/>
      <c r="PUE198" s="133"/>
      <c r="PUF198" s="133"/>
      <c r="PUG198" s="133"/>
      <c r="PUH198" s="133"/>
      <c r="PUI198" s="133"/>
      <c r="PUJ198" s="133"/>
      <c r="PUK198" s="133"/>
      <c r="PUL198" s="133"/>
      <c r="PUM198" s="133"/>
      <c r="PUN198" s="133"/>
      <c r="PUO198" s="133"/>
      <c r="PUP198" s="133"/>
      <c r="PUQ198" s="133"/>
      <c r="PUR198" s="133"/>
      <c r="PUS198" s="133"/>
      <c r="PUT198" s="133"/>
      <c r="PUU198" s="133"/>
      <c r="PUV198" s="133"/>
      <c r="PUW198" s="133"/>
      <c r="PUX198" s="133"/>
      <c r="PUY198" s="133"/>
      <c r="PUZ198" s="133"/>
      <c r="PVA198" s="133"/>
      <c r="PVB198" s="133"/>
      <c r="PVC198" s="133"/>
      <c r="PVD198" s="133"/>
      <c r="PVE198" s="133"/>
      <c r="PVF198" s="133"/>
      <c r="PVG198" s="133"/>
      <c r="PVH198" s="133"/>
      <c r="PVI198" s="133"/>
      <c r="PVJ198" s="133"/>
      <c r="PVK198" s="133"/>
      <c r="PVL198" s="133"/>
      <c r="PVM198" s="133"/>
      <c r="PVN198" s="133"/>
      <c r="PVO198" s="133"/>
      <c r="PVP198" s="133"/>
      <c r="PVQ198" s="133"/>
      <c r="PVR198" s="133"/>
      <c r="PVS198" s="133"/>
      <c r="PVT198" s="133"/>
      <c r="PVU198" s="133"/>
      <c r="PVV198" s="133"/>
      <c r="PVW198" s="133"/>
      <c r="PVX198" s="133"/>
      <c r="PVY198" s="133"/>
      <c r="PVZ198" s="133"/>
      <c r="PWA198" s="133"/>
      <c r="PWB198" s="133"/>
      <c r="PWC198" s="133"/>
      <c r="PWD198" s="133"/>
      <c r="PWE198" s="133"/>
      <c r="PWF198" s="133"/>
      <c r="PWG198" s="133"/>
      <c r="PWH198" s="133"/>
      <c r="PWI198" s="133"/>
      <c r="PWJ198" s="133"/>
      <c r="PWK198" s="133"/>
      <c r="PWL198" s="133"/>
      <c r="PWM198" s="133"/>
      <c r="PWN198" s="133"/>
      <c r="PWO198" s="133"/>
      <c r="PWP198" s="133"/>
      <c r="PWQ198" s="133"/>
      <c r="PWR198" s="133"/>
      <c r="PWS198" s="133"/>
      <c r="PWT198" s="133"/>
      <c r="PWU198" s="133"/>
      <c r="PWV198" s="133"/>
      <c r="PWW198" s="133"/>
      <c r="PWX198" s="133"/>
      <c r="PWY198" s="133"/>
      <c r="PWZ198" s="133"/>
      <c r="PXA198" s="133"/>
      <c r="PXB198" s="133"/>
      <c r="PXC198" s="133"/>
      <c r="PXD198" s="133"/>
      <c r="PXE198" s="133"/>
      <c r="PXF198" s="133"/>
      <c r="PXG198" s="133"/>
      <c r="PXH198" s="133"/>
      <c r="PXI198" s="133"/>
      <c r="PXJ198" s="133"/>
      <c r="PXK198" s="133"/>
      <c r="PXL198" s="133"/>
      <c r="PXM198" s="133"/>
      <c r="PXN198" s="133"/>
      <c r="PXO198" s="133"/>
      <c r="PXP198" s="133"/>
      <c r="PXQ198" s="133"/>
      <c r="PXR198" s="133"/>
      <c r="PXS198" s="133"/>
      <c r="PXT198" s="133"/>
      <c r="PXU198" s="133"/>
      <c r="PXV198" s="133"/>
      <c r="PXW198" s="133"/>
      <c r="PXX198" s="133"/>
      <c r="PXY198" s="133"/>
      <c r="PXZ198" s="133"/>
      <c r="PYA198" s="133"/>
      <c r="PYB198" s="133"/>
      <c r="PYC198" s="133"/>
      <c r="PYD198" s="133"/>
      <c r="PYE198" s="133"/>
      <c r="PYF198" s="133"/>
      <c r="PYG198" s="133"/>
      <c r="PYH198" s="133"/>
      <c r="PYI198" s="133"/>
      <c r="PYJ198" s="133"/>
      <c r="PYK198" s="133"/>
      <c r="PYL198" s="133"/>
      <c r="PYM198" s="133"/>
      <c r="PYN198" s="133"/>
      <c r="PYO198" s="133"/>
      <c r="PYP198" s="133"/>
      <c r="PYQ198" s="133"/>
      <c r="PYR198" s="133"/>
      <c r="PYS198" s="133"/>
      <c r="PYT198" s="133"/>
      <c r="PYU198" s="133"/>
      <c r="PYV198" s="133"/>
      <c r="PYW198" s="133"/>
      <c r="PYX198" s="133"/>
      <c r="PYY198" s="133"/>
      <c r="PYZ198" s="133"/>
      <c r="PZA198" s="133"/>
      <c r="PZB198" s="133"/>
      <c r="PZC198" s="133"/>
      <c r="PZD198" s="133"/>
      <c r="PZE198" s="133"/>
      <c r="PZF198" s="133"/>
      <c r="PZG198" s="133"/>
      <c r="PZH198" s="133"/>
      <c r="PZI198" s="133"/>
      <c r="PZJ198" s="133"/>
      <c r="PZK198" s="133"/>
      <c r="PZL198" s="133"/>
      <c r="PZM198" s="133"/>
      <c r="PZN198" s="133"/>
      <c r="PZO198" s="133"/>
      <c r="PZP198" s="133"/>
      <c r="PZQ198" s="133"/>
      <c r="PZR198" s="133"/>
      <c r="PZS198" s="133"/>
      <c r="PZT198" s="133"/>
      <c r="PZU198" s="133"/>
      <c r="PZV198" s="133"/>
      <c r="PZW198" s="133"/>
      <c r="PZX198" s="133"/>
      <c r="PZY198" s="133"/>
      <c r="PZZ198" s="133"/>
      <c r="QAA198" s="133"/>
      <c r="QAB198" s="133"/>
      <c r="QAC198" s="133"/>
      <c r="QAD198" s="133"/>
      <c r="QAE198" s="133"/>
      <c r="QAF198" s="133"/>
      <c r="QAG198" s="133"/>
      <c r="QAH198" s="133"/>
      <c r="QAI198" s="133"/>
      <c r="QAJ198" s="133"/>
      <c r="QAK198" s="133"/>
      <c r="QAL198" s="133"/>
      <c r="QAM198" s="133"/>
      <c r="QAN198" s="133"/>
      <c r="QAO198" s="133"/>
      <c r="QAP198" s="133"/>
      <c r="QAQ198" s="133"/>
      <c r="QAR198" s="133"/>
      <c r="QAS198" s="133"/>
      <c r="QAT198" s="133"/>
      <c r="QAU198" s="133"/>
      <c r="QAV198" s="133"/>
      <c r="QAW198" s="133"/>
      <c r="QAX198" s="133"/>
      <c r="QAY198" s="133"/>
      <c r="QAZ198" s="133"/>
      <c r="QBA198" s="133"/>
      <c r="QBB198" s="133"/>
      <c r="QBC198" s="133"/>
      <c r="QBD198" s="133"/>
      <c r="QBE198" s="133"/>
      <c r="QBF198" s="133"/>
      <c r="QBG198" s="133"/>
      <c r="QBH198" s="133"/>
      <c r="QBI198" s="133"/>
      <c r="QBJ198" s="133"/>
      <c r="QBK198" s="133"/>
      <c r="QBL198" s="133"/>
      <c r="QBM198" s="133"/>
      <c r="QBN198" s="133"/>
      <c r="QBO198" s="133"/>
      <c r="QBP198" s="133"/>
      <c r="QBQ198" s="133"/>
      <c r="QBR198" s="133"/>
      <c r="QBS198" s="133"/>
      <c r="QBT198" s="133"/>
      <c r="QBU198" s="133"/>
      <c r="QBV198" s="133"/>
      <c r="QBW198" s="133"/>
      <c r="QBX198" s="133"/>
      <c r="QBY198" s="133"/>
      <c r="QBZ198" s="133"/>
      <c r="QCA198" s="133"/>
      <c r="QCB198" s="133"/>
      <c r="QCC198" s="133"/>
      <c r="QCD198" s="133"/>
      <c r="QCE198" s="133"/>
      <c r="QCF198" s="133"/>
      <c r="QCG198" s="133"/>
      <c r="QCH198" s="133"/>
      <c r="QCI198" s="133"/>
      <c r="QCJ198" s="133"/>
      <c r="QCK198" s="133"/>
      <c r="QCL198" s="133"/>
      <c r="QCM198" s="133"/>
      <c r="QCN198" s="133"/>
      <c r="QCO198" s="133"/>
      <c r="QCP198" s="133"/>
      <c r="QCQ198" s="133"/>
      <c r="QCR198" s="133"/>
      <c r="QCS198" s="133"/>
      <c r="QCT198" s="133"/>
      <c r="QCU198" s="133"/>
      <c r="QCV198" s="133"/>
      <c r="QCW198" s="133"/>
      <c r="QCX198" s="133"/>
      <c r="QCY198" s="133"/>
      <c r="QCZ198" s="133"/>
      <c r="QDA198" s="133"/>
      <c r="QDB198" s="133"/>
      <c r="QDC198" s="133"/>
      <c r="QDD198" s="133"/>
      <c r="QDE198" s="133"/>
      <c r="QDF198" s="133"/>
      <c r="QDG198" s="133"/>
      <c r="QDH198" s="133"/>
      <c r="QDI198" s="133"/>
      <c r="QDJ198" s="133"/>
      <c r="QDK198" s="133"/>
      <c r="QDL198" s="133"/>
      <c r="QDM198" s="133"/>
      <c r="QDN198" s="133"/>
      <c r="QDO198" s="133"/>
      <c r="QDP198" s="133"/>
      <c r="QDQ198" s="133"/>
      <c r="QDR198" s="133"/>
      <c r="QDS198" s="133"/>
      <c r="QDT198" s="133"/>
      <c r="QDU198" s="133"/>
      <c r="QDV198" s="133"/>
      <c r="QDW198" s="133"/>
      <c r="QDX198" s="133"/>
      <c r="QDY198" s="133"/>
      <c r="QDZ198" s="133"/>
      <c r="QEA198" s="133"/>
      <c r="QEB198" s="133"/>
      <c r="QEC198" s="133"/>
      <c r="QED198" s="133"/>
      <c r="QEE198" s="133"/>
      <c r="QEF198" s="133"/>
      <c r="QEG198" s="133"/>
      <c r="QEH198" s="133"/>
      <c r="QEI198" s="133"/>
      <c r="QEJ198" s="133"/>
      <c r="QEK198" s="133"/>
      <c r="QEL198" s="133"/>
      <c r="QEM198" s="133"/>
      <c r="QEN198" s="133"/>
      <c r="QEO198" s="133"/>
      <c r="QEP198" s="133"/>
      <c r="QEQ198" s="133"/>
      <c r="QER198" s="133"/>
      <c r="QES198" s="133"/>
      <c r="QET198" s="133"/>
      <c r="QEU198" s="133"/>
      <c r="QEV198" s="133"/>
      <c r="QEW198" s="133"/>
      <c r="QEX198" s="133"/>
      <c r="QEY198" s="133"/>
      <c r="QEZ198" s="133"/>
      <c r="QFA198" s="133"/>
      <c r="QFB198" s="133"/>
      <c r="QFC198" s="133"/>
      <c r="QFD198" s="133"/>
      <c r="QFE198" s="133"/>
      <c r="QFF198" s="133"/>
      <c r="QFG198" s="133"/>
      <c r="QFH198" s="133"/>
      <c r="QFI198" s="133"/>
      <c r="QFJ198" s="133"/>
      <c r="QFK198" s="133"/>
      <c r="QFL198" s="133"/>
      <c r="QFM198" s="133"/>
      <c r="QFN198" s="133"/>
      <c r="QFO198" s="133"/>
      <c r="QFP198" s="133"/>
      <c r="QFQ198" s="133"/>
      <c r="QFR198" s="133"/>
      <c r="QFS198" s="133"/>
      <c r="QFT198" s="133"/>
      <c r="QFU198" s="133"/>
      <c r="QFV198" s="133"/>
      <c r="QFW198" s="133"/>
      <c r="QFX198" s="133"/>
      <c r="QFY198" s="133"/>
      <c r="QFZ198" s="133"/>
      <c r="QGA198" s="133"/>
      <c r="QGB198" s="133"/>
      <c r="QGC198" s="133"/>
      <c r="QGD198" s="133"/>
      <c r="QGE198" s="133"/>
      <c r="QGF198" s="133"/>
      <c r="QGG198" s="133"/>
      <c r="QGH198" s="133"/>
      <c r="QGI198" s="133"/>
      <c r="QGJ198" s="133"/>
      <c r="QGK198" s="133"/>
      <c r="QGL198" s="133"/>
      <c r="QGM198" s="133"/>
      <c r="QGN198" s="133"/>
      <c r="QGO198" s="133"/>
      <c r="QGP198" s="133"/>
      <c r="QGQ198" s="133"/>
      <c r="QGR198" s="133"/>
      <c r="QGS198" s="133"/>
      <c r="QGT198" s="133"/>
      <c r="QGU198" s="133"/>
      <c r="QGV198" s="133"/>
      <c r="QGW198" s="133"/>
      <c r="QGX198" s="133"/>
      <c r="QGY198" s="133"/>
      <c r="QGZ198" s="133"/>
      <c r="QHA198" s="133"/>
      <c r="QHB198" s="133"/>
      <c r="QHC198" s="133"/>
      <c r="QHD198" s="133"/>
      <c r="QHE198" s="133"/>
      <c r="QHF198" s="133"/>
      <c r="QHG198" s="133"/>
      <c r="QHH198" s="133"/>
      <c r="QHI198" s="133"/>
      <c r="QHJ198" s="133"/>
      <c r="QHK198" s="133"/>
      <c r="QHL198" s="133"/>
      <c r="QHM198" s="133"/>
      <c r="QHN198" s="133"/>
      <c r="QHO198" s="133"/>
      <c r="QHP198" s="133"/>
      <c r="QHQ198" s="133"/>
      <c r="QHR198" s="133"/>
      <c r="QHS198" s="133"/>
      <c r="QHT198" s="133"/>
      <c r="QHU198" s="133"/>
      <c r="QHV198" s="133"/>
      <c r="QHW198" s="133"/>
      <c r="QHX198" s="133"/>
      <c r="QHY198" s="133"/>
      <c r="QHZ198" s="133"/>
      <c r="QIA198" s="133"/>
      <c r="QIB198" s="133"/>
      <c r="QIC198" s="133"/>
      <c r="QID198" s="133"/>
      <c r="QIE198" s="133"/>
      <c r="QIF198" s="133"/>
      <c r="QIG198" s="133"/>
      <c r="QIH198" s="133"/>
      <c r="QII198" s="133"/>
      <c r="QIJ198" s="133"/>
      <c r="QIK198" s="133"/>
      <c r="QIL198" s="133"/>
      <c r="QIM198" s="133"/>
      <c r="QIN198" s="133"/>
      <c r="QIO198" s="133"/>
      <c r="QIP198" s="133"/>
      <c r="QIQ198" s="133"/>
      <c r="QIR198" s="133"/>
      <c r="QIS198" s="133"/>
      <c r="QIT198" s="133"/>
      <c r="QIU198" s="133"/>
      <c r="QIV198" s="133"/>
      <c r="QIW198" s="133"/>
      <c r="QIX198" s="133"/>
      <c r="QIY198" s="133"/>
      <c r="QIZ198" s="133"/>
      <c r="QJA198" s="133"/>
      <c r="QJB198" s="133"/>
      <c r="QJC198" s="133"/>
      <c r="QJD198" s="133"/>
      <c r="QJE198" s="133"/>
      <c r="QJF198" s="133"/>
      <c r="QJG198" s="133"/>
      <c r="QJH198" s="133"/>
      <c r="QJI198" s="133"/>
      <c r="QJJ198" s="133"/>
      <c r="QJK198" s="133"/>
      <c r="QJL198" s="133"/>
      <c r="QJM198" s="133"/>
      <c r="QJN198" s="133"/>
      <c r="QJO198" s="133"/>
      <c r="QJP198" s="133"/>
      <c r="QJQ198" s="133"/>
      <c r="QJR198" s="133"/>
      <c r="QJS198" s="133"/>
      <c r="QJT198" s="133"/>
      <c r="QJU198" s="133"/>
      <c r="QJV198" s="133"/>
      <c r="QJW198" s="133"/>
      <c r="QJX198" s="133"/>
      <c r="QJY198" s="133"/>
      <c r="QJZ198" s="133"/>
      <c r="QKA198" s="133"/>
      <c r="QKB198" s="133"/>
      <c r="QKC198" s="133"/>
      <c r="QKD198" s="133"/>
      <c r="QKE198" s="133"/>
      <c r="QKF198" s="133"/>
      <c r="QKG198" s="133"/>
      <c r="QKH198" s="133"/>
      <c r="QKI198" s="133"/>
      <c r="QKJ198" s="133"/>
      <c r="QKK198" s="133"/>
      <c r="QKL198" s="133"/>
      <c r="QKM198" s="133"/>
      <c r="QKN198" s="133"/>
      <c r="QKO198" s="133"/>
      <c r="QKP198" s="133"/>
      <c r="QKQ198" s="133"/>
      <c r="QKR198" s="133"/>
      <c r="QKS198" s="133"/>
      <c r="QKT198" s="133"/>
      <c r="QKU198" s="133"/>
      <c r="QKV198" s="133"/>
      <c r="QKW198" s="133"/>
      <c r="QKX198" s="133"/>
      <c r="QKY198" s="133"/>
      <c r="QKZ198" s="133"/>
      <c r="QLA198" s="133"/>
      <c r="QLB198" s="133"/>
      <c r="QLC198" s="133"/>
      <c r="QLD198" s="133"/>
      <c r="QLE198" s="133"/>
      <c r="QLF198" s="133"/>
      <c r="QLG198" s="133"/>
      <c r="QLH198" s="133"/>
      <c r="QLI198" s="133"/>
      <c r="QLJ198" s="133"/>
      <c r="QLK198" s="133"/>
      <c r="QLL198" s="133"/>
      <c r="QLM198" s="133"/>
      <c r="QLN198" s="133"/>
      <c r="QLO198" s="133"/>
      <c r="QLP198" s="133"/>
      <c r="QLQ198" s="133"/>
      <c r="QLR198" s="133"/>
      <c r="QLS198" s="133"/>
      <c r="QLT198" s="133"/>
      <c r="QLU198" s="133"/>
      <c r="QLV198" s="133"/>
      <c r="QLW198" s="133"/>
      <c r="QLX198" s="133"/>
      <c r="QLY198" s="133"/>
      <c r="QLZ198" s="133"/>
      <c r="QMA198" s="133"/>
      <c r="QMB198" s="133"/>
      <c r="QMC198" s="133"/>
      <c r="QMD198" s="133"/>
      <c r="QME198" s="133"/>
      <c r="QMF198" s="133"/>
      <c r="QMG198" s="133"/>
      <c r="QMH198" s="133"/>
      <c r="QMI198" s="133"/>
      <c r="QMJ198" s="133"/>
      <c r="QMK198" s="133"/>
      <c r="QML198" s="133"/>
      <c r="QMM198" s="133"/>
      <c r="QMN198" s="133"/>
      <c r="QMO198" s="133"/>
      <c r="QMP198" s="133"/>
      <c r="QMQ198" s="133"/>
      <c r="QMR198" s="133"/>
      <c r="QMS198" s="133"/>
      <c r="QMT198" s="133"/>
      <c r="QMU198" s="133"/>
      <c r="QMV198" s="133"/>
      <c r="QMW198" s="133"/>
      <c r="QMX198" s="133"/>
      <c r="QMY198" s="133"/>
      <c r="QMZ198" s="133"/>
      <c r="QNA198" s="133"/>
      <c r="QNB198" s="133"/>
      <c r="QNC198" s="133"/>
      <c r="QND198" s="133"/>
      <c r="QNE198" s="133"/>
      <c r="QNF198" s="133"/>
      <c r="QNG198" s="133"/>
      <c r="QNH198" s="133"/>
      <c r="QNI198" s="133"/>
      <c r="QNJ198" s="133"/>
      <c r="QNK198" s="133"/>
      <c r="QNL198" s="133"/>
      <c r="QNM198" s="133"/>
      <c r="QNN198" s="133"/>
      <c r="QNO198" s="133"/>
      <c r="QNP198" s="133"/>
      <c r="QNQ198" s="133"/>
      <c r="QNR198" s="133"/>
      <c r="QNS198" s="133"/>
      <c r="QNT198" s="133"/>
      <c r="QNU198" s="133"/>
      <c r="QNV198" s="133"/>
      <c r="QNW198" s="133"/>
      <c r="QNX198" s="133"/>
      <c r="QNY198" s="133"/>
      <c r="QNZ198" s="133"/>
      <c r="QOA198" s="133"/>
      <c r="QOB198" s="133"/>
      <c r="QOC198" s="133"/>
      <c r="QOD198" s="133"/>
      <c r="QOE198" s="133"/>
      <c r="QOF198" s="133"/>
      <c r="QOG198" s="133"/>
      <c r="QOH198" s="133"/>
      <c r="QOI198" s="133"/>
      <c r="QOJ198" s="133"/>
      <c r="QOK198" s="133"/>
      <c r="QOL198" s="133"/>
      <c r="QOM198" s="133"/>
      <c r="QON198" s="133"/>
      <c r="QOO198" s="133"/>
      <c r="QOP198" s="133"/>
      <c r="QOQ198" s="133"/>
      <c r="QOR198" s="133"/>
      <c r="QOS198" s="133"/>
      <c r="QOT198" s="133"/>
      <c r="QOU198" s="133"/>
      <c r="QOV198" s="133"/>
      <c r="QOW198" s="133"/>
      <c r="QOX198" s="133"/>
      <c r="QOY198" s="133"/>
      <c r="QOZ198" s="133"/>
      <c r="QPA198" s="133"/>
      <c r="QPB198" s="133"/>
      <c r="QPC198" s="133"/>
      <c r="QPD198" s="133"/>
      <c r="QPE198" s="133"/>
      <c r="QPF198" s="133"/>
      <c r="QPG198" s="133"/>
      <c r="QPH198" s="133"/>
      <c r="QPI198" s="133"/>
      <c r="QPJ198" s="133"/>
      <c r="QPK198" s="133"/>
      <c r="QPL198" s="133"/>
      <c r="QPM198" s="133"/>
      <c r="QPN198" s="133"/>
      <c r="QPO198" s="133"/>
      <c r="QPP198" s="133"/>
      <c r="QPQ198" s="133"/>
      <c r="QPR198" s="133"/>
      <c r="QPS198" s="133"/>
      <c r="QPT198" s="133"/>
      <c r="QPU198" s="133"/>
      <c r="QPV198" s="133"/>
      <c r="QPW198" s="133"/>
      <c r="QPX198" s="133"/>
      <c r="QPY198" s="133"/>
      <c r="QPZ198" s="133"/>
      <c r="QQA198" s="133"/>
      <c r="QQB198" s="133"/>
      <c r="QQC198" s="133"/>
      <c r="QQD198" s="133"/>
      <c r="QQE198" s="133"/>
      <c r="QQF198" s="133"/>
      <c r="QQG198" s="133"/>
      <c r="QQH198" s="133"/>
      <c r="QQI198" s="133"/>
      <c r="QQJ198" s="133"/>
      <c r="QQK198" s="133"/>
      <c r="QQL198" s="133"/>
      <c r="QQM198" s="133"/>
      <c r="QQN198" s="133"/>
      <c r="QQO198" s="133"/>
      <c r="QQP198" s="133"/>
      <c r="QQQ198" s="133"/>
      <c r="QQR198" s="133"/>
      <c r="QQS198" s="133"/>
      <c r="QQT198" s="133"/>
      <c r="QQU198" s="133"/>
      <c r="QQV198" s="133"/>
      <c r="QQW198" s="133"/>
      <c r="QQX198" s="133"/>
      <c r="QQY198" s="133"/>
      <c r="QQZ198" s="133"/>
      <c r="QRA198" s="133"/>
      <c r="QRB198" s="133"/>
      <c r="QRC198" s="133"/>
      <c r="QRD198" s="133"/>
      <c r="QRE198" s="133"/>
      <c r="QRF198" s="133"/>
      <c r="QRG198" s="133"/>
      <c r="QRH198" s="133"/>
      <c r="QRI198" s="133"/>
      <c r="QRJ198" s="133"/>
      <c r="QRK198" s="133"/>
      <c r="QRL198" s="133"/>
      <c r="QRM198" s="133"/>
      <c r="QRN198" s="133"/>
      <c r="QRO198" s="133"/>
      <c r="QRP198" s="133"/>
      <c r="QRQ198" s="133"/>
      <c r="QRR198" s="133"/>
      <c r="QRS198" s="133"/>
      <c r="QRT198" s="133"/>
      <c r="QRU198" s="133"/>
      <c r="QRV198" s="133"/>
      <c r="QRW198" s="133"/>
      <c r="QRX198" s="133"/>
      <c r="QRY198" s="133"/>
      <c r="QRZ198" s="133"/>
      <c r="QSA198" s="133"/>
      <c r="QSB198" s="133"/>
      <c r="QSC198" s="133"/>
      <c r="QSD198" s="133"/>
      <c r="QSE198" s="133"/>
      <c r="QSF198" s="133"/>
      <c r="QSG198" s="133"/>
      <c r="QSH198" s="133"/>
      <c r="QSI198" s="133"/>
      <c r="QSJ198" s="133"/>
      <c r="QSK198" s="133"/>
      <c r="QSL198" s="133"/>
      <c r="QSM198" s="133"/>
      <c r="QSN198" s="133"/>
      <c r="QSO198" s="133"/>
      <c r="QSP198" s="133"/>
      <c r="QSQ198" s="133"/>
      <c r="QSR198" s="133"/>
      <c r="QSS198" s="133"/>
      <c r="QST198" s="133"/>
      <c r="QSU198" s="133"/>
      <c r="QSV198" s="133"/>
      <c r="QSW198" s="133"/>
      <c r="QSX198" s="133"/>
      <c r="QSY198" s="133"/>
      <c r="QSZ198" s="133"/>
      <c r="QTA198" s="133"/>
      <c r="QTB198" s="133"/>
      <c r="QTC198" s="133"/>
      <c r="QTD198" s="133"/>
      <c r="QTE198" s="133"/>
      <c r="QTF198" s="133"/>
      <c r="QTG198" s="133"/>
      <c r="QTH198" s="133"/>
      <c r="QTI198" s="133"/>
      <c r="QTJ198" s="133"/>
      <c r="QTK198" s="133"/>
      <c r="QTL198" s="133"/>
      <c r="QTM198" s="133"/>
      <c r="QTN198" s="133"/>
      <c r="QTO198" s="133"/>
      <c r="QTP198" s="133"/>
      <c r="QTQ198" s="133"/>
      <c r="QTR198" s="133"/>
      <c r="QTS198" s="133"/>
      <c r="QTT198" s="133"/>
      <c r="QTU198" s="133"/>
      <c r="QTV198" s="133"/>
      <c r="QTW198" s="133"/>
      <c r="QTX198" s="133"/>
      <c r="QTY198" s="133"/>
      <c r="QTZ198" s="133"/>
      <c r="QUA198" s="133"/>
      <c r="QUB198" s="133"/>
      <c r="QUC198" s="133"/>
      <c r="QUD198" s="133"/>
      <c r="QUE198" s="133"/>
      <c r="QUF198" s="133"/>
      <c r="QUG198" s="133"/>
      <c r="QUH198" s="133"/>
      <c r="QUI198" s="133"/>
      <c r="QUJ198" s="133"/>
      <c r="QUK198" s="133"/>
      <c r="QUL198" s="133"/>
      <c r="QUM198" s="133"/>
      <c r="QUN198" s="133"/>
      <c r="QUO198" s="133"/>
      <c r="QUP198" s="133"/>
      <c r="QUQ198" s="133"/>
      <c r="QUR198" s="133"/>
      <c r="QUS198" s="133"/>
      <c r="QUT198" s="133"/>
      <c r="QUU198" s="133"/>
      <c r="QUV198" s="133"/>
      <c r="QUW198" s="133"/>
      <c r="QUX198" s="133"/>
      <c r="QUY198" s="133"/>
      <c r="QUZ198" s="133"/>
      <c r="QVA198" s="133"/>
      <c r="QVB198" s="133"/>
      <c r="QVC198" s="133"/>
      <c r="QVD198" s="133"/>
      <c r="QVE198" s="133"/>
      <c r="QVF198" s="133"/>
      <c r="QVG198" s="133"/>
      <c r="QVH198" s="133"/>
      <c r="QVI198" s="133"/>
      <c r="QVJ198" s="133"/>
      <c r="QVK198" s="133"/>
      <c r="QVL198" s="133"/>
      <c r="QVM198" s="133"/>
      <c r="QVN198" s="133"/>
      <c r="QVO198" s="133"/>
      <c r="QVP198" s="133"/>
      <c r="QVQ198" s="133"/>
      <c r="QVR198" s="133"/>
      <c r="QVS198" s="133"/>
      <c r="QVT198" s="133"/>
      <c r="QVU198" s="133"/>
      <c r="QVV198" s="133"/>
      <c r="QVW198" s="133"/>
      <c r="QVX198" s="133"/>
      <c r="QVY198" s="133"/>
      <c r="QVZ198" s="133"/>
      <c r="QWA198" s="133"/>
      <c r="QWB198" s="133"/>
      <c r="QWC198" s="133"/>
      <c r="QWD198" s="133"/>
      <c r="QWE198" s="133"/>
      <c r="QWF198" s="133"/>
      <c r="QWG198" s="133"/>
      <c r="QWH198" s="133"/>
      <c r="QWI198" s="133"/>
      <c r="QWJ198" s="133"/>
      <c r="QWK198" s="133"/>
      <c r="QWL198" s="133"/>
      <c r="QWM198" s="133"/>
      <c r="QWN198" s="133"/>
      <c r="QWO198" s="133"/>
      <c r="QWP198" s="133"/>
      <c r="QWQ198" s="133"/>
      <c r="QWR198" s="133"/>
      <c r="QWS198" s="133"/>
      <c r="QWT198" s="133"/>
      <c r="QWU198" s="133"/>
      <c r="QWV198" s="133"/>
      <c r="QWW198" s="133"/>
      <c r="QWX198" s="133"/>
      <c r="QWY198" s="133"/>
      <c r="QWZ198" s="133"/>
      <c r="QXA198" s="133"/>
      <c r="QXB198" s="133"/>
      <c r="QXC198" s="133"/>
      <c r="QXD198" s="133"/>
      <c r="QXE198" s="133"/>
      <c r="QXF198" s="133"/>
      <c r="QXG198" s="133"/>
      <c r="QXH198" s="133"/>
      <c r="QXI198" s="133"/>
      <c r="QXJ198" s="133"/>
      <c r="QXK198" s="133"/>
      <c r="QXL198" s="133"/>
      <c r="QXM198" s="133"/>
      <c r="QXN198" s="133"/>
      <c r="QXO198" s="133"/>
      <c r="QXP198" s="133"/>
      <c r="QXQ198" s="133"/>
      <c r="QXR198" s="133"/>
      <c r="QXS198" s="133"/>
      <c r="QXT198" s="133"/>
      <c r="QXU198" s="133"/>
      <c r="QXV198" s="133"/>
      <c r="QXW198" s="133"/>
      <c r="QXX198" s="133"/>
      <c r="QXY198" s="133"/>
      <c r="QXZ198" s="133"/>
      <c r="QYA198" s="133"/>
      <c r="QYB198" s="133"/>
      <c r="QYC198" s="133"/>
      <c r="QYD198" s="133"/>
      <c r="QYE198" s="133"/>
      <c r="QYF198" s="133"/>
      <c r="QYG198" s="133"/>
      <c r="QYH198" s="133"/>
      <c r="QYI198" s="133"/>
      <c r="QYJ198" s="133"/>
      <c r="QYK198" s="133"/>
      <c r="QYL198" s="133"/>
      <c r="QYM198" s="133"/>
      <c r="QYN198" s="133"/>
      <c r="QYO198" s="133"/>
      <c r="QYP198" s="133"/>
      <c r="QYQ198" s="133"/>
      <c r="QYR198" s="133"/>
      <c r="QYS198" s="133"/>
      <c r="QYT198" s="133"/>
      <c r="QYU198" s="133"/>
      <c r="QYV198" s="133"/>
      <c r="QYW198" s="133"/>
      <c r="QYX198" s="133"/>
      <c r="QYY198" s="133"/>
      <c r="QYZ198" s="133"/>
      <c r="QZA198" s="133"/>
      <c r="QZB198" s="133"/>
      <c r="QZC198" s="133"/>
      <c r="QZD198" s="133"/>
      <c r="QZE198" s="133"/>
      <c r="QZF198" s="133"/>
      <c r="QZG198" s="133"/>
      <c r="QZH198" s="133"/>
      <c r="QZI198" s="133"/>
      <c r="QZJ198" s="133"/>
      <c r="QZK198" s="133"/>
      <c r="QZL198" s="133"/>
      <c r="QZM198" s="133"/>
      <c r="QZN198" s="133"/>
      <c r="QZO198" s="133"/>
      <c r="QZP198" s="133"/>
      <c r="QZQ198" s="133"/>
      <c r="QZR198" s="133"/>
      <c r="QZS198" s="133"/>
      <c r="QZT198" s="133"/>
      <c r="QZU198" s="133"/>
      <c r="QZV198" s="133"/>
      <c r="QZW198" s="133"/>
      <c r="QZX198" s="133"/>
      <c r="QZY198" s="133"/>
      <c r="QZZ198" s="133"/>
      <c r="RAA198" s="133"/>
      <c r="RAB198" s="133"/>
      <c r="RAC198" s="133"/>
      <c r="RAD198" s="133"/>
      <c r="RAE198" s="133"/>
      <c r="RAF198" s="133"/>
      <c r="RAG198" s="133"/>
      <c r="RAH198" s="133"/>
      <c r="RAI198" s="133"/>
      <c r="RAJ198" s="133"/>
      <c r="RAK198" s="133"/>
      <c r="RAL198" s="133"/>
      <c r="RAM198" s="133"/>
      <c r="RAN198" s="133"/>
      <c r="RAO198" s="133"/>
      <c r="RAP198" s="133"/>
      <c r="RAQ198" s="133"/>
      <c r="RAR198" s="133"/>
      <c r="RAS198" s="133"/>
      <c r="RAT198" s="133"/>
      <c r="RAU198" s="133"/>
      <c r="RAV198" s="133"/>
      <c r="RAW198" s="133"/>
      <c r="RAX198" s="133"/>
      <c r="RAY198" s="133"/>
      <c r="RAZ198" s="133"/>
      <c r="RBA198" s="133"/>
      <c r="RBB198" s="133"/>
      <c r="RBC198" s="133"/>
      <c r="RBD198" s="133"/>
      <c r="RBE198" s="133"/>
      <c r="RBF198" s="133"/>
      <c r="RBG198" s="133"/>
      <c r="RBH198" s="133"/>
      <c r="RBI198" s="133"/>
      <c r="RBJ198" s="133"/>
      <c r="RBK198" s="133"/>
      <c r="RBL198" s="133"/>
      <c r="RBM198" s="133"/>
      <c r="RBN198" s="133"/>
      <c r="RBO198" s="133"/>
      <c r="RBP198" s="133"/>
      <c r="RBQ198" s="133"/>
      <c r="RBR198" s="133"/>
      <c r="RBS198" s="133"/>
      <c r="RBT198" s="133"/>
      <c r="RBU198" s="133"/>
      <c r="RBV198" s="133"/>
      <c r="RBW198" s="133"/>
      <c r="RBX198" s="133"/>
      <c r="RBY198" s="133"/>
      <c r="RBZ198" s="133"/>
      <c r="RCA198" s="133"/>
      <c r="RCB198" s="133"/>
      <c r="RCC198" s="133"/>
      <c r="RCD198" s="133"/>
      <c r="RCE198" s="133"/>
      <c r="RCF198" s="133"/>
      <c r="RCG198" s="133"/>
      <c r="RCH198" s="133"/>
      <c r="RCI198" s="133"/>
      <c r="RCJ198" s="133"/>
      <c r="RCK198" s="133"/>
      <c r="RCL198" s="133"/>
      <c r="RCM198" s="133"/>
      <c r="RCN198" s="133"/>
      <c r="RCO198" s="133"/>
      <c r="RCP198" s="133"/>
      <c r="RCQ198" s="133"/>
      <c r="RCR198" s="133"/>
      <c r="RCS198" s="133"/>
      <c r="RCT198" s="133"/>
      <c r="RCU198" s="133"/>
      <c r="RCV198" s="133"/>
      <c r="RCW198" s="133"/>
      <c r="RCX198" s="133"/>
      <c r="RCY198" s="133"/>
      <c r="RCZ198" s="133"/>
      <c r="RDA198" s="133"/>
      <c r="RDB198" s="133"/>
      <c r="RDC198" s="133"/>
      <c r="RDD198" s="133"/>
      <c r="RDE198" s="133"/>
      <c r="RDF198" s="133"/>
      <c r="RDG198" s="133"/>
      <c r="RDH198" s="133"/>
      <c r="RDI198" s="133"/>
      <c r="RDJ198" s="133"/>
      <c r="RDK198" s="133"/>
      <c r="RDL198" s="133"/>
      <c r="RDM198" s="133"/>
      <c r="RDN198" s="133"/>
      <c r="RDO198" s="133"/>
      <c r="RDP198" s="133"/>
      <c r="RDQ198" s="133"/>
      <c r="RDR198" s="133"/>
      <c r="RDS198" s="133"/>
      <c r="RDT198" s="133"/>
      <c r="RDU198" s="133"/>
      <c r="RDV198" s="133"/>
      <c r="RDW198" s="133"/>
      <c r="RDX198" s="133"/>
      <c r="RDY198" s="133"/>
      <c r="RDZ198" s="133"/>
      <c r="REA198" s="133"/>
      <c r="REB198" s="133"/>
      <c r="REC198" s="133"/>
      <c r="RED198" s="133"/>
      <c r="REE198" s="133"/>
      <c r="REF198" s="133"/>
      <c r="REG198" s="133"/>
      <c r="REH198" s="133"/>
      <c r="REI198" s="133"/>
      <c r="REJ198" s="133"/>
      <c r="REK198" s="133"/>
      <c r="REL198" s="133"/>
      <c r="REM198" s="133"/>
      <c r="REN198" s="133"/>
      <c r="REO198" s="133"/>
      <c r="REP198" s="133"/>
      <c r="REQ198" s="133"/>
      <c r="RER198" s="133"/>
      <c r="RES198" s="133"/>
      <c r="RET198" s="133"/>
      <c r="REU198" s="133"/>
      <c r="REV198" s="133"/>
      <c r="REW198" s="133"/>
      <c r="REX198" s="133"/>
      <c r="REY198" s="133"/>
      <c r="REZ198" s="133"/>
      <c r="RFA198" s="133"/>
      <c r="RFB198" s="133"/>
      <c r="RFC198" s="133"/>
      <c r="RFD198" s="133"/>
      <c r="RFE198" s="133"/>
      <c r="RFF198" s="133"/>
      <c r="RFG198" s="133"/>
      <c r="RFH198" s="133"/>
      <c r="RFI198" s="133"/>
      <c r="RFJ198" s="133"/>
      <c r="RFK198" s="133"/>
      <c r="RFL198" s="133"/>
      <c r="RFM198" s="133"/>
      <c r="RFN198" s="133"/>
      <c r="RFO198" s="133"/>
      <c r="RFP198" s="133"/>
      <c r="RFQ198" s="133"/>
      <c r="RFR198" s="133"/>
      <c r="RFS198" s="133"/>
      <c r="RFT198" s="133"/>
      <c r="RFU198" s="133"/>
      <c r="RFV198" s="133"/>
      <c r="RFW198" s="133"/>
      <c r="RFX198" s="133"/>
      <c r="RFY198" s="133"/>
      <c r="RFZ198" s="133"/>
      <c r="RGA198" s="133"/>
      <c r="RGB198" s="133"/>
      <c r="RGC198" s="133"/>
      <c r="RGD198" s="133"/>
      <c r="RGE198" s="133"/>
      <c r="RGF198" s="133"/>
      <c r="RGG198" s="133"/>
      <c r="RGH198" s="133"/>
      <c r="RGI198" s="133"/>
      <c r="RGJ198" s="133"/>
      <c r="RGK198" s="133"/>
      <c r="RGL198" s="133"/>
      <c r="RGM198" s="133"/>
      <c r="RGN198" s="133"/>
      <c r="RGO198" s="133"/>
      <c r="RGP198" s="133"/>
      <c r="RGQ198" s="133"/>
      <c r="RGR198" s="133"/>
      <c r="RGS198" s="133"/>
      <c r="RGT198" s="133"/>
      <c r="RGU198" s="133"/>
      <c r="RGV198" s="133"/>
      <c r="RGW198" s="133"/>
      <c r="RGX198" s="133"/>
      <c r="RGY198" s="133"/>
      <c r="RGZ198" s="133"/>
      <c r="RHA198" s="133"/>
      <c r="RHB198" s="133"/>
      <c r="RHC198" s="133"/>
      <c r="RHD198" s="133"/>
      <c r="RHE198" s="133"/>
      <c r="RHF198" s="133"/>
      <c r="RHG198" s="133"/>
      <c r="RHH198" s="133"/>
      <c r="RHI198" s="133"/>
      <c r="RHJ198" s="133"/>
      <c r="RHK198" s="133"/>
      <c r="RHL198" s="133"/>
      <c r="RHM198" s="133"/>
      <c r="RHN198" s="133"/>
      <c r="RHO198" s="133"/>
      <c r="RHP198" s="133"/>
      <c r="RHQ198" s="133"/>
      <c r="RHR198" s="133"/>
      <c r="RHS198" s="133"/>
      <c r="RHT198" s="133"/>
      <c r="RHU198" s="133"/>
      <c r="RHV198" s="133"/>
      <c r="RHW198" s="133"/>
      <c r="RHX198" s="133"/>
      <c r="RHY198" s="133"/>
      <c r="RHZ198" s="133"/>
      <c r="RIA198" s="133"/>
      <c r="RIB198" s="133"/>
      <c r="RIC198" s="133"/>
      <c r="RID198" s="133"/>
      <c r="RIE198" s="133"/>
      <c r="RIF198" s="133"/>
      <c r="RIG198" s="133"/>
      <c r="RIH198" s="133"/>
      <c r="RII198" s="133"/>
      <c r="RIJ198" s="133"/>
      <c r="RIK198" s="133"/>
      <c r="RIL198" s="133"/>
      <c r="RIM198" s="133"/>
      <c r="RIN198" s="133"/>
      <c r="RIO198" s="133"/>
      <c r="RIP198" s="133"/>
      <c r="RIQ198" s="133"/>
      <c r="RIR198" s="133"/>
      <c r="RIS198" s="133"/>
      <c r="RIT198" s="133"/>
      <c r="RIU198" s="133"/>
      <c r="RIV198" s="133"/>
      <c r="RIW198" s="133"/>
      <c r="RIX198" s="133"/>
      <c r="RIY198" s="133"/>
      <c r="RIZ198" s="133"/>
      <c r="RJA198" s="133"/>
      <c r="RJB198" s="133"/>
      <c r="RJC198" s="133"/>
      <c r="RJD198" s="133"/>
      <c r="RJE198" s="133"/>
      <c r="RJF198" s="133"/>
      <c r="RJG198" s="133"/>
      <c r="RJH198" s="133"/>
      <c r="RJI198" s="133"/>
      <c r="RJJ198" s="133"/>
      <c r="RJK198" s="133"/>
      <c r="RJL198" s="133"/>
      <c r="RJM198" s="133"/>
      <c r="RJN198" s="133"/>
      <c r="RJO198" s="133"/>
      <c r="RJP198" s="133"/>
      <c r="RJQ198" s="133"/>
      <c r="RJR198" s="133"/>
      <c r="RJS198" s="133"/>
      <c r="RJT198" s="133"/>
      <c r="RJU198" s="133"/>
      <c r="RJV198" s="133"/>
      <c r="RJW198" s="133"/>
      <c r="RJX198" s="133"/>
      <c r="RJY198" s="133"/>
      <c r="RJZ198" s="133"/>
      <c r="RKA198" s="133"/>
      <c r="RKB198" s="133"/>
      <c r="RKC198" s="133"/>
      <c r="RKD198" s="133"/>
      <c r="RKE198" s="133"/>
      <c r="RKF198" s="133"/>
      <c r="RKG198" s="133"/>
      <c r="RKH198" s="133"/>
      <c r="RKI198" s="133"/>
      <c r="RKJ198" s="133"/>
      <c r="RKK198" s="133"/>
      <c r="RKL198" s="133"/>
      <c r="RKM198" s="133"/>
      <c r="RKN198" s="133"/>
      <c r="RKO198" s="133"/>
      <c r="RKP198" s="133"/>
      <c r="RKQ198" s="133"/>
      <c r="RKR198" s="133"/>
      <c r="RKS198" s="133"/>
      <c r="RKT198" s="133"/>
      <c r="RKU198" s="133"/>
      <c r="RKV198" s="133"/>
      <c r="RKW198" s="133"/>
      <c r="RKX198" s="133"/>
      <c r="RKY198" s="133"/>
      <c r="RKZ198" s="133"/>
      <c r="RLA198" s="133"/>
      <c r="RLB198" s="133"/>
      <c r="RLC198" s="133"/>
      <c r="RLD198" s="133"/>
      <c r="RLE198" s="133"/>
      <c r="RLF198" s="133"/>
      <c r="RLG198" s="133"/>
      <c r="RLH198" s="133"/>
      <c r="RLI198" s="133"/>
      <c r="RLJ198" s="133"/>
      <c r="RLK198" s="133"/>
      <c r="RLL198" s="133"/>
      <c r="RLM198" s="133"/>
      <c r="RLN198" s="133"/>
      <c r="RLO198" s="133"/>
      <c r="RLP198" s="133"/>
      <c r="RLQ198" s="133"/>
      <c r="RLR198" s="133"/>
      <c r="RLS198" s="133"/>
      <c r="RLT198" s="133"/>
      <c r="RLU198" s="133"/>
      <c r="RLV198" s="133"/>
      <c r="RLW198" s="133"/>
      <c r="RLX198" s="133"/>
      <c r="RLY198" s="133"/>
      <c r="RLZ198" s="133"/>
      <c r="RMA198" s="133"/>
      <c r="RMB198" s="133"/>
      <c r="RMC198" s="133"/>
      <c r="RMD198" s="133"/>
      <c r="RME198" s="133"/>
      <c r="RMF198" s="133"/>
      <c r="RMG198" s="133"/>
      <c r="RMH198" s="133"/>
      <c r="RMI198" s="133"/>
      <c r="RMJ198" s="133"/>
      <c r="RMK198" s="133"/>
      <c r="RML198" s="133"/>
      <c r="RMM198" s="133"/>
      <c r="RMN198" s="133"/>
      <c r="RMO198" s="133"/>
      <c r="RMP198" s="133"/>
      <c r="RMQ198" s="133"/>
      <c r="RMR198" s="133"/>
      <c r="RMS198" s="133"/>
      <c r="RMT198" s="133"/>
      <c r="RMU198" s="133"/>
      <c r="RMV198" s="133"/>
      <c r="RMW198" s="133"/>
      <c r="RMX198" s="133"/>
      <c r="RMY198" s="133"/>
      <c r="RMZ198" s="133"/>
      <c r="RNA198" s="133"/>
      <c r="RNB198" s="133"/>
      <c r="RNC198" s="133"/>
      <c r="RND198" s="133"/>
      <c r="RNE198" s="133"/>
      <c r="RNF198" s="133"/>
      <c r="RNG198" s="133"/>
      <c r="RNH198" s="133"/>
      <c r="RNI198" s="133"/>
      <c r="RNJ198" s="133"/>
      <c r="RNK198" s="133"/>
      <c r="RNL198" s="133"/>
      <c r="RNM198" s="133"/>
      <c r="RNN198" s="133"/>
      <c r="RNO198" s="133"/>
      <c r="RNP198" s="133"/>
      <c r="RNQ198" s="133"/>
      <c r="RNR198" s="133"/>
      <c r="RNS198" s="133"/>
      <c r="RNT198" s="133"/>
      <c r="RNU198" s="133"/>
      <c r="RNV198" s="133"/>
      <c r="RNW198" s="133"/>
      <c r="RNX198" s="133"/>
      <c r="RNY198" s="133"/>
      <c r="RNZ198" s="133"/>
      <c r="ROA198" s="133"/>
      <c r="ROB198" s="133"/>
      <c r="ROC198" s="133"/>
      <c r="ROD198" s="133"/>
      <c r="ROE198" s="133"/>
      <c r="ROF198" s="133"/>
      <c r="ROG198" s="133"/>
      <c r="ROH198" s="133"/>
      <c r="ROI198" s="133"/>
      <c r="ROJ198" s="133"/>
      <c r="ROK198" s="133"/>
      <c r="ROL198" s="133"/>
      <c r="ROM198" s="133"/>
      <c r="RON198" s="133"/>
      <c r="ROO198" s="133"/>
      <c r="ROP198" s="133"/>
      <c r="ROQ198" s="133"/>
      <c r="ROR198" s="133"/>
      <c r="ROS198" s="133"/>
      <c r="ROT198" s="133"/>
      <c r="ROU198" s="133"/>
      <c r="ROV198" s="133"/>
      <c r="ROW198" s="133"/>
      <c r="ROX198" s="133"/>
      <c r="ROY198" s="133"/>
      <c r="ROZ198" s="133"/>
      <c r="RPA198" s="133"/>
      <c r="RPB198" s="133"/>
      <c r="RPC198" s="133"/>
      <c r="RPD198" s="133"/>
      <c r="RPE198" s="133"/>
      <c r="RPF198" s="133"/>
      <c r="RPG198" s="133"/>
      <c r="RPH198" s="133"/>
      <c r="RPI198" s="133"/>
      <c r="RPJ198" s="133"/>
      <c r="RPK198" s="133"/>
      <c r="RPL198" s="133"/>
      <c r="RPM198" s="133"/>
      <c r="RPN198" s="133"/>
      <c r="RPO198" s="133"/>
      <c r="RPP198" s="133"/>
      <c r="RPQ198" s="133"/>
      <c r="RPR198" s="133"/>
      <c r="RPS198" s="133"/>
      <c r="RPT198" s="133"/>
      <c r="RPU198" s="133"/>
      <c r="RPV198" s="133"/>
      <c r="RPW198" s="133"/>
      <c r="RPX198" s="133"/>
      <c r="RPY198" s="133"/>
      <c r="RPZ198" s="133"/>
      <c r="RQA198" s="133"/>
      <c r="RQB198" s="133"/>
      <c r="RQC198" s="133"/>
      <c r="RQD198" s="133"/>
      <c r="RQE198" s="133"/>
      <c r="RQF198" s="133"/>
      <c r="RQG198" s="133"/>
      <c r="RQH198" s="133"/>
      <c r="RQI198" s="133"/>
      <c r="RQJ198" s="133"/>
      <c r="RQK198" s="133"/>
      <c r="RQL198" s="133"/>
      <c r="RQM198" s="133"/>
      <c r="RQN198" s="133"/>
      <c r="RQO198" s="133"/>
      <c r="RQP198" s="133"/>
      <c r="RQQ198" s="133"/>
      <c r="RQR198" s="133"/>
      <c r="RQS198" s="133"/>
      <c r="RQT198" s="133"/>
      <c r="RQU198" s="133"/>
      <c r="RQV198" s="133"/>
      <c r="RQW198" s="133"/>
      <c r="RQX198" s="133"/>
      <c r="RQY198" s="133"/>
      <c r="RQZ198" s="133"/>
      <c r="RRA198" s="133"/>
      <c r="RRB198" s="133"/>
      <c r="RRC198" s="133"/>
      <c r="RRD198" s="133"/>
      <c r="RRE198" s="133"/>
      <c r="RRF198" s="133"/>
      <c r="RRG198" s="133"/>
      <c r="RRH198" s="133"/>
      <c r="RRI198" s="133"/>
      <c r="RRJ198" s="133"/>
      <c r="RRK198" s="133"/>
      <c r="RRL198" s="133"/>
      <c r="RRM198" s="133"/>
      <c r="RRN198" s="133"/>
      <c r="RRO198" s="133"/>
      <c r="RRP198" s="133"/>
      <c r="RRQ198" s="133"/>
      <c r="RRR198" s="133"/>
      <c r="RRS198" s="133"/>
      <c r="RRT198" s="133"/>
      <c r="RRU198" s="133"/>
      <c r="RRV198" s="133"/>
      <c r="RRW198" s="133"/>
      <c r="RRX198" s="133"/>
      <c r="RRY198" s="133"/>
      <c r="RRZ198" s="133"/>
      <c r="RSA198" s="133"/>
      <c r="RSB198" s="133"/>
      <c r="RSC198" s="133"/>
      <c r="RSD198" s="133"/>
      <c r="RSE198" s="133"/>
      <c r="RSF198" s="133"/>
      <c r="RSG198" s="133"/>
      <c r="RSH198" s="133"/>
      <c r="RSI198" s="133"/>
      <c r="RSJ198" s="133"/>
      <c r="RSK198" s="133"/>
      <c r="RSL198" s="133"/>
      <c r="RSM198" s="133"/>
      <c r="RSN198" s="133"/>
      <c r="RSO198" s="133"/>
      <c r="RSP198" s="133"/>
      <c r="RSQ198" s="133"/>
      <c r="RSR198" s="133"/>
      <c r="RSS198" s="133"/>
      <c r="RST198" s="133"/>
      <c r="RSU198" s="133"/>
      <c r="RSV198" s="133"/>
      <c r="RSW198" s="133"/>
      <c r="RSX198" s="133"/>
      <c r="RSY198" s="133"/>
      <c r="RSZ198" s="133"/>
      <c r="RTA198" s="133"/>
      <c r="RTB198" s="133"/>
      <c r="RTC198" s="133"/>
      <c r="RTD198" s="133"/>
      <c r="RTE198" s="133"/>
      <c r="RTF198" s="133"/>
      <c r="RTG198" s="133"/>
      <c r="RTH198" s="133"/>
      <c r="RTI198" s="133"/>
      <c r="RTJ198" s="133"/>
      <c r="RTK198" s="133"/>
      <c r="RTL198" s="133"/>
      <c r="RTM198" s="133"/>
      <c r="RTN198" s="133"/>
      <c r="RTO198" s="133"/>
      <c r="RTP198" s="133"/>
      <c r="RTQ198" s="133"/>
      <c r="RTR198" s="133"/>
      <c r="RTS198" s="133"/>
      <c r="RTT198" s="133"/>
      <c r="RTU198" s="133"/>
      <c r="RTV198" s="133"/>
      <c r="RTW198" s="133"/>
      <c r="RTX198" s="133"/>
      <c r="RTY198" s="133"/>
      <c r="RTZ198" s="133"/>
      <c r="RUA198" s="133"/>
      <c r="RUB198" s="133"/>
      <c r="RUC198" s="133"/>
      <c r="RUD198" s="133"/>
      <c r="RUE198" s="133"/>
      <c r="RUF198" s="133"/>
      <c r="RUG198" s="133"/>
      <c r="RUH198" s="133"/>
      <c r="RUI198" s="133"/>
      <c r="RUJ198" s="133"/>
      <c r="RUK198" s="133"/>
      <c r="RUL198" s="133"/>
      <c r="RUM198" s="133"/>
      <c r="RUN198" s="133"/>
      <c r="RUO198" s="133"/>
      <c r="RUP198" s="133"/>
      <c r="RUQ198" s="133"/>
      <c r="RUR198" s="133"/>
      <c r="RUS198" s="133"/>
      <c r="RUT198" s="133"/>
      <c r="RUU198" s="133"/>
      <c r="RUV198" s="133"/>
      <c r="RUW198" s="133"/>
      <c r="RUX198" s="133"/>
      <c r="RUY198" s="133"/>
      <c r="RUZ198" s="133"/>
      <c r="RVA198" s="133"/>
      <c r="RVB198" s="133"/>
      <c r="RVC198" s="133"/>
      <c r="RVD198" s="133"/>
      <c r="RVE198" s="133"/>
      <c r="RVF198" s="133"/>
      <c r="RVG198" s="133"/>
      <c r="RVH198" s="133"/>
      <c r="RVI198" s="133"/>
      <c r="RVJ198" s="133"/>
      <c r="RVK198" s="133"/>
      <c r="RVL198" s="133"/>
      <c r="RVM198" s="133"/>
      <c r="RVN198" s="133"/>
      <c r="RVO198" s="133"/>
      <c r="RVP198" s="133"/>
      <c r="RVQ198" s="133"/>
      <c r="RVR198" s="133"/>
      <c r="RVS198" s="133"/>
      <c r="RVT198" s="133"/>
      <c r="RVU198" s="133"/>
      <c r="RVV198" s="133"/>
      <c r="RVW198" s="133"/>
      <c r="RVX198" s="133"/>
      <c r="RVY198" s="133"/>
      <c r="RVZ198" s="133"/>
      <c r="RWA198" s="133"/>
      <c r="RWB198" s="133"/>
      <c r="RWC198" s="133"/>
      <c r="RWD198" s="133"/>
      <c r="RWE198" s="133"/>
      <c r="RWF198" s="133"/>
      <c r="RWG198" s="133"/>
      <c r="RWH198" s="133"/>
      <c r="RWI198" s="133"/>
      <c r="RWJ198" s="133"/>
      <c r="RWK198" s="133"/>
      <c r="RWL198" s="133"/>
      <c r="RWM198" s="133"/>
      <c r="RWN198" s="133"/>
      <c r="RWO198" s="133"/>
      <c r="RWP198" s="133"/>
      <c r="RWQ198" s="133"/>
      <c r="RWR198" s="133"/>
      <c r="RWS198" s="133"/>
      <c r="RWT198" s="133"/>
      <c r="RWU198" s="133"/>
      <c r="RWV198" s="133"/>
      <c r="RWW198" s="133"/>
      <c r="RWX198" s="133"/>
      <c r="RWY198" s="133"/>
      <c r="RWZ198" s="133"/>
      <c r="RXA198" s="133"/>
      <c r="RXB198" s="133"/>
      <c r="RXC198" s="133"/>
      <c r="RXD198" s="133"/>
      <c r="RXE198" s="133"/>
      <c r="RXF198" s="133"/>
      <c r="RXG198" s="133"/>
      <c r="RXH198" s="133"/>
      <c r="RXI198" s="133"/>
      <c r="RXJ198" s="133"/>
      <c r="RXK198" s="133"/>
      <c r="RXL198" s="133"/>
      <c r="RXM198" s="133"/>
      <c r="RXN198" s="133"/>
      <c r="RXO198" s="133"/>
      <c r="RXP198" s="133"/>
      <c r="RXQ198" s="133"/>
      <c r="RXR198" s="133"/>
      <c r="RXS198" s="133"/>
      <c r="RXT198" s="133"/>
      <c r="RXU198" s="133"/>
      <c r="RXV198" s="133"/>
      <c r="RXW198" s="133"/>
      <c r="RXX198" s="133"/>
      <c r="RXY198" s="133"/>
      <c r="RXZ198" s="133"/>
      <c r="RYA198" s="133"/>
      <c r="RYB198" s="133"/>
      <c r="RYC198" s="133"/>
      <c r="RYD198" s="133"/>
      <c r="RYE198" s="133"/>
      <c r="RYF198" s="133"/>
      <c r="RYG198" s="133"/>
      <c r="RYH198" s="133"/>
      <c r="RYI198" s="133"/>
      <c r="RYJ198" s="133"/>
      <c r="RYK198" s="133"/>
      <c r="RYL198" s="133"/>
      <c r="RYM198" s="133"/>
      <c r="RYN198" s="133"/>
      <c r="RYO198" s="133"/>
      <c r="RYP198" s="133"/>
      <c r="RYQ198" s="133"/>
      <c r="RYR198" s="133"/>
      <c r="RYS198" s="133"/>
      <c r="RYT198" s="133"/>
      <c r="RYU198" s="133"/>
      <c r="RYV198" s="133"/>
      <c r="RYW198" s="133"/>
      <c r="RYX198" s="133"/>
      <c r="RYY198" s="133"/>
      <c r="RYZ198" s="133"/>
      <c r="RZA198" s="133"/>
      <c r="RZB198" s="133"/>
      <c r="RZC198" s="133"/>
      <c r="RZD198" s="133"/>
      <c r="RZE198" s="133"/>
      <c r="RZF198" s="133"/>
      <c r="RZG198" s="133"/>
      <c r="RZH198" s="133"/>
      <c r="RZI198" s="133"/>
      <c r="RZJ198" s="133"/>
      <c r="RZK198" s="133"/>
      <c r="RZL198" s="133"/>
      <c r="RZM198" s="133"/>
      <c r="RZN198" s="133"/>
      <c r="RZO198" s="133"/>
      <c r="RZP198" s="133"/>
      <c r="RZQ198" s="133"/>
      <c r="RZR198" s="133"/>
      <c r="RZS198" s="133"/>
      <c r="RZT198" s="133"/>
      <c r="RZU198" s="133"/>
      <c r="RZV198" s="133"/>
      <c r="RZW198" s="133"/>
      <c r="RZX198" s="133"/>
      <c r="RZY198" s="133"/>
      <c r="RZZ198" s="133"/>
      <c r="SAA198" s="133"/>
      <c r="SAB198" s="133"/>
      <c r="SAC198" s="133"/>
      <c r="SAD198" s="133"/>
      <c r="SAE198" s="133"/>
      <c r="SAF198" s="133"/>
      <c r="SAG198" s="133"/>
      <c r="SAH198" s="133"/>
      <c r="SAI198" s="133"/>
      <c r="SAJ198" s="133"/>
      <c r="SAK198" s="133"/>
      <c r="SAL198" s="133"/>
      <c r="SAM198" s="133"/>
      <c r="SAN198" s="133"/>
      <c r="SAO198" s="133"/>
      <c r="SAP198" s="133"/>
      <c r="SAQ198" s="133"/>
      <c r="SAR198" s="133"/>
      <c r="SAS198" s="133"/>
      <c r="SAT198" s="133"/>
      <c r="SAU198" s="133"/>
      <c r="SAV198" s="133"/>
      <c r="SAW198" s="133"/>
      <c r="SAX198" s="133"/>
      <c r="SAY198" s="133"/>
      <c r="SAZ198" s="133"/>
      <c r="SBA198" s="133"/>
      <c r="SBB198" s="133"/>
      <c r="SBC198" s="133"/>
      <c r="SBD198" s="133"/>
      <c r="SBE198" s="133"/>
      <c r="SBF198" s="133"/>
      <c r="SBG198" s="133"/>
      <c r="SBH198" s="133"/>
      <c r="SBI198" s="133"/>
      <c r="SBJ198" s="133"/>
      <c r="SBK198" s="133"/>
      <c r="SBL198" s="133"/>
      <c r="SBM198" s="133"/>
      <c r="SBN198" s="133"/>
      <c r="SBO198" s="133"/>
      <c r="SBP198" s="133"/>
      <c r="SBQ198" s="133"/>
      <c r="SBR198" s="133"/>
      <c r="SBS198" s="133"/>
      <c r="SBT198" s="133"/>
      <c r="SBU198" s="133"/>
      <c r="SBV198" s="133"/>
      <c r="SBW198" s="133"/>
      <c r="SBX198" s="133"/>
      <c r="SBY198" s="133"/>
      <c r="SBZ198" s="133"/>
      <c r="SCA198" s="133"/>
      <c r="SCB198" s="133"/>
      <c r="SCC198" s="133"/>
      <c r="SCD198" s="133"/>
      <c r="SCE198" s="133"/>
      <c r="SCF198" s="133"/>
      <c r="SCG198" s="133"/>
      <c r="SCH198" s="133"/>
      <c r="SCI198" s="133"/>
      <c r="SCJ198" s="133"/>
      <c r="SCK198" s="133"/>
      <c r="SCL198" s="133"/>
      <c r="SCM198" s="133"/>
      <c r="SCN198" s="133"/>
      <c r="SCO198" s="133"/>
      <c r="SCP198" s="133"/>
      <c r="SCQ198" s="133"/>
      <c r="SCR198" s="133"/>
      <c r="SCS198" s="133"/>
      <c r="SCT198" s="133"/>
      <c r="SCU198" s="133"/>
      <c r="SCV198" s="133"/>
      <c r="SCW198" s="133"/>
      <c r="SCX198" s="133"/>
      <c r="SCY198" s="133"/>
      <c r="SCZ198" s="133"/>
      <c r="SDA198" s="133"/>
      <c r="SDB198" s="133"/>
      <c r="SDC198" s="133"/>
      <c r="SDD198" s="133"/>
      <c r="SDE198" s="133"/>
      <c r="SDF198" s="133"/>
      <c r="SDG198" s="133"/>
      <c r="SDH198" s="133"/>
      <c r="SDI198" s="133"/>
      <c r="SDJ198" s="133"/>
      <c r="SDK198" s="133"/>
      <c r="SDL198" s="133"/>
      <c r="SDM198" s="133"/>
      <c r="SDN198" s="133"/>
      <c r="SDO198" s="133"/>
      <c r="SDP198" s="133"/>
      <c r="SDQ198" s="133"/>
      <c r="SDR198" s="133"/>
      <c r="SDS198" s="133"/>
      <c r="SDT198" s="133"/>
      <c r="SDU198" s="133"/>
      <c r="SDV198" s="133"/>
      <c r="SDW198" s="133"/>
      <c r="SDX198" s="133"/>
      <c r="SDY198" s="133"/>
      <c r="SDZ198" s="133"/>
      <c r="SEA198" s="133"/>
      <c r="SEB198" s="133"/>
      <c r="SEC198" s="133"/>
      <c r="SED198" s="133"/>
      <c r="SEE198" s="133"/>
      <c r="SEF198" s="133"/>
      <c r="SEG198" s="133"/>
      <c r="SEH198" s="133"/>
      <c r="SEI198" s="133"/>
      <c r="SEJ198" s="133"/>
      <c r="SEK198" s="133"/>
      <c r="SEL198" s="133"/>
      <c r="SEM198" s="133"/>
      <c r="SEN198" s="133"/>
      <c r="SEO198" s="133"/>
      <c r="SEP198" s="133"/>
      <c r="SEQ198" s="133"/>
      <c r="SER198" s="133"/>
      <c r="SES198" s="133"/>
      <c r="SET198" s="133"/>
      <c r="SEU198" s="133"/>
      <c r="SEV198" s="133"/>
      <c r="SEW198" s="133"/>
      <c r="SEX198" s="133"/>
      <c r="SEY198" s="133"/>
      <c r="SEZ198" s="133"/>
      <c r="SFA198" s="133"/>
      <c r="SFB198" s="133"/>
      <c r="SFC198" s="133"/>
      <c r="SFD198" s="133"/>
      <c r="SFE198" s="133"/>
      <c r="SFF198" s="133"/>
      <c r="SFG198" s="133"/>
      <c r="SFH198" s="133"/>
      <c r="SFI198" s="133"/>
      <c r="SFJ198" s="133"/>
      <c r="SFK198" s="133"/>
      <c r="SFL198" s="133"/>
      <c r="SFM198" s="133"/>
      <c r="SFN198" s="133"/>
      <c r="SFO198" s="133"/>
      <c r="SFP198" s="133"/>
      <c r="SFQ198" s="133"/>
      <c r="SFR198" s="133"/>
      <c r="SFS198" s="133"/>
      <c r="SFT198" s="133"/>
      <c r="SFU198" s="133"/>
      <c r="SFV198" s="133"/>
      <c r="SFW198" s="133"/>
      <c r="SFX198" s="133"/>
      <c r="SFY198" s="133"/>
      <c r="SFZ198" s="133"/>
      <c r="SGA198" s="133"/>
      <c r="SGB198" s="133"/>
      <c r="SGC198" s="133"/>
      <c r="SGD198" s="133"/>
      <c r="SGE198" s="133"/>
      <c r="SGF198" s="133"/>
      <c r="SGG198" s="133"/>
      <c r="SGH198" s="133"/>
      <c r="SGI198" s="133"/>
      <c r="SGJ198" s="133"/>
      <c r="SGK198" s="133"/>
      <c r="SGL198" s="133"/>
      <c r="SGM198" s="133"/>
      <c r="SGN198" s="133"/>
      <c r="SGO198" s="133"/>
      <c r="SGP198" s="133"/>
      <c r="SGQ198" s="133"/>
      <c r="SGR198" s="133"/>
      <c r="SGS198" s="133"/>
      <c r="SGT198" s="133"/>
      <c r="SGU198" s="133"/>
      <c r="SGV198" s="133"/>
      <c r="SGW198" s="133"/>
      <c r="SGX198" s="133"/>
      <c r="SGY198" s="133"/>
      <c r="SGZ198" s="133"/>
      <c r="SHA198" s="133"/>
      <c r="SHB198" s="133"/>
      <c r="SHC198" s="133"/>
      <c r="SHD198" s="133"/>
      <c r="SHE198" s="133"/>
      <c r="SHF198" s="133"/>
      <c r="SHG198" s="133"/>
      <c r="SHH198" s="133"/>
      <c r="SHI198" s="133"/>
      <c r="SHJ198" s="133"/>
      <c r="SHK198" s="133"/>
      <c r="SHL198" s="133"/>
      <c r="SHM198" s="133"/>
      <c r="SHN198" s="133"/>
      <c r="SHO198" s="133"/>
      <c r="SHP198" s="133"/>
      <c r="SHQ198" s="133"/>
      <c r="SHR198" s="133"/>
      <c r="SHS198" s="133"/>
      <c r="SHT198" s="133"/>
      <c r="SHU198" s="133"/>
      <c r="SHV198" s="133"/>
      <c r="SHW198" s="133"/>
      <c r="SHX198" s="133"/>
      <c r="SHY198" s="133"/>
      <c r="SHZ198" s="133"/>
      <c r="SIA198" s="133"/>
      <c r="SIB198" s="133"/>
      <c r="SIC198" s="133"/>
      <c r="SID198" s="133"/>
      <c r="SIE198" s="133"/>
      <c r="SIF198" s="133"/>
      <c r="SIG198" s="133"/>
      <c r="SIH198" s="133"/>
      <c r="SII198" s="133"/>
      <c r="SIJ198" s="133"/>
      <c r="SIK198" s="133"/>
      <c r="SIL198" s="133"/>
      <c r="SIM198" s="133"/>
      <c r="SIN198" s="133"/>
      <c r="SIO198" s="133"/>
      <c r="SIP198" s="133"/>
      <c r="SIQ198" s="133"/>
      <c r="SIR198" s="133"/>
      <c r="SIS198" s="133"/>
      <c r="SIT198" s="133"/>
      <c r="SIU198" s="133"/>
      <c r="SIV198" s="133"/>
      <c r="SIW198" s="133"/>
      <c r="SIX198" s="133"/>
      <c r="SIY198" s="133"/>
      <c r="SIZ198" s="133"/>
      <c r="SJA198" s="133"/>
      <c r="SJB198" s="133"/>
      <c r="SJC198" s="133"/>
      <c r="SJD198" s="133"/>
      <c r="SJE198" s="133"/>
      <c r="SJF198" s="133"/>
      <c r="SJG198" s="133"/>
      <c r="SJH198" s="133"/>
      <c r="SJI198" s="133"/>
      <c r="SJJ198" s="133"/>
      <c r="SJK198" s="133"/>
      <c r="SJL198" s="133"/>
      <c r="SJM198" s="133"/>
      <c r="SJN198" s="133"/>
      <c r="SJO198" s="133"/>
      <c r="SJP198" s="133"/>
      <c r="SJQ198" s="133"/>
      <c r="SJR198" s="133"/>
      <c r="SJS198" s="133"/>
      <c r="SJT198" s="133"/>
      <c r="SJU198" s="133"/>
      <c r="SJV198" s="133"/>
      <c r="SJW198" s="133"/>
      <c r="SJX198" s="133"/>
      <c r="SJY198" s="133"/>
      <c r="SJZ198" s="133"/>
      <c r="SKA198" s="133"/>
      <c r="SKB198" s="133"/>
      <c r="SKC198" s="133"/>
      <c r="SKD198" s="133"/>
      <c r="SKE198" s="133"/>
      <c r="SKF198" s="133"/>
      <c r="SKG198" s="133"/>
      <c r="SKH198" s="133"/>
      <c r="SKI198" s="133"/>
      <c r="SKJ198" s="133"/>
      <c r="SKK198" s="133"/>
      <c r="SKL198" s="133"/>
      <c r="SKM198" s="133"/>
      <c r="SKN198" s="133"/>
      <c r="SKO198" s="133"/>
      <c r="SKP198" s="133"/>
      <c r="SKQ198" s="133"/>
      <c r="SKR198" s="133"/>
      <c r="SKS198" s="133"/>
      <c r="SKT198" s="133"/>
      <c r="SKU198" s="133"/>
      <c r="SKV198" s="133"/>
      <c r="SKW198" s="133"/>
      <c r="SKX198" s="133"/>
      <c r="SKY198" s="133"/>
      <c r="SKZ198" s="133"/>
      <c r="SLA198" s="133"/>
      <c r="SLB198" s="133"/>
      <c r="SLC198" s="133"/>
      <c r="SLD198" s="133"/>
      <c r="SLE198" s="133"/>
      <c r="SLF198" s="133"/>
      <c r="SLG198" s="133"/>
      <c r="SLH198" s="133"/>
      <c r="SLI198" s="133"/>
      <c r="SLJ198" s="133"/>
      <c r="SLK198" s="133"/>
      <c r="SLL198" s="133"/>
      <c r="SLM198" s="133"/>
      <c r="SLN198" s="133"/>
      <c r="SLO198" s="133"/>
      <c r="SLP198" s="133"/>
      <c r="SLQ198" s="133"/>
      <c r="SLR198" s="133"/>
      <c r="SLS198" s="133"/>
      <c r="SLT198" s="133"/>
      <c r="SLU198" s="133"/>
      <c r="SLV198" s="133"/>
      <c r="SLW198" s="133"/>
      <c r="SLX198" s="133"/>
      <c r="SLY198" s="133"/>
      <c r="SLZ198" s="133"/>
      <c r="SMA198" s="133"/>
      <c r="SMB198" s="133"/>
      <c r="SMC198" s="133"/>
      <c r="SMD198" s="133"/>
      <c r="SME198" s="133"/>
      <c r="SMF198" s="133"/>
      <c r="SMG198" s="133"/>
      <c r="SMH198" s="133"/>
      <c r="SMI198" s="133"/>
      <c r="SMJ198" s="133"/>
      <c r="SMK198" s="133"/>
      <c r="SML198" s="133"/>
      <c r="SMM198" s="133"/>
      <c r="SMN198" s="133"/>
      <c r="SMO198" s="133"/>
      <c r="SMP198" s="133"/>
      <c r="SMQ198" s="133"/>
      <c r="SMR198" s="133"/>
      <c r="SMS198" s="133"/>
      <c r="SMT198" s="133"/>
      <c r="SMU198" s="133"/>
      <c r="SMV198" s="133"/>
      <c r="SMW198" s="133"/>
      <c r="SMX198" s="133"/>
      <c r="SMY198" s="133"/>
      <c r="SMZ198" s="133"/>
      <c r="SNA198" s="133"/>
      <c r="SNB198" s="133"/>
      <c r="SNC198" s="133"/>
      <c r="SND198" s="133"/>
      <c r="SNE198" s="133"/>
      <c r="SNF198" s="133"/>
      <c r="SNG198" s="133"/>
      <c r="SNH198" s="133"/>
      <c r="SNI198" s="133"/>
      <c r="SNJ198" s="133"/>
      <c r="SNK198" s="133"/>
      <c r="SNL198" s="133"/>
      <c r="SNM198" s="133"/>
      <c r="SNN198" s="133"/>
      <c r="SNO198" s="133"/>
      <c r="SNP198" s="133"/>
      <c r="SNQ198" s="133"/>
      <c r="SNR198" s="133"/>
      <c r="SNS198" s="133"/>
      <c r="SNT198" s="133"/>
      <c r="SNU198" s="133"/>
      <c r="SNV198" s="133"/>
      <c r="SNW198" s="133"/>
      <c r="SNX198" s="133"/>
      <c r="SNY198" s="133"/>
      <c r="SNZ198" s="133"/>
      <c r="SOA198" s="133"/>
      <c r="SOB198" s="133"/>
      <c r="SOC198" s="133"/>
      <c r="SOD198" s="133"/>
      <c r="SOE198" s="133"/>
      <c r="SOF198" s="133"/>
      <c r="SOG198" s="133"/>
      <c r="SOH198" s="133"/>
      <c r="SOI198" s="133"/>
      <c r="SOJ198" s="133"/>
      <c r="SOK198" s="133"/>
      <c r="SOL198" s="133"/>
      <c r="SOM198" s="133"/>
      <c r="SON198" s="133"/>
      <c r="SOO198" s="133"/>
      <c r="SOP198" s="133"/>
      <c r="SOQ198" s="133"/>
      <c r="SOR198" s="133"/>
      <c r="SOS198" s="133"/>
      <c r="SOT198" s="133"/>
      <c r="SOU198" s="133"/>
      <c r="SOV198" s="133"/>
      <c r="SOW198" s="133"/>
      <c r="SOX198" s="133"/>
      <c r="SOY198" s="133"/>
      <c r="SOZ198" s="133"/>
      <c r="SPA198" s="133"/>
      <c r="SPB198" s="133"/>
      <c r="SPC198" s="133"/>
      <c r="SPD198" s="133"/>
      <c r="SPE198" s="133"/>
      <c r="SPF198" s="133"/>
      <c r="SPG198" s="133"/>
      <c r="SPH198" s="133"/>
      <c r="SPI198" s="133"/>
      <c r="SPJ198" s="133"/>
      <c r="SPK198" s="133"/>
      <c r="SPL198" s="133"/>
      <c r="SPM198" s="133"/>
      <c r="SPN198" s="133"/>
      <c r="SPO198" s="133"/>
      <c r="SPP198" s="133"/>
      <c r="SPQ198" s="133"/>
      <c r="SPR198" s="133"/>
      <c r="SPS198" s="133"/>
      <c r="SPT198" s="133"/>
      <c r="SPU198" s="133"/>
      <c r="SPV198" s="133"/>
      <c r="SPW198" s="133"/>
      <c r="SPX198" s="133"/>
      <c r="SPY198" s="133"/>
      <c r="SPZ198" s="133"/>
      <c r="SQA198" s="133"/>
      <c r="SQB198" s="133"/>
      <c r="SQC198" s="133"/>
      <c r="SQD198" s="133"/>
      <c r="SQE198" s="133"/>
      <c r="SQF198" s="133"/>
      <c r="SQG198" s="133"/>
      <c r="SQH198" s="133"/>
      <c r="SQI198" s="133"/>
      <c r="SQJ198" s="133"/>
      <c r="SQK198" s="133"/>
      <c r="SQL198" s="133"/>
      <c r="SQM198" s="133"/>
      <c r="SQN198" s="133"/>
      <c r="SQO198" s="133"/>
      <c r="SQP198" s="133"/>
      <c r="SQQ198" s="133"/>
      <c r="SQR198" s="133"/>
      <c r="SQS198" s="133"/>
      <c r="SQT198" s="133"/>
      <c r="SQU198" s="133"/>
      <c r="SQV198" s="133"/>
      <c r="SQW198" s="133"/>
      <c r="SQX198" s="133"/>
      <c r="SQY198" s="133"/>
      <c r="SQZ198" s="133"/>
      <c r="SRA198" s="133"/>
      <c r="SRB198" s="133"/>
      <c r="SRC198" s="133"/>
      <c r="SRD198" s="133"/>
      <c r="SRE198" s="133"/>
      <c r="SRF198" s="133"/>
      <c r="SRG198" s="133"/>
      <c r="SRH198" s="133"/>
      <c r="SRI198" s="133"/>
      <c r="SRJ198" s="133"/>
      <c r="SRK198" s="133"/>
      <c r="SRL198" s="133"/>
      <c r="SRM198" s="133"/>
      <c r="SRN198" s="133"/>
      <c r="SRO198" s="133"/>
      <c r="SRP198" s="133"/>
      <c r="SRQ198" s="133"/>
      <c r="SRR198" s="133"/>
      <c r="SRS198" s="133"/>
      <c r="SRT198" s="133"/>
      <c r="SRU198" s="133"/>
      <c r="SRV198" s="133"/>
      <c r="SRW198" s="133"/>
      <c r="SRX198" s="133"/>
      <c r="SRY198" s="133"/>
      <c r="SRZ198" s="133"/>
      <c r="SSA198" s="133"/>
      <c r="SSB198" s="133"/>
      <c r="SSC198" s="133"/>
      <c r="SSD198" s="133"/>
      <c r="SSE198" s="133"/>
      <c r="SSF198" s="133"/>
      <c r="SSG198" s="133"/>
      <c r="SSH198" s="133"/>
      <c r="SSI198" s="133"/>
      <c r="SSJ198" s="133"/>
      <c r="SSK198" s="133"/>
      <c r="SSL198" s="133"/>
      <c r="SSM198" s="133"/>
      <c r="SSN198" s="133"/>
      <c r="SSO198" s="133"/>
      <c r="SSP198" s="133"/>
      <c r="SSQ198" s="133"/>
      <c r="SSR198" s="133"/>
      <c r="SSS198" s="133"/>
      <c r="SST198" s="133"/>
      <c r="SSU198" s="133"/>
      <c r="SSV198" s="133"/>
      <c r="SSW198" s="133"/>
      <c r="SSX198" s="133"/>
      <c r="SSY198" s="133"/>
      <c r="SSZ198" s="133"/>
      <c r="STA198" s="133"/>
      <c r="STB198" s="133"/>
      <c r="STC198" s="133"/>
      <c r="STD198" s="133"/>
      <c r="STE198" s="133"/>
      <c r="STF198" s="133"/>
      <c r="STG198" s="133"/>
      <c r="STH198" s="133"/>
      <c r="STI198" s="133"/>
      <c r="STJ198" s="133"/>
      <c r="STK198" s="133"/>
      <c r="STL198" s="133"/>
      <c r="STM198" s="133"/>
      <c r="STN198" s="133"/>
      <c r="STO198" s="133"/>
      <c r="STP198" s="133"/>
      <c r="STQ198" s="133"/>
      <c r="STR198" s="133"/>
      <c r="STS198" s="133"/>
      <c r="STT198" s="133"/>
      <c r="STU198" s="133"/>
      <c r="STV198" s="133"/>
      <c r="STW198" s="133"/>
      <c r="STX198" s="133"/>
      <c r="STY198" s="133"/>
      <c r="STZ198" s="133"/>
      <c r="SUA198" s="133"/>
      <c r="SUB198" s="133"/>
      <c r="SUC198" s="133"/>
      <c r="SUD198" s="133"/>
      <c r="SUE198" s="133"/>
      <c r="SUF198" s="133"/>
      <c r="SUG198" s="133"/>
      <c r="SUH198" s="133"/>
      <c r="SUI198" s="133"/>
      <c r="SUJ198" s="133"/>
      <c r="SUK198" s="133"/>
      <c r="SUL198" s="133"/>
      <c r="SUM198" s="133"/>
      <c r="SUN198" s="133"/>
      <c r="SUO198" s="133"/>
      <c r="SUP198" s="133"/>
      <c r="SUQ198" s="133"/>
      <c r="SUR198" s="133"/>
      <c r="SUS198" s="133"/>
      <c r="SUT198" s="133"/>
      <c r="SUU198" s="133"/>
      <c r="SUV198" s="133"/>
      <c r="SUW198" s="133"/>
      <c r="SUX198" s="133"/>
      <c r="SUY198" s="133"/>
      <c r="SUZ198" s="133"/>
      <c r="SVA198" s="133"/>
      <c r="SVB198" s="133"/>
      <c r="SVC198" s="133"/>
      <c r="SVD198" s="133"/>
      <c r="SVE198" s="133"/>
      <c r="SVF198" s="133"/>
      <c r="SVG198" s="133"/>
      <c r="SVH198" s="133"/>
      <c r="SVI198" s="133"/>
      <c r="SVJ198" s="133"/>
      <c r="SVK198" s="133"/>
      <c r="SVL198" s="133"/>
      <c r="SVM198" s="133"/>
      <c r="SVN198" s="133"/>
      <c r="SVO198" s="133"/>
      <c r="SVP198" s="133"/>
      <c r="SVQ198" s="133"/>
      <c r="SVR198" s="133"/>
      <c r="SVS198" s="133"/>
      <c r="SVT198" s="133"/>
      <c r="SVU198" s="133"/>
      <c r="SVV198" s="133"/>
      <c r="SVW198" s="133"/>
      <c r="SVX198" s="133"/>
      <c r="SVY198" s="133"/>
      <c r="SVZ198" s="133"/>
      <c r="SWA198" s="133"/>
      <c r="SWB198" s="133"/>
      <c r="SWC198" s="133"/>
      <c r="SWD198" s="133"/>
      <c r="SWE198" s="133"/>
      <c r="SWF198" s="133"/>
      <c r="SWG198" s="133"/>
      <c r="SWH198" s="133"/>
      <c r="SWI198" s="133"/>
      <c r="SWJ198" s="133"/>
      <c r="SWK198" s="133"/>
      <c r="SWL198" s="133"/>
      <c r="SWM198" s="133"/>
      <c r="SWN198" s="133"/>
      <c r="SWO198" s="133"/>
      <c r="SWP198" s="133"/>
      <c r="SWQ198" s="133"/>
      <c r="SWR198" s="133"/>
      <c r="SWS198" s="133"/>
      <c r="SWT198" s="133"/>
      <c r="SWU198" s="133"/>
      <c r="SWV198" s="133"/>
      <c r="SWW198" s="133"/>
      <c r="SWX198" s="133"/>
      <c r="SWY198" s="133"/>
      <c r="SWZ198" s="133"/>
      <c r="SXA198" s="133"/>
      <c r="SXB198" s="133"/>
      <c r="SXC198" s="133"/>
      <c r="SXD198" s="133"/>
      <c r="SXE198" s="133"/>
      <c r="SXF198" s="133"/>
      <c r="SXG198" s="133"/>
      <c r="SXH198" s="133"/>
      <c r="SXI198" s="133"/>
      <c r="SXJ198" s="133"/>
      <c r="SXK198" s="133"/>
      <c r="SXL198" s="133"/>
      <c r="SXM198" s="133"/>
      <c r="SXN198" s="133"/>
      <c r="SXO198" s="133"/>
      <c r="SXP198" s="133"/>
      <c r="SXQ198" s="133"/>
      <c r="SXR198" s="133"/>
      <c r="SXS198" s="133"/>
      <c r="SXT198" s="133"/>
      <c r="SXU198" s="133"/>
      <c r="SXV198" s="133"/>
      <c r="SXW198" s="133"/>
      <c r="SXX198" s="133"/>
      <c r="SXY198" s="133"/>
      <c r="SXZ198" s="133"/>
      <c r="SYA198" s="133"/>
      <c r="SYB198" s="133"/>
      <c r="SYC198" s="133"/>
      <c r="SYD198" s="133"/>
      <c r="SYE198" s="133"/>
      <c r="SYF198" s="133"/>
      <c r="SYG198" s="133"/>
      <c r="SYH198" s="133"/>
      <c r="SYI198" s="133"/>
      <c r="SYJ198" s="133"/>
      <c r="SYK198" s="133"/>
      <c r="SYL198" s="133"/>
      <c r="SYM198" s="133"/>
      <c r="SYN198" s="133"/>
      <c r="SYO198" s="133"/>
      <c r="SYP198" s="133"/>
      <c r="SYQ198" s="133"/>
      <c r="SYR198" s="133"/>
      <c r="SYS198" s="133"/>
      <c r="SYT198" s="133"/>
      <c r="SYU198" s="133"/>
      <c r="SYV198" s="133"/>
      <c r="SYW198" s="133"/>
      <c r="SYX198" s="133"/>
      <c r="SYY198" s="133"/>
      <c r="SYZ198" s="133"/>
      <c r="SZA198" s="133"/>
      <c r="SZB198" s="133"/>
      <c r="SZC198" s="133"/>
      <c r="SZD198" s="133"/>
      <c r="SZE198" s="133"/>
      <c r="SZF198" s="133"/>
      <c r="SZG198" s="133"/>
      <c r="SZH198" s="133"/>
      <c r="SZI198" s="133"/>
      <c r="SZJ198" s="133"/>
      <c r="SZK198" s="133"/>
      <c r="SZL198" s="133"/>
      <c r="SZM198" s="133"/>
      <c r="SZN198" s="133"/>
      <c r="SZO198" s="133"/>
      <c r="SZP198" s="133"/>
      <c r="SZQ198" s="133"/>
      <c r="SZR198" s="133"/>
      <c r="SZS198" s="133"/>
      <c r="SZT198" s="133"/>
      <c r="SZU198" s="133"/>
      <c r="SZV198" s="133"/>
      <c r="SZW198" s="133"/>
      <c r="SZX198" s="133"/>
      <c r="SZY198" s="133"/>
      <c r="SZZ198" s="133"/>
      <c r="TAA198" s="133"/>
      <c r="TAB198" s="133"/>
      <c r="TAC198" s="133"/>
      <c r="TAD198" s="133"/>
      <c r="TAE198" s="133"/>
      <c r="TAF198" s="133"/>
      <c r="TAG198" s="133"/>
      <c r="TAH198" s="133"/>
      <c r="TAI198" s="133"/>
      <c r="TAJ198" s="133"/>
      <c r="TAK198" s="133"/>
      <c r="TAL198" s="133"/>
      <c r="TAM198" s="133"/>
      <c r="TAN198" s="133"/>
      <c r="TAO198" s="133"/>
      <c r="TAP198" s="133"/>
      <c r="TAQ198" s="133"/>
      <c r="TAR198" s="133"/>
      <c r="TAS198" s="133"/>
      <c r="TAT198" s="133"/>
      <c r="TAU198" s="133"/>
      <c r="TAV198" s="133"/>
      <c r="TAW198" s="133"/>
      <c r="TAX198" s="133"/>
      <c r="TAY198" s="133"/>
      <c r="TAZ198" s="133"/>
      <c r="TBA198" s="133"/>
      <c r="TBB198" s="133"/>
      <c r="TBC198" s="133"/>
      <c r="TBD198" s="133"/>
      <c r="TBE198" s="133"/>
      <c r="TBF198" s="133"/>
      <c r="TBG198" s="133"/>
      <c r="TBH198" s="133"/>
      <c r="TBI198" s="133"/>
      <c r="TBJ198" s="133"/>
      <c r="TBK198" s="133"/>
      <c r="TBL198" s="133"/>
      <c r="TBM198" s="133"/>
      <c r="TBN198" s="133"/>
      <c r="TBO198" s="133"/>
      <c r="TBP198" s="133"/>
      <c r="TBQ198" s="133"/>
      <c r="TBR198" s="133"/>
      <c r="TBS198" s="133"/>
      <c r="TBT198" s="133"/>
      <c r="TBU198" s="133"/>
      <c r="TBV198" s="133"/>
      <c r="TBW198" s="133"/>
      <c r="TBX198" s="133"/>
      <c r="TBY198" s="133"/>
      <c r="TBZ198" s="133"/>
      <c r="TCA198" s="133"/>
      <c r="TCB198" s="133"/>
      <c r="TCC198" s="133"/>
      <c r="TCD198" s="133"/>
      <c r="TCE198" s="133"/>
      <c r="TCF198" s="133"/>
      <c r="TCG198" s="133"/>
      <c r="TCH198" s="133"/>
      <c r="TCI198" s="133"/>
      <c r="TCJ198" s="133"/>
      <c r="TCK198" s="133"/>
      <c r="TCL198" s="133"/>
      <c r="TCM198" s="133"/>
      <c r="TCN198" s="133"/>
      <c r="TCO198" s="133"/>
      <c r="TCP198" s="133"/>
      <c r="TCQ198" s="133"/>
      <c r="TCR198" s="133"/>
      <c r="TCS198" s="133"/>
      <c r="TCT198" s="133"/>
      <c r="TCU198" s="133"/>
      <c r="TCV198" s="133"/>
      <c r="TCW198" s="133"/>
      <c r="TCX198" s="133"/>
      <c r="TCY198" s="133"/>
      <c r="TCZ198" s="133"/>
      <c r="TDA198" s="133"/>
      <c r="TDB198" s="133"/>
      <c r="TDC198" s="133"/>
      <c r="TDD198" s="133"/>
      <c r="TDE198" s="133"/>
      <c r="TDF198" s="133"/>
      <c r="TDG198" s="133"/>
      <c r="TDH198" s="133"/>
      <c r="TDI198" s="133"/>
      <c r="TDJ198" s="133"/>
      <c r="TDK198" s="133"/>
      <c r="TDL198" s="133"/>
      <c r="TDM198" s="133"/>
      <c r="TDN198" s="133"/>
      <c r="TDO198" s="133"/>
      <c r="TDP198" s="133"/>
      <c r="TDQ198" s="133"/>
      <c r="TDR198" s="133"/>
      <c r="TDS198" s="133"/>
      <c r="TDT198" s="133"/>
      <c r="TDU198" s="133"/>
      <c r="TDV198" s="133"/>
      <c r="TDW198" s="133"/>
      <c r="TDX198" s="133"/>
      <c r="TDY198" s="133"/>
      <c r="TDZ198" s="133"/>
      <c r="TEA198" s="133"/>
      <c r="TEB198" s="133"/>
      <c r="TEC198" s="133"/>
      <c r="TED198" s="133"/>
      <c r="TEE198" s="133"/>
      <c r="TEF198" s="133"/>
      <c r="TEG198" s="133"/>
      <c r="TEH198" s="133"/>
      <c r="TEI198" s="133"/>
      <c r="TEJ198" s="133"/>
      <c r="TEK198" s="133"/>
      <c r="TEL198" s="133"/>
      <c r="TEM198" s="133"/>
      <c r="TEN198" s="133"/>
      <c r="TEO198" s="133"/>
      <c r="TEP198" s="133"/>
      <c r="TEQ198" s="133"/>
      <c r="TER198" s="133"/>
      <c r="TES198" s="133"/>
      <c r="TET198" s="133"/>
      <c r="TEU198" s="133"/>
      <c r="TEV198" s="133"/>
      <c r="TEW198" s="133"/>
      <c r="TEX198" s="133"/>
      <c r="TEY198" s="133"/>
      <c r="TEZ198" s="133"/>
      <c r="TFA198" s="133"/>
      <c r="TFB198" s="133"/>
      <c r="TFC198" s="133"/>
      <c r="TFD198" s="133"/>
      <c r="TFE198" s="133"/>
      <c r="TFF198" s="133"/>
      <c r="TFG198" s="133"/>
      <c r="TFH198" s="133"/>
      <c r="TFI198" s="133"/>
      <c r="TFJ198" s="133"/>
      <c r="TFK198" s="133"/>
      <c r="TFL198" s="133"/>
      <c r="TFM198" s="133"/>
      <c r="TFN198" s="133"/>
      <c r="TFO198" s="133"/>
      <c r="TFP198" s="133"/>
      <c r="TFQ198" s="133"/>
      <c r="TFR198" s="133"/>
      <c r="TFS198" s="133"/>
      <c r="TFT198" s="133"/>
      <c r="TFU198" s="133"/>
      <c r="TFV198" s="133"/>
      <c r="TFW198" s="133"/>
      <c r="TFX198" s="133"/>
      <c r="TFY198" s="133"/>
      <c r="TFZ198" s="133"/>
      <c r="TGA198" s="133"/>
      <c r="TGB198" s="133"/>
      <c r="TGC198" s="133"/>
      <c r="TGD198" s="133"/>
      <c r="TGE198" s="133"/>
      <c r="TGF198" s="133"/>
      <c r="TGG198" s="133"/>
      <c r="TGH198" s="133"/>
      <c r="TGI198" s="133"/>
      <c r="TGJ198" s="133"/>
      <c r="TGK198" s="133"/>
      <c r="TGL198" s="133"/>
      <c r="TGM198" s="133"/>
      <c r="TGN198" s="133"/>
      <c r="TGO198" s="133"/>
      <c r="TGP198" s="133"/>
      <c r="TGQ198" s="133"/>
      <c r="TGR198" s="133"/>
      <c r="TGS198" s="133"/>
      <c r="TGT198" s="133"/>
      <c r="TGU198" s="133"/>
      <c r="TGV198" s="133"/>
      <c r="TGW198" s="133"/>
      <c r="TGX198" s="133"/>
      <c r="TGY198" s="133"/>
      <c r="TGZ198" s="133"/>
      <c r="THA198" s="133"/>
      <c r="THB198" s="133"/>
      <c r="THC198" s="133"/>
      <c r="THD198" s="133"/>
      <c r="THE198" s="133"/>
      <c r="THF198" s="133"/>
      <c r="THG198" s="133"/>
      <c r="THH198" s="133"/>
      <c r="THI198" s="133"/>
      <c r="THJ198" s="133"/>
      <c r="THK198" s="133"/>
      <c r="THL198" s="133"/>
      <c r="THM198" s="133"/>
      <c r="THN198" s="133"/>
      <c r="THO198" s="133"/>
      <c r="THP198" s="133"/>
      <c r="THQ198" s="133"/>
      <c r="THR198" s="133"/>
      <c r="THS198" s="133"/>
      <c r="THT198" s="133"/>
      <c r="THU198" s="133"/>
      <c r="THV198" s="133"/>
      <c r="THW198" s="133"/>
      <c r="THX198" s="133"/>
      <c r="THY198" s="133"/>
      <c r="THZ198" s="133"/>
      <c r="TIA198" s="133"/>
      <c r="TIB198" s="133"/>
      <c r="TIC198" s="133"/>
      <c r="TID198" s="133"/>
      <c r="TIE198" s="133"/>
      <c r="TIF198" s="133"/>
      <c r="TIG198" s="133"/>
      <c r="TIH198" s="133"/>
      <c r="TII198" s="133"/>
      <c r="TIJ198" s="133"/>
      <c r="TIK198" s="133"/>
      <c r="TIL198" s="133"/>
      <c r="TIM198" s="133"/>
      <c r="TIN198" s="133"/>
      <c r="TIO198" s="133"/>
      <c r="TIP198" s="133"/>
      <c r="TIQ198" s="133"/>
      <c r="TIR198" s="133"/>
      <c r="TIS198" s="133"/>
      <c r="TIT198" s="133"/>
      <c r="TIU198" s="133"/>
      <c r="TIV198" s="133"/>
      <c r="TIW198" s="133"/>
      <c r="TIX198" s="133"/>
      <c r="TIY198" s="133"/>
      <c r="TIZ198" s="133"/>
      <c r="TJA198" s="133"/>
      <c r="TJB198" s="133"/>
      <c r="TJC198" s="133"/>
      <c r="TJD198" s="133"/>
      <c r="TJE198" s="133"/>
      <c r="TJF198" s="133"/>
      <c r="TJG198" s="133"/>
      <c r="TJH198" s="133"/>
      <c r="TJI198" s="133"/>
      <c r="TJJ198" s="133"/>
      <c r="TJK198" s="133"/>
      <c r="TJL198" s="133"/>
      <c r="TJM198" s="133"/>
      <c r="TJN198" s="133"/>
      <c r="TJO198" s="133"/>
      <c r="TJP198" s="133"/>
      <c r="TJQ198" s="133"/>
      <c r="TJR198" s="133"/>
      <c r="TJS198" s="133"/>
      <c r="TJT198" s="133"/>
      <c r="TJU198" s="133"/>
      <c r="TJV198" s="133"/>
      <c r="TJW198" s="133"/>
      <c r="TJX198" s="133"/>
      <c r="TJY198" s="133"/>
      <c r="TJZ198" s="133"/>
      <c r="TKA198" s="133"/>
      <c r="TKB198" s="133"/>
      <c r="TKC198" s="133"/>
      <c r="TKD198" s="133"/>
      <c r="TKE198" s="133"/>
      <c r="TKF198" s="133"/>
      <c r="TKG198" s="133"/>
      <c r="TKH198" s="133"/>
      <c r="TKI198" s="133"/>
      <c r="TKJ198" s="133"/>
      <c r="TKK198" s="133"/>
      <c r="TKL198" s="133"/>
      <c r="TKM198" s="133"/>
      <c r="TKN198" s="133"/>
      <c r="TKO198" s="133"/>
      <c r="TKP198" s="133"/>
      <c r="TKQ198" s="133"/>
      <c r="TKR198" s="133"/>
      <c r="TKS198" s="133"/>
      <c r="TKT198" s="133"/>
      <c r="TKU198" s="133"/>
      <c r="TKV198" s="133"/>
      <c r="TKW198" s="133"/>
      <c r="TKX198" s="133"/>
      <c r="TKY198" s="133"/>
      <c r="TKZ198" s="133"/>
      <c r="TLA198" s="133"/>
      <c r="TLB198" s="133"/>
      <c r="TLC198" s="133"/>
      <c r="TLD198" s="133"/>
      <c r="TLE198" s="133"/>
      <c r="TLF198" s="133"/>
      <c r="TLG198" s="133"/>
      <c r="TLH198" s="133"/>
      <c r="TLI198" s="133"/>
      <c r="TLJ198" s="133"/>
      <c r="TLK198" s="133"/>
      <c r="TLL198" s="133"/>
      <c r="TLM198" s="133"/>
      <c r="TLN198" s="133"/>
      <c r="TLO198" s="133"/>
      <c r="TLP198" s="133"/>
      <c r="TLQ198" s="133"/>
      <c r="TLR198" s="133"/>
      <c r="TLS198" s="133"/>
      <c r="TLT198" s="133"/>
      <c r="TLU198" s="133"/>
      <c r="TLV198" s="133"/>
      <c r="TLW198" s="133"/>
      <c r="TLX198" s="133"/>
      <c r="TLY198" s="133"/>
      <c r="TLZ198" s="133"/>
      <c r="TMA198" s="133"/>
      <c r="TMB198" s="133"/>
      <c r="TMC198" s="133"/>
      <c r="TMD198" s="133"/>
      <c r="TME198" s="133"/>
      <c r="TMF198" s="133"/>
      <c r="TMG198" s="133"/>
      <c r="TMH198" s="133"/>
      <c r="TMI198" s="133"/>
      <c r="TMJ198" s="133"/>
      <c r="TMK198" s="133"/>
      <c r="TML198" s="133"/>
      <c r="TMM198" s="133"/>
      <c r="TMN198" s="133"/>
      <c r="TMO198" s="133"/>
      <c r="TMP198" s="133"/>
      <c r="TMQ198" s="133"/>
      <c r="TMR198" s="133"/>
      <c r="TMS198" s="133"/>
      <c r="TMT198" s="133"/>
      <c r="TMU198" s="133"/>
      <c r="TMV198" s="133"/>
      <c r="TMW198" s="133"/>
      <c r="TMX198" s="133"/>
      <c r="TMY198" s="133"/>
      <c r="TMZ198" s="133"/>
      <c r="TNA198" s="133"/>
      <c r="TNB198" s="133"/>
      <c r="TNC198" s="133"/>
      <c r="TND198" s="133"/>
      <c r="TNE198" s="133"/>
      <c r="TNF198" s="133"/>
      <c r="TNG198" s="133"/>
      <c r="TNH198" s="133"/>
      <c r="TNI198" s="133"/>
      <c r="TNJ198" s="133"/>
      <c r="TNK198" s="133"/>
      <c r="TNL198" s="133"/>
      <c r="TNM198" s="133"/>
      <c r="TNN198" s="133"/>
      <c r="TNO198" s="133"/>
      <c r="TNP198" s="133"/>
      <c r="TNQ198" s="133"/>
      <c r="TNR198" s="133"/>
      <c r="TNS198" s="133"/>
      <c r="TNT198" s="133"/>
      <c r="TNU198" s="133"/>
      <c r="TNV198" s="133"/>
      <c r="TNW198" s="133"/>
      <c r="TNX198" s="133"/>
      <c r="TNY198" s="133"/>
      <c r="TNZ198" s="133"/>
      <c r="TOA198" s="133"/>
      <c r="TOB198" s="133"/>
      <c r="TOC198" s="133"/>
      <c r="TOD198" s="133"/>
      <c r="TOE198" s="133"/>
      <c r="TOF198" s="133"/>
      <c r="TOG198" s="133"/>
      <c r="TOH198" s="133"/>
      <c r="TOI198" s="133"/>
      <c r="TOJ198" s="133"/>
      <c r="TOK198" s="133"/>
      <c r="TOL198" s="133"/>
      <c r="TOM198" s="133"/>
      <c r="TON198" s="133"/>
      <c r="TOO198" s="133"/>
      <c r="TOP198" s="133"/>
      <c r="TOQ198" s="133"/>
      <c r="TOR198" s="133"/>
      <c r="TOS198" s="133"/>
      <c r="TOT198" s="133"/>
      <c r="TOU198" s="133"/>
      <c r="TOV198" s="133"/>
      <c r="TOW198" s="133"/>
      <c r="TOX198" s="133"/>
      <c r="TOY198" s="133"/>
      <c r="TOZ198" s="133"/>
      <c r="TPA198" s="133"/>
      <c r="TPB198" s="133"/>
      <c r="TPC198" s="133"/>
      <c r="TPD198" s="133"/>
      <c r="TPE198" s="133"/>
      <c r="TPF198" s="133"/>
      <c r="TPG198" s="133"/>
      <c r="TPH198" s="133"/>
      <c r="TPI198" s="133"/>
      <c r="TPJ198" s="133"/>
      <c r="TPK198" s="133"/>
      <c r="TPL198" s="133"/>
      <c r="TPM198" s="133"/>
      <c r="TPN198" s="133"/>
      <c r="TPO198" s="133"/>
      <c r="TPP198" s="133"/>
      <c r="TPQ198" s="133"/>
      <c r="TPR198" s="133"/>
      <c r="TPS198" s="133"/>
      <c r="TPT198" s="133"/>
      <c r="TPU198" s="133"/>
      <c r="TPV198" s="133"/>
      <c r="TPW198" s="133"/>
      <c r="TPX198" s="133"/>
      <c r="TPY198" s="133"/>
      <c r="TPZ198" s="133"/>
      <c r="TQA198" s="133"/>
      <c r="TQB198" s="133"/>
      <c r="TQC198" s="133"/>
      <c r="TQD198" s="133"/>
      <c r="TQE198" s="133"/>
      <c r="TQF198" s="133"/>
      <c r="TQG198" s="133"/>
      <c r="TQH198" s="133"/>
      <c r="TQI198" s="133"/>
      <c r="TQJ198" s="133"/>
      <c r="TQK198" s="133"/>
      <c r="TQL198" s="133"/>
      <c r="TQM198" s="133"/>
      <c r="TQN198" s="133"/>
      <c r="TQO198" s="133"/>
      <c r="TQP198" s="133"/>
      <c r="TQQ198" s="133"/>
      <c r="TQR198" s="133"/>
      <c r="TQS198" s="133"/>
      <c r="TQT198" s="133"/>
      <c r="TQU198" s="133"/>
      <c r="TQV198" s="133"/>
      <c r="TQW198" s="133"/>
      <c r="TQX198" s="133"/>
      <c r="TQY198" s="133"/>
      <c r="TQZ198" s="133"/>
      <c r="TRA198" s="133"/>
      <c r="TRB198" s="133"/>
      <c r="TRC198" s="133"/>
      <c r="TRD198" s="133"/>
      <c r="TRE198" s="133"/>
      <c r="TRF198" s="133"/>
      <c r="TRG198" s="133"/>
      <c r="TRH198" s="133"/>
      <c r="TRI198" s="133"/>
      <c r="TRJ198" s="133"/>
      <c r="TRK198" s="133"/>
      <c r="TRL198" s="133"/>
      <c r="TRM198" s="133"/>
      <c r="TRN198" s="133"/>
      <c r="TRO198" s="133"/>
      <c r="TRP198" s="133"/>
      <c r="TRQ198" s="133"/>
      <c r="TRR198" s="133"/>
      <c r="TRS198" s="133"/>
      <c r="TRT198" s="133"/>
      <c r="TRU198" s="133"/>
      <c r="TRV198" s="133"/>
      <c r="TRW198" s="133"/>
      <c r="TRX198" s="133"/>
      <c r="TRY198" s="133"/>
      <c r="TRZ198" s="133"/>
      <c r="TSA198" s="133"/>
      <c r="TSB198" s="133"/>
      <c r="TSC198" s="133"/>
      <c r="TSD198" s="133"/>
      <c r="TSE198" s="133"/>
      <c r="TSF198" s="133"/>
      <c r="TSG198" s="133"/>
      <c r="TSH198" s="133"/>
      <c r="TSI198" s="133"/>
      <c r="TSJ198" s="133"/>
      <c r="TSK198" s="133"/>
      <c r="TSL198" s="133"/>
      <c r="TSM198" s="133"/>
      <c r="TSN198" s="133"/>
      <c r="TSO198" s="133"/>
      <c r="TSP198" s="133"/>
      <c r="TSQ198" s="133"/>
      <c r="TSR198" s="133"/>
      <c r="TSS198" s="133"/>
      <c r="TST198" s="133"/>
      <c r="TSU198" s="133"/>
      <c r="TSV198" s="133"/>
      <c r="TSW198" s="133"/>
      <c r="TSX198" s="133"/>
      <c r="TSY198" s="133"/>
      <c r="TSZ198" s="133"/>
      <c r="TTA198" s="133"/>
      <c r="TTB198" s="133"/>
      <c r="TTC198" s="133"/>
      <c r="TTD198" s="133"/>
      <c r="TTE198" s="133"/>
      <c r="TTF198" s="133"/>
      <c r="TTG198" s="133"/>
      <c r="TTH198" s="133"/>
      <c r="TTI198" s="133"/>
      <c r="TTJ198" s="133"/>
      <c r="TTK198" s="133"/>
      <c r="TTL198" s="133"/>
      <c r="TTM198" s="133"/>
      <c r="TTN198" s="133"/>
      <c r="TTO198" s="133"/>
      <c r="TTP198" s="133"/>
      <c r="TTQ198" s="133"/>
      <c r="TTR198" s="133"/>
      <c r="TTS198" s="133"/>
      <c r="TTT198" s="133"/>
      <c r="TTU198" s="133"/>
      <c r="TTV198" s="133"/>
      <c r="TTW198" s="133"/>
      <c r="TTX198" s="133"/>
      <c r="TTY198" s="133"/>
      <c r="TTZ198" s="133"/>
      <c r="TUA198" s="133"/>
      <c r="TUB198" s="133"/>
      <c r="TUC198" s="133"/>
      <c r="TUD198" s="133"/>
      <c r="TUE198" s="133"/>
      <c r="TUF198" s="133"/>
      <c r="TUG198" s="133"/>
      <c r="TUH198" s="133"/>
      <c r="TUI198" s="133"/>
      <c r="TUJ198" s="133"/>
      <c r="TUK198" s="133"/>
      <c r="TUL198" s="133"/>
      <c r="TUM198" s="133"/>
      <c r="TUN198" s="133"/>
      <c r="TUO198" s="133"/>
      <c r="TUP198" s="133"/>
      <c r="TUQ198" s="133"/>
      <c r="TUR198" s="133"/>
      <c r="TUS198" s="133"/>
      <c r="TUT198" s="133"/>
      <c r="TUU198" s="133"/>
      <c r="TUV198" s="133"/>
      <c r="TUW198" s="133"/>
      <c r="TUX198" s="133"/>
      <c r="TUY198" s="133"/>
      <c r="TUZ198" s="133"/>
      <c r="TVA198" s="133"/>
      <c r="TVB198" s="133"/>
      <c r="TVC198" s="133"/>
      <c r="TVD198" s="133"/>
      <c r="TVE198" s="133"/>
      <c r="TVF198" s="133"/>
      <c r="TVG198" s="133"/>
      <c r="TVH198" s="133"/>
      <c r="TVI198" s="133"/>
      <c r="TVJ198" s="133"/>
      <c r="TVK198" s="133"/>
      <c r="TVL198" s="133"/>
      <c r="TVM198" s="133"/>
      <c r="TVN198" s="133"/>
      <c r="TVO198" s="133"/>
      <c r="TVP198" s="133"/>
      <c r="TVQ198" s="133"/>
      <c r="TVR198" s="133"/>
      <c r="TVS198" s="133"/>
      <c r="TVT198" s="133"/>
      <c r="TVU198" s="133"/>
      <c r="TVV198" s="133"/>
      <c r="TVW198" s="133"/>
      <c r="TVX198" s="133"/>
      <c r="TVY198" s="133"/>
      <c r="TVZ198" s="133"/>
      <c r="TWA198" s="133"/>
      <c r="TWB198" s="133"/>
      <c r="TWC198" s="133"/>
      <c r="TWD198" s="133"/>
      <c r="TWE198" s="133"/>
      <c r="TWF198" s="133"/>
      <c r="TWG198" s="133"/>
      <c r="TWH198" s="133"/>
      <c r="TWI198" s="133"/>
      <c r="TWJ198" s="133"/>
      <c r="TWK198" s="133"/>
      <c r="TWL198" s="133"/>
      <c r="TWM198" s="133"/>
      <c r="TWN198" s="133"/>
      <c r="TWO198" s="133"/>
      <c r="TWP198" s="133"/>
      <c r="TWQ198" s="133"/>
      <c r="TWR198" s="133"/>
      <c r="TWS198" s="133"/>
      <c r="TWT198" s="133"/>
      <c r="TWU198" s="133"/>
      <c r="TWV198" s="133"/>
      <c r="TWW198" s="133"/>
      <c r="TWX198" s="133"/>
      <c r="TWY198" s="133"/>
      <c r="TWZ198" s="133"/>
      <c r="TXA198" s="133"/>
      <c r="TXB198" s="133"/>
      <c r="TXC198" s="133"/>
      <c r="TXD198" s="133"/>
      <c r="TXE198" s="133"/>
      <c r="TXF198" s="133"/>
      <c r="TXG198" s="133"/>
      <c r="TXH198" s="133"/>
      <c r="TXI198" s="133"/>
      <c r="TXJ198" s="133"/>
      <c r="TXK198" s="133"/>
      <c r="TXL198" s="133"/>
      <c r="TXM198" s="133"/>
      <c r="TXN198" s="133"/>
      <c r="TXO198" s="133"/>
      <c r="TXP198" s="133"/>
      <c r="TXQ198" s="133"/>
      <c r="TXR198" s="133"/>
      <c r="TXS198" s="133"/>
      <c r="TXT198" s="133"/>
      <c r="TXU198" s="133"/>
      <c r="TXV198" s="133"/>
      <c r="TXW198" s="133"/>
      <c r="TXX198" s="133"/>
      <c r="TXY198" s="133"/>
      <c r="TXZ198" s="133"/>
      <c r="TYA198" s="133"/>
      <c r="TYB198" s="133"/>
      <c r="TYC198" s="133"/>
      <c r="TYD198" s="133"/>
      <c r="TYE198" s="133"/>
      <c r="TYF198" s="133"/>
      <c r="TYG198" s="133"/>
      <c r="TYH198" s="133"/>
      <c r="TYI198" s="133"/>
      <c r="TYJ198" s="133"/>
      <c r="TYK198" s="133"/>
      <c r="TYL198" s="133"/>
      <c r="TYM198" s="133"/>
      <c r="TYN198" s="133"/>
      <c r="TYO198" s="133"/>
      <c r="TYP198" s="133"/>
      <c r="TYQ198" s="133"/>
      <c r="TYR198" s="133"/>
      <c r="TYS198" s="133"/>
      <c r="TYT198" s="133"/>
      <c r="TYU198" s="133"/>
      <c r="TYV198" s="133"/>
      <c r="TYW198" s="133"/>
      <c r="TYX198" s="133"/>
      <c r="TYY198" s="133"/>
      <c r="TYZ198" s="133"/>
      <c r="TZA198" s="133"/>
      <c r="TZB198" s="133"/>
      <c r="TZC198" s="133"/>
      <c r="TZD198" s="133"/>
      <c r="TZE198" s="133"/>
      <c r="TZF198" s="133"/>
      <c r="TZG198" s="133"/>
      <c r="TZH198" s="133"/>
      <c r="TZI198" s="133"/>
      <c r="TZJ198" s="133"/>
      <c r="TZK198" s="133"/>
      <c r="TZL198" s="133"/>
      <c r="TZM198" s="133"/>
      <c r="TZN198" s="133"/>
      <c r="TZO198" s="133"/>
      <c r="TZP198" s="133"/>
      <c r="TZQ198" s="133"/>
      <c r="TZR198" s="133"/>
      <c r="TZS198" s="133"/>
      <c r="TZT198" s="133"/>
      <c r="TZU198" s="133"/>
      <c r="TZV198" s="133"/>
      <c r="TZW198" s="133"/>
      <c r="TZX198" s="133"/>
      <c r="TZY198" s="133"/>
      <c r="TZZ198" s="133"/>
      <c r="UAA198" s="133"/>
      <c r="UAB198" s="133"/>
      <c r="UAC198" s="133"/>
      <c r="UAD198" s="133"/>
      <c r="UAE198" s="133"/>
      <c r="UAF198" s="133"/>
      <c r="UAG198" s="133"/>
      <c r="UAH198" s="133"/>
      <c r="UAI198" s="133"/>
      <c r="UAJ198" s="133"/>
      <c r="UAK198" s="133"/>
      <c r="UAL198" s="133"/>
      <c r="UAM198" s="133"/>
      <c r="UAN198" s="133"/>
      <c r="UAO198" s="133"/>
      <c r="UAP198" s="133"/>
      <c r="UAQ198" s="133"/>
      <c r="UAR198" s="133"/>
      <c r="UAS198" s="133"/>
      <c r="UAT198" s="133"/>
      <c r="UAU198" s="133"/>
      <c r="UAV198" s="133"/>
      <c r="UAW198" s="133"/>
      <c r="UAX198" s="133"/>
      <c r="UAY198" s="133"/>
      <c r="UAZ198" s="133"/>
      <c r="UBA198" s="133"/>
      <c r="UBB198" s="133"/>
      <c r="UBC198" s="133"/>
      <c r="UBD198" s="133"/>
      <c r="UBE198" s="133"/>
      <c r="UBF198" s="133"/>
      <c r="UBG198" s="133"/>
      <c r="UBH198" s="133"/>
      <c r="UBI198" s="133"/>
      <c r="UBJ198" s="133"/>
      <c r="UBK198" s="133"/>
      <c r="UBL198" s="133"/>
      <c r="UBM198" s="133"/>
      <c r="UBN198" s="133"/>
      <c r="UBO198" s="133"/>
      <c r="UBP198" s="133"/>
      <c r="UBQ198" s="133"/>
      <c r="UBR198" s="133"/>
      <c r="UBS198" s="133"/>
      <c r="UBT198" s="133"/>
      <c r="UBU198" s="133"/>
      <c r="UBV198" s="133"/>
      <c r="UBW198" s="133"/>
      <c r="UBX198" s="133"/>
      <c r="UBY198" s="133"/>
      <c r="UBZ198" s="133"/>
      <c r="UCA198" s="133"/>
      <c r="UCB198" s="133"/>
      <c r="UCC198" s="133"/>
      <c r="UCD198" s="133"/>
      <c r="UCE198" s="133"/>
      <c r="UCF198" s="133"/>
      <c r="UCG198" s="133"/>
      <c r="UCH198" s="133"/>
      <c r="UCI198" s="133"/>
      <c r="UCJ198" s="133"/>
      <c r="UCK198" s="133"/>
      <c r="UCL198" s="133"/>
      <c r="UCM198" s="133"/>
      <c r="UCN198" s="133"/>
      <c r="UCO198" s="133"/>
      <c r="UCP198" s="133"/>
      <c r="UCQ198" s="133"/>
      <c r="UCR198" s="133"/>
      <c r="UCS198" s="133"/>
      <c r="UCT198" s="133"/>
      <c r="UCU198" s="133"/>
      <c r="UCV198" s="133"/>
      <c r="UCW198" s="133"/>
      <c r="UCX198" s="133"/>
      <c r="UCY198" s="133"/>
      <c r="UCZ198" s="133"/>
      <c r="UDA198" s="133"/>
      <c r="UDB198" s="133"/>
      <c r="UDC198" s="133"/>
      <c r="UDD198" s="133"/>
      <c r="UDE198" s="133"/>
      <c r="UDF198" s="133"/>
      <c r="UDG198" s="133"/>
      <c r="UDH198" s="133"/>
      <c r="UDI198" s="133"/>
      <c r="UDJ198" s="133"/>
      <c r="UDK198" s="133"/>
      <c r="UDL198" s="133"/>
      <c r="UDM198" s="133"/>
      <c r="UDN198" s="133"/>
      <c r="UDO198" s="133"/>
      <c r="UDP198" s="133"/>
      <c r="UDQ198" s="133"/>
      <c r="UDR198" s="133"/>
      <c r="UDS198" s="133"/>
      <c r="UDT198" s="133"/>
      <c r="UDU198" s="133"/>
      <c r="UDV198" s="133"/>
      <c r="UDW198" s="133"/>
      <c r="UDX198" s="133"/>
      <c r="UDY198" s="133"/>
      <c r="UDZ198" s="133"/>
      <c r="UEA198" s="133"/>
      <c r="UEB198" s="133"/>
      <c r="UEC198" s="133"/>
      <c r="UED198" s="133"/>
      <c r="UEE198" s="133"/>
      <c r="UEF198" s="133"/>
      <c r="UEG198" s="133"/>
      <c r="UEH198" s="133"/>
      <c r="UEI198" s="133"/>
      <c r="UEJ198" s="133"/>
      <c r="UEK198" s="133"/>
      <c r="UEL198" s="133"/>
      <c r="UEM198" s="133"/>
      <c r="UEN198" s="133"/>
      <c r="UEO198" s="133"/>
      <c r="UEP198" s="133"/>
      <c r="UEQ198" s="133"/>
      <c r="UER198" s="133"/>
      <c r="UES198" s="133"/>
      <c r="UET198" s="133"/>
      <c r="UEU198" s="133"/>
      <c r="UEV198" s="133"/>
      <c r="UEW198" s="133"/>
      <c r="UEX198" s="133"/>
      <c r="UEY198" s="133"/>
      <c r="UEZ198" s="133"/>
      <c r="UFA198" s="133"/>
      <c r="UFB198" s="133"/>
      <c r="UFC198" s="133"/>
      <c r="UFD198" s="133"/>
      <c r="UFE198" s="133"/>
      <c r="UFF198" s="133"/>
      <c r="UFG198" s="133"/>
      <c r="UFH198" s="133"/>
      <c r="UFI198" s="133"/>
      <c r="UFJ198" s="133"/>
      <c r="UFK198" s="133"/>
      <c r="UFL198" s="133"/>
      <c r="UFM198" s="133"/>
      <c r="UFN198" s="133"/>
      <c r="UFO198" s="133"/>
      <c r="UFP198" s="133"/>
      <c r="UFQ198" s="133"/>
      <c r="UFR198" s="133"/>
      <c r="UFS198" s="133"/>
      <c r="UFT198" s="133"/>
      <c r="UFU198" s="133"/>
      <c r="UFV198" s="133"/>
      <c r="UFW198" s="133"/>
      <c r="UFX198" s="133"/>
      <c r="UFY198" s="133"/>
      <c r="UFZ198" s="133"/>
      <c r="UGA198" s="133"/>
      <c r="UGB198" s="133"/>
      <c r="UGC198" s="133"/>
      <c r="UGD198" s="133"/>
      <c r="UGE198" s="133"/>
      <c r="UGF198" s="133"/>
      <c r="UGG198" s="133"/>
      <c r="UGH198" s="133"/>
      <c r="UGI198" s="133"/>
      <c r="UGJ198" s="133"/>
      <c r="UGK198" s="133"/>
      <c r="UGL198" s="133"/>
      <c r="UGM198" s="133"/>
      <c r="UGN198" s="133"/>
      <c r="UGO198" s="133"/>
      <c r="UGP198" s="133"/>
      <c r="UGQ198" s="133"/>
      <c r="UGR198" s="133"/>
      <c r="UGS198" s="133"/>
      <c r="UGT198" s="133"/>
      <c r="UGU198" s="133"/>
      <c r="UGV198" s="133"/>
      <c r="UGW198" s="133"/>
      <c r="UGX198" s="133"/>
      <c r="UGY198" s="133"/>
      <c r="UGZ198" s="133"/>
      <c r="UHA198" s="133"/>
      <c r="UHB198" s="133"/>
      <c r="UHC198" s="133"/>
      <c r="UHD198" s="133"/>
      <c r="UHE198" s="133"/>
      <c r="UHF198" s="133"/>
      <c r="UHG198" s="133"/>
      <c r="UHH198" s="133"/>
      <c r="UHI198" s="133"/>
      <c r="UHJ198" s="133"/>
      <c r="UHK198" s="133"/>
      <c r="UHL198" s="133"/>
      <c r="UHM198" s="133"/>
      <c r="UHN198" s="133"/>
      <c r="UHO198" s="133"/>
      <c r="UHP198" s="133"/>
      <c r="UHQ198" s="133"/>
      <c r="UHR198" s="133"/>
      <c r="UHS198" s="133"/>
      <c r="UHT198" s="133"/>
      <c r="UHU198" s="133"/>
      <c r="UHV198" s="133"/>
      <c r="UHW198" s="133"/>
      <c r="UHX198" s="133"/>
      <c r="UHY198" s="133"/>
      <c r="UHZ198" s="133"/>
      <c r="UIA198" s="133"/>
      <c r="UIB198" s="133"/>
      <c r="UIC198" s="133"/>
      <c r="UID198" s="133"/>
      <c r="UIE198" s="133"/>
      <c r="UIF198" s="133"/>
      <c r="UIG198" s="133"/>
      <c r="UIH198" s="133"/>
      <c r="UII198" s="133"/>
      <c r="UIJ198" s="133"/>
      <c r="UIK198" s="133"/>
      <c r="UIL198" s="133"/>
      <c r="UIM198" s="133"/>
      <c r="UIN198" s="133"/>
      <c r="UIO198" s="133"/>
      <c r="UIP198" s="133"/>
      <c r="UIQ198" s="133"/>
      <c r="UIR198" s="133"/>
      <c r="UIS198" s="133"/>
      <c r="UIT198" s="133"/>
      <c r="UIU198" s="133"/>
      <c r="UIV198" s="133"/>
      <c r="UIW198" s="133"/>
      <c r="UIX198" s="133"/>
      <c r="UIY198" s="133"/>
      <c r="UIZ198" s="133"/>
      <c r="UJA198" s="133"/>
      <c r="UJB198" s="133"/>
      <c r="UJC198" s="133"/>
      <c r="UJD198" s="133"/>
      <c r="UJE198" s="133"/>
      <c r="UJF198" s="133"/>
      <c r="UJG198" s="133"/>
      <c r="UJH198" s="133"/>
      <c r="UJI198" s="133"/>
      <c r="UJJ198" s="133"/>
      <c r="UJK198" s="133"/>
      <c r="UJL198" s="133"/>
      <c r="UJM198" s="133"/>
      <c r="UJN198" s="133"/>
      <c r="UJO198" s="133"/>
      <c r="UJP198" s="133"/>
      <c r="UJQ198" s="133"/>
      <c r="UJR198" s="133"/>
      <c r="UJS198" s="133"/>
      <c r="UJT198" s="133"/>
      <c r="UJU198" s="133"/>
      <c r="UJV198" s="133"/>
      <c r="UJW198" s="133"/>
      <c r="UJX198" s="133"/>
      <c r="UJY198" s="133"/>
      <c r="UJZ198" s="133"/>
      <c r="UKA198" s="133"/>
      <c r="UKB198" s="133"/>
      <c r="UKC198" s="133"/>
      <c r="UKD198" s="133"/>
      <c r="UKE198" s="133"/>
      <c r="UKF198" s="133"/>
      <c r="UKG198" s="133"/>
      <c r="UKH198" s="133"/>
      <c r="UKI198" s="133"/>
      <c r="UKJ198" s="133"/>
      <c r="UKK198" s="133"/>
      <c r="UKL198" s="133"/>
      <c r="UKM198" s="133"/>
      <c r="UKN198" s="133"/>
      <c r="UKO198" s="133"/>
      <c r="UKP198" s="133"/>
      <c r="UKQ198" s="133"/>
      <c r="UKR198" s="133"/>
      <c r="UKS198" s="133"/>
      <c r="UKT198" s="133"/>
      <c r="UKU198" s="133"/>
      <c r="UKV198" s="133"/>
      <c r="UKW198" s="133"/>
      <c r="UKX198" s="133"/>
      <c r="UKY198" s="133"/>
      <c r="UKZ198" s="133"/>
      <c r="ULA198" s="133"/>
      <c r="ULB198" s="133"/>
      <c r="ULC198" s="133"/>
      <c r="ULD198" s="133"/>
      <c r="ULE198" s="133"/>
      <c r="ULF198" s="133"/>
      <c r="ULG198" s="133"/>
      <c r="ULH198" s="133"/>
      <c r="ULI198" s="133"/>
      <c r="ULJ198" s="133"/>
      <c r="ULK198" s="133"/>
      <c r="ULL198" s="133"/>
      <c r="ULM198" s="133"/>
      <c r="ULN198" s="133"/>
      <c r="ULO198" s="133"/>
      <c r="ULP198" s="133"/>
      <c r="ULQ198" s="133"/>
      <c r="ULR198" s="133"/>
      <c r="ULS198" s="133"/>
      <c r="ULT198" s="133"/>
      <c r="ULU198" s="133"/>
      <c r="ULV198" s="133"/>
      <c r="ULW198" s="133"/>
      <c r="ULX198" s="133"/>
      <c r="ULY198" s="133"/>
      <c r="ULZ198" s="133"/>
      <c r="UMA198" s="133"/>
      <c r="UMB198" s="133"/>
      <c r="UMC198" s="133"/>
      <c r="UMD198" s="133"/>
      <c r="UME198" s="133"/>
      <c r="UMF198" s="133"/>
      <c r="UMG198" s="133"/>
      <c r="UMH198" s="133"/>
      <c r="UMI198" s="133"/>
      <c r="UMJ198" s="133"/>
      <c r="UMK198" s="133"/>
      <c r="UML198" s="133"/>
      <c r="UMM198" s="133"/>
      <c r="UMN198" s="133"/>
      <c r="UMO198" s="133"/>
      <c r="UMP198" s="133"/>
      <c r="UMQ198" s="133"/>
      <c r="UMR198" s="133"/>
      <c r="UMS198" s="133"/>
      <c r="UMT198" s="133"/>
      <c r="UMU198" s="133"/>
      <c r="UMV198" s="133"/>
      <c r="UMW198" s="133"/>
      <c r="UMX198" s="133"/>
      <c r="UMY198" s="133"/>
      <c r="UMZ198" s="133"/>
      <c r="UNA198" s="133"/>
      <c r="UNB198" s="133"/>
      <c r="UNC198" s="133"/>
      <c r="UND198" s="133"/>
      <c r="UNE198" s="133"/>
      <c r="UNF198" s="133"/>
      <c r="UNG198" s="133"/>
      <c r="UNH198" s="133"/>
      <c r="UNI198" s="133"/>
      <c r="UNJ198" s="133"/>
      <c r="UNK198" s="133"/>
      <c r="UNL198" s="133"/>
      <c r="UNM198" s="133"/>
      <c r="UNN198" s="133"/>
      <c r="UNO198" s="133"/>
      <c r="UNP198" s="133"/>
      <c r="UNQ198" s="133"/>
      <c r="UNR198" s="133"/>
      <c r="UNS198" s="133"/>
      <c r="UNT198" s="133"/>
      <c r="UNU198" s="133"/>
      <c r="UNV198" s="133"/>
      <c r="UNW198" s="133"/>
      <c r="UNX198" s="133"/>
      <c r="UNY198" s="133"/>
      <c r="UNZ198" s="133"/>
      <c r="UOA198" s="133"/>
      <c r="UOB198" s="133"/>
      <c r="UOC198" s="133"/>
      <c r="UOD198" s="133"/>
      <c r="UOE198" s="133"/>
      <c r="UOF198" s="133"/>
      <c r="UOG198" s="133"/>
      <c r="UOH198" s="133"/>
      <c r="UOI198" s="133"/>
      <c r="UOJ198" s="133"/>
      <c r="UOK198" s="133"/>
      <c r="UOL198" s="133"/>
      <c r="UOM198" s="133"/>
      <c r="UON198" s="133"/>
      <c r="UOO198" s="133"/>
      <c r="UOP198" s="133"/>
      <c r="UOQ198" s="133"/>
      <c r="UOR198" s="133"/>
      <c r="UOS198" s="133"/>
      <c r="UOT198" s="133"/>
      <c r="UOU198" s="133"/>
      <c r="UOV198" s="133"/>
      <c r="UOW198" s="133"/>
      <c r="UOX198" s="133"/>
      <c r="UOY198" s="133"/>
      <c r="UOZ198" s="133"/>
      <c r="UPA198" s="133"/>
      <c r="UPB198" s="133"/>
      <c r="UPC198" s="133"/>
      <c r="UPD198" s="133"/>
      <c r="UPE198" s="133"/>
      <c r="UPF198" s="133"/>
      <c r="UPG198" s="133"/>
      <c r="UPH198" s="133"/>
      <c r="UPI198" s="133"/>
      <c r="UPJ198" s="133"/>
      <c r="UPK198" s="133"/>
      <c r="UPL198" s="133"/>
      <c r="UPM198" s="133"/>
      <c r="UPN198" s="133"/>
      <c r="UPO198" s="133"/>
      <c r="UPP198" s="133"/>
      <c r="UPQ198" s="133"/>
      <c r="UPR198" s="133"/>
      <c r="UPS198" s="133"/>
      <c r="UPT198" s="133"/>
      <c r="UPU198" s="133"/>
      <c r="UPV198" s="133"/>
      <c r="UPW198" s="133"/>
      <c r="UPX198" s="133"/>
      <c r="UPY198" s="133"/>
      <c r="UPZ198" s="133"/>
      <c r="UQA198" s="133"/>
      <c r="UQB198" s="133"/>
      <c r="UQC198" s="133"/>
      <c r="UQD198" s="133"/>
      <c r="UQE198" s="133"/>
      <c r="UQF198" s="133"/>
      <c r="UQG198" s="133"/>
      <c r="UQH198" s="133"/>
      <c r="UQI198" s="133"/>
      <c r="UQJ198" s="133"/>
      <c r="UQK198" s="133"/>
      <c r="UQL198" s="133"/>
      <c r="UQM198" s="133"/>
      <c r="UQN198" s="133"/>
      <c r="UQO198" s="133"/>
      <c r="UQP198" s="133"/>
      <c r="UQQ198" s="133"/>
      <c r="UQR198" s="133"/>
      <c r="UQS198" s="133"/>
      <c r="UQT198" s="133"/>
      <c r="UQU198" s="133"/>
      <c r="UQV198" s="133"/>
      <c r="UQW198" s="133"/>
      <c r="UQX198" s="133"/>
      <c r="UQY198" s="133"/>
      <c r="UQZ198" s="133"/>
      <c r="URA198" s="133"/>
      <c r="URB198" s="133"/>
      <c r="URC198" s="133"/>
      <c r="URD198" s="133"/>
      <c r="URE198" s="133"/>
      <c r="URF198" s="133"/>
      <c r="URG198" s="133"/>
      <c r="URH198" s="133"/>
      <c r="URI198" s="133"/>
      <c r="URJ198" s="133"/>
      <c r="URK198" s="133"/>
      <c r="URL198" s="133"/>
      <c r="URM198" s="133"/>
      <c r="URN198" s="133"/>
      <c r="URO198" s="133"/>
      <c r="URP198" s="133"/>
      <c r="URQ198" s="133"/>
      <c r="URR198" s="133"/>
      <c r="URS198" s="133"/>
      <c r="URT198" s="133"/>
      <c r="URU198" s="133"/>
      <c r="URV198" s="133"/>
      <c r="URW198" s="133"/>
      <c r="URX198" s="133"/>
      <c r="URY198" s="133"/>
      <c r="URZ198" s="133"/>
      <c r="USA198" s="133"/>
      <c r="USB198" s="133"/>
      <c r="USC198" s="133"/>
      <c r="USD198" s="133"/>
      <c r="USE198" s="133"/>
      <c r="USF198" s="133"/>
      <c r="USG198" s="133"/>
      <c r="USH198" s="133"/>
      <c r="USI198" s="133"/>
      <c r="USJ198" s="133"/>
      <c r="USK198" s="133"/>
      <c r="USL198" s="133"/>
      <c r="USM198" s="133"/>
      <c r="USN198" s="133"/>
      <c r="USO198" s="133"/>
      <c r="USP198" s="133"/>
      <c r="USQ198" s="133"/>
      <c r="USR198" s="133"/>
      <c r="USS198" s="133"/>
      <c r="UST198" s="133"/>
      <c r="USU198" s="133"/>
      <c r="USV198" s="133"/>
      <c r="USW198" s="133"/>
      <c r="USX198" s="133"/>
      <c r="USY198" s="133"/>
      <c r="USZ198" s="133"/>
      <c r="UTA198" s="133"/>
      <c r="UTB198" s="133"/>
      <c r="UTC198" s="133"/>
      <c r="UTD198" s="133"/>
      <c r="UTE198" s="133"/>
      <c r="UTF198" s="133"/>
      <c r="UTG198" s="133"/>
      <c r="UTH198" s="133"/>
      <c r="UTI198" s="133"/>
      <c r="UTJ198" s="133"/>
      <c r="UTK198" s="133"/>
      <c r="UTL198" s="133"/>
      <c r="UTM198" s="133"/>
      <c r="UTN198" s="133"/>
      <c r="UTO198" s="133"/>
      <c r="UTP198" s="133"/>
      <c r="UTQ198" s="133"/>
      <c r="UTR198" s="133"/>
      <c r="UTS198" s="133"/>
      <c r="UTT198" s="133"/>
      <c r="UTU198" s="133"/>
      <c r="UTV198" s="133"/>
      <c r="UTW198" s="133"/>
      <c r="UTX198" s="133"/>
      <c r="UTY198" s="133"/>
      <c r="UTZ198" s="133"/>
      <c r="UUA198" s="133"/>
      <c r="UUB198" s="133"/>
      <c r="UUC198" s="133"/>
      <c r="UUD198" s="133"/>
      <c r="UUE198" s="133"/>
      <c r="UUF198" s="133"/>
      <c r="UUG198" s="133"/>
      <c r="UUH198" s="133"/>
      <c r="UUI198" s="133"/>
      <c r="UUJ198" s="133"/>
      <c r="UUK198" s="133"/>
      <c r="UUL198" s="133"/>
      <c r="UUM198" s="133"/>
      <c r="UUN198" s="133"/>
      <c r="UUO198" s="133"/>
      <c r="UUP198" s="133"/>
      <c r="UUQ198" s="133"/>
      <c r="UUR198" s="133"/>
      <c r="UUS198" s="133"/>
      <c r="UUT198" s="133"/>
      <c r="UUU198" s="133"/>
      <c r="UUV198" s="133"/>
      <c r="UUW198" s="133"/>
      <c r="UUX198" s="133"/>
      <c r="UUY198" s="133"/>
      <c r="UUZ198" s="133"/>
      <c r="UVA198" s="133"/>
      <c r="UVB198" s="133"/>
      <c r="UVC198" s="133"/>
      <c r="UVD198" s="133"/>
      <c r="UVE198" s="133"/>
      <c r="UVF198" s="133"/>
      <c r="UVG198" s="133"/>
      <c r="UVH198" s="133"/>
      <c r="UVI198" s="133"/>
      <c r="UVJ198" s="133"/>
      <c r="UVK198" s="133"/>
      <c r="UVL198" s="133"/>
      <c r="UVM198" s="133"/>
      <c r="UVN198" s="133"/>
      <c r="UVO198" s="133"/>
      <c r="UVP198" s="133"/>
      <c r="UVQ198" s="133"/>
      <c r="UVR198" s="133"/>
      <c r="UVS198" s="133"/>
      <c r="UVT198" s="133"/>
      <c r="UVU198" s="133"/>
      <c r="UVV198" s="133"/>
      <c r="UVW198" s="133"/>
      <c r="UVX198" s="133"/>
      <c r="UVY198" s="133"/>
      <c r="UVZ198" s="133"/>
      <c r="UWA198" s="133"/>
      <c r="UWB198" s="133"/>
      <c r="UWC198" s="133"/>
      <c r="UWD198" s="133"/>
      <c r="UWE198" s="133"/>
      <c r="UWF198" s="133"/>
      <c r="UWG198" s="133"/>
      <c r="UWH198" s="133"/>
      <c r="UWI198" s="133"/>
      <c r="UWJ198" s="133"/>
      <c r="UWK198" s="133"/>
      <c r="UWL198" s="133"/>
      <c r="UWM198" s="133"/>
      <c r="UWN198" s="133"/>
      <c r="UWO198" s="133"/>
      <c r="UWP198" s="133"/>
      <c r="UWQ198" s="133"/>
      <c r="UWR198" s="133"/>
      <c r="UWS198" s="133"/>
      <c r="UWT198" s="133"/>
      <c r="UWU198" s="133"/>
      <c r="UWV198" s="133"/>
      <c r="UWW198" s="133"/>
      <c r="UWX198" s="133"/>
      <c r="UWY198" s="133"/>
      <c r="UWZ198" s="133"/>
      <c r="UXA198" s="133"/>
      <c r="UXB198" s="133"/>
      <c r="UXC198" s="133"/>
      <c r="UXD198" s="133"/>
      <c r="UXE198" s="133"/>
      <c r="UXF198" s="133"/>
      <c r="UXG198" s="133"/>
      <c r="UXH198" s="133"/>
      <c r="UXI198" s="133"/>
      <c r="UXJ198" s="133"/>
      <c r="UXK198" s="133"/>
      <c r="UXL198" s="133"/>
      <c r="UXM198" s="133"/>
      <c r="UXN198" s="133"/>
      <c r="UXO198" s="133"/>
      <c r="UXP198" s="133"/>
      <c r="UXQ198" s="133"/>
      <c r="UXR198" s="133"/>
      <c r="UXS198" s="133"/>
      <c r="UXT198" s="133"/>
      <c r="UXU198" s="133"/>
      <c r="UXV198" s="133"/>
      <c r="UXW198" s="133"/>
      <c r="UXX198" s="133"/>
      <c r="UXY198" s="133"/>
      <c r="UXZ198" s="133"/>
      <c r="UYA198" s="133"/>
      <c r="UYB198" s="133"/>
      <c r="UYC198" s="133"/>
      <c r="UYD198" s="133"/>
      <c r="UYE198" s="133"/>
      <c r="UYF198" s="133"/>
      <c r="UYG198" s="133"/>
      <c r="UYH198" s="133"/>
      <c r="UYI198" s="133"/>
      <c r="UYJ198" s="133"/>
      <c r="UYK198" s="133"/>
      <c r="UYL198" s="133"/>
      <c r="UYM198" s="133"/>
      <c r="UYN198" s="133"/>
      <c r="UYO198" s="133"/>
      <c r="UYP198" s="133"/>
      <c r="UYQ198" s="133"/>
      <c r="UYR198" s="133"/>
      <c r="UYS198" s="133"/>
      <c r="UYT198" s="133"/>
      <c r="UYU198" s="133"/>
      <c r="UYV198" s="133"/>
      <c r="UYW198" s="133"/>
      <c r="UYX198" s="133"/>
      <c r="UYY198" s="133"/>
      <c r="UYZ198" s="133"/>
      <c r="UZA198" s="133"/>
      <c r="UZB198" s="133"/>
      <c r="UZC198" s="133"/>
      <c r="UZD198" s="133"/>
      <c r="UZE198" s="133"/>
      <c r="UZF198" s="133"/>
      <c r="UZG198" s="133"/>
      <c r="UZH198" s="133"/>
      <c r="UZI198" s="133"/>
      <c r="UZJ198" s="133"/>
      <c r="UZK198" s="133"/>
      <c r="UZL198" s="133"/>
      <c r="UZM198" s="133"/>
      <c r="UZN198" s="133"/>
      <c r="UZO198" s="133"/>
      <c r="UZP198" s="133"/>
      <c r="UZQ198" s="133"/>
      <c r="UZR198" s="133"/>
      <c r="UZS198" s="133"/>
      <c r="UZT198" s="133"/>
      <c r="UZU198" s="133"/>
      <c r="UZV198" s="133"/>
      <c r="UZW198" s="133"/>
      <c r="UZX198" s="133"/>
      <c r="UZY198" s="133"/>
      <c r="UZZ198" s="133"/>
      <c r="VAA198" s="133"/>
      <c r="VAB198" s="133"/>
      <c r="VAC198" s="133"/>
      <c r="VAD198" s="133"/>
      <c r="VAE198" s="133"/>
      <c r="VAF198" s="133"/>
      <c r="VAG198" s="133"/>
      <c r="VAH198" s="133"/>
      <c r="VAI198" s="133"/>
      <c r="VAJ198" s="133"/>
      <c r="VAK198" s="133"/>
      <c r="VAL198" s="133"/>
      <c r="VAM198" s="133"/>
      <c r="VAN198" s="133"/>
      <c r="VAO198" s="133"/>
      <c r="VAP198" s="133"/>
      <c r="VAQ198" s="133"/>
      <c r="VAR198" s="133"/>
      <c r="VAS198" s="133"/>
      <c r="VAT198" s="133"/>
      <c r="VAU198" s="133"/>
      <c r="VAV198" s="133"/>
      <c r="VAW198" s="133"/>
      <c r="VAX198" s="133"/>
      <c r="VAY198" s="133"/>
      <c r="VAZ198" s="133"/>
      <c r="VBA198" s="133"/>
      <c r="VBB198" s="133"/>
      <c r="VBC198" s="133"/>
      <c r="VBD198" s="133"/>
      <c r="VBE198" s="133"/>
      <c r="VBF198" s="133"/>
      <c r="VBG198" s="133"/>
      <c r="VBH198" s="133"/>
      <c r="VBI198" s="133"/>
      <c r="VBJ198" s="133"/>
      <c r="VBK198" s="133"/>
      <c r="VBL198" s="133"/>
      <c r="VBM198" s="133"/>
      <c r="VBN198" s="133"/>
      <c r="VBO198" s="133"/>
      <c r="VBP198" s="133"/>
      <c r="VBQ198" s="133"/>
      <c r="VBR198" s="133"/>
      <c r="VBS198" s="133"/>
      <c r="VBT198" s="133"/>
      <c r="VBU198" s="133"/>
      <c r="VBV198" s="133"/>
      <c r="VBW198" s="133"/>
      <c r="VBX198" s="133"/>
      <c r="VBY198" s="133"/>
      <c r="VBZ198" s="133"/>
      <c r="VCA198" s="133"/>
      <c r="VCB198" s="133"/>
      <c r="VCC198" s="133"/>
      <c r="VCD198" s="133"/>
      <c r="VCE198" s="133"/>
      <c r="VCF198" s="133"/>
      <c r="VCG198" s="133"/>
      <c r="VCH198" s="133"/>
      <c r="VCI198" s="133"/>
      <c r="VCJ198" s="133"/>
      <c r="VCK198" s="133"/>
      <c r="VCL198" s="133"/>
      <c r="VCM198" s="133"/>
      <c r="VCN198" s="133"/>
      <c r="VCO198" s="133"/>
      <c r="VCP198" s="133"/>
      <c r="VCQ198" s="133"/>
      <c r="VCR198" s="133"/>
      <c r="VCS198" s="133"/>
      <c r="VCT198" s="133"/>
      <c r="VCU198" s="133"/>
      <c r="VCV198" s="133"/>
      <c r="VCW198" s="133"/>
      <c r="VCX198" s="133"/>
      <c r="VCY198" s="133"/>
      <c r="VCZ198" s="133"/>
      <c r="VDA198" s="133"/>
      <c r="VDB198" s="133"/>
      <c r="VDC198" s="133"/>
      <c r="VDD198" s="133"/>
      <c r="VDE198" s="133"/>
      <c r="VDF198" s="133"/>
      <c r="VDG198" s="133"/>
      <c r="VDH198" s="133"/>
      <c r="VDI198" s="133"/>
      <c r="VDJ198" s="133"/>
      <c r="VDK198" s="133"/>
      <c r="VDL198" s="133"/>
      <c r="VDM198" s="133"/>
      <c r="VDN198" s="133"/>
      <c r="VDO198" s="133"/>
      <c r="VDP198" s="133"/>
      <c r="VDQ198" s="133"/>
      <c r="VDR198" s="133"/>
      <c r="VDS198" s="133"/>
      <c r="VDT198" s="133"/>
      <c r="VDU198" s="133"/>
      <c r="VDV198" s="133"/>
      <c r="VDW198" s="133"/>
      <c r="VDX198" s="133"/>
      <c r="VDY198" s="133"/>
      <c r="VDZ198" s="133"/>
      <c r="VEA198" s="133"/>
      <c r="VEB198" s="133"/>
      <c r="VEC198" s="133"/>
      <c r="VED198" s="133"/>
      <c r="VEE198" s="133"/>
      <c r="VEF198" s="133"/>
      <c r="VEG198" s="133"/>
      <c r="VEH198" s="133"/>
      <c r="VEI198" s="133"/>
      <c r="VEJ198" s="133"/>
      <c r="VEK198" s="133"/>
      <c r="VEL198" s="133"/>
      <c r="VEM198" s="133"/>
      <c r="VEN198" s="133"/>
      <c r="VEO198" s="133"/>
      <c r="VEP198" s="133"/>
      <c r="VEQ198" s="133"/>
      <c r="VER198" s="133"/>
      <c r="VES198" s="133"/>
      <c r="VET198" s="133"/>
      <c r="VEU198" s="133"/>
      <c r="VEV198" s="133"/>
      <c r="VEW198" s="133"/>
      <c r="VEX198" s="133"/>
      <c r="VEY198" s="133"/>
      <c r="VEZ198" s="133"/>
      <c r="VFA198" s="133"/>
      <c r="VFB198" s="133"/>
      <c r="VFC198" s="133"/>
      <c r="VFD198" s="133"/>
      <c r="VFE198" s="133"/>
      <c r="VFF198" s="133"/>
      <c r="VFG198" s="133"/>
      <c r="VFH198" s="133"/>
      <c r="VFI198" s="133"/>
      <c r="VFJ198" s="133"/>
      <c r="VFK198" s="133"/>
      <c r="VFL198" s="133"/>
      <c r="VFM198" s="133"/>
      <c r="VFN198" s="133"/>
      <c r="VFO198" s="133"/>
      <c r="VFP198" s="133"/>
      <c r="VFQ198" s="133"/>
      <c r="VFR198" s="133"/>
      <c r="VFS198" s="133"/>
      <c r="VFT198" s="133"/>
      <c r="VFU198" s="133"/>
      <c r="VFV198" s="133"/>
      <c r="VFW198" s="133"/>
      <c r="VFX198" s="133"/>
      <c r="VFY198" s="133"/>
      <c r="VFZ198" s="133"/>
      <c r="VGA198" s="133"/>
      <c r="VGB198" s="133"/>
      <c r="VGC198" s="133"/>
      <c r="VGD198" s="133"/>
      <c r="VGE198" s="133"/>
      <c r="VGF198" s="133"/>
      <c r="VGG198" s="133"/>
      <c r="VGH198" s="133"/>
      <c r="VGI198" s="133"/>
      <c r="VGJ198" s="133"/>
      <c r="VGK198" s="133"/>
      <c r="VGL198" s="133"/>
      <c r="VGM198" s="133"/>
      <c r="VGN198" s="133"/>
      <c r="VGO198" s="133"/>
      <c r="VGP198" s="133"/>
      <c r="VGQ198" s="133"/>
      <c r="VGR198" s="133"/>
      <c r="VGS198" s="133"/>
      <c r="VGT198" s="133"/>
      <c r="VGU198" s="133"/>
      <c r="VGV198" s="133"/>
      <c r="VGW198" s="133"/>
      <c r="VGX198" s="133"/>
      <c r="VGY198" s="133"/>
      <c r="VGZ198" s="133"/>
      <c r="VHA198" s="133"/>
      <c r="VHB198" s="133"/>
      <c r="VHC198" s="133"/>
      <c r="VHD198" s="133"/>
      <c r="VHE198" s="133"/>
      <c r="VHF198" s="133"/>
      <c r="VHG198" s="133"/>
      <c r="VHH198" s="133"/>
      <c r="VHI198" s="133"/>
      <c r="VHJ198" s="133"/>
      <c r="VHK198" s="133"/>
      <c r="VHL198" s="133"/>
      <c r="VHM198" s="133"/>
      <c r="VHN198" s="133"/>
      <c r="VHO198" s="133"/>
      <c r="VHP198" s="133"/>
      <c r="VHQ198" s="133"/>
      <c r="VHR198" s="133"/>
      <c r="VHS198" s="133"/>
      <c r="VHT198" s="133"/>
      <c r="VHU198" s="133"/>
      <c r="VHV198" s="133"/>
      <c r="VHW198" s="133"/>
      <c r="VHX198" s="133"/>
      <c r="VHY198" s="133"/>
      <c r="VHZ198" s="133"/>
      <c r="VIA198" s="133"/>
      <c r="VIB198" s="133"/>
      <c r="VIC198" s="133"/>
      <c r="VID198" s="133"/>
      <c r="VIE198" s="133"/>
      <c r="VIF198" s="133"/>
      <c r="VIG198" s="133"/>
      <c r="VIH198" s="133"/>
      <c r="VII198" s="133"/>
      <c r="VIJ198" s="133"/>
      <c r="VIK198" s="133"/>
      <c r="VIL198" s="133"/>
      <c r="VIM198" s="133"/>
      <c r="VIN198" s="133"/>
      <c r="VIO198" s="133"/>
      <c r="VIP198" s="133"/>
      <c r="VIQ198" s="133"/>
      <c r="VIR198" s="133"/>
      <c r="VIS198" s="133"/>
      <c r="VIT198" s="133"/>
      <c r="VIU198" s="133"/>
      <c r="VIV198" s="133"/>
      <c r="VIW198" s="133"/>
      <c r="VIX198" s="133"/>
      <c r="VIY198" s="133"/>
      <c r="VIZ198" s="133"/>
      <c r="VJA198" s="133"/>
      <c r="VJB198" s="133"/>
      <c r="VJC198" s="133"/>
      <c r="VJD198" s="133"/>
      <c r="VJE198" s="133"/>
      <c r="VJF198" s="133"/>
      <c r="VJG198" s="133"/>
      <c r="VJH198" s="133"/>
      <c r="VJI198" s="133"/>
      <c r="VJJ198" s="133"/>
      <c r="VJK198" s="133"/>
      <c r="VJL198" s="133"/>
      <c r="VJM198" s="133"/>
      <c r="VJN198" s="133"/>
      <c r="VJO198" s="133"/>
      <c r="VJP198" s="133"/>
      <c r="VJQ198" s="133"/>
      <c r="VJR198" s="133"/>
      <c r="VJS198" s="133"/>
      <c r="VJT198" s="133"/>
      <c r="VJU198" s="133"/>
      <c r="VJV198" s="133"/>
      <c r="VJW198" s="133"/>
      <c r="VJX198" s="133"/>
      <c r="VJY198" s="133"/>
      <c r="VJZ198" s="133"/>
      <c r="VKA198" s="133"/>
      <c r="VKB198" s="133"/>
      <c r="VKC198" s="133"/>
      <c r="VKD198" s="133"/>
      <c r="VKE198" s="133"/>
      <c r="VKF198" s="133"/>
      <c r="VKG198" s="133"/>
      <c r="VKH198" s="133"/>
      <c r="VKI198" s="133"/>
      <c r="VKJ198" s="133"/>
      <c r="VKK198" s="133"/>
      <c r="VKL198" s="133"/>
      <c r="VKM198" s="133"/>
      <c r="VKN198" s="133"/>
      <c r="VKO198" s="133"/>
      <c r="VKP198" s="133"/>
      <c r="VKQ198" s="133"/>
      <c r="VKR198" s="133"/>
      <c r="VKS198" s="133"/>
      <c r="VKT198" s="133"/>
      <c r="VKU198" s="133"/>
      <c r="VKV198" s="133"/>
      <c r="VKW198" s="133"/>
      <c r="VKX198" s="133"/>
      <c r="VKY198" s="133"/>
      <c r="VKZ198" s="133"/>
      <c r="VLA198" s="133"/>
      <c r="VLB198" s="133"/>
      <c r="VLC198" s="133"/>
      <c r="VLD198" s="133"/>
      <c r="VLE198" s="133"/>
      <c r="VLF198" s="133"/>
      <c r="VLG198" s="133"/>
      <c r="VLH198" s="133"/>
      <c r="VLI198" s="133"/>
      <c r="VLJ198" s="133"/>
      <c r="VLK198" s="133"/>
      <c r="VLL198" s="133"/>
      <c r="VLM198" s="133"/>
      <c r="VLN198" s="133"/>
      <c r="VLO198" s="133"/>
      <c r="VLP198" s="133"/>
      <c r="VLQ198" s="133"/>
      <c r="VLR198" s="133"/>
      <c r="VLS198" s="133"/>
      <c r="VLT198" s="133"/>
      <c r="VLU198" s="133"/>
      <c r="VLV198" s="133"/>
      <c r="VLW198" s="133"/>
      <c r="VLX198" s="133"/>
      <c r="VLY198" s="133"/>
      <c r="VLZ198" s="133"/>
      <c r="VMA198" s="133"/>
      <c r="VMB198" s="133"/>
      <c r="VMC198" s="133"/>
      <c r="VMD198" s="133"/>
      <c r="VME198" s="133"/>
      <c r="VMF198" s="133"/>
      <c r="VMG198" s="133"/>
      <c r="VMH198" s="133"/>
      <c r="VMI198" s="133"/>
      <c r="VMJ198" s="133"/>
      <c r="VMK198" s="133"/>
      <c r="VML198" s="133"/>
      <c r="VMM198" s="133"/>
      <c r="VMN198" s="133"/>
      <c r="VMO198" s="133"/>
      <c r="VMP198" s="133"/>
      <c r="VMQ198" s="133"/>
      <c r="VMR198" s="133"/>
      <c r="VMS198" s="133"/>
      <c r="VMT198" s="133"/>
      <c r="VMU198" s="133"/>
      <c r="VMV198" s="133"/>
      <c r="VMW198" s="133"/>
      <c r="VMX198" s="133"/>
      <c r="VMY198" s="133"/>
      <c r="VMZ198" s="133"/>
      <c r="VNA198" s="133"/>
      <c r="VNB198" s="133"/>
      <c r="VNC198" s="133"/>
      <c r="VND198" s="133"/>
      <c r="VNE198" s="133"/>
      <c r="VNF198" s="133"/>
      <c r="VNG198" s="133"/>
      <c r="VNH198" s="133"/>
      <c r="VNI198" s="133"/>
      <c r="VNJ198" s="133"/>
      <c r="VNK198" s="133"/>
      <c r="VNL198" s="133"/>
      <c r="VNM198" s="133"/>
      <c r="VNN198" s="133"/>
      <c r="VNO198" s="133"/>
      <c r="VNP198" s="133"/>
      <c r="VNQ198" s="133"/>
      <c r="VNR198" s="133"/>
      <c r="VNS198" s="133"/>
      <c r="VNT198" s="133"/>
      <c r="VNU198" s="133"/>
      <c r="VNV198" s="133"/>
      <c r="VNW198" s="133"/>
      <c r="VNX198" s="133"/>
      <c r="VNY198" s="133"/>
      <c r="VNZ198" s="133"/>
      <c r="VOA198" s="133"/>
      <c r="VOB198" s="133"/>
      <c r="VOC198" s="133"/>
      <c r="VOD198" s="133"/>
      <c r="VOE198" s="133"/>
      <c r="VOF198" s="133"/>
      <c r="VOG198" s="133"/>
      <c r="VOH198" s="133"/>
      <c r="VOI198" s="133"/>
      <c r="VOJ198" s="133"/>
      <c r="VOK198" s="133"/>
      <c r="VOL198" s="133"/>
      <c r="VOM198" s="133"/>
      <c r="VON198" s="133"/>
      <c r="VOO198" s="133"/>
      <c r="VOP198" s="133"/>
      <c r="VOQ198" s="133"/>
      <c r="VOR198" s="133"/>
      <c r="VOS198" s="133"/>
      <c r="VOT198" s="133"/>
      <c r="VOU198" s="133"/>
      <c r="VOV198" s="133"/>
      <c r="VOW198" s="133"/>
      <c r="VOX198" s="133"/>
      <c r="VOY198" s="133"/>
      <c r="VOZ198" s="133"/>
      <c r="VPA198" s="133"/>
      <c r="VPB198" s="133"/>
      <c r="VPC198" s="133"/>
      <c r="VPD198" s="133"/>
      <c r="VPE198" s="133"/>
      <c r="VPF198" s="133"/>
      <c r="VPG198" s="133"/>
      <c r="VPH198" s="133"/>
      <c r="VPI198" s="133"/>
      <c r="VPJ198" s="133"/>
      <c r="VPK198" s="133"/>
      <c r="VPL198" s="133"/>
      <c r="VPM198" s="133"/>
      <c r="VPN198" s="133"/>
      <c r="VPO198" s="133"/>
      <c r="VPP198" s="133"/>
      <c r="VPQ198" s="133"/>
      <c r="VPR198" s="133"/>
      <c r="VPS198" s="133"/>
      <c r="VPT198" s="133"/>
      <c r="VPU198" s="133"/>
      <c r="VPV198" s="133"/>
      <c r="VPW198" s="133"/>
      <c r="VPX198" s="133"/>
      <c r="VPY198" s="133"/>
      <c r="VPZ198" s="133"/>
      <c r="VQA198" s="133"/>
      <c r="VQB198" s="133"/>
      <c r="VQC198" s="133"/>
      <c r="VQD198" s="133"/>
      <c r="VQE198" s="133"/>
      <c r="VQF198" s="133"/>
      <c r="VQG198" s="133"/>
      <c r="VQH198" s="133"/>
      <c r="VQI198" s="133"/>
      <c r="VQJ198" s="133"/>
      <c r="VQK198" s="133"/>
      <c r="VQL198" s="133"/>
      <c r="VQM198" s="133"/>
      <c r="VQN198" s="133"/>
      <c r="VQO198" s="133"/>
      <c r="VQP198" s="133"/>
      <c r="VQQ198" s="133"/>
      <c r="VQR198" s="133"/>
      <c r="VQS198" s="133"/>
      <c r="VQT198" s="133"/>
      <c r="VQU198" s="133"/>
      <c r="VQV198" s="133"/>
      <c r="VQW198" s="133"/>
      <c r="VQX198" s="133"/>
      <c r="VQY198" s="133"/>
      <c r="VQZ198" s="133"/>
      <c r="VRA198" s="133"/>
      <c r="VRB198" s="133"/>
      <c r="VRC198" s="133"/>
      <c r="VRD198" s="133"/>
      <c r="VRE198" s="133"/>
      <c r="VRF198" s="133"/>
      <c r="VRG198" s="133"/>
      <c r="VRH198" s="133"/>
      <c r="VRI198" s="133"/>
      <c r="VRJ198" s="133"/>
      <c r="VRK198" s="133"/>
      <c r="VRL198" s="133"/>
      <c r="VRM198" s="133"/>
      <c r="VRN198" s="133"/>
      <c r="VRO198" s="133"/>
      <c r="VRP198" s="133"/>
      <c r="VRQ198" s="133"/>
      <c r="VRR198" s="133"/>
      <c r="VRS198" s="133"/>
      <c r="VRT198" s="133"/>
      <c r="VRU198" s="133"/>
      <c r="VRV198" s="133"/>
      <c r="VRW198" s="133"/>
      <c r="VRX198" s="133"/>
      <c r="VRY198" s="133"/>
      <c r="VRZ198" s="133"/>
      <c r="VSA198" s="133"/>
      <c r="VSB198" s="133"/>
      <c r="VSC198" s="133"/>
      <c r="VSD198" s="133"/>
      <c r="VSE198" s="133"/>
      <c r="VSF198" s="133"/>
      <c r="VSG198" s="133"/>
      <c r="VSH198" s="133"/>
      <c r="VSI198" s="133"/>
      <c r="VSJ198" s="133"/>
      <c r="VSK198" s="133"/>
      <c r="VSL198" s="133"/>
      <c r="VSM198" s="133"/>
      <c r="VSN198" s="133"/>
      <c r="VSO198" s="133"/>
      <c r="VSP198" s="133"/>
      <c r="VSQ198" s="133"/>
      <c r="VSR198" s="133"/>
      <c r="VSS198" s="133"/>
      <c r="VST198" s="133"/>
      <c r="VSU198" s="133"/>
      <c r="VSV198" s="133"/>
      <c r="VSW198" s="133"/>
      <c r="VSX198" s="133"/>
      <c r="VSY198" s="133"/>
      <c r="VSZ198" s="133"/>
      <c r="VTA198" s="133"/>
      <c r="VTB198" s="133"/>
      <c r="VTC198" s="133"/>
      <c r="VTD198" s="133"/>
      <c r="VTE198" s="133"/>
      <c r="VTF198" s="133"/>
      <c r="VTG198" s="133"/>
      <c r="VTH198" s="133"/>
      <c r="VTI198" s="133"/>
      <c r="VTJ198" s="133"/>
      <c r="VTK198" s="133"/>
      <c r="VTL198" s="133"/>
      <c r="VTM198" s="133"/>
      <c r="VTN198" s="133"/>
      <c r="VTO198" s="133"/>
      <c r="VTP198" s="133"/>
      <c r="VTQ198" s="133"/>
      <c r="VTR198" s="133"/>
      <c r="VTS198" s="133"/>
      <c r="VTT198" s="133"/>
      <c r="VTU198" s="133"/>
      <c r="VTV198" s="133"/>
      <c r="VTW198" s="133"/>
      <c r="VTX198" s="133"/>
      <c r="VTY198" s="133"/>
      <c r="VTZ198" s="133"/>
      <c r="VUA198" s="133"/>
      <c r="VUB198" s="133"/>
      <c r="VUC198" s="133"/>
      <c r="VUD198" s="133"/>
      <c r="VUE198" s="133"/>
      <c r="VUF198" s="133"/>
      <c r="VUG198" s="133"/>
      <c r="VUH198" s="133"/>
      <c r="VUI198" s="133"/>
      <c r="VUJ198" s="133"/>
      <c r="VUK198" s="133"/>
      <c r="VUL198" s="133"/>
      <c r="VUM198" s="133"/>
      <c r="VUN198" s="133"/>
      <c r="VUO198" s="133"/>
      <c r="VUP198" s="133"/>
      <c r="VUQ198" s="133"/>
      <c r="VUR198" s="133"/>
      <c r="VUS198" s="133"/>
      <c r="VUT198" s="133"/>
      <c r="VUU198" s="133"/>
      <c r="VUV198" s="133"/>
      <c r="VUW198" s="133"/>
      <c r="VUX198" s="133"/>
      <c r="VUY198" s="133"/>
      <c r="VUZ198" s="133"/>
      <c r="VVA198" s="133"/>
      <c r="VVB198" s="133"/>
      <c r="VVC198" s="133"/>
      <c r="VVD198" s="133"/>
      <c r="VVE198" s="133"/>
      <c r="VVF198" s="133"/>
      <c r="VVG198" s="133"/>
      <c r="VVH198" s="133"/>
      <c r="VVI198" s="133"/>
      <c r="VVJ198" s="133"/>
      <c r="VVK198" s="133"/>
      <c r="VVL198" s="133"/>
      <c r="VVM198" s="133"/>
      <c r="VVN198" s="133"/>
      <c r="VVO198" s="133"/>
      <c r="VVP198" s="133"/>
      <c r="VVQ198" s="133"/>
      <c r="VVR198" s="133"/>
      <c r="VVS198" s="133"/>
      <c r="VVT198" s="133"/>
      <c r="VVU198" s="133"/>
      <c r="VVV198" s="133"/>
      <c r="VVW198" s="133"/>
      <c r="VVX198" s="133"/>
      <c r="VVY198" s="133"/>
      <c r="VVZ198" s="133"/>
      <c r="VWA198" s="133"/>
      <c r="VWB198" s="133"/>
      <c r="VWC198" s="133"/>
      <c r="VWD198" s="133"/>
      <c r="VWE198" s="133"/>
      <c r="VWF198" s="133"/>
      <c r="VWG198" s="133"/>
      <c r="VWH198" s="133"/>
      <c r="VWI198" s="133"/>
      <c r="VWJ198" s="133"/>
      <c r="VWK198" s="133"/>
      <c r="VWL198" s="133"/>
      <c r="VWM198" s="133"/>
      <c r="VWN198" s="133"/>
      <c r="VWO198" s="133"/>
      <c r="VWP198" s="133"/>
      <c r="VWQ198" s="133"/>
      <c r="VWR198" s="133"/>
      <c r="VWS198" s="133"/>
      <c r="VWT198" s="133"/>
      <c r="VWU198" s="133"/>
      <c r="VWV198" s="133"/>
      <c r="VWW198" s="133"/>
      <c r="VWX198" s="133"/>
      <c r="VWY198" s="133"/>
      <c r="VWZ198" s="133"/>
      <c r="VXA198" s="133"/>
      <c r="VXB198" s="133"/>
      <c r="VXC198" s="133"/>
      <c r="VXD198" s="133"/>
      <c r="VXE198" s="133"/>
      <c r="VXF198" s="133"/>
      <c r="VXG198" s="133"/>
      <c r="VXH198" s="133"/>
      <c r="VXI198" s="133"/>
      <c r="VXJ198" s="133"/>
      <c r="VXK198" s="133"/>
      <c r="VXL198" s="133"/>
      <c r="VXM198" s="133"/>
      <c r="VXN198" s="133"/>
      <c r="VXO198" s="133"/>
      <c r="VXP198" s="133"/>
      <c r="VXQ198" s="133"/>
      <c r="VXR198" s="133"/>
      <c r="VXS198" s="133"/>
      <c r="VXT198" s="133"/>
      <c r="VXU198" s="133"/>
      <c r="VXV198" s="133"/>
      <c r="VXW198" s="133"/>
      <c r="VXX198" s="133"/>
      <c r="VXY198" s="133"/>
      <c r="VXZ198" s="133"/>
      <c r="VYA198" s="133"/>
      <c r="VYB198" s="133"/>
      <c r="VYC198" s="133"/>
      <c r="VYD198" s="133"/>
      <c r="VYE198" s="133"/>
      <c r="VYF198" s="133"/>
      <c r="VYG198" s="133"/>
      <c r="VYH198" s="133"/>
      <c r="VYI198" s="133"/>
      <c r="VYJ198" s="133"/>
      <c r="VYK198" s="133"/>
      <c r="VYL198" s="133"/>
      <c r="VYM198" s="133"/>
      <c r="VYN198" s="133"/>
      <c r="VYO198" s="133"/>
      <c r="VYP198" s="133"/>
      <c r="VYQ198" s="133"/>
      <c r="VYR198" s="133"/>
      <c r="VYS198" s="133"/>
      <c r="VYT198" s="133"/>
      <c r="VYU198" s="133"/>
      <c r="VYV198" s="133"/>
      <c r="VYW198" s="133"/>
      <c r="VYX198" s="133"/>
      <c r="VYY198" s="133"/>
      <c r="VYZ198" s="133"/>
      <c r="VZA198" s="133"/>
      <c r="VZB198" s="133"/>
      <c r="VZC198" s="133"/>
      <c r="VZD198" s="133"/>
      <c r="VZE198" s="133"/>
      <c r="VZF198" s="133"/>
      <c r="VZG198" s="133"/>
      <c r="VZH198" s="133"/>
      <c r="VZI198" s="133"/>
      <c r="VZJ198" s="133"/>
      <c r="VZK198" s="133"/>
      <c r="VZL198" s="133"/>
      <c r="VZM198" s="133"/>
      <c r="VZN198" s="133"/>
      <c r="VZO198" s="133"/>
      <c r="VZP198" s="133"/>
      <c r="VZQ198" s="133"/>
      <c r="VZR198" s="133"/>
      <c r="VZS198" s="133"/>
      <c r="VZT198" s="133"/>
      <c r="VZU198" s="133"/>
      <c r="VZV198" s="133"/>
      <c r="VZW198" s="133"/>
      <c r="VZX198" s="133"/>
      <c r="VZY198" s="133"/>
      <c r="VZZ198" s="133"/>
      <c r="WAA198" s="133"/>
      <c r="WAB198" s="133"/>
      <c r="WAC198" s="133"/>
      <c r="WAD198" s="133"/>
      <c r="WAE198" s="133"/>
      <c r="WAF198" s="133"/>
      <c r="WAG198" s="133"/>
      <c r="WAH198" s="133"/>
      <c r="WAI198" s="133"/>
      <c r="WAJ198" s="133"/>
      <c r="WAK198" s="133"/>
      <c r="WAL198" s="133"/>
      <c r="WAM198" s="133"/>
      <c r="WAN198" s="133"/>
      <c r="WAO198" s="133"/>
      <c r="WAP198" s="133"/>
      <c r="WAQ198" s="133"/>
      <c r="WAR198" s="133"/>
      <c r="WAS198" s="133"/>
      <c r="WAT198" s="133"/>
      <c r="WAU198" s="133"/>
      <c r="WAV198" s="133"/>
      <c r="WAW198" s="133"/>
      <c r="WAX198" s="133"/>
      <c r="WAY198" s="133"/>
      <c r="WAZ198" s="133"/>
      <c r="WBA198" s="133"/>
      <c r="WBB198" s="133"/>
      <c r="WBC198" s="133"/>
      <c r="WBD198" s="133"/>
      <c r="WBE198" s="133"/>
      <c r="WBF198" s="133"/>
      <c r="WBG198" s="133"/>
      <c r="WBH198" s="133"/>
      <c r="WBI198" s="133"/>
      <c r="WBJ198" s="133"/>
      <c r="WBK198" s="133"/>
      <c r="WBL198" s="133"/>
      <c r="WBM198" s="133"/>
      <c r="WBN198" s="133"/>
      <c r="WBO198" s="133"/>
      <c r="WBP198" s="133"/>
      <c r="WBQ198" s="133"/>
      <c r="WBR198" s="133"/>
      <c r="WBS198" s="133"/>
      <c r="WBT198" s="133"/>
      <c r="WBU198" s="133"/>
      <c r="WBV198" s="133"/>
      <c r="WBW198" s="133"/>
      <c r="WBX198" s="133"/>
      <c r="WBY198" s="133"/>
      <c r="WBZ198" s="133"/>
      <c r="WCA198" s="133"/>
      <c r="WCB198" s="133"/>
      <c r="WCC198" s="133"/>
      <c r="WCD198" s="133"/>
      <c r="WCE198" s="133"/>
      <c r="WCF198" s="133"/>
      <c r="WCG198" s="133"/>
      <c r="WCH198" s="133"/>
      <c r="WCI198" s="133"/>
      <c r="WCJ198" s="133"/>
      <c r="WCK198" s="133"/>
      <c r="WCL198" s="133"/>
      <c r="WCM198" s="133"/>
      <c r="WCN198" s="133"/>
      <c r="WCO198" s="133"/>
      <c r="WCP198" s="133"/>
      <c r="WCQ198" s="133"/>
      <c r="WCR198" s="133"/>
      <c r="WCS198" s="133"/>
      <c r="WCT198" s="133"/>
      <c r="WCU198" s="133"/>
      <c r="WCV198" s="133"/>
      <c r="WCW198" s="133"/>
      <c r="WCX198" s="133"/>
      <c r="WCY198" s="133"/>
      <c r="WCZ198" s="133"/>
      <c r="WDA198" s="133"/>
      <c r="WDB198" s="133"/>
      <c r="WDC198" s="133"/>
      <c r="WDD198" s="133"/>
      <c r="WDE198" s="133"/>
      <c r="WDF198" s="133"/>
      <c r="WDG198" s="133"/>
      <c r="WDH198" s="133"/>
      <c r="WDI198" s="133"/>
      <c r="WDJ198" s="133"/>
      <c r="WDK198" s="133"/>
      <c r="WDL198" s="133"/>
      <c r="WDM198" s="133"/>
      <c r="WDN198" s="133"/>
      <c r="WDO198" s="133"/>
      <c r="WDP198" s="133"/>
      <c r="WDQ198" s="133"/>
      <c r="WDR198" s="133"/>
      <c r="WDS198" s="133"/>
      <c r="WDT198" s="133"/>
      <c r="WDU198" s="133"/>
      <c r="WDV198" s="133"/>
      <c r="WDW198" s="133"/>
      <c r="WDX198" s="133"/>
      <c r="WDY198" s="133"/>
      <c r="WDZ198" s="133"/>
      <c r="WEA198" s="133"/>
      <c r="WEB198" s="133"/>
      <c r="WEC198" s="133"/>
      <c r="WED198" s="133"/>
      <c r="WEE198" s="133"/>
      <c r="WEF198" s="133"/>
      <c r="WEG198" s="133"/>
      <c r="WEH198" s="133"/>
      <c r="WEI198" s="133"/>
      <c r="WEJ198" s="133"/>
      <c r="WEK198" s="133"/>
      <c r="WEL198" s="133"/>
      <c r="WEM198" s="133"/>
      <c r="WEN198" s="133"/>
      <c r="WEO198" s="133"/>
      <c r="WEP198" s="133"/>
      <c r="WEQ198" s="133"/>
      <c r="WER198" s="133"/>
      <c r="WES198" s="133"/>
      <c r="WET198" s="133"/>
      <c r="WEU198" s="133"/>
      <c r="WEV198" s="133"/>
      <c r="WEW198" s="133"/>
      <c r="WEX198" s="133"/>
      <c r="WEY198" s="133"/>
      <c r="WEZ198" s="133"/>
      <c r="WFA198" s="133"/>
      <c r="WFB198" s="133"/>
      <c r="WFC198" s="133"/>
      <c r="WFD198" s="133"/>
      <c r="WFE198" s="133"/>
      <c r="WFF198" s="133"/>
      <c r="WFG198" s="133"/>
      <c r="WFH198" s="133"/>
      <c r="WFI198" s="133"/>
      <c r="WFJ198" s="133"/>
      <c r="WFK198" s="133"/>
      <c r="WFL198" s="133"/>
      <c r="WFM198" s="133"/>
      <c r="WFN198" s="133"/>
      <c r="WFO198" s="133"/>
      <c r="WFP198" s="133"/>
      <c r="WFQ198" s="133"/>
      <c r="WFR198" s="133"/>
      <c r="WFS198" s="133"/>
      <c r="WFT198" s="133"/>
      <c r="WFU198" s="133"/>
      <c r="WFV198" s="133"/>
      <c r="WFW198" s="133"/>
      <c r="WFX198" s="133"/>
      <c r="WFY198" s="133"/>
      <c r="WFZ198" s="133"/>
      <c r="WGA198" s="133"/>
      <c r="WGB198" s="133"/>
      <c r="WGC198" s="133"/>
      <c r="WGD198" s="133"/>
      <c r="WGE198" s="133"/>
      <c r="WGF198" s="133"/>
      <c r="WGG198" s="133"/>
      <c r="WGH198" s="133"/>
      <c r="WGI198" s="133"/>
      <c r="WGJ198" s="133"/>
      <c r="WGK198" s="133"/>
      <c r="WGL198" s="133"/>
      <c r="WGM198" s="133"/>
      <c r="WGN198" s="133"/>
      <c r="WGO198" s="133"/>
      <c r="WGP198" s="133"/>
      <c r="WGQ198" s="133"/>
      <c r="WGR198" s="133"/>
      <c r="WGS198" s="133"/>
      <c r="WGT198" s="133"/>
      <c r="WGU198" s="133"/>
      <c r="WGV198" s="133"/>
      <c r="WGW198" s="133"/>
      <c r="WGX198" s="133"/>
      <c r="WGY198" s="133"/>
      <c r="WGZ198" s="133"/>
      <c r="WHA198" s="133"/>
      <c r="WHB198" s="133"/>
      <c r="WHC198" s="133"/>
      <c r="WHD198" s="133"/>
      <c r="WHE198" s="133"/>
      <c r="WHF198" s="133"/>
      <c r="WHG198" s="133"/>
      <c r="WHH198" s="133"/>
      <c r="WHI198" s="133"/>
      <c r="WHJ198" s="133"/>
      <c r="WHK198" s="133"/>
      <c r="WHL198" s="133"/>
      <c r="WHM198" s="133"/>
      <c r="WHN198" s="133"/>
      <c r="WHO198" s="133"/>
      <c r="WHP198" s="133"/>
      <c r="WHQ198" s="133"/>
      <c r="WHR198" s="133"/>
      <c r="WHS198" s="133"/>
      <c r="WHT198" s="133"/>
      <c r="WHU198" s="133"/>
      <c r="WHV198" s="133"/>
      <c r="WHW198" s="133"/>
      <c r="WHX198" s="133"/>
      <c r="WHY198" s="133"/>
      <c r="WHZ198" s="133"/>
      <c r="WIA198" s="133"/>
      <c r="WIB198" s="133"/>
      <c r="WIC198" s="133"/>
      <c r="WID198" s="133"/>
      <c r="WIE198" s="133"/>
      <c r="WIF198" s="133"/>
      <c r="WIG198" s="133"/>
      <c r="WIH198" s="133"/>
      <c r="WII198" s="133"/>
      <c r="WIJ198" s="133"/>
      <c r="WIK198" s="133"/>
      <c r="WIL198" s="133"/>
      <c r="WIM198" s="133"/>
      <c r="WIN198" s="133"/>
      <c r="WIO198" s="133"/>
      <c r="WIP198" s="133"/>
      <c r="WIQ198" s="133"/>
      <c r="WIR198" s="133"/>
      <c r="WIS198" s="133"/>
      <c r="WIT198" s="133"/>
      <c r="WIU198" s="133"/>
      <c r="WIV198" s="133"/>
      <c r="WIW198" s="133"/>
      <c r="WIX198" s="133"/>
      <c r="WIY198" s="133"/>
      <c r="WIZ198" s="133"/>
      <c r="WJA198" s="133"/>
      <c r="WJB198" s="133"/>
      <c r="WJC198" s="133"/>
      <c r="WJD198" s="133"/>
      <c r="WJE198" s="133"/>
      <c r="WJF198" s="133"/>
      <c r="WJG198" s="133"/>
      <c r="WJH198" s="133"/>
      <c r="WJI198" s="133"/>
      <c r="WJJ198" s="133"/>
      <c r="WJK198" s="133"/>
      <c r="WJL198" s="133"/>
      <c r="WJM198" s="133"/>
      <c r="WJN198" s="133"/>
      <c r="WJO198" s="133"/>
      <c r="WJP198" s="133"/>
      <c r="WJQ198" s="133"/>
      <c r="WJR198" s="133"/>
      <c r="WJS198" s="133"/>
      <c r="WJT198" s="133"/>
      <c r="WJU198" s="133"/>
      <c r="WJV198" s="133"/>
      <c r="WJW198" s="133"/>
      <c r="WJX198" s="133"/>
      <c r="WJY198" s="133"/>
      <c r="WJZ198" s="133"/>
      <c r="WKA198" s="133"/>
      <c r="WKB198" s="133"/>
      <c r="WKC198" s="133"/>
      <c r="WKD198" s="133"/>
      <c r="WKE198" s="133"/>
      <c r="WKF198" s="133"/>
      <c r="WKG198" s="133"/>
      <c r="WKH198" s="133"/>
      <c r="WKI198" s="133"/>
      <c r="WKJ198" s="133"/>
      <c r="WKK198" s="133"/>
      <c r="WKL198" s="133"/>
      <c r="WKM198" s="133"/>
      <c r="WKN198" s="133"/>
      <c r="WKO198" s="133"/>
      <c r="WKP198" s="133"/>
      <c r="WKQ198" s="133"/>
      <c r="WKR198" s="133"/>
      <c r="WKS198" s="133"/>
      <c r="WKT198" s="133"/>
      <c r="WKU198" s="133"/>
      <c r="WKV198" s="133"/>
      <c r="WKW198" s="133"/>
      <c r="WKX198" s="133"/>
      <c r="WKY198" s="133"/>
      <c r="WKZ198" s="133"/>
      <c r="WLA198" s="133"/>
      <c r="WLB198" s="133"/>
      <c r="WLC198" s="133"/>
      <c r="WLD198" s="133"/>
      <c r="WLE198" s="133"/>
      <c r="WLF198" s="133"/>
      <c r="WLG198" s="133"/>
      <c r="WLH198" s="133"/>
      <c r="WLI198" s="133"/>
      <c r="WLJ198" s="133"/>
      <c r="WLK198" s="133"/>
      <c r="WLL198" s="133"/>
      <c r="WLM198" s="133"/>
      <c r="WLN198" s="133"/>
      <c r="WLO198" s="133"/>
      <c r="WLP198" s="133"/>
      <c r="WLQ198" s="133"/>
      <c r="WLR198" s="133"/>
      <c r="WLS198" s="133"/>
      <c r="WLT198" s="133"/>
      <c r="WLU198" s="133"/>
      <c r="WLV198" s="133"/>
      <c r="WLW198" s="133"/>
      <c r="WLX198" s="133"/>
      <c r="WLY198" s="133"/>
      <c r="WLZ198" s="133"/>
      <c r="WMA198" s="133"/>
      <c r="WMB198" s="133"/>
      <c r="WMC198" s="133"/>
      <c r="WMD198" s="133"/>
      <c r="WME198" s="133"/>
      <c r="WMF198" s="133"/>
      <c r="WMG198" s="133"/>
      <c r="WMH198" s="133"/>
      <c r="WMI198" s="133"/>
      <c r="WMJ198" s="133"/>
      <c r="WMK198" s="133"/>
      <c r="WML198" s="133"/>
      <c r="WMM198" s="133"/>
      <c r="WMN198" s="133"/>
      <c r="WMO198" s="133"/>
      <c r="WMP198" s="133"/>
      <c r="WMQ198" s="133"/>
      <c r="WMR198" s="133"/>
      <c r="WMS198" s="133"/>
      <c r="WMT198" s="133"/>
      <c r="WMU198" s="133"/>
      <c r="WMV198" s="133"/>
      <c r="WMW198" s="133"/>
      <c r="WMX198" s="133"/>
      <c r="WMY198" s="133"/>
      <c r="WMZ198" s="133"/>
      <c r="WNA198" s="133"/>
      <c r="WNB198" s="133"/>
      <c r="WNC198" s="133"/>
      <c r="WND198" s="133"/>
      <c r="WNE198" s="133"/>
      <c r="WNF198" s="133"/>
      <c r="WNG198" s="133"/>
      <c r="WNH198" s="133"/>
      <c r="WNI198" s="133"/>
      <c r="WNJ198" s="133"/>
      <c r="WNK198" s="133"/>
      <c r="WNL198" s="133"/>
      <c r="WNM198" s="133"/>
      <c r="WNN198" s="133"/>
      <c r="WNO198" s="133"/>
      <c r="WNP198" s="133"/>
      <c r="WNQ198" s="133"/>
      <c r="WNR198" s="133"/>
      <c r="WNS198" s="133"/>
      <c r="WNT198" s="133"/>
      <c r="WNU198" s="133"/>
      <c r="WNV198" s="133"/>
      <c r="WNW198" s="133"/>
      <c r="WNX198" s="133"/>
      <c r="WNY198" s="133"/>
      <c r="WNZ198" s="133"/>
      <c r="WOA198" s="133"/>
      <c r="WOB198" s="133"/>
      <c r="WOC198" s="133"/>
      <c r="WOD198" s="133"/>
      <c r="WOE198" s="133"/>
      <c r="WOF198" s="133"/>
      <c r="WOG198" s="133"/>
      <c r="WOH198" s="133"/>
      <c r="WOI198" s="133"/>
      <c r="WOJ198" s="133"/>
      <c r="WOK198" s="133"/>
      <c r="WOL198" s="133"/>
      <c r="WOM198" s="133"/>
      <c r="WON198" s="133"/>
      <c r="WOO198" s="133"/>
      <c r="WOP198" s="133"/>
      <c r="WOQ198" s="133"/>
      <c r="WOR198" s="133"/>
      <c r="WOS198" s="133"/>
      <c r="WOT198" s="133"/>
      <c r="WOU198" s="133"/>
      <c r="WOV198" s="133"/>
      <c r="WOW198" s="133"/>
      <c r="WOX198" s="133"/>
      <c r="WOY198" s="133"/>
      <c r="WOZ198" s="133"/>
      <c r="WPA198" s="133"/>
      <c r="WPB198" s="133"/>
      <c r="WPC198" s="133"/>
      <c r="WPD198" s="133"/>
      <c r="WPE198" s="133"/>
      <c r="WPF198" s="133"/>
      <c r="WPG198" s="133"/>
      <c r="WPH198" s="133"/>
      <c r="WPI198" s="133"/>
      <c r="WPJ198" s="133"/>
      <c r="WPK198" s="133"/>
      <c r="WPL198" s="133"/>
      <c r="WPM198" s="133"/>
      <c r="WPN198" s="133"/>
      <c r="WPO198" s="133"/>
      <c r="WPP198" s="133"/>
      <c r="WPQ198" s="133"/>
      <c r="WPR198" s="133"/>
      <c r="WPS198" s="133"/>
      <c r="WPT198" s="133"/>
      <c r="WPU198" s="133"/>
      <c r="WPV198" s="133"/>
      <c r="WPW198" s="133"/>
      <c r="WPX198" s="133"/>
      <c r="WPY198" s="133"/>
      <c r="WPZ198" s="133"/>
      <c r="WQA198" s="133"/>
      <c r="WQB198" s="133"/>
      <c r="WQC198" s="133"/>
      <c r="WQD198" s="133"/>
      <c r="WQE198" s="133"/>
      <c r="WQF198" s="133"/>
      <c r="WQG198" s="133"/>
      <c r="WQH198" s="133"/>
      <c r="WQI198" s="133"/>
      <c r="WQJ198" s="133"/>
      <c r="WQK198" s="133"/>
      <c r="WQL198" s="133"/>
      <c r="WQM198" s="133"/>
      <c r="WQN198" s="133"/>
      <c r="WQO198" s="133"/>
      <c r="WQP198" s="133"/>
      <c r="WQQ198" s="133"/>
      <c r="WQR198" s="133"/>
      <c r="WQS198" s="133"/>
      <c r="WQT198" s="133"/>
      <c r="WQU198" s="133"/>
      <c r="WQV198" s="133"/>
      <c r="WQW198" s="133"/>
      <c r="WQX198" s="133"/>
      <c r="WQY198" s="133"/>
      <c r="WQZ198" s="133"/>
      <c r="WRA198" s="133"/>
      <c r="WRB198" s="133"/>
      <c r="WRC198" s="133"/>
      <c r="WRD198" s="133"/>
      <c r="WRE198" s="133"/>
      <c r="WRF198" s="133"/>
      <c r="WRG198" s="133"/>
      <c r="WRH198" s="133"/>
      <c r="WRI198" s="133"/>
      <c r="WRJ198" s="133"/>
      <c r="WRK198" s="133"/>
      <c r="WRL198" s="133"/>
      <c r="WRM198" s="133"/>
      <c r="WRN198" s="133"/>
      <c r="WRO198" s="133"/>
      <c r="WRP198" s="133"/>
      <c r="WRQ198" s="133"/>
      <c r="WRR198" s="133"/>
      <c r="WRS198" s="133"/>
      <c r="WRT198" s="133"/>
      <c r="WRU198" s="133"/>
      <c r="WRV198" s="133"/>
      <c r="WRW198" s="133"/>
      <c r="WRX198" s="133"/>
      <c r="WRY198" s="133"/>
      <c r="WRZ198" s="133"/>
      <c r="WSA198" s="133"/>
      <c r="WSB198" s="133"/>
      <c r="WSC198" s="133"/>
      <c r="WSD198" s="133"/>
      <c r="WSE198" s="133"/>
      <c r="WSF198" s="133"/>
      <c r="WSG198" s="133"/>
      <c r="WSH198" s="133"/>
      <c r="WSI198" s="133"/>
      <c r="WSJ198" s="133"/>
      <c r="WSK198" s="133"/>
      <c r="WSL198" s="133"/>
      <c r="WSM198" s="133"/>
      <c r="WSN198" s="133"/>
      <c r="WSO198" s="133"/>
      <c r="WSP198" s="133"/>
      <c r="WSQ198" s="133"/>
      <c r="WSR198" s="133"/>
      <c r="WSS198" s="133"/>
      <c r="WST198" s="133"/>
      <c r="WSU198" s="133"/>
      <c r="WSV198" s="133"/>
      <c r="WSW198" s="133"/>
      <c r="WSX198" s="133"/>
      <c r="WSY198" s="133"/>
      <c r="WSZ198" s="133"/>
      <c r="WTA198" s="133"/>
      <c r="WTB198" s="133"/>
      <c r="WTC198" s="133"/>
      <c r="WTD198" s="133"/>
      <c r="WTE198" s="133"/>
      <c r="WTF198" s="133"/>
      <c r="WTG198" s="133"/>
      <c r="WTH198" s="133"/>
      <c r="WTI198" s="133"/>
      <c r="WTJ198" s="133"/>
      <c r="WTK198" s="133"/>
      <c r="WTL198" s="133"/>
      <c r="WTM198" s="133"/>
      <c r="WTN198" s="133"/>
      <c r="WTO198" s="133"/>
      <c r="WTP198" s="133"/>
      <c r="WTQ198" s="133"/>
      <c r="WTR198" s="133"/>
      <c r="WTS198" s="133"/>
      <c r="WTT198" s="133"/>
      <c r="WTU198" s="133"/>
      <c r="WTV198" s="133"/>
      <c r="WTW198" s="133"/>
      <c r="WTX198" s="133"/>
      <c r="WTY198" s="133"/>
      <c r="WTZ198" s="133"/>
      <c r="WUA198" s="133"/>
      <c r="WUB198" s="133"/>
      <c r="WUC198" s="133"/>
      <c r="WUD198" s="133"/>
      <c r="WUE198" s="133"/>
      <c r="WUF198" s="133"/>
      <c r="WUG198" s="133"/>
      <c r="WUH198" s="133"/>
      <c r="WUI198" s="133"/>
      <c r="WUJ198" s="133"/>
      <c r="WUK198" s="133"/>
      <c r="WUL198" s="133"/>
      <c r="WUM198" s="133"/>
      <c r="WUN198" s="133"/>
      <c r="WUO198" s="133"/>
      <c r="WUP198" s="133"/>
      <c r="WUQ198" s="133"/>
      <c r="WUR198" s="133"/>
      <c r="WUS198" s="133"/>
      <c r="WUT198" s="133"/>
      <c r="WUU198" s="133"/>
      <c r="WUV198" s="133"/>
      <c r="WUW198" s="133"/>
      <c r="WUX198" s="133"/>
      <c r="WUY198" s="133"/>
      <c r="WUZ198" s="133"/>
      <c r="WVA198" s="133"/>
      <c r="WVB198" s="133"/>
      <c r="WVC198" s="133"/>
      <c r="WVD198" s="133"/>
      <c r="WVE198" s="133"/>
      <c r="WVF198" s="133"/>
      <c r="WVG198" s="133"/>
      <c r="WVH198" s="133"/>
      <c r="WVI198" s="133"/>
      <c r="WVJ198" s="133"/>
      <c r="WVK198" s="133"/>
      <c r="WVL198" s="133"/>
      <c r="WVM198" s="133"/>
      <c r="WVN198" s="133"/>
      <c r="WVO198" s="133"/>
      <c r="WVP198" s="133"/>
      <c r="WVQ198" s="133"/>
      <c r="WVR198" s="133"/>
      <c r="WVS198" s="133"/>
      <c r="WVT198" s="133"/>
      <c r="WVU198" s="133"/>
      <c r="WVV198" s="133"/>
      <c r="WVW198" s="133"/>
      <c r="WVX198" s="133"/>
      <c r="WVY198" s="133"/>
      <c r="WVZ198" s="133"/>
      <c r="WWA198" s="133"/>
      <c r="WWB198" s="133"/>
      <c r="WWC198" s="133"/>
      <c r="WWD198" s="133"/>
      <c r="WWE198" s="133"/>
      <c r="WWF198" s="133"/>
      <c r="WWG198" s="133"/>
      <c r="WWH198" s="133"/>
      <c r="WWI198" s="133"/>
      <c r="WWJ198" s="133"/>
      <c r="WWK198" s="133"/>
      <c r="WWL198" s="133"/>
      <c r="WWM198" s="133"/>
      <c r="WWN198" s="133"/>
      <c r="WWO198" s="133"/>
      <c r="WWP198" s="133"/>
      <c r="WWQ198" s="133"/>
      <c r="WWR198" s="133"/>
      <c r="WWS198" s="133"/>
      <c r="WWT198" s="133"/>
      <c r="WWU198" s="133"/>
      <c r="WWV198" s="133"/>
      <c r="WWW198" s="133"/>
      <c r="WWX198" s="133"/>
      <c r="WWY198" s="133"/>
      <c r="WWZ198" s="133"/>
      <c r="WXA198" s="133"/>
      <c r="WXB198" s="133"/>
      <c r="WXC198" s="133"/>
      <c r="WXD198" s="133"/>
      <c r="WXE198" s="133"/>
      <c r="WXF198" s="133"/>
      <c r="WXG198" s="133"/>
      <c r="WXH198" s="133"/>
      <c r="WXI198" s="133"/>
      <c r="WXJ198" s="133"/>
      <c r="WXK198" s="133"/>
      <c r="WXL198" s="133"/>
      <c r="WXM198" s="133"/>
      <c r="WXN198" s="133"/>
      <c r="WXO198" s="133"/>
      <c r="WXP198" s="133"/>
      <c r="WXQ198" s="133"/>
      <c r="WXR198" s="133"/>
      <c r="WXS198" s="133"/>
      <c r="WXT198" s="133"/>
      <c r="WXU198" s="133"/>
      <c r="WXV198" s="133"/>
      <c r="WXW198" s="133"/>
      <c r="WXX198" s="133"/>
      <c r="WXY198" s="133"/>
      <c r="WXZ198" s="133"/>
      <c r="WYA198" s="133"/>
      <c r="WYB198" s="133"/>
      <c r="WYC198" s="133"/>
      <c r="WYD198" s="133"/>
      <c r="WYE198" s="133"/>
      <c r="WYF198" s="133"/>
      <c r="WYG198" s="133"/>
      <c r="WYH198" s="133"/>
      <c r="WYI198" s="133"/>
      <c r="WYJ198" s="133"/>
      <c r="WYK198" s="133"/>
      <c r="WYL198" s="133"/>
      <c r="WYM198" s="133"/>
      <c r="WYN198" s="133"/>
      <c r="WYO198" s="133"/>
      <c r="WYP198" s="133"/>
      <c r="WYQ198" s="133"/>
      <c r="WYR198" s="133"/>
      <c r="WYS198" s="133"/>
      <c r="WYT198" s="133"/>
      <c r="WYU198" s="133"/>
      <c r="WYV198" s="133"/>
      <c r="WYW198" s="133"/>
      <c r="WYX198" s="133"/>
      <c r="WYY198" s="133"/>
      <c r="WYZ198" s="133"/>
      <c r="WZA198" s="133"/>
      <c r="WZB198" s="133"/>
      <c r="WZC198" s="133"/>
      <c r="WZD198" s="133"/>
      <c r="WZE198" s="133"/>
      <c r="WZF198" s="133"/>
      <c r="WZG198" s="133"/>
      <c r="WZH198" s="133"/>
      <c r="WZI198" s="133"/>
      <c r="WZJ198" s="133"/>
      <c r="WZK198" s="133"/>
      <c r="WZL198" s="133"/>
      <c r="WZM198" s="133"/>
      <c r="WZN198" s="133"/>
      <c r="WZO198" s="133"/>
      <c r="WZP198" s="133"/>
      <c r="WZQ198" s="133"/>
      <c r="WZR198" s="133"/>
      <c r="WZS198" s="133"/>
      <c r="WZT198" s="133"/>
      <c r="WZU198" s="133"/>
      <c r="WZV198" s="133"/>
      <c r="WZW198" s="133"/>
      <c r="WZX198" s="133"/>
      <c r="WZY198" s="133"/>
      <c r="WZZ198" s="133"/>
      <c r="XAA198" s="133"/>
      <c r="XAB198" s="133"/>
      <c r="XAC198" s="133"/>
      <c r="XAD198" s="133"/>
      <c r="XAE198" s="133"/>
      <c r="XAF198" s="133"/>
      <c r="XAG198" s="133"/>
      <c r="XAH198" s="133"/>
      <c r="XAI198" s="133"/>
      <c r="XAJ198" s="133"/>
      <c r="XAK198" s="133"/>
      <c r="XAL198" s="133"/>
      <c r="XAM198" s="133"/>
      <c r="XAN198" s="133"/>
      <c r="XAO198" s="133"/>
      <c r="XAP198" s="133"/>
      <c r="XAQ198" s="133"/>
      <c r="XAR198" s="133"/>
      <c r="XAS198" s="133"/>
      <c r="XAT198" s="133"/>
      <c r="XAU198" s="133"/>
      <c r="XAV198" s="133"/>
      <c r="XAW198" s="133"/>
      <c r="XAX198" s="133"/>
      <c r="XAY198" s="133"/>
      <c r="XAZ198" s="133"/>
      <c r="XBA198" s="133"/>
      <c r="XBB198" s="133"/>
      <c r="XBC198" s="133"/>
      <c r="XBD198" s="133"/>
      <c r="XBE198" s="133"/>
      <c r="XBF198" s="133"/>
      <c r="XBG198" s="133"/>
      <c r="XBH198" s="133"/>
      <c r="XBI198" s="133"/>
      <c r="XBJ198" s="133"/>
      <c r="XBK198" s="133"/>
      <c r="XBL198" s="133"/>
      <c r="XBM198" s="133"/>
      <c r="XBN198" s="133"/>
      <c r="XBO198" s="133"/>
      <c r="XBP198" s="133"/>
      <c r="XBQ198" s="133"/>
      <c r="XBR198" s="133"/>
      <c r="XBS198" s="133"/>
      <c r="XBT198" s="133"/>
      <c r="XBU198" s="133"/>
      <c r="XBV198" s="133"/>
      <c r="XBW198" s="133"/>
      <c r="XBX198" s="133"/>
      <c r="XBY198" s="133"/>
      <c r="XBZ198" s="133"/>
      <c r="XCA198" s="133"/>
      <c r="XCB198" s="133"/>
      <c r="XCC198" s="133"/>
      <c r="XCD198" s="133"/>
      <c r="XCE198" s="133"/>
      <c r="XCF198" s="133"/>
      <c r="XCG198" s="133"/>
      <c r="XCH198" s="133"/>
      <c r="XCI198" s="133"/>
      <c r="XCJ198" s="133"/>
      <c r="XCK198" s="133"/>
      <c r="XCL198" s="133"/>
      <c r="XCM198" s="133"/>
      <c r="XCN198" s="133"/>
      <c r="XCO198" s="133"/>
      <c r="XCP198" s="133"/>
      <c r="XCQ198" s="133"/>
      <c r="XCR198" s="133"/>
      <c r="XCS198" s="133"/>
      <c r="XCT198" s="133"/>
      <c r="XCU198" s="133"/>
      <c r="XCV198" s="133"/>
      <c r="XCW198" s="133"/>
      <c r="XCX198" s="133"/>
      <c r="XCY198" s="133"/>
      <c r="XCZ198" s="133"/>
      <c r="XDA198" s="133"/>
      <c r="XDB198" s="133"/>
      <c r="XDC198" s="133"/>
      <c r="XDD198" s="133"/>
      <c r="XDE198" s="133"/>
      <c r="XDF198" s="133"/>
      <c r="XDG198" s="133"/>
      <c r="XDH198" s="133"/>
      <c r="XDI198" s="133"/>
      <c r="XDJ198" s="133"/>
      <c r="XDK198" s="133"/>
      <c r="XDL198" s="133"/>
      <c r="XDM198" s="133"/>
      <c r="XDN198" s="133"/>
      <c r="XDO198" s="133"/>
      <c r="XDP198" s="133"/>
      <c r="XDQ198" s="133"/>
      <c r="XDR198" s="133"/>
      <c r="XDS198" s="133"/>
      <c r="XDT198" s="133"/>
      <c r="XDU198" s="133"/>
      <c r="XDV198" s="133"/>
      <c r="XDW198" s="133"/>
      <c r="XDX198" s="133"/>
      <c r="XDY198" s="133"/>
      <c r="XDZ198" s="133"/>
      <c r="XEA198" s="133"/>
      <c r="XEB198" s="133"/>
      <c r="XEC198" s="133"/>
      <c r="XED198" s="133"/>
      <c r="XEE198" s="133"/>
      <c r="XEF198" s="133"/>
      <c r="XEG198" s="133"/>
      <c r="XEH198" s="133"/>
      <c r="XEI198" s="133"/>
      <c r="XEJ198" s="133"/>
      <c r="XEK198" s="133"/>
      <c r="XEL198" s="133"/>
      <c r="XEM198" s="133"/>
      <c r="XEN198" s="133"/>
      <c r="XEO198" s="133"/>
      <c r="XEP198" s="133"/>
      <c r="XEQ198" s="133"/>
      <c r="XER198" s="133"/>
      <c r="XES198" s="133"/>
      <c r="XET198" s="133"/>
      <c r="XEU198" s="133"/>
      <c r="XEV198" s="133"/>
      <c r="XEW198" s="133"/>
      <c r="XEX198" s="133"/>
      <c r="XEY198" s="133"/>
    </row>
    <row r="199" spans="1:16379" s="133" customFormat="1" x14ac:dyDescent="0.2">
      <c r="A199" s="30" t="s">
        <v>47</v>
      </c>
      <c r="B199" s="30" t="s">
        <v>1312</v>
      </c>
      <c r="C199" s="30"/>
      <c r="D199" s="30" t="s">
        <v>60</v>
      </c>
      <c r="E199" s="30" t="s">
        <v>685</v>
      </c>
      <c r="F199" s="72"/>
      <c r="G199" s="30"/>
      <c r="H199" s="106"/>
      <c r="I199" s="30" t="s">
        <v>1314</v>
      </c>
      <c r="J199" s="30" t="s">
        <v>1313</v>
      </c>
      <c r="K199" s="30" t="s">
        <v>63</v>
      </c>
      <c r="L199" s="31">
        <v>2023</v>
      </c>
      <c r="M199" s="31"/>
      <c r="N199" s="32"/>
      <c r="O199" s="33"/>
      <c r="P199" s="31">
        <v>100</v>
      </c>
      <c r="Q199" s="35">
        <v>5000</v>
      </c>
      <c r="R199" s="31">
        <v>240</v>
      </c>
      <c r="S199" s="31"/>
      <c r="T199" s="31"/>
      <c r="U199" s="31"/>
      <c r="V199" s="31"/>
      <c r="W199" s="31"/>
      <c r="X199" s="31"/>
      <c r="Y199" s="31"/>
      <c r="Z199" s="30" t="s">
        <v>42</v>
      </c>
      <c r="AA199" s="30"/>
      <c r="AB199" s="30"/>
      <c r="AC199" s="72" t="s">
        <v>1315</v>
      </c>
      <c r="AD199" s="31">
        <v>3</v>
      </c>
      <c r="AE199" s="31">
        <v>3</v>
      </c>
      <c r="AF199" s="31">
        <v>2</v>
      </c>
      <c r="AG199" s="31">
        <v>3</v>
      </c>
      <c r="AH199" s="31">
        <v>3</v>
      </c>
      <c r="AI199" s="31">
        <v>3</v>
      </c>
      <c r="AJ199" s="31">
        <f>AI199*AH199*AG199*AF199*AE199*AD199</f>
        <v>486</v>
      </c>
      <c r="AK199" s="30" t="s">
        <v>45</v>
      </c>
      <c r="AL199" s="37">
        <v>44986</v>
      </c>
    </row>
    <row r="200" spans="1:16379" ht="38.25" x14ac:dyDescent="0.2">
      <c r="A200" s="22" t="s">
        <v>58</v>
      </c>
      <c r="B200" s="22" t="s">
        <v>421</v>
      </c>
      <c r="C200" s="22"/>
      <c r="D200" s="22" t="s">
        <v>422</v>
      </c>
      <c r="E200" s="22" t="s">
        <v>101</v>
      </c>
      <c r="F200" s="71" t="s">
        <v>900</v>
      </c>
      <c r="G200" s="22"/>
      <c r="H200" s="22"/>
      <c r="I200" s="22" t="s">
        <v>423</v>
      </c>
      <c r="J200" s="22"/>
      <c r="K200" s="22" t="s">
        <v>42</v>
      </c>
      <c r="L200" s="24">
        <v>2024</v>
      </c>
      <c r="M200" s="24"/>
      <c r="N200" s="38">
        <v>750</v>
      </c>
      <c r="O200" s="39"/>
      <c r="P200" s="27">
        <f t="shared" ref="P200:P201" si="23">N200*O200</f>
        <v>0</v>
      </c>
      <c r="Q200" s="28"/>
      <c r="R200" s="28">
        <f t="shared" ref="R200:R201" si="24">IF(Q200&lt;4.99,(Q200*12%+4),IF(Q200&lt;10.99,(Q200*12%+8),IF(Q200&lt;14.99,(Q200*12%+12),IF(Q200&lt;879.99,(Q200*12%+16),IF(Q200&lt;2569.99,(Q200*7%+60),240)))))</f>
        <v>4</v>
      </c>
      <c r="S200" s="29">
        <f t="shared" ref="S200:S201" si="25">R200*P200</f>
        <v>0</v>
      </c>
      <c r="T200" s="24"/>
      <c r="U200" s="24"/>
      <c r="V200" s="24"/>
      <c r="W200" s="24"/>
      <c r="X200" s="24"/>
      <c r="Y200" s="24"/>
      <c r="Z200" s="22" t="s">
        <v>42</v>
      </c>
      <c r="AA200" s="22"/>
      <c r="AB200" s="40" t="s">
        <v>56</v>
      </c>
      <c r="AC200" s="71" t="s">
        <v>424</v>
      </c>
      <c r="AD200" s="24">
        <v>3</v>
      </c>
      <c r="AE200" s="24">
        <v>2</v>
      </c>
      <c r="AF200" s="24">
        <v>3</v>
      </c>
      <c r="AG200" s="24">
        <v>1</v>
      </c>
      <c r="AH200" s="24">
        <v>3</v>
      </c>
      <c r="AI200" s="24">
        <v>2</v>
      </c>
      <c r="AJ200" s="24">
        <v>108</v>
      </c>
      <c r="AK200" s="22" t="s">
        <v>45</v>
      </c>
      <c r="AL200" s="22"/>
    </row>
    <row r="201" spans="1:16379" ht="38.25" x14ac:dyDescent="0.2">
      <c r="A201" s="22" t="s">
        <v>86</v>
      </c>
      <c r="B201" s="22" t="s">
        <v>259</v>
      </c>
      <c r="C201" s="22"/>
      <c r="D201" s="22" t="s">
        <v>98</v>
      </c>
      <c r="E201" s="22" t="s">
        <v>786</v>
      </c>
      <c r="F201" s="71" t="s">
        <v>900</v>
      </c>
      <c r="G201" s="22"/>
      <c r="H201" s="22"/>
      <c r="I201" s="22" t="s">
        <v>787</v>
      </c>
      <c r="J201" s="22"/>
      <c r="K201" s="22" t="s">
        <v>64</v>
      </c>
      <c r="L201" s="24">
        <v>2019</v>
      </c>
      <c r="M201" s="24"/>
      <c r="N201" s="38">
        <v>70000</v>
      </c>
      <c r="O201" s="39"/>
      <c r="P201" s="27">
        <f t="shared" si="23"/>
        <v>0</v>
      </c>
      <c r="Q201" s="28"/>
      <c r="R201" s="28">
        <f t="shared" si="24"/>
        <v>4</v>
      </c>
      <c r="S201" s="29">
        <f t="shared" si="25"/>
        <v>0</v>
      </c>
      <c r="T201" s="24"/>
      <c r="U201" s="24"/>
      <c r="V201" s="24"/>
      <c r="W201" s="24"/>
      <c r="X201" s="24"/>
      <c r="Y201" s="24"/>
      <c r="Z201" s="22" t="s">
        <v>64</v>
      </c>
      <c r="AA201" s="22"/>
      <c r="AB201" s="22" t="s">
        <v>95</v>
      </c>
      <c r="AC201" s="71" t="s">
        <v>788</v>
      </c>
      <c r="AD201" s="24">
        <v>3</v>
      </c>
      <c r="AE201" s="24">
        <v>3</v>
      </c>
      <c r="AF201" s="24">
        <v>3</v>
      </c>
      <c r="AG201" s="24">
        <v>1</v>
      </c>
      <c r="AH201" s="24">
        <v>3</v>
      </c>
      <c r="AI201" s="24">
        <v>2</v>
      </c>
      <c r="AJ201" s="24">
        <v>162</v>
      </c>
      <c r="AK201" s="22" t="s">
        <v>45</v>
      </c>
      <c r="AL201" s="22"/>
    </row>
    <row r="202" spans="1:16379" x14ac:dyDescent="0.2">
      <c r="A202" s="22" t="s">
        <v>47</v>
      </c>
      <c r="B202" s="22" t="s">
        <v>1141</v>
      </c>
      <c r="C202" s="22"/>
      <c r="D202" s="22" t="s">
        <v>1142</v>
      </c>
      <c r="E202" s="22" t="s">
        <v>251</v>
      </c>
      <c r="F202" s="71"/>
      <c r="G202" s="22"/>
      <c r="H202" s="22"/>
      <c r="I202" s="22" t="s">
        <v>1143</v>
      </c>
      <c r="J202" s="22" t="s">
        <v>1350</v>
      </c>
      <c r="K202" s="22" t="s">
        <v>42</v>
      </c>
      <c r="L202" s="24">
        <v>2023</v>
      </c>
      <c r="M202" s="24"/>
      <c r="N202" s="38">
        <v>15000</v>
      </c>
      <c r="O202" s="39"/>
      <c r="P202" s="27"/>
      <c r="Q202" s="28">
        <v>300</v>
      </c>
      <c r="R202" s="28"/>
      <c r="S202" s="29"/>
      <c r="T202" s="24"/>
      <c r="U202" s="24"/>
      <c r="V202" s="24"/>
      <c r="W202" s="24"/>
      <c r="X202" s="24"/>
      <c r="Y202" s="24"/>
      <c r="Z202" s="22"/>
      <c r="AA202" s="22"/>
      <c r="AB202" s="22"/>
      <c r="AC202" s="71"/>
      <c r="AD202" s="24"/>
      <c r="AE202" s="24"/>
      <c r="AF202" s="24"/>
      <c r="AG202" s="24"/>
      <c r="AH202" s="24"/>
      <c r="AI202" s="24"/>
      <c r="AJ202" s="24"/>
      <c r="AK202" s="22"/>
      <c r="AL202" s="22"/>
    </row>
    <row r="203" spans="1:16379" ht="38.25" x14ac:dyDescent="0.2">
      <c r="A203" s="22" t="s">
        <v>47</v>
      </c>
      <c r="B203" s="22" t="s">
        <v>816</v>
      </c>
      <c r="C203" s="22"/>
      <c r="D203" s="65" t="s">
        <v>98</v>
      </c>
      <c r="E203" s="88" t="s">
        <v>870</v>
      </c>
      <c r="F203" s="78" t="s">
        <v>900</v>
      </c>
      <c r="G203" s="88"/>
      <c r="H203" s="77"/>
      <c r="I203" s="65" t="s">
        <v>871</v>
      </c>
      <c r="J203" s="22"/>
      <c r="K203" s="22" t="s">
        <v>42</v>
      </c>
      <c r="L203" s="24">
        <v>2021</v>
      </c>
      <c r="M203" s="24"/>
      <c r="N203" s="38"/>
      <c r="O203" s="39"/>
      <c r="P203" s="27"/>
      <c r="Q203" s="28"/>
      <c r="R203" s="28"/>
      <c r="S203" s="29"/>
      <c r="T203" s="24"/>
      <c r="U203" s="24"/>
      <c r="V203" s="24"/>
      <c r="W203" s="24"/>
      <c r="X203" s="24"/>
      <c r="Y203" s="24"/>
      <c r="Z203" s="22" t="s">
        <v>42</v>
      </c>
      <c r="AA203" s="22"/>
      <c r="AB203" s="41"/>
      <c r="AC203" s="67"/>
      <c r="AD203" s="24">
        <v>2</v>
      </c>
      <c r="AE203" s="24">
        <v>3</v>
      </c>
      <c r="AF203" s="24">
        <v>3</v>
      </c>
      <c r="AG203" s="24">
        <v>1</v>
      </c>
      <c r="AH203" s="24">
        <v>2</v>
      </c>
      <c r="AI203" s="24">
        <v>3</v>
      </c>
      <c r="AJ203" s="24">
        <v>108</v>
      </c>
      <c r="AK203" s="22" t="s">
        <v>45</v>
      </c>
      <c r="AL203" s="69">
        <v>44197</v>
      </c>
    </row>
    <row r="204" spans="1:16379" x14ac:dyDescent="0.2">
      <c r="A204" s="201" t="s">
        <v>58</v>
      </c>
      <c r="B204" s="201" t="s">
        <v>97</v>
      </c>
      <c r="C204" s="201"/>
      <c r="D204" s="202" t="s">
        <v>37</v>
      </c>
      <c r="E204" s="203" t="s">
        <v>1197</v>
      </c>
      <c r="F204" s="204"/>
      <c r="G204" s="203"/>
      <c r="H204" s="205"/>
      <c r="I204" s="202" t="s">
        <v>1198</v>
      </c>
      <c r="J204" s="201" t="s">
        <v>1454</v>
      </c>
      <c r="K204" s="201" t="s">
        <v>1177</v>
      </c>
      <c r="L204" s="206">
        <v>2024</v>
      </c>
      <c r="M204" s="206"/>
      <c r="N204" s="207">
        <v>1275</v>
      </c>
      <c r="O204" s="208"/>
      <c r="P204" s="209"/>
      <c r="Q204" s="210"/>
      <c r="R204" s="210"/>
      <c r="S204" s="211"/>
      <c r="T204" s="206"/>
      <c r="U204" s="206"/>
      <c r="V204" s="206"/>
      <c r="W204" s="206"/>
      <c r="X204" s="206"/>
      <c r="Y204" s="206"/>
      <c r="Z204" s="201" t="s">
        <v>42</v>
      </c>
      <c r="AA204" s="201"/>
      <c r="AB204" s="212"/>
      <c r="AC204" s="213"/>
      <c r="AD204" s="206">
        <v>3</v>
      </c>
      <c r="AE204" s="206">
        <v>2</v>
      </c>
      <c r="AF204" s="206">
        <v>2</v>
      </c>
      <c r="AG204" s="206">
        <v>3</v>
      </c>
      <c r="AH204" s="206">
        <v>1</v>
      </c>
      <c r="AI204" s="206">
        <v>2</v>
      </c>
      <c r="AJ204" s="206">
        <f>AI204*AH204*AG204*AF204*AE204*AD204</f>
        <v>72</v>
      </c>
      <c r="AK204" s="201" t="s">
        <v>45</v>
      </c>
      <c r="AL204" s="214">
        <v>44713</v>
      </c>
    </row>
    <row r="205" spans="1:16379" s="215" customFormat="1" x14ac:dyDescent="0.2">
      <c r="A205" s="215" t="s">
        <v>58</v>
      </c>
      <c r="B205" s="215" t="s">
        <v>97</v>
      </c>
      <c r="D205" s="215" t="s">
        <v>37</v>
      </c>
      <c r="E205" s="215" t="s">
        <v>406</v>
      </c>
      <c r="F205" s="215" t="s">
        <v>958</v>
      </c>
      <c r="I205" s="215" t="s">
        <v>407</v>
      </c>
      <c r="J205" s="215" t="s">
        <v>1251</v>
      </c>
      <c r="K205" s="215" t="s">
        <v>409</v>
      </c>
      <c r="L205" s="215">
        <v>2024</v>
      </c>
      <c r="N205" s="215">
        <f>8500000/10000*1.5</f>
        <v>1275</v>
      </c>
      <c r="P205" s="215">
        <f>N205*O205</f>
        <v>0</v>
      </c>
      <c r="R205" s="215">
        <f>IF(Q205&lt;4.99,(Q205*12%+4),IF(Q205&lt;10.99,(Q205*12%+8),IF(Q205&lt;14.99,(Q205*12%+12),IF(Q205&lt;879.99,(Q205*12%+16),IF(Q205&lt;2569.99,(Q205*7%+60),240)))))</f>
        <v>4</v>
      </c>
      <c r="S205" s="215">
        <f>R205*P205</f>
        <v>0</v>
      </c>
      <c r="Z205" s="215" t="s">
        <v>64</v>
      </c>
      <c r="AB205" s="215" t="s">
        <v>70</v>
      </c>
      <c r="AC205" s="215" t="s">
        <v>410</v>
      </c>
      <c r="AD205" s="215">
        <v>1</v>
      </c>
      <c r="AE205" s="215">
        <v>2</v>
      </c>
      <c r="AF205" s="215">
        <v>1</v>
      </c>
      <c r="AG205" s="215">
        <v>3</v>
      </c>
      <c r="AH205" s="215">
        <v>1</v>
      </c>
      <c r="AI205" s="215">
        <v>2</v>
      </c>
      <c r="AJ205" s="215">
        <v>12</v>
      </c>
      <c r="AK205" s="215" t="s">
        <v>48</v>
      </c>
    </row>
    <row r="206" spans="1:16379" ht="38.25" x14ac:dyDescent="0.2">
      <c r="A206" s="22" t="s">
        <v>35</v>
      </c>
      <c r="B206" s="22" t="s">
        <v>762</v>
      </c>
      <c r="C206" s="22"/>
      <c r="D206" s="22" t="s">
        <v>37</v>
      </c>
      <c r="E206" s="22" t="s">
        <v>999</v>
      </c>
      <c r="F206" s="71" t="s">
        <v>899</v>
      </c>
      <c r="G206" s="22"/>
      <c r="H206" s="22"/>
      <c r="I206" s="22" t="s">
        <v>763</v>
      </c>
      <c r="J206" s="22"/>
      <c r="K206" s="22" t="s">
        <v>42</v>
      </c>
      <c r="L206" s="24">
        <v>2021</v>
      </c>
      <c r="M206" s="24"/>
      <c r="N206" s="38"/>
      <c r="O206" s="39"/>
      <c r="P206" s="24"/>
      <c r="Q206" s="28"/>
      <c r="R206" s="24"/>
      <c r="S206" s="24"/>
      <c r="T206" s="24"/>
      <c r="U206" s="24"/>
      <c r="V206" s="24"/>
      <c r="W206" s="24"/>
      <c r="X206" s="24"/>
      <c r="Y206" s="24"/>
      <c r="Z206" s="22"/>
      <c r="AA206" s="22"/>
      <c r="AB206" s="22"/>
      <c r="AC206" s="71"/>
      <c r="AD206" s="24">
        <v>1</v>
      </c>
      <c r="AE206" s="24">
        <v>3</v>
      </c>
      <c r="AF206" s="24">
        <v>2</v>
      </c>
      <c r="AG206" s="24">
        <v>3</v>
      </c>
      <c r="AH206" s="24">
        <v>1</v>
      </c>
      <c r="AI206" s="24">
        <v>2</v>
      </c>
      <c r="AJ206" s="14">
        <f>AD206*AE206*AF206*AG206*AH206*AI206</f>
        <v>36</v>
      </c>
      <c r="AK206" s="22"/>
      <c r="AL206" s="22"/>
    </row>
    <row r="207" spans="1:16379" ht="38.25" x14ac:dyDescent="0.2">
      <c r="A207" s="22" t="s">
        <v>35</v>
      </c>
      <c r="B207" s="22" t="s">
        <v>603</v>
      </c>
      <c r="C207" s="22"/>
      <c r="D207" s="22" t="s">
        <v>60</v>
      </c>
      <c r="E207" s="22" t="s">
        <v>604</v>
      </c>
      <c r="F207" s="97" t="s">
        <v>969</v>
      </c>
      <c r="G207" s="22"/>
      <c r="H207" s="22"/>
      <c r="I207" s="22" t="s">
        <v>605</v>
      </c>
      <c r="J207" s="22" t="s">
        <v>606</v>
      </c>
      <c r="K207" s="22" t="s">
        <v>607</v>
      </c>
      <c r="L207" s="24">
        <v>2018</v>
      </c>
      <c r="M207" s="24"/>
      <c r="N207" s="51">
        <v>1600</v>
      </c>
      <c r="O207" s="39"/>
      <c r="P207" s="27">
        <f t="shared" ref="P207:P213" si="26">N207*O207</f>
        <v>0</v>
      </c>
      <c r="Q207" s="28"/>
      <c r="R207" s="28">
        <f t="shared" ref="R207:R215" si="27">IF(Q207&lt;4.99,(Q207*12%+4),IF(Q207&lt;10.99,(Q207*12%+8),IF(Q207&lt;14.99,(Q207*12%+12),IF(Q207&lt;879.99,(Q207*12%+16),IF(Q207&lt;2569.99,(Q207*7%+60),240)))))</f>
        <v>4</v>
      </c>
      <c r="S207" s="29">
        <f t="shared" ref="S207:S215" si="28">R207*P207</f>
        <v>0</v>
      </c>
      <c r="T207" s="24"/>
      <c r="U207" s="24"/>
      <c r="V207" s="24"/>
      <c r="W207" s="24"/>
      <c r="X207" s="24"/>
      <c r="Y207" s="24"/>
      <c r="Z207" s="22" t="s">
        <v>186</v>
      </c>
      <c r="AA207" s="22"/>
      <c r="AB207" s="22" t="s">
        <v>129</v>
      </c>
      <c r="AC207" s="71" t="s">
        <v>608</v>
      </c>
      <c r="AD207" s="24">
        <v>3</v>
      </c>
      <c r="AE207" s="24">
        <v>1</v>
      </c>
      <c r="AF207" s="24">
        <v>1</v>
      </c>
      <c r="AG207" s="24">
        <v>3</v>
      </c>
      <c r="AH207" s="24">
        <v>1</v>
      </c>
      <c r="AI207" s="24">
        <v>1</v>
      </c>
      <c r="AJ207" s="24">
        <v>9</v>
      </c>
      <c r="AK207" s="22" t="s">
        <v>48</v>
      </c>
      <c r="AL207" s="22"/>
    </row>
    <row r="208" spans="1:16379" s="133" customFormat="1" ht="38.25" x14ac:dyDescent="0.2">
      <c r="A208" s="22" t="s">
        <v>35</v>
      </c>
      <c r="B208" s="23" t="s">
        <v>672</v>
      </c>
      <c r="C208" s="22"/>
      <c r="D208" s="22" t="s">
        <v>37</v>
      </c>
      <c r="E208" s="22" t="s">
        <v>604</v>
      </c>
      <c r="F208" s="71" t="s">
        <v>969</v>
      </c>
      <c r="G208" s="22"/>
      <c r="H208" s="22"/>
      <c r="I208" s="22" t="s">
        <v>673</v>
      </c>
      <c r="J208" s="22"/>
      <c r="K208" s="22" t="s">
        <v>128</v>
      </c>
      <c r="L208" s="24">
        <v>2022</v>
      </c>
      <c r="M208" s="24"/>
      <c r="N208" s="38">
        <f>3000*0.85+8500000/100000*3*5</f>
        <v>3825</v>
      </c>
      <c r="O208" s="39"/>
      <c r="P208" s="27">
        <f t="shared" si="26"/>
        <v>0</v>
      </c>
      <c r="Q208" s="28"/>
      <c r="R208" s="28">
        <f t="shared" si="27"/>
        <v>4</v>
      </c>
      <c r="S208" s="29">
        <f t="shared" si="28"/>
        <v>0</v>
      </c>
      <c r="T208" s="24"/>
      <c r="U208" s="24"/>
      <c r="V208" s="24"/>
      <c r="W208" s="24"/>
      <c r="X208" s="24"/>
      <c r="Y208" s="24"/>
      <c r="Z208" s="22" t="s">
        <v>64</v>
      </c>
      <c r="AA208" s="22"/>
      <c r="AB208" s="22" t="s">
        <v>76</v>
      </c>
      <c r="AC208" s="71" t="s">
        <v>520</v>
      </c>
      <c r="AD208" s="24">
        <v>3</v>
      </c>
      <c r="AE208" s="24">
        <v>2</v>
      </c>
      <c r="AF208" s="24">
        <v>2</v>
      </c>
      <c r="AG208" s="24">
        <v>3</v>
      </c>
      <c r="AH208" s="24">
        <v>1</v>
      </c>
      <c r="AI208" s="24">
        <v>2</v>
      </c>
      <c r="AJ208" s="24">
        <v>72</v>
      </c>
      <c r="AK208" s="22" t="s">
        <v>45</v>
      </c>
      <c r="AL208" s="22"/>
    </row>
    <row r="209" spans="1:38" ht="38.25" x14ac:dyDescent="0.2">
      <c r="A209" s="22" t="s">
        <v>35</v>
      </c>
      <c r="B209" s="22" t="s">
        <v>517</v>
      </c>
      <c r="C209" s="22"/>
      <c r="D209" s="22" t="s">
        <v>37</v>
      </c>
      <c r="E209" s="22" t="s">
        <v>518</v>
      </c>
      <c r="F209" s="97" t="s">
        <v>969</v>
      </c>
      <c r="G209" s="22"/>
      <c r="H209" s="22"/>
      <c r="I209" s="22" t="s">
        <v>519</v>
      </c>
      <c r="J209" s="22"/>
      <c r="K209" s="22" t="s">
        <v>128</v>
      </c>
      <c r="L209" s="24">
        <v>2022</v>
      </c>
      <c r="M209" s="24"/>
      <c r="N209" s="51">
        <v>6250</v>
      </c>
      <c r="O209" s="39"/>
      <c r="P209" s="27">
        <f t="shared" si="26"/>
        <v>0</v>
      </c>
      <c r="Q209" s="28"/>
      <c r="R209" s="28">
        <f t="shared" si="27"/>
        <v>4</v>
      </c>
      <c r="S209" s="29">
        <f t="shared" si="28"/>
        <v>0</v>
      </c>
      <c r="T209" s="24"/>
      <c r="U209" s="24"/>
      <c r="V209" s="24"/>
      <c r="W209" s="24"/>
      <c r="X209" s="24"/>
      <c r="Y209" s="24"/>
      <c r="Z209" s="22" t="s">
        <v>64</v>
      </c>
      <c r="AA209" s="22"/>
      <c r="AB209" s="22" t="s">
        <v>76</v>
      </c>
      <c r="AC209" s="71" t="s">
        <v>520</v>
      </c>
      <c r="AD209" s="24">
        <v>3</v>
      </c>
      <c r="AE209" s="24">
        <v>2</v>
      </c>
      <c r="AF209" s="24">
        <v>2</v>
      </c>
      <c r="AG209" s="24">
        <v>3</v>
      </c>
      <c r="AH209" s="24">
        <v>1</v>
      </c>
      <c r="AI209" s="24">
        <v>2</v>
      </c>
      <c r="AJ209" s="24">
        <v>72</v>
      </c>
      <c r="AK209" s="22" t="s">
        <v>45</v>
      </c>
      <c r="AL209" s="22"/>
    </row>
    <row r="210" spans="1:38" ht="38.25" x14ac:dyDescent="0.2">
      <c r="A210" s="22" t="s">
        <v>35</v>
      </c>
      <c r="B210" s="22" t="s">
        <v>674</v>
      </c>
      <c r="C210" s="22"/>
      <c r="D210" s="22" t="s">
        <v>37</v>
      </c>
      <c r="E210" s="22" t="s">
        <v>675</v>
      </c>
      <c r="F210" s="71" t="s">
        <v>969</v>
      </c>
      <c r="G210" s="22"/>
      <c r="H210" s="22"/>
      <c r="I210" s="22" t="s">
        <v>676</v>
      </c>
      <c r="J210" s="22"/>
      <c r="K210" s="22" t="s">
        <v>128</v>
      </c>
      <c r="L210" s="24">
        <v>2021</v>
      </c>
      <c r="M210" s="24"/>
      <c r="N210" s="51" t="e">
        <f>8500000/100000*4+#REF!</f>
        <v>#REF!</v>
      </c>
      <c r="O210" s="39"/>
      <c r="P210" s="27" t="e">
        <f t="shared" si="26"/>
        <v>#REF!</v>
      </c>
      <c r="Q210" s="28"/>
      <c r="R210" s="28">
        <f t="shared" si="27"/>
        <v>4</v>
      </c>
      <c r="S210" s="29" t="e">
        <f t="shared" si="28"/>
        <v>#REF!</v>
      </c>
      <c r="T210" s="24"/>
      <c r="U210" s="24"/>
      <c r="V210" s="24"/>
      <c r="W210" s="24"/>
      <c r="X210" s="24"/>
      <c r="Y210" s="24"/>
      <c r="Z210" s="22" t="s">
        <v>677</v>
      </c>
      <c r="AA210" s="22"/>
      <c r="AB210" s="22" t="s">
        <v>129</v>
      </c>
      <c r="AC210" s="71" t="s">
        <v>678</v>
      </c>
      <c r="AD210" s="24">
        <v>3</v>
      </c>
      <c r="AE210" s="24">
        <v>2</v>
      </c>
      <c r="AF210" s="24">
        <v>2</v>
      </c>
      <c r="AG210" s="24">
        <v>3</v>
      </c>
      <c r="AH210" s="24">
        <v>1</v>
      </c>
      <c r="AI210" s="24">
        <v>2</v>
      </c>
      <c r="AJ210" s="24">
        <v>72</v>
      </c>
      <c r="AK210" s="22" t="s">
        <v>45</v>
      </c>
      <c r="AL210" s="22"/>
    </row>
    <row r="211" spans="1:38" ht="38.25" x14ac:dyDescent="0.2">
      <c r="A211" s="22" t="s">
        <v>58</v>
      </c>
      <c r="B211" s="22" t="s">
        <v>521</v>
      </c>
      <c r="C211" s="22"/>
      <c r="D211" s="22" t="s">
        <v>37</v>
      </c>
      <c r="E211" s="22" t="s">
        <v>522</v>
      </c>
      <c r="F211" s="71"/>
      <c r="G211" s="71" t="s">
        <v>970</v>
      </c>
      <c r="H211" s="22"/>
      <c r="I211" s="22" t="s">
        <v>523</v>
      </c>
      <c r="J211" s="22" t="s">
        <v>524</v>
      </c>
      <c r="K211" s="22" t="s">
        <v>315</v>
      </c>
      <c r="L211" s="24">
        <v>2021</v>
      </c>
      <c r="M211" s="24"/>
      <c r="N211" s="51">
        <f>8500000/100000*3*0.8</f>
        <v>204</v>
      </c>
      <c r="O211" s="39"/>
      <c r="P211" s="27">
        <f t="shared" si="26"/>
        <v>0</v>
      </c>
      <c r="Q211" s="28"/>
      <c r="R211" s="28">
        <f t="shared" si="27"/>
        <v>4</v>
      </c>
      <c r="S211" s="29">
        <f t="shared" si="28"/>
        <v>0</v>
      </c>
      <c r="T211" s="24"/>
      <c r="U211" s="24"/>
      <c r="V211" s="24"/>
      <c r="W211" s="24"/>
      <c r="X211" s="24"/>
      <c r="Y211" s="24"/>
      <c r="Z211" s="22" t="s">
        <v>42</v>
      </c>
      <c r="AA211" s="22"/>
      <c r="AB211" s="22"/>
      <c r="AC211" s="71" t="s">
        <v>525</v>
      </c>
      <c r="AD211" s="24">
        <v>1</v>
      </c>
      <c r="AE211" s="24">
        <v>2</v>
      </c>
      <c r="AF211" s="24">
        <v>2</v>
      </c>
      <c r="AG211" s="24">
        <v>3</v>
      </c>
      <c r="AH211" s="24">
        <v>1</v>
      </c>
      <c r="AI211" s="24">
        <v>1</v>
      </c>
      <c r="AJ211" s="24">
        <v>12</v>
      </c>
      <c r="AK211" s="22" t="s">
        <v>48</v>
      </c>
      <c r="AL211" s="22"/>
    </row>
    <row r="212" spans="1:38" ht="38.25" x14ac:dyDescent="0.2">
      <c r="A212" s="22" t="s">
        <v>86</v>
      </c>
      <c r="B212" s="22" t="s">
        <v>560</v>
      </c>
      <c r="C212" s="22"/>
      <c r="D212" s="22" t="s">
        <v>98</v>
      </c>
      <c r="E212" s="22" t="s">
        <v>443</v>
      </c>
      <c r="F212" s="71" t="s">
        <v>960</v>
      </c>
      <c r="G212" s="22"/>
      <c r="H212" s="22"/>
      <c r="I212" s="22" t="s">
        <v>561</v>
      </c>
      <c r="J212" s="22"/>
      <c r="K212" s="22" t="s">
        <v>42</v>
      </c>
      <c r="L212" s="24">
        <v>2022</v>
      </c>
      <c r="M212" s="24"/>
      <c r="N212" s="52">
        <f>8500000/1000</f>
        <v>8500</v>
      </c>
      <c r="O212" s="39"/>
      <c r="P212" s="27">
        <f t="shared" si="26"/>
        <v>0</v>
      </c>
      <c r="Q212" s="28"/>
      <c r="R212" s="28">
        <f t="shared" si="27"/>
        <v>4</v>
      </c>
      <c r="S212" s="29">
        <f t="shared" si="28"/>
        <v>0</v>
      </c>
      <c r="T212" s="24"/>
      <c r="U212" s="24"/>
      <c r="V212" s="24"/>
      <c r="W212" s="24"/>
      <c r="X212" s="24"/>
      <c r="Y212" s="24"/>
      <c r="Z212" s="22" t="s">
        <v>42</v>
      </c>
      <c r="AA212" s="22"/>
      <c r="AB212" s="22"/>
      <c r="AC212" s="71" t="s">
        <v>562</v>
      </c>
      <c r="AD212" s="24">
        <v>1</v>
      </c>
      <c r="AE212" s="24">
        <v>3</v>
      </c>
      <c r="AF212" s="24">
        <v>3</v>
      </c>
      <c r="AG212" s="24">
        <v>3</v>
      </c>
      <c r="AH212" s="24">
        <v>1</v>
      </c>
      <c r="AI212" s="24">
        <v>2</v>
      </c>
      <c r="AJ212" s="24">
        <v>54</v>
      </c>
      <c r="AK212" s="22" t="s">
        <v>48</v>
      </c>
      <c r="AL212" s="22"/>
    </row>
    <row r="213" spans="1:38" ht="38.25" x14ac:dyDescent="0.2">
      <c r="A213" s="30" t="s">
        <v>58</v>
      </c>
      <c r="B213" s="30" t="s">
        <v>794</v>
      </c>
      <c r="C213" s="30"/>
      <c r="D213" s="30" t="s">
        <v>60</v>
      </c>
      <c r="E213" s="30" t="s">
        <v>443</v>
      </c>
      <c r="F213" s="72" t="s">
        <v>960</v>
      </c>
      <c r="G213" s="30"/>
      <c r="H213" s="106"/>
      <c r="I213" s="30" t="s">
        <v>795</v>
      </c>
      <c r="J213" s="30" t="s">
        <v>796</v>
      </c>
      <c r="K213" s="30" t="s">
        <v>315</v>
      </c>
      <c r="L213" s="31">
        <v>2019</v>
      </c>
      <c r="M213" s="31"/>
      <c r="N213" s="32">
        <f>0.01*8500000</f>
        <v>85000</v>
      </c>
      <c r="O213" s="33"/>
      <c r="P213" s="34">
        <f t="shared" si="26"/>
        <v>0</v>
      </c>
      <c r="Q213" s="35"/>
      <c r="R213" s="35">
        <f t="shared" si="27"/>
        <v>4</v>
      </c>
      <c r="S213" s="36">
        <f t="shared" si="28"/>
        <v>0</v>
      </c>
      <c r="T213" s="31"/>
      <c r="U213" s="31"/>
      <c r="V213" s="31"/>
      <c r="W213" s="31"/>
      <c r="X213" s="31"/>
      <c r="Y213" s="31"/>
      <c r="Z213" s="30" t="s">
        <v>42</v>
      </c>
      <c r="AA213" s="30"/>
      <c r="AB213" s="30"/>
      <c r="AC213" s="72" t="s">
        <v>562</v>
      </c>
      <c r="AD213" s="31">
        <v>1</v>
      </c>
      <c r="AE213" s="31">
        <v>1</v>
      </c>
      <c r="AF213" s="31">
        <v>3</v>
      </c>
      <c r="AG213" s="31">
        <v>3</v>
      </c>
      <c r="AH213" s="31">
        <v>3</v>
      </c>
      <c r="AI213" s="31">
        <v>2</v>
      </c>
      <c r="AJ213" s="31">
        <v>54</v>
      </c>
      <c r="AK213" s="30" t="s">
        <v>48</v>
      </c>
      <c r="AL213" s="30"/>
    </row>
    <row r="214" spans="1:38" x14ac:dyDescent="0.2">
      <c r="A214" s="30" t="s">
        <v>58</v>
      </c>
      <c r="B214" s="30" t="s">
        <v>1242</v>
      </c>
      <c r="C214" s="30"/>
      <c r="D214" s="30" t="s">
        <v>1243</v>
      </c>
      <c r="E214" s="30" t="s">
        <v>1498</v>
      </c>
      <c r="F214" s="72"/>
      <c r="G214" s="30"/>
      <c r="H214" s="106"/>
      <c r="I214" s="30" t="s">
        <v>1244</v>
      </c>
      <c r="J214" s="30"/>
      <c r="K214" s="30" t="s">
        <v>42</v>
      </c>
      <c r="L214" s="31">
        <v>2024</v>
      </c>
      <c r="M214" s="31"/>
      <c r="N214" s="32">
        <v>3</v>
      </c>
      <c r="O214" s="33"/>
      <c r="P214" s="34">
        <v>3</v>
      </c>
      <c r="Q214" s="35"/>
      <c r="R214" s="35"/>
      <c r="S214" s="36"/>
      <c r="T214" s="31"/>
      <c r="U214" s="31"/>
      <c r="V214" s="31"/>
      <c r="W214" s="31"/>
      <c r="X214" s="31"/>
      <c r="Y214" s="31"/>
      <c r="Z214" s="30"/>
      <c r="AA214" s="30"/>
      <c r="AB214" s="30"/>
      <c r="AC214" s="72"/>
      <c r="AD214" s="31"/>
      <c r="AE214" s="31"/>
      <c r="AF214" s="31"/>
      <c r="AG214" s="31"/>
      <c r="AH214" s="31"/>
      <c r="AI214" s="31"/>
      <c r="AJ214" s="31"/>
      <c r="AK214" s="30"/>
      <c r="AL214" s="37">
        <v>44805</v>
      </c>
    </row>
    <row r="215" spans="1:38" s="133" customFormat="1" ht="38.25" x14ac:dyDescent="0.2">
      <c r="A215" s="22" t="s">
        <v>58</v>
      </c>
      <c r="B215" s="23" t="s">
        <v>380</v>
      </c>
      <c r="C215" s="22"/>
      <c r="D215" s="22" t="s">
        <v>60</v>
      </c>
      <c r="E215" s="22" t="s">
        <v>381</v>
      </c>
      <c r="F215" s="65" t="s">
        <v>955</v>
      </c>
      <c r="G215" s="22"/>
      <c r="H215" s="22"/>
      <c r="I215" s="22" t="s">
        <v>382</v>
      </c>
      <c r="J215" s="22"/>
      <c r="K215" s="22" t="s">
        <v>201</v>
      </c>
      <c r="L215" s="24">
        <v>2019</v>
      </c>
      <c r="M215" s="24"/>
      <c r="N215" s="38">
        <f>8500000/50000*2</f>
        <v>340</v>
      </c>
      <c r="O215" s="39"/>
      <c r="P215" s="27">
        <f>N215*O215</f>
        <v>0</v>
      </c>
      <c r="Q215" s="28"/>
      <c r="R215" s="28">
        <f t="shared" si="27"/>
        <v>4</v>
      </c>
      <c r="S215" s="29">
        <f t="shared" si="28"/>
        <v>0</v>
      </c>
      <c r="T215" s="24"/>
      <c r="U215" s="24"/>
      <c r="V215" s="24"/>
      <c r="W215" s="24"/>
      <c r="X215" s="24"/>
      <c r="Y215" s="24"/>
      <c r="Z215" s="22" t="s">
        <v>64</v>
      </c>
      <c r="AA215" s="22"/>
      <c r="AB215" s="22" t="s">
        <v>76</v>
      </c>
      <c r="AC215" s="71" t="s">
        <v>383</v>
      </c>
      <c r="AD215" s="24">
        <v>2</v>
      </c>
      <c r="AE215" s="24">
        <v>1</v>
      </c>
      <c r="AF215" s="24">
        <v>2</v>
      </c>
      <c r="AG215" s="24">
        <v>3</v>
      </c>
      <c r="AH215" s="24">
        <v>2</v>
      </c>
      <c r="AI215" s="24">
        <v>2</v>
      </c>
      <c r="AJ215" s="24">
        <v>48</v>
      </c>
      <c r="AK215" s="22" t="s">
        <v>45</v>
      </c>
      <c r="AL215" s="22"/>
    </row>
    <row r="216" spans="1:38" ht="38.25" x14ac:dyDescent="0.2">
      <c r="A216" s="22" t="s">
        <v>35</v>
      </c>
      <c r="B216" s="22" t="s">
        <v>268</v>
      </c>
      <c r="C216" s="22"/>
      <c r="D216" s="65" t="s">
        <v>37</v>
      </c>
      <c r="E216" s="88" t="s">
        <v>875</v>
      </c>
      <c r="F216" s="88"/>
      <c r="G216" s="88"/>
      <c r="H216" s="80" t="s">
        <v>898</v>
      </c>
      <c r="I216" s="65" t="s">
        <v>876</v>
      </c>
      <c r="J216" s="22"/>
      <c r="K216" s="22" t="s">
        <v>42</v>
      </c>
      <c r="L216" s="24">
        <v>2022</v>
      </c>
      <c r="M216" s="24"/>
      <c r="N216" s="38"/>
      <c r="O216" s="39"/>
      <c r="P216" s="27"/>
      <c r="Q216" s="28"/>
      <c r="R216" s="28"/>
      <c r="S216" s="29"/>
      <c r="T216" s="24"/>
      <c r="U216" s="24"/>
      <c r="V216" s="24"/>
      <c r="W216" s="24"/>
      <c r="X216" s="24"/>
      <c r="Y216" s="24"/>
      <c r="Z216" s="22" t="s">
        <v>42</v>
      </c>
      <c r="AA216" s="22"/>
      <c r="AB216" s="41"/>
      <c r="AC216" s="67"/>
      <c r="AD216" s="24"/>
      <c r="AE216" s="24"/>
      <c r="AF216" s="24"/>
      <c r="AG216" s="24"/>
      <c r="AH216" s="24"/>
      <c r="AI216" s="24"/>
      <c r="AJ216" s="24">
        <v>0</v>
      </c>
      <c r="AK216" s="22"/>
      <c r="AL216" s="69"/>
    </row>
    <row r="217" spans="1:38" ht="38.25" x14ac:dyDescent="0.2">
      <c r="A217" s="22" t="s">
        <v>58</v>
      </c>
      <c r="B217" s="22" t="s">
        <v>368</v>
      </c>
      <c r="C217" s="22"/>
      <c r="D217" s="22" t="s">
        <v>98</v>
      </c>
      <c r="E217" s="22" t="s">
        <v>369</v>
      </c>
      <c r="F217" s="22"/>
      <c r="G217" s="95"/>
      <c r="H217" s="110" t="s">
        <v>954</v>
      </c>
      <c r="I217" s="22" t="s">
        <v>370</v>
      </c>
      <c r="J217" s="22"/>
      <c r="K217" s="22" t="s">
        <v>42</v>
      </c>
      <c r="L217" s="24">
        <v>2021</v>
      </c>
      <c r="M217" s="24"/>
      <c r="N217" s="38">
        <f>8000000/454000</f>
        <v>17.621145374449338</v>
      </c>
      <c r="O217" s="39"/>
      <c r="P217" s="27">
        <f>N217*O217</f>
        <v>0</v>
      </c>
      <c r="Q217" s="28"/>
      <c r="R217" s="28">
        <f>IF(Q217&lt;4.99,(Q217*12%+4),IF(Q217&lt;10.99,(Q217*12%+8),IF(Q217&lt;14.99,(Q217*12%+12),IF(Q217&lt;879.99,(Q217*12%+16),IF(Q217&lt;2569.99,(Q217*7%+60),240)))))</f>
        <v>4</v>
      </c>
      <c r="S217" s="29">
        <f>R217*P217</f>
        <v>0</v>
      </c>
      <c r="T217" s="24"/>
      <c r="U217" s="24"/>
      <c r="V217" s="24"/>
      <c r="W217" s="24"/>
      <c r="X217" s="24"/>
      <c r="Y217" s="24"/>
      <c r="Z217" s="22" t="s">
        <v>42</v>
      </c>
      <c r="AA217" s="22"/>
      <c r="AB217" s="22"/>
      <c r="AC217" s="71"/>
      <c r="AD217" s="24">
        <v>1</v>
      </c>
      <c r="AE217" s="24">
        <v>1</v>
      </c>
      <c r="AF217" s="24">
        <v>2</v>
      </c>
      <c r="AG217" s="24">
        <v>3</v>
      </c>
      <c r="AH217" s="24">
        <v>3</v>
      </c>
      <c r="AI217" s="24">
        <v>1</v>
      </c>
      <c r="AJ217" s="24">
        <v>18</v>
      </c>
      <c r="AK217" s="22" t="s">
        <v>48</v>
      </c>
      <c r="AL217" s="22"/>
    </row>
    <row r="218" spans="1:38" ht="38.25" x14ac:dyDescent="0.2">
      <c r="A218" s="22" t="s">
        <v>35</v>
      </c>
      <c r="B218" s="22" t="s">
        <v>223</v>
      </c>
      <c r="C218" s="22"/>
      <c r="D218" s="22" t="s">
        <v>60</v>
      </c>
      <c r="E218" s="22" t="s">
        <v>578</v>
      </c>
      <c r="F218" s="65" t="s">
        <v>978</v>
      </c>
      <c r="G218" s="95"/>
      <c r="H218" s="22"/>
      <c r="I218" s="23" t="s">
        <v>579</v>
      </c>
      <c r="J218" s="22" t="s">
        <v>580</v>
      </c>
      <c r="K218" s="23" t="s">
        <v>315</v>
      </c>
      <c r="L218" s="24"/>
      <c r="M218" s="24"/>
      <c r="N218" s="51">
        <v>6100</v>
      </c>
      <c r="O218" s="39"/>
      <c r="P218" s="27">
        <f>N218*O218</f>
        <v>0</v>
      </c>
      <c r="Q218" s="28"/>
      <c r="R218" s="28">
        <f>IF(Q218&lt;4.99,(Q218*12%+4),IF(Q218&lt;10.99,(Q218*12%+8),IF(Q218&lt;14.99,(Q218*12%+12),IF(Q218&lt;879.99,(Q218*12%+16),IF(Q218&lt;2569.99,(Q218*7%+60),240)))))</f>
        <v>4</v>
      </c>
      <c r="S218" s="29">
        <f>R218*P218</f>
        <v>0</v>
      </c>
      <c r="T218" s="24"/>
      <c r="U218" s="24"/>
      <c r="V218" s="24"/>
      <c r="W218" s="24"/>
      <c r="X218" s="24"/>
      <c r="Y218" s="24"/>
      <c r="Z218" s="22" t="s">
        <v>42</v>
      </c>
      <c r="AA218" s="22"/>
      <c r="AB218" s="22"/>
      <c r="AC218" s="71"/>
      <c r="AD218" s="24">
        <v>1</v>
      </c>
      <c r="AE218" s="24">
        <v>2</v>
      </c>
      <c r="AF218" s="24">
        <v>1</v>
      </c>
      <c r="AG218" s="24">
        <v>3</v>
      </c>
      <c r="AH218" s="24">
        <v>1</v>
      </c>
      <c r="AI218" s="24">
        <v>1</v>
      </c>
      <c r="AJ218" s="24">
        <v>6</v>
      </c>
      <c r="AK218" s="22" t="s">
        <v>48</v>
      </c>
      <c r="AL218" s="22"/>
    </row>
    <row r="219" spans="1:38" ht="38.25" x14ac:dyDescent="0.2">
      <c r="A219" s="30" t="s">
        <v>58</v>
      </c>
      <c r="B219" s="30" t="s">
        <v>880</v>
      </c>
      <c r="C219" s="30"/>
      <c r="D219" s="139" t="s">
        <v>37</v>
      </c>
      <c r="E219" s="139" t="s">
        <v>276</v>
      </c>
      <c r="F219" s="139" t="s">
        <v>897</v>
      </c>
      <c r="G219" s="139"/>
      <c r="H219" s="139"/>
      <c r="I219" s="139" t="s">
        <v>881</v>
      </c>
      <c r="J219" s="30" t="s">
        <v>1134</v>
      </c>
      <c r="K219" s="30" t="s">
        <v>42</v>
      </c>
      <c r="L219" s="31">
        <v>2022</v>
      </c>
      <c r="M219" s="31"/>
      <c r="N219" s="32"/>
      <c r="O219" s="33"/>
      <c r="P219" s="34"/>
      <c r="Q219" s="35"/>
      <c r="R219" s="35"/>
      <c r="S219" s="36"/>
      <c r="T219" s="31"/>
      <c r="U219" s="31"/>
      <c r="V219" s="31"/>
      <c r="W219" s="31"/>
      <c r="X219" s="31"/>
      <c r="Y219" s="31"/>
      <c r="Z219" s="30" t="s">
        <v>42</v>
      </c>
      <c r="AA219" s="30"/>
      <c r="AB219" s="50"/>
      <c r="AC219" s="141"/>
      <c r="AD219" s="31"/>
      <c r="AE219" s="31"/>
      <c r="AF219" s="31"/>
      <c r="AG219" s="31"/>
      <c r="AH219" s="31"/>
      <c r="AI219" s="31"/>
      <c r="AJ219" s="31">
        <v>0</v>
      </c>
      <c r="AK219" s="30"/>
      <c r="AL219" s="142"/>
    </row>
    <row r="220" spans="1:38" ht="38.25" x14ac:dyDescent="0.2">
      <c r="A220" s="22" t="s">
        <v>35</v>
      </c>
      <c r="B220" s="22" t="s">
        <v>268</v>
      </c>
      <c r="C220" s="22"/>
      <c r="D220" s="65" t="s">
        <v>37</v>
      </c>
      <c r="E220" s="88" t="s">
        <v>276</v>
      </c>
      <c r="F220" s="88" t="s">
        <v>897</v>
      </c>
      <c r="G220" s="77"/>
      <c r="H220" s="88"/>
      <c r="I220" s="65" t="s">
        <v>879</v>
      </c>
      <c r="J220" s="22" t="s">
        <v>1133</v>
      </c>
      <c r="K220" s="22" t="s">
        <v>42</v>
      </c>
      <c r="L220" s="24">
        <v>2021</v>
      </c>
      <c r="M220" s="24"/>
      <c r="N220" s="38">
        <v>3300</v>
      </c>
      <c r="O220" s="39"/>
      <c r="P220" s="27">
        <v>20</v>
      </c>
      <c r="Q220" s="28">
        <v>5000</v>
      </c>
      <c r="R220" s="28">
        <v>240</v>
      </c>
      <c r="S220" s="29">
        <f>P220*R220</f>
        <v>4800</v>
      </c>
      <c r="T220" s="24"/>
      <c r="U220" s="24"/>
      <c r="V220" s="24"/>
      <c r="W220" s="24"/>
      <c r="X220" s="24"/>
      <c r="Y220" s="24"/>
      <c r="Z220" s="22" t="s">
        <v>42</v>
      </c>
      <c r="AA220" s="22"/>
      <c r="AB220" s="41"/>
      <c r="AC220" s="67"/>
      <c r="AD220" s="24"/>
      <c r="AE220" s="24"/>
      <c r="AF220" s="24"/>
      <c r="AG220" s="24"/>
      <c r="AH220" s="24"/>
      <c r="AI220" s="24"/>
      <c r="AJ220" s="24">
        <v>0</v>
      </c>
      <c r="AK220" s="22"/>
      <c r="AL220" s="69"/>
    </row>
    <row r="221" spans="1:38" ht="51" x14ac:dyDescent="0.2">
      <c r="A221" s="22" t="s">
        <v>35</v>
      </c>
      <c r="B221" s="22" t="s">
        <v>268</v>
      </c>
      <c r="C221" s="22"/>
      <c r="D221" s="22" t="s">
        <v>37</v>
      </c>
      <c r="E221" s="22" t="s">
        <v>276</v>
      </c>
      <c r="F221" s="71" t="s">
        <v>897</v>
      </c>
      <c r="G221" s="22"/>
      <c r="H221" s="22"/>
      <c r="I221" s="22" t="s">
        <v>277</v>
      </c>
      <c r="J221" s="22" t="s">
        <v>278</v>
      </c>
      <c r="K221" s="22" t="s">
        <v>279</v>
      </c>
      <c r="L221" s="24">
        <v>2021</v>
      </c>
      <c r="M221" s="24"/>
      <c r="N221" s="51">
        <f>0.75*4400</f>
        <v>3300</v>
      </c>
      <c r="O221" s="39"/>
      <c r="P221" s="27">
        <f>N221*O221</f>
        <v>0</v>
      </c>
      <c r="Q221" s="28"/>
      <c r="R221" s="28">
        <f>IF(Q221&lt;4.99,(Q221*12%+4),IF(Q221&lt;10.99,(Q221*12%+8),IF(Q221&lt;14.99,(Q221*12%+12),IF(Q221&lt;879.99,(Q221*12%+16),IF(Q221&lt;2569.99,(Q221*7%+60),240)))))</f>
        <v>4</v>
      </c>
      <c r="S221" s="29">
        <f>R221*P221</f>
        <v>0</v>
      </c>
      <c r="T221" s="24"/>
      <c r="U221" s="24"/>
      <c r="V221" s="24"/>
      <c r="W221" s="24"/>
      <c r="X221" s="24"/>
      <c r="Y221" s="24"/>
      <c r="Z221" s="22" t="s">
        <v>42</v>
      </c>
      <c r="AA221" s="22"/>
      <c r="AB221" s="22" t="s">
        <v>95</v>
      </c>
      <c r="AC221" s="71" t="s">
        <v>280</v>
      </c>
      <c r="AD221" s="24">
        <v>3</v>
      </c>
      <c r="AE221" s="24">
        <v>2</v>
      </c>
      <c r="AF221" s="24">
        <v>1</v>
      </c>
      <c r="AG221" s="24">
        <v>3</v>
      </c>
      <c r="AH221" s="24">
        <v>2</v>
      </c>
      <c r="AI221" s="24">
        <v>2</v>
      </c>
      <c r="AJ221" s="24">
        <v>72</v>
      </c>
      <c r="AK221" s="22" t="s">
        <v>45</v>
      </c>
      <c r="AL221" s="22"/>
    </row>
    <row r="222" spans="1:38" ht="38.25" x14ac:dyDescent="0.2">
      <c r="A222" s="22" t="s">
        <v>58</v>
      </c>
      <c r="B222" s="23" t="s">
        <v>328</v>
      </c>
      <c r="C222" s="22"/>
      <c r="D222" s="22" t="s">
        <v>329</v>
      </c>
      <c r="E222" s="22" t="s">
        <v>276</v>
      </c>
      <c r="F222" s="71" t="s">
        <v>897</v>
      </c>
      <c r="G222" s="22"/>
      <c r="H222" s="22"/>
      <c r="I222" s="22" t="s">
        <v>330</v>
      </c>
      <c r="J222" s="22"/>
      <c r="K222" s="22" t="s">
        <v>331</v>
      </c>
      <c r="L222" s="24">
        <v>2018</v>
      </c>
      <c r="M222" s="24"/>
      <c r="N222" s="38">
        <f>0.12*8500</f>
        <v>1020</v>
      </c>
      <c r="O222" s="39"/>
      <c r="P222" s="27">
        <f>N222*O222</f>
        <v>0</v>
      </c>
      <c r="Q222" s="28"/>
      <c r="R222" s="28">
        <f>IF(Q222&lt;4.99,(Q222*12%+4),IF(Q222&lt;10.99,(Q222*12%+8),IF(Q222&lt;14.99,(Q222*12%+12),IF(Q222&lt;879.99,(Q222*12%+16),IF(Q222&lt;2569.99,(Q222*7%+60),240)))))</f>
        <v>4</v>
      </c>
      <c r="S222" s="29">
        <f>R222*P222</f>
        <v>0</v>
      </c>
      <c r="T222" s="24"/>
      <c r="U222" s="24"/>
      <c r="V222" s="24"/>
      <c r="W222" s="24"/>
      <c r="X222" s="24"/>
      <c r="Y222" s="24"/>
      <c r="Z222" s="22" t="s">
        <v>42</v>
      </c>
      <c r="AA222" s="22"/>
      <c r="AB222" s="41" t="s">
        <v>56</v>
      </c>
      <c r="AC222" s="71" t="s">
        <v>332</v>
      </c>
      <c r="AD222" s="24">
        <v>2</v>
      </c>
      <c r="AE222" s="24">
        <v>2</v>
      </c>
      <c r="AF222" s="24">
        <v>3</v>
      </c>
      <c r="AG222" s="24">
        <v>3</v>
      </c>
      <c r="AH222" s="24">
        <v>1</v>
      </c>
      <c r="AI222" s="24">
        <v>1</v>
      </c>
      <c r="AJ222" s="24">
        <v>36</v>
      </c>
      <c r="AK222" s="22" t="s">
        <v>45</v>
      </c>
      <c r="AL222" s="22"/>
    </row>
    <row r="223" spans="1:38" ht="38.25" x14ac:dyDescent="0.2">
      <c r="A223" s="22" t="s">
        <v>35</v>
      </c>
      <c r="B223" s="22" t="s">
        <v>682</v>
      </c>
      <c r="C223" s="22"/>
      <c r="D223" s="22" t="s">
        <v>37</v>
      </c>
      <c r="E223" s="22" t="s">
        <v>276</v>
      </c>
      <c r="F223" s="71" t="s">
        <v>897</v>
      </c>
      <c r="G223" s="22"/>
      <c r="H223" s="22"/>
      <c r="I223" s="22" t="s">
        <v>683</v>
      </c>
      <c r="J223" s="22"/>
      <c r="K223" s="22" t="s">
        <v>64</v>
      </c>
      <c r="L223" s="24">
        <v>2021</v>
      </c>
      <c r="M223" s="24"/>
      <c r="N223" s="38">
        <v>76000</v>
      </c>
      <c r="O223" s="39"/>
      <c r="P223" s="27">
        <f>N223*O223</f>
        <v>0</v>
      </c>
      <c r="Q223" s="28"/>
      <c r="R223" s="28">
        <f>IF(Q223&lt;4.99,(Q223*12%+4),IF(Q223&lt;10.99,(Q223*12%+8),IF(Q223&lt;14.99,(Q223*12%+12),IF(Q223&lt;879.99,(Q223*12%+16),IF(Q223&lt;2569.99,(Q223*7%+60),240)))))</f>
        <v>4</v>
      </c>
      <c r="S223" s="29">
        <f>R223*P223</f>
        <v>0</v>
      </c>
      <c r="T223" s="24"/>
      <c r="U223" s="24"/>
      <c r="V223" s="24"/>
      <c r="W223" s="24"/>
      <c r="X223" s="24"/>
      <c r="Y223" s="24"/>
      <c r="Z223" s="22" t="s">
        <v>64</v>
      </c>
      <c r="AA223" s="22"/>
      <c r="AB223" s="41" t="s">
        <v>56</v>
      </c>
      <c r="AC223" s="71" t="s">
        <v>684</v>
      </c>
      <c r="AD223" s="24">
        <v>2</v>
      </c>
      <c r="AE223" s="24">
        <v>3</v>
      </c>
      <c r="AF223" s="24">
        <v>3</v>
      </c>
      <c r="AG223" s="24">
        <v>3</v>
      </c>
      <c r="AH223" s="24">
        <v>1</v>
      </c>
      <c r="AI223" s="24">
        <v>2</v>
      </c>
      <c r="AJ223" s="24">
        <v>108</v>
      </c>
      <c r="AK223" s="22" t="s">
        <v>45</v>
      </c>
      <c r="AL223" s="22"/>
    </row>
    <row r="224" spans="1:38" ht="38.25" x14ac:dyDescent="0.2">
      <c r="A224" s="22" t="s">
        <v>58</v>
      </c>
      <c r="B224" s="23" t="s">
        <v>349</v>
      </c>
      <c r="C224" s="22"/>
      <c r="D224" s="22" t="s">
        <v>37</v>
      </c>
      <c r="E224" s="22" t="s">
        <v>350</v>
      </c>
      <c r="F224" s="71" t="s">
        <v>951</v>
      </c>
      <c r="G224" s="22"/>
      <c r="H224" s="22"/>
      <c r="I224" s="22" t="s">
        <v>351</v>
      </c>
      <c r="J224" s="22" t="s">
        <v>352</v>
      </c>
      <c r="K224" s="22" t="s">
        <v>63</v>
      </c>
      <c r="L224" s="24">
        <v>2018</v>
      </c>
      <c r="M224" s="24"/>
      <c r="N224" s="38">
        <v>400</v>
      </c>
      <c r="O224" s="39"/>
      <c r="P224" s="27">
        <f>N224*O224</f>
        <v>0</v>
      </c>
      <c r="Q224" s="28"/>
      <c r="R224" s="28">
        <f>IF(Q224&lt;4.99,(Q224*12%+4),IF(Q224&lt;10.99,(Q224*12%+8),IF(Q224&lt;14.99,(Q224*12%+12),IF(Q224&lt;879.99,(Q224*12%+16),IF(Q224&lt;2569.99,(Q224*7%+60),240)))))</f>
        <v>4</v>
      </c>
      <c r="S224" s="29">
        <f>R224*P224</f>
        <v>0</v>
      </c>
      <c r="T224" s="24"/>
      <c r="U224" s="24"/>
      <c r="V224" s="24"/>
      <c r="W224" s="24"/>
      <c r="X224" s="24"/>
      <c r="Y224" s="24"/>
      <c r="Z224" s="22" t="s">
        <v>42</v>
      </c>
      <c r="AA224" s="22"/>
      <c r="AB224" s="22" t="s">
        <v>213</v>
      </c>
      <c r="AC224" s="71" t="s">
        <v>353</v>
      </c>
      <c r="AD224" s="24">
        <v>3</v>
      </c>
      <c r="AE224" s="24">
        <v>1</v>
      </c>
      <c r="AF224" s="24">
        <v>3</v>
      </c>
      <c r="AG224" s="24">
        <v>3</v>
      </c>
      <c r="AH224" s="24">
        <v>1</v>
      </c>
      <c r="AI224" s="24">
        <v>1</v>
      </c>
      <c r="AJ224" s="24">
        <v>27</v>
      </c>
      <c r="AK224" s="22" t="s">
        <v>48</v>
      </c>
      <c r="AL224" s="22"/>
    </row>
    <row r="225" spans="1:38" ht="38.25" x14ac:dyDescent="0.2">
      <c r="A225" s="22" t="s">
        <v>35</v>
      </c>
      <c r="B225" s="22" t="s">
        <v>883</v>
      </c>
      <c r="C225" s="22"/>
      <c r="D225" s="65" t="s">
        <v>37</v>
      </c>
      <c r="E225" s="88" t="s">
        <v>768</v>
      </c>
      <c r="F225" s="88"/>
      <c r="G225" s="88"/>
      <c r="H225" s="65" t="s">
        <v>896</v>
      </c>
      <c r="I225" s="65" t="s">
        <v>882</v>
      </c>
      <c r="J225" s="22"/>
      <c r="K225" s="22" t="s">
        <v>42</v>
      </c>
      <c r="L225" s="24">
        <v>2022</v>
      </c>
      <c r="M225" s="24"/>
      <c r="N225" s="38"/>
      <c r="O225" s="39"/>
      <c r="P225" s="27"/>
      <c r="Q225" s="28"/>
      <c r="R225" s="28"/>
      <c r="S225" s="29"/>
      <c r="T225" s="24"/>
      <c r="U225" s="24"/>
      <c r="V225" s="24"/>
      <c r="W225" s="24"/>
      <c r="X225" s="24"/>
      <c r="Y225" s="24"/>
      <c r="Z225" s="22" t="s">
        <v>42</v>
      </c>
      <c r="AA225" s="22"/>
      <c r="AB225" s="41"/>
      <c r="AC225" s="67"/>
      <c r="AD225" s="24"/>
      <c r="AE225" s="24"/>
      <c r="AF225" s="24"/>
      <c r="AG225" s="24"/>
      <c r="AH225" s="24"/>
      <c r="AI225" s="24"/>
      <c r="AJ225" s="24">
        <v>0</v>
      </c>
      <c r="AK225" s="22"/>
      <c r="AL225" s="69"/>
    </row>
    <row r="226" spans="1:38" s="133" customFormat="1" ht="38.25" x14ac:dyDescent="0.2">
      <c r="A226" s="30" t="s">
        <v>35</v>
      </c>
      <c r="B226" s="30" t="s">
        <v>73</v>
      </c>
      <c r="C226" s="30"/>
      <c r="D226" s="30" t="s">
        <v>60</v>
      </c>
      <c r="E226" s="30" t="s">
        <v>768</v>
      </c>
      <c r="F226" s="30"/>
      <c r="G226" s="30"/>
      <c r="H226" s="139" t="s">
        <v>896</v>
      </c>
      <c r="I226" s="30" t="s">
        <v>769</v>
      </c>
      <c r="J226" s="30" t="s">
        <v>1266</v>
      </c>
      <c r="K226" s="30" t="s">
        <v>63</v>
      </c>
      <c r="L226" s="31">
        <v>2023</v>
      </c>
      <c r="M226" s="31"/>
      <c r="N226" s="32">
        <f>4*85*20</f>
        <v>6800</v>
      </c>
      <c r="O226" s="33" t="s">
        <v>1012</v>
      </c>
      <c r="P226" s="34">
        <v>20</v>
      </c>
      <c r="Q226" s="35">
        <v>6000</v>
      </c>
      <c r="R226" s="35">
        <f>IF(Q226&lt;4.99,(Q226*12%+4),IF(Q226&lt;10.99,(Q226*12%+8),IF(Q226&lt;14.99,(Q226*12%+12),IF(Q226&lt;879.99,(Q226*12%+16),IF(Q226&lt;2569.99,(Q226*7%+60),240)))))</f>
        <v>240</v>
      </c>
      <c r="S226" s="36">
        <f>R226*P226</f>
        <v>4800</v>
      </c>
      <c r="T226" s="31"/>
      <c r="U226" s="31"/>
      <c r="V226" s="31"/>
      <c r="W226" s="31"/>
      <c r="X226" s="31"/>
      <c r="Y226" s="31"/>
      <c r="Z226" s="30" t="s">
        <v>42</v>
      </c>
      <c r="AA226" s="30"/>
      <c r="AB226" s="30"/>
      <c r="AC226" s="72" t="s">
        <v>1267</v>
      </c>
      <c r="AD226" s="31">
        <v>1</v>
      </c>
      <c r="AE226" s="31">
        <v>2</v>
      </c>
      <c r="AF226" s="31">
        <v>1</v>
      </c>
      <c r="AG226" s="31">
        <v>3</v>
      </c>
      <c r="AH226" s="31">
        <v>0</v>
      </c>
      <c r="AI226" s="31">
        <v>1</v>
      </c>
      <c r="AJ226" s="31">
        <v>0</v>
      </c>
      <c r="AK226" s="30" t="s">
        <v>48</v>
      </c>
      <c r="AL226" s="30"/>
    </row>
    <row r="227" spans="1:38" ht="38.25" x14ac:dyDescent="0.2">
      <c r="A227" s="22" t="s">
        <v>58</v>
      </c>
      <c r="B227" s="22" t="s">
        <v>752</v>
      </c>
      <c r="C227" s="22"/>
      <c r="D227" s="22" t="s">
        <v>60</v>
      </c>
      <c r="E227" s="22" t="s">
        <v>753</v>
      </c>
      <c r="F227" s="71" t="s">
        <v>900</v>
      </c>
      <c r="G227" s="22"/>
      <c r="H227" s="22"/>
      <c r="I227" s="22" t="s">
        <v>754</v>
      </c>
      <c r="J227" s="22"/>
      <c r="K227" s="22" t="s">
        <v>128</v>
      </c>
      <c r="L227" s="24">
        <v>2020</v>
      </c>
      <c r="M227" s="24"/>
      <c r="N227" s="38">
        <f>4.5*80</f>
        <v>360</v>
      </c>
      <c r="O227" s="39"/>
      <c r="P227" s="27">
        <f>N227*O227</f>
        <v>0</v>
      </c>
      <c r="Q227" s="28"/>
      <c r="R227" s="28">
        <f>IF(Q227&lt;4.99,(Q227*12%+4),IF(Q227&lt;10.99,(Q227*12%+8),IF(Q227&lt;14.99,(Q227*12%+12),IF(Q227&lt;879.99,(Q227*12%+16),IF(Q227&lt;2569.99,(Q227*7%+60),240)))))</f>
        <v>4</v>
      </c>
      <c r="S227" s="29">
        <f>R227*P227</f>
        <v>0</v>
      </c>
      <c r="T227" s="24"/>
      <c r="U227" s="24"/>
      <c r="V227" s="24"/>
      <c r="W227" s="24"/>
      <c r="X227" s="24"/>
      <c r="Y227" s="24"/>
      <c r="Z227" s="22" t="s">
        <v>677</v>
      </c>
      <c r="AA227" s="22"/>
      <c r="AB227" s="22" t="s">
        <v>56</v>
      </c>
      <c r="AC227" s="71" t="s">
        <v>755</v>
      </c>
      <c r="AD227" s="24">
        <v>1</v>
      </c>
      <c r="AE227" s="24">
        <v>1</v>
      </c>
      <c r="AF227" s="24">
        <v>1</v>
      </c>
      <c r="AG227" s="24">
        <v>3</v>
      </c>
      <c r="AH227" s="24">
        <v>1</v>
      </c>
      <c r="AI227" s="24">
        <v>1</v>
      </c>
      <c r="AJ227" s="24">
        <v>3</v>
      </c>
      <c r="AK227" s="22" t="s">
        <v>48</v>
      </c>
      <c r="AL227" s="22"/>
    </row>
    <row r="228" spans="1:38" s="133" customFormat="1" ht="51" x14ac:dyDescent="0.2">
      <c r="A228" s="30" t="s">
        <v>72</v>
      </c>
      <c r="B228" s="30" t="s">
        <v>1278</v>
      </c>
      <c r="C228" s="30"/>
      <c r="D228" s="139" t="s">
        <v>98</v>
      </c>
      <c r="E228" s="139" t="s">
        <v>142</v>
      </c>
      <c r="F228" s="139" t="s">
        <v>895</v>
      </c>
      <c r="G228" s="139"/>
      <c r="H228" s="139"/>
      <c r="I228" s="139" t="s">
        <v>884</v>
      </c>
      <c r="J228" s="30" t="s">
        <v>1402</v>
      </c>
      <c r="K228" s="72" t="s">
        <v>63</v>
      </c>
      <c r="L228" s="31">
        <v>2025</v>
      </c>
      <c r="M228" s="31"/>
      <c r="N228" s="32">
        <v>1800</v>
      </c>
      <c r="O228" s="33"/>
      <c r="P228" s="34">
        <v>100</v>
      </c>
      <c r="Q228" s="35">
        <v>4000</v>
      </c>
      <c r="R228" s="35"/>
      <c r="S228" s="36"/>
      <c r="T228" s="31"/>
      <c r="U228" s="31"/>
      <c r="V228" s="31"/>
      <c r="W228" s="31"/>
      <c r="X228" s="31"/>
      <c r="Y228" s="31"/>
      <c r="Z228" s="30" t="s">
        <v>42</v>
      </c>
      <c r="AA228" s="30"/>
      <c r="AB228" s="50">
        <v>44986</v>
      </c>
      <c r="AC228" s="141" t="s">
        <v>1403</v>
      </c>
      <c r="AD228" s="31">
        <v>1</v>
      </c>
      <c r="AE228" s="31">
        <v>1</v>
      </c>
      <c r="AF228" s="31">
        <v>1</v>
      </c>
      <c r="AG228" s="31">
        <v>3</v>
      </c>
      <c r="AH228" s="31">
        <v>1</v>
      </c>
      <c r="AI228" s="31">
        <v>2</v>
      </c>
      <c r="AJ228" s="31">
        <v>6</v>
      </c>
      <c r="AK228" s="30" t="s">
        <v>48</v>
      </c>
      <c r="AL228" s="142"/>
    </row>
    <row r="229" spans="1:38" s="133" customFormat="1" ht="51" x14ac:dyDescent="0.2">
      <c r="A229" s="30" t="s">
        <v>72</v>
      </c>
      <c r="B229" s="30" t="s">
        <v>1278</v>
      </c>
      <c r="C229" s="30"/>
      <c r="D229" s="139" t="s">
        <v>98</v>
      </c>
      <c r="E229" s="139" t="s">
        <v>142</v>
      </c>
      <c r="F229" s="139"/>
      <c r="G229" s="139"/>
      <c r="H229" s="139"/>
      <c r="I229" s="139" t="s">
        <v>1279</v>
      </c>
      <c r="J229" s="30" t="s">
        <v>1401</v>
      </c>
      <c r="K229" s="72" t="s">
        <v>63</v>
      </c>
      <c r="L229" s="31">
        <v>2024</v>
      </c>
      <c r="M229" s="31"/>
      <c r="N229" s="32">
        <v>1800</v>
      </c>
      <c r="O229" s="33"/>
      <c r="P229" s="34">
        <v>100</v>
      </c>
      <c r="Q229" s="35">
        <v>4000</v>
      </c>
      <c r="R229" s="35"/>
      <c r="S229" s="36"/>
      <c r="T229" s="31"/>
      <c r="U229" s="31"/>
      <c r="V229" s="31"/>
      <c r="W229" s="31"/>
      <c r="X229" s="31"/>
      <c r="Y229" s="31"/>
      <c r="Z229" s="30" t="s">
        <v>42</v>
      </c>
      <c r="AA229" s="30"/>
      <c r="AB229" s="50">
        <v>44986</v>
      </c>
      <c r="AC229" s="141" t="s">
        <v>1316</v>
      </c>
      <c r="AD229" s="31"/>
      <c r="AE229" s="31"/>
      <c r="AF229" s="31"/>
      <c r="AG229" s="31"/>
      <c r="AH229" s="31"/>
      <c r="AI229" s="31"/>
      <c r="AJ229" s="31"/>
      <c r="AK229" s="30"/>
      <c r="AL229" s="142"/>
    </row>
    <row r="230" spans="1:38" ht="38.25" x14ac:dyDescent="0.2">
      <c r="A230" s="22" t="s">
        <v>86</v>
      </c>
      <c r="B230" s="22" t="s">
        <v>259</v>
      </c>
      <c r="C230" s="22"/>
      <c r="D230" s="22" t="s">
        <v>98</v>
      </c>
      <c r="E230" s="22" t="s">
        <v>142</v>
      </c>
      <c r="F230" s="71" t="s">
        <v>895</v>
      </c>
      <c r="G230" s="22"/>
      <c r="H230" s="22"/>
      <c r="I230" s="22" t="s">
        <v>260</v>
      </c>
      <c r="J230" s="22" t="s">
        <v>1061</v>
      </c>
      <c r="K230" s="22" t="s">
        <v>42</v>
      </c>
      <c r="L230" s="24">
        <v>2022</v>
      </c>
      <c r="M230" s="24"/>
      <c r="N230" s="38">
        <v>70000</v>
      </c>
      <c r="O230" s="39"/>
      <c r="P230" s="27">
        <v>10</v>
      </c>
      <c r="Q230" s="28">
        <v>1500</v>
      </c>
      <c r="R230" s="28">
        <f>IF(Q230&lt;4.99,(Q230*12%+4),IF(Q230&lt;10.99,(Q230*12%+8),IF(Q230&lt;14.99,(Q230*12%+12),IF(Q230&lt;879.99,(Q230*12%+16),IF(Q230&lt;2569.99,(Q230*7%+60),240)))))</f>
        <v>165</v>
      </c>
      <c r="S230" s="29">
        <f>R230*P230</f>
        <v>1650</v>
      </c>
      <c r="T230" s="24"/>
      <c r="U230" s="24"/>
      <c r="V230" s="24"/>
      <c r="W230" s="24"/>
      <c r="X230" s="24"/>
      <c r="Y230" s="24"/>
      <c r="Z230" s="22" t="s">
        <v>64</v>
      </c>
      <c r="AA230" s="22" t="s">
        <v>261</v>
      </c>
      <c r="AB230" s="22" t="s">
        <v>132</v>
      </c>
      <c r="AC230" s="71" t="s">
        <v>262</v>
      </c>
      <c r="AD230" s="24">
        <v>1</v>
      </c>
      <c r="AE230" s="24">
        <v>3</v>
      </c>
      <c r="AF230" s="24">
        <v>1</v>
      </c>
      <c r="AG230" s="24">
        <v>1</v>
      </c>
      <c r="AH230" s="24">
        <v>3</v>
      </c>
      <c r="AI230" s="24">
        <v>1</v>
      </c>
      <c r="AJ230" s="24">
        <v>9</v>
      </c>
      <c r="AK230" s="22" t="s">
        <v>48</v>
      </c>
      <c r="AL230" s="22"/>
    </row>
    <row r="231" spans="1:38" ht="38.25" x14ac:dyDescent="0.2">
      <c r="A231" s="22" t="s">
        <v>35</v>
      </c>
      <c r="B231" s="22" t="s">
        <v>358</v>
      </c>
      <c r="C231" s="22"/>
      <c r="D231" s="22" t="s">
        <v>37</v>
      </c>
      <c r="E231" s="22" t="s">
        <v>359</v>
      </c>
      <c r="F231" s="22"/>
      <c r="G231" s="97" t="s">
        <v>952</v>
      </c>
      <c r="H231" s="22"/>
      <c r="I231" s="22" t="s">
        <v>360</v>
      </c>
      <c r="J231" s="22" t="s">
        <v>361</v>
      </c>
      <c r="K231" s="22" t="s">
        <v>63</v>
      </c>
      <c r="L231" s="24">
        <v>2019</v>
      </c>
      <c r="M231" s="24"/>
      <c r="N231" s="38">
        <f>4*85*20</f>
        <v>6800</v>
      </c>
      <c r="O231" s="39"/>
      <c r="P231" s="27">
        <f>N231*O231</f>
        <v>0</v>
      </c>
      <c r="Q231" s="28"/>
      <c r="R231" s="28">
        <f>IF(Q231&lt;4.99,(Q231*12%+4),IF(Q231&lt;10.99,(Q231*12%+8),IF(Q231&lt;14.99,(Q231*12%+12),IF(Q231&lt;879.99,(Q231*12%+16),IF(Q231&lt;2569.99,(Q231*7%+60),240)))))</f>
        <v>4</v>
      </c>
      <c r="S231" s="29">
        <f>R231*P231</f>
        <v>0</v>
      </c>
      <c r="T231" s="24"/>
      <c r="U231" s="24"/>
      <c r="V231" s="24"/>
      <c r="W231" s="24"/>
      <c r="X231" s="24"/>
      <c r="Y231" s="24"/>
      <c r="Z231" s="22" t="s">
        <v>42</v>
      </c>
      <c r="AA231" s="22"/>
      <c r="AB231" s="22"/>
      <c r="AC231" s="71" t="s">
        <v>362</v>
      </c>
      <c r="AD231" s="24">
        <v>1</v>
      </c>
      <c r="AE231" s="24">
        <v>2</v>
      </c>
      <c r="AF231" s="24">
        <v>1</v>
      </c>
      <c r="AG231" s="24">
        <v>3</v>
      </c>
      <c r="AH231" s="24">
        <v>1</v>
      </c>
      <c r="AI231" s="24">
        <v>1</v>
      </c>
      <c r="AJ231" s="24">
        <v>6</v>
      </c>
      <c r="AK231" s="22" t="s">
        <v>48</v>
      </c>
      <c r="AL231" s="22"/>
    </row>
    <row r="232" spans="1:38" ht="38.25" x14ac:dyDescent="0.2">
      <c r="A232" s="13" t="s">
        <v>58</v>
      </c>
      <c r="B232" s="13" t="s">
        <v>158</v>
      </c>
      <c r="C232" s="13"/>
      <c r="D232" s="13" t="s">
        <v>37</v>
      </c>
      <c r="E232" s="13" t="s">
        <v>159</v>
      </c>
      <c r="F232" s="70" t="s">
        <v>932</v>
      </c>
      <c r="G232" s="13"/>
      <c r="H232" s="13"/>
      <c r="I232" s="13" t="s">
        <v>160</v>
      </c>
      <c r="J232" s="13" t="s">
        <v>161</v>
      </c>
      <c r="K232" s="13" t="s">
        <v>42</v>
      </c>
      <c r="L232" s="14">
        <v>2020</v>
      </c>
      <c r="M232" s="14"/>
      <c r="N232" s="15">
        <v>1000</v>
      </c>
      <c r="O232" s="16"/>
      <c r="P232" s="17">
        <f>N232*O232</f>
        <v>0</v>
      </c>
      <c r="Q232" s="18"/>
      <c r="R232" s="18">
        <f>IF(Q232&lt;4.99,(Q232*12%+4),IF(Q232&lt;10.99,(Q232*12%+8),IF(Q232&lt;14.99,(Q232*12%+12),IF(Q232&lt;879.99,(Q232*12%+16),IF(Q232&lt;2569.99,(Q232*7%+60),240)))))</f>
        <v>4</v>
      </c>
      <c r="S232" s="19">
        <f>R232*P232</f>
        <v>0</v>
      </c>
      <c r="T232" s="14"/>
      <c r="U232" s="14"/>
      <c r="V232" s="14"/>
      <c r="W232" s="14"/>
      <c r="X232" s="14"/>
      <c r="Y232" s="14"/>
      <c r="Z232" s="13" t="s">
        <v>42</v>
      </c>
      <c r="AA232" s="13"/>
      <c r="AB232" s="20"/>
      <c r="AC232" s="70"/>
      <c r="AD232" s="14">
        <v>3</v>
      </c>
      <c r="AE232" s="14">
        <v>2</v>
      </c>
      <c r="AF232" s="14">
        <v>2</v>
      </c>
      <c r="AG232" s="14">
        <v>3</v>
      </c>
      <c r="AH232" s="14">
        <v>3</v>
      </c>
      <c r="AI232" s="14">
        <v>2</v>
      </c>
      <c r="AJ232" s="14">
        <v>216</v>
      </c>
      <c r="AK232" s="13" t="s">
        <v>45</v>
      </c>
      <c r="AL232" s="20">
        <v>43525</v>
      </c>
    </row>
    <row r="233" spans="1:38" ht="38.25" x14ac:dyDescent="0.2">
      <c r="A233" s="22" t="s">
        <v>47</v>
      </c>
      <c r="B233" s="22" t="s">
        <v>885</v>
      </c>
      <c r="C233" s="22"/>
      <c r="D233" s="65" t="s">
        <v>37</v>
      </c>
      <c r="E233" s="88" t="s">
        <v>886</v>
      </c>
      <c r="F233" s="78" t="s">
        <v>894</v>
      </c>
      <c r="G233" s="88"/>
      <c r="H233" s="88"/>
      <c r="I233" s="65" t="s">
        <v>887</v>
      </c>
      <c r="J233" s="22" t="s">
        <v>888</v>
      </c>
      <c r="K233" s="22" t="s">
        <v>42</v>
      </c>
      <c r="L233" s="24">
        <v>2021</v>
      </c>
      <c r="M233" s="24"/>
      <c r="N233" s="38"/>
      <c r="O233" s="39"/>
      <c r="P233" s="27"/>
      <c r="Q233" s="28"/>
      <c r="R233" s="28"/>
      <c r="S233" s="29"/>
      <c r="T233" s="24"/>
      <c r="U233" s="24"/>
      <c r="V233" s="24"/>
      <c r="W233" s="24"/>
      <c r="X233" s="24"/>
      <c r="Y233" s="24"/>
      <c r="Z233" s="22" t="s">
        <v>42</v>
      </c>
      <c r="AA233" s="22"/>
      <c r="AB233" s="41"/>
      <c r="AC233" s="67"/>
      <c r="AD233" s="24"/>
      <c r="AE233" s="24"/>
      <c r="AF233" s="24"/>
      <c r="AG233" s="24"/>
      <c r="AH233" s="24"/>
      <c r="AI233" s="24"/>
      <c r="AJ233" s="24">
        <v>0</v>
      </c>
      <c r="AK233" s="22"/>
      <c r="AL233" s="69"/>
    </row>
    <row r="234" spans="1:38" ht="38.25" x14ac:dyDescent="0.2">
      <c r="A234" s="22" t="s">
        <v>47</v>
      </c>
      <c r="B234" s="22" t="s">
        <v>885</v>
      </c>
      <c r="C234" s="22"/>
      <c r="D234" s="65" t="s">
        <v>98</v>
      </c>
      <c r="E234" s="88" t="s">
        <v>886</v>
      </c>
      <c r="F234" s="78" t="s">
        <v>894</v>
      </c>
      <c r="G234" s="88"/>
      <c r="H234" s="88"/>
      <c r="I234" s="65" t="s">
        <v>887</v>
      </c>
      <c r="J234" s="22" t="s">
        <v>889</v>
      </c>
      <c r="K234" s="22" t="s">
        <v>42</v>
      </c>
      <c r="L234" s="24">
        <v>2021</v>
      </c>
      <c r="M234" s="24"/>
      <c r="N234" s="38"/>
      <c r="O234" s="39"/>
      <c r="P234" s="27"/>
      <c r="Q234" s="28"/>
      <c r="R234" s="28"/>
      <c r="S234" s="29"/>
      <c r="T234" s="24"/>
      <c r="U234" s="24"/>
      <c r="V234" s="24"/>
      <c r="W234" s="24"/>
      <c r="X234" s="24"/>
      <c r="Y234" s="24"/>
      <c r="Z234" s="22" t="s">
        <v>42</v>
      </c>
      <c r="AA234" s="22"/>
      <c r="AB234" s="41"/>
      <c r="AC234" s="67" t="s">
        <v>890</v>
      </c>
      <c r="AD234" s="24"/>
      <c r="AE234" s="24"/>
      <c r="AF234" s="24"/>
      <c r="AG234" s="24"/>
      <c r="AH234" s="24"/>
      <c r="AI234" s="24"/>
      <c r="AJ234" s="24">
        <v>0</v>
      </c>
      <c r="AK234" s="22"/>
      <c r="AL234" s="69"/>
    </row>
    <row r="235" spans="1:38" ht="38.25" x14ac:dyDescent="0.2">
      <c r="A235" s="201" t="s">
        <v>86</v>
      </c>
      <c r="B235" s="201" t="s">
        <v>259</v>
      </c>
      <c r="C235" s="201"/>
      <c r="D235" s="201" t="s">
        <v>98</v>
      </c>
      <c r="E235" s="201" t="s">
        <v>321</v>
      </c>
      <c r="F235" s="216" t="s">
        <v>949</v>
      </c>
      <c r="G235" s="201"/>
      <c r="H235" s="201"/>
      <c r="I235" s="201" t="s">
        <v>322</v>
      </c>
      <c r="J235" s="201"/>
      <c r="K235" s="201" t="s">
        <v>64</v>
      </c>
      <c r="L235" s="206">
        <v>2020</v>
      </c>
      <c r="M235" s="206"/>
      <c r="N235" s="207">
        <v>70000</v>
      </c>
      <c r="O235" s="208"/>
      <c r="P235" s="209">
        <f>N235*O235</f>
        <v>0</v>
      </c>
      <c r="Q235" s="210"/>
      <c r="R235" s="210">
        <f>IF(Q235&lt;4.99,(Q235*12%+4),IF(Q235&lt;10.99,(Q235*12%+8),IF(Q235&lt;14.99,(Q235*12%+12),IF(Q235&lt;879.99,(Q235*12%+16),IF(Q235&lt;2569.99,(Q235*7%+60),240)))))</f>
        <v>4</v>
      </c>
      <c r="S235" s="211">
        <f>R235*P235</f>
        <v>0</v>
      </c>
      <c r="T235" s="206"/>
      <c r="U235" s="206"/>
      <c r="V235" s="206"/>
      <c r="W235" s="206"/>
      <c r="X235" s="206"/>
      <c r="Y235" s="206"/>
      <c r="Z235" s="201" t="s">
        <v>64</v>
      </c>
      <c r="AA235" s="201"/>
      <c r="AB235" s="217"/>
      <c r="AC235" s="216"/>
      <c r="AD235" s="206">
        <v>1</v>
      </c>
      <c r="AE235" s="206">
        <v>3</v>
      </c>
      <c r="AF235" s="206">
        <v>1</v>
      </c>
      <c r="AG235" s="206">
        <v>1</v>
      </c>
      <c r="AH235" s="206">
        <v>3</v>
      </c>
      <c r="AI235" s="206">
        <v>1</v>
      </c>
      <c r="AJ235" s="206">
        <v>9</v>
      </c>
      <c r="AK235" s="201" t="s">
        <v>48</v>
      </c>
      <c r="AL235" s="201"/>
    </row>
    <row r="236" spans="1:38" s="218" customFormat="1" ht="38.25" x14ac:dyDescent="0.2">
      <c r="A236" s="22" t="s">
        <v>35</v>
      </c>
      <c r="B236" s="22" t="s">
        <v>255</v>
      </c>
      <c r="C236" s="22"/>
      <c r="D236" s="22" t="s">
        <v>98</v>
      </c>
      <c r="E236" s="22" t="s">
        <v>256</v>
      </c>
      <c r="F236" s="71" t="s">
        <v>943</v>
      </c>
      <c r="G236" s="22"/>
      <c r="H236" s="22"/>
      <c r="I236" s="22" t="s">
        <v>257</v>
      </c>
      <c r="J236" s="22"/>
      <c r="K236" s="22" t="s">
        <v>42</v>
      </c>
      <c r="L236" s="24">
        <v>2022</v>
      </c>
      <c r="M236" s="24"/>
      <c r="N236" s="51">
        <v>4400</v>
      </c>
      <c r="O236" s="39"/>
      <c r="P236" s="27">
        <f>N236*O236</f>
        <v>0</v>
      </c>
      <c r="Q236" s="28"/>
      <c r="R236" s="28">
        <f>IF(Q236&lt;4.99,(Q236*12%+4),IF(Q236&lt;10.99,(Q236*12%+8),IF(Q236&lt;14.99,(Q236*12%+12),IF(Q236&lt;879.99,(Q236*12%+16),IF(Q236&lt;2569.99,(Q236*7%+60),240)))))</f>
        <v>4</v>
      </c>
      <c r="S236" s="29">
        <f>R236*P236</f>
        <v>0</v>
      </c>
      <c r="T236" s="24"/>
      <c r="U236" s="24"/>
      <c r="V236" s="24"/>
      <c r="W236" s="24"/>
      <c r="X236" s="24"/>
      <c r="Y236" s="24"/>
      <c r="Z236" s="22" t="s">
        <v>42</v>
      </c>
      <c r="AA236" s="22"/>
      <c r="AB236" s="22"/>
      <c r="AC236" s="71" t="s">
        <v>258</v>
      </c>
      <c r="AD236" s="24">
        <v>1</v>
      </c>
      <c r="AE236" s="24">
        <v>2</v>
      </c>
      <c r="AF236" s="24">
        <v>1</v>
      </c>
      <c r="AG236" s="24">
        <v>3</v>
      </c>
      <c r="AH236" s="24">
        <v>2</v>
      </c>
      <c r="AI236" s="24">
        <v>2</v>
      </c>
      <c r="AJ236" s="24">
        <v>24</v>
      </c>
      <c r="AK236" s="22" t="s">
        <v>48</v>
      </c>
      <c r="AL236" s="22"/>
    </row>
    <row r="237" spans="1:38" s="219" customFormat="1" x14ac:dyDescent="0.2">
      <c r="A237" s="30" t="s">
        <v>72</v>
      </c>
      <c r="B237" s="30" t="s">
        <v>1228</v>
      </c>
      <c r="C237" s="30"/>
      <c r="D237" s="30" t="s">
        <v>37</v>
      </c>
      <c r="E237" s="30" t="s">
        <v>655</v>
      </c>
      <c r="F237" s="72"/>
      <c r="G237" s="30"/>
      <c r="H237" s="30"/>
      <c r="I237" s="30" t="s">
        <v>1229</v>
      </c>
      <c r="J237" s="30" t="s">
        <v>1230</v>
      </c>
      <c r="K237" s="30" t="s">
        <v>63</v>
      </c>
      <c r="L237" s="31">
        <v>2023</v>
      </c>
      <c r="M237" s="31"/>
      <c r="N237" s="32">
        <v>1000000</v>
      </c>
      <c r="O237" s="33">
        <v>5.0000000000000001E-4</v>
      </c>
      <c r="P237" s="34">
        <v>30</v>
      </c>
      <c r="Q237" s="35">
        <v>600</v>
      </c>
      <c r="R237" s="35">
        <v>75</v>
      </c>
      <c r="S237" s="36"/>
      <c r="T237" s="31"/>
      <c r="U237" s="31"/>
      <c r="V237" s="31"/>
      <c r="W237" s="31"/>
      <c r="X237" s="31"/>
      <c r="Y237" s="31"/>
      <c r="Z237" s="30"/>
      <c r="AA237" s="30"/>
      <c r="AB237" s="30"/>
      <c r="AC237" s="72"/>
      <c r="AD237" s="31"/>
      <c r="AE237" s="31"/>
      <c r="AF237" s="31"/>
      <c r="AG237" s="31"/>
      <c r="AH237" s="31"/>
      <c r="AI237" s="31"/>
      <c r="AJ237" s="31"/>
      <c r="AK237" s="30"/>
      <c r="AL237" s="30"/>
    </row>
    <row r="238" spans="1:38" s="218" customFormat="1" x14ac:dyDescent="0.2">
      <c r="A238" s="22" t="s">
        <v>35</v>
      </c>
      <c r="B238" s="22" t="s">
        <v>169</v>
      </c>
      <c r="C238" s="22"/>
      <c r="D238" s="22" t="s">
        <v>60</v>
      </c>
      <c r="E238" s="22" t="s">
        <v>1231</v>
      </c>
      <c r="F238" s="22"/>
      <c r="G238" s="22"/>
      <c r="H238" s="22"/>
      <c r="I238" s="22" t="s">
        <v>1232</v>
      </c>
      <c r="J238" s="22"/>
      <c r="K238" s="22" t="s">
        <v>42</v>
      </c>
      <c r="L238" s="24">
        <v>2024</v>
      </c>
      <c r="M238" s="24"/>
      <c r="N238" s="38"/>
      <c r="O238" s="39"/>
      <c r="P238" s="24"/>
      <c r="Q238" s="28"/>
      <c r="R238" s="24"/>
      <c r="S238" s="24"/>
      <c r="T238" s="24"/>
      <c r="U238" s="24"/>
      <c r="V238" s="24"/>
      <c r="W238" s="24"/>
      <c r="X238" s="24"/>
      <c r="Y238" s="24"/>
      <c r="Z238" s="22"/>
      <c r="AA238" s="22"/>
      <c r="AB238" s="22"/>
      <c r="AC238" s="71"/>
      <c r="AD238" s="24"/>
      <c r="AE238" s="24"/>
      <c r="AF238" s="24"/>
      <c r="AG238" s="24"/>
      <c r="AH238" s="24"/>
      <c r="AI238" s="24"/>
      <c r="AJ238" s="24"/>
      <c r="AK238" s="22"/>
      <c r="AL238" s="40">
        <v>44805</v>
      </c>
    </row>
    <row r="239" spans="1:38" s="218" customFormat="1" x14ac:dyDescent="0.2">
      <c r="A239" s="22" t="s">
        <v>35</v>
      </c>
      <c r="B239" s="22" t="s">
        <v>165</v>
      </c>
      <c r="C239" s="22"/>
      <c r="D239" s="22" t="s">
        <v>37</v>
      </c>
      <c r="E239" s="22" t="s">
        <v>1234</v>
      </c>
      <c r="F239" s="22"/>
      <c r="G239" s="22"/>
      <c r="H239" s="22"/>
      <c r="I239" s="22" t="s">
        <v>1235</v>
      </c>
      <c r="J239" s="22"/>
      <c r="K239" s="22" t="s">
        <v>42</v>
      </c>
      <c r="L239" s="24">
        <v>2024</v>
      </c>
      <c r="M239" s="24"/>
      <c r="N239" s="38">
        <v>85</v>
      </c>
      <c r="O239" s="39">
        <v>5.0000000000000001E-4</v>
      </c>
      <c r="P239" s="24">
        <v>5</v>
      </c>
      <c r="Q239" s="28">
        <v>10000</v>
      </c>
      <c r="R239" s="24">
        <v>240</v>
      </c>
      <c r="S239" s="24"/>
      <c r="T239" s="24"/>
      <c r="U239" s="24"/>
      <c r="V239" s="24"/>
      <c r="W239" s="24"/>
      <c r="X239" s="24"/>
      <c r="Y239" s="24"/>
      <c r="Z239" s="22"/>
      <c r="AA239" s="22"/>
      <c r="AB239" s="22"/>
      <c r="AC239" s="71"/>
      <c r="AD239" s="24"/>
      <c r="AE239" s="24"/>
      <c r="AF239" s="24"/>
      <c r="AG239" s="24"/>
      <c r="AH239" s="24"/>
      <c r="AI239" s="24"/>
      <c r="AJ239" s="24"/>
      <c r="AK239" s="22"/>
      <c r="AL239" s="22"/>
    </row>
    <row r="240" spans="1:38" s="227" customFormat="1" x14ac:dyDescent="0.2">
      <c r="A240" s="30" t="s">
        <v>47</v>
      </c>
      <c r="B240" s="30" t="s">
        <v>1413</v>
      </c>
      <c r="C240" s="30"/>
      <c r="D240" s="30" t="s">
        <v>98</v>
      </c>
      <c r="E240" s="30" t="s">
        <v>297</v>
      </c>
      <c r="F240" s="30"/>
      <c r="G240" s="30"/>
      <c r="H240" s="30"/>
      <c r="I240" s="30" t="s">
        <v>1408</v>
      </c>
      <c r="J240" s="30" t="s">
        <v>1407</v>
      </c>
      <c r="K240" s="30" t="s">
        <v>315</v>
      </c>
      <c r="L240" s="31">
        <v>2023</v>
      </c>
      <c r="M240" s="31"/>
      <c r="N240" s="32"/>
      <c r="O240" s="33"/>
      <c r="P240" s="31"/>
      <c r="Q240" s="35"/>
      <c r="R240" s="31"/>
      <c r="S240" s="31"/>
      <c r="T240" s="31"/>
      <c r="U240" s="31"/>
      <c r="V240" s="31"/>
      <c r="W240" s="31"/>
      <c r="X240" s="31"/>
      <c r="Y240" s="31"/>
      <c r="Z240" s="30"/>
      <c r="AA240" s="22"/>
      <c r="AB240" s="22"/>
      <c r="AC240" s="72"/>
      <c r="AD240" s="31"/>
      <c r="AE240" s="31"/>
      <c r="AF240" s="31"/>
      <c r="AG240" s="31"/>
      <c r="AH240" s="31"/>
      <c r="AI240" s="31"/>
      <c r="AJ240" s="31"/>
      <c r="AK240" s="30"/>
      <c r="AL240" s="30"/>
    </row>
    <row r="241" spans="1:16379" s="227" customFormat="1" x14ac:dyDescent="0.2">
      <c r="A241" s="30" t="s">
        <v>47</v>
      </c>
      <c r="B241" s="30" t="s">
        <v>1412</v>
      </c>
      <c r="C241" s="30"/>
      <c r="D241" s="30" t="s">
        <v>98</v>
      </c>
      <c r="E241" s="30" t="s">
        <v>170</v>
      </c>
      <c r="F241" s="30"/>
      <c r="G241" s="30"/>
      <c r="H241" s="30"/>
      <c r="I241" s="30" t="s">
        <v>1409</v>
      </c>
      <c r="J241" s="30" t="s">
        <v>1410</v>
      </c>
      <c r="K241" s="30" t="s">
        <v>315</v>
      </c>
      <c r="L241" s="31">
        <v>2023</v>
      </c>
      <c r="M241" s="31"/>
      <c r="N241" s="32"/>
      <c r="O241" s="33"/>
      <c r="P241" s="31"/>
      <c r="Q241" s="35"/>
      <c r="R241" s="31"/>
      <c r="S241" s="31"/>
      <c r="T241" s="31"/>
      <c r="U241" s="31"/>
      <c r="V241" s="31"/>
      <c r="W241" s="31"/>
      <c r="X241" s="31"/>
      <c r="Y241" s="31"/>
      <c r="Z241" s="30"/>
      <c r="AA241" s="22"/>
      <c r="AB241" s="22"/>
      <c r="AC241" s="72"/>
      <c r="AD241" s="31"/>
      <c r="AE241" s="31"/>
      <c r="AF241" s="31"/>
      <c r="AG241" s="31"/>
      <c r="AH241" s="31"/>
      <c r="AI241" s="31"/>
      <c r="AJ241" s="31"/>
      <c r="AK241" s="30"/>
      <c r="AL241" s="30"/>
    </row>
    <row r="242" spans="1:16379" s="226" customFormat="1" x14ac:dyDescent="0.2">
      <c r="A242" s="30" t="s">
        <v>47</v>
      </c>
      <c r="B242" s="30" t="s">
        <v>1425</v>
      </c>
      <c r="C242" s="30"/>
      <c r="D242" s="30" t="s">
        <v>37</v>
      </c>
      <c r="E242" s="30" t="s">
        <v>1423</v>
      </c>
      <c r="F242" s="72"/>
      <c r="G242" s="30"/>
      <c r="H242" s="30"/>
      <c r="I242" s="30" t="s">
        <v>1424</v>
      </c>
      <c r="J242" s="30"/>
      <c r="K242" s="30" t="s">
        <v>42</v>
      </c>
      <c r="L242" s="31">
        <v>2025</v>
      </c>
      <c r="M242" s="31"/>
      <c r="N242" s="32"/>
      <c r="O242" s="33"/>
      <c r="P242" s="34"/>
      <c r="Q242" s="35"/>
      <c r="R242" s="35"/>
      <c r="S242" s="36"/>
      <c r="T242" s="31"/>
      <c r="U242" s="31"/>
      <c r="V242" s="31"/>
      <c r="W242" s="31"/>
      <c r="X242" s="31"/>
      <c r="Y242" s="31"/>
      <c r="Z242" s="30"/>
      <c r="AA242" s="72"/>
      <c r="AB242" s="31"/>
      <c r="AC242" s="31" t="s">
        <v>1426</v>
      </c>
      <c r="AD242" s="31"/>
      <c r="AE242" s="31"/>
      <c r="AF242" s="31"/>
      <c r="AG242" s="31"/>
      <c r="AH242" s="31"/>
      <c r="AI242" s="30"/>
      <c r="AJ242" s="30"/>
      <c r="AK242" s="219"/>
      <c r="AL242" s="219"/>
      <c r="AM242" s="219"/>
      <c r="AN242" s="219"/>
      <c r="AO242" s="219"/>
      <c r="AP242" s="219"/>
      <c r="AQ242" s="219"/>
      <c r="AR242" s="219"/>
      <c r="AS242" s="219"/>
      <c r="AT242" s="219"/>
      <c r="AU242" s="219"/>
      <c r="AV242" s="219"/>
      <c r="AW242" s="219"/>
      <c r="AX242" s="219"/>
      <c r="AY242" s="219"/>
      <c r="AZ242" s="219"/>
      <c r="BA242" s="219"/>
      <c r="BB242" s="219"/>
      <c r="BC242" s="219"/>
      <c r="BD242" s="219"/>
      <c r="BE242" s="219"/>
      <c r="BF242" s="219"/>
      <c r="BG242" s="219"/>
      <c r="BH242" s="219"/>
      <c r="BI242" s="219"/>
      <c r="BJ242" s="219"/>
      <c r="BK242" s="219"/>
      <c r="BL242" s="219"/>
      <c r="BM242" s="219"/>
      <c r="BN242" s="219"/>
      <c r="BO242" s="219"/>
      <c r="BP242" s="219"/>
      <c r="BQ242" s="219"/>
      <c r="BR242" s="219"/>
      <c r="BS242" s="219"/>
      <c r="BT242" s="219"/>
      <c r="BU242" s="219"/>
      <c r="BV242" s="219"/>
      <c r="BW242" s="219"/>
      <c r="BX242" s="219"/>
      <c r="BY242" s="219"/>
      <c r="BZ242" s="219"/>
      <c r="CA242" s="219"/>
      <c r="CB242" s="219"/>
      <c r="CC242" s="219"/>
      <c r="CD242" s="219"/>
      <c r="CE242" s="219"/>
      <c r="CF242" s="219"/>
      <c r="CG242" s="219"/>
      <c r="CH242" s="219"/>
      <c r="CI242" s="219"/>
      <c r="CJ242" s="219"/>
      <c r="CK242" s="219"/>
      <c r="CL242" s="219"/>
      <c r="CM242" s="219"/>
      <c r="CN242" s="219"/>
      <c r="CO242" s="219"/>
      <c r="CP242" s="219"/>
      <c r="CQ242" s="219"/>
      <c r="CR242" s="219"/>
      <c r="CS242" s="219"/>
      <c r="CT242" s="219"/>
      <c r="CU242" s="219"/>
      <c r="CV242" s="219"/>
      <c r="CW242" s="219"/>
      <c r="CX242" s="219"/>
      <c r="CY242" s="219"/>
      <c r="CZ242" s="219"/>
      <c r="DA242" s="219"/>
      <c r="DB242" s="219"/>
      <c r="DC242" s="219"/>
      <c r="DD242" s="219"/>
      <c r="DE242" s="219"/>
      <c r="DF242" s="219"/>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219"/>
      <c r="EC242" s="219"/>
      <c r="ED242" s="219"/>
      <c r="EE242" s="219"/>
      <c r="EF242" s="219"/>
      <c r="EG242" s="219"/>
      <c r="EH242" s="219"/>
      <c r="EI242" s="219"/>
      <c r="EJ242" s="219"/>
      <c r="EK242" s="219"/>
      <c r="EL242" s="219"/>
      <c r="EM242" s="219"/>
      <c r="EN242" s="219"/>
      <c r="EO242" s="219"/>
      <c r="EP242" s="219"/>
      <c r="EQ242" s="219"/>
      <c r="ER242" s="219"/>
      <c r="ES242" s="219"/>
      <c r="ET242" s="219"/>
      <c r="EU242" s="219"/>
      <c r="EV242" s="219"/>
      <c r="EW242" s="219"/>
      <c r="EX242" s="219"/>
      <c r="EY242" s="219"/>
      <c r="EZ242" s="219"/>
      <c r="FA242" s="219"/>
      <c r="FB242" s="219"/>
      <c r="FC242" s="219"/>
      <c r="FD242" s="219"/>
      <c r="FE242" s="219"/>
      <c r="FF242" s="219"/>
      <c r="FG242" s="219"/>
      <c r="FH242" s="219"/>
      <c r="FI242" s="219"/>
      <c r="FJ242" s="219"/>
      <c r="FK242" s="219"/>
      <c r="FL242" s="219"/>
      <c r="FM242" s="219"/>
      <c r="FN242" s="219"/>
      <c r="FO242" s="219"/>
      <c r="FP242" s="219"/>
      <c r="FQ242" s="219"/>
      <c r="FR242" s="219"/>
      <c r="FS242" s="219"/>
      <c r="FT242" s="219"/>
      <c r="FU242" s="219"/>
      <c r="FV242" s="219"/>
      <c r="FW242" s="219"/>
      <c r="FX242" s="219"/>
      <c r="FY242" s="219"/>
      <c r="FZ242" s="219"/>
      <c r="GA242" s="219"/>
      <c r="GB242" s="219"/>
      <c r="GC242" s="219"/>
      <c r="GD242" s="219"/>
      <c r="GE242" s="219"/>
      <c r="GF242" s="219"/>
      <c r="GG242" s="219"/>
      <c r="GH242" s="219"/>
      <c r="GI242" s="219"/>
      <c r="GJ242" s="219"/>
      <c r="GK242" s="219"/>
      <c r="GL242" s="219"/>
      <c r="GM242" s="219"/>
      <c r="GN242" s="219"/>
      <c r="GO242" s="219"/>
      <c r="GP242" s="219"/>
      <c r="GQ242" s="219"/>
      <c r="GR242" s="219"/>
      <c r="GS242" s="219"/>
      <c r="GT242" s="219"/>
      <c r="GU242" s="219"/>
      <c r="GV242" s="219"/>
      <c r="GW242" s="219"/>
      <c r="GX242" s="219"/>
      <c r="GY242" s="219"/>
      <c r="GZ242" s="219"/>
      <c r="HA242" s="219"/>
      <c r="HB242" s="219"/>
      <c r="HC242" s="219"/>
      <c r="HD242" s="219"/>
      <c r="HE242" s="219"/>
      <c r="HF242" s="219"/>
      <c r="HG242" s="219"/>
      <c r="HH242" s="219"/>
      <c r="HI242" s="219"/>
      <c r="HJ242" s="219"/>
      <c r="HK242" s="219"/>
      <c r="HL242" s="219"/>
      <c r="HM242" s="219"/>
      <c r="HN242" s="219"/>
      <c r="HO242" s="219"/>
      <c r="HP242" s="219"/>
      <c r="HQ242" s="219"/>
      <c r="HR242" s="219"/>
      <c r="HS242" s="219"/>
      <c r="HT242" s="219"/>
      <c r="HU242" s="219"/>
      <c r="HV242" s="219"/>
      <c r="HW242" s="219"/>
      <c r="HX242" s="219"/>
      <c r="HY242" s="219"/>
      <c r="HZ242" s="219"/>
      <c r="IA242" s="219"/>
      <c r="IB242" s="219"/>
      <c r="IC242" s="219"/>
      <c r="ID242" s="219"/>
      <c r="IE242" s="219"/>
      <c r="IF242" s="219"/>
      <c r="IG242" s="219"/>
      <c r="IH242" s="219"/>
      <c r="II242" s="219"/>
      <c r="IJ242" s="219"/>
      <c r="IK242" s="219"/>
      <c r="IL242" s="219"/>
      <c r="IM242" s="219"/>
      <c r="IN242" s="219"/>
      <c r="IO242" s="219"/>
      <c r="IP242" s="219"/>
      <c r="IQ242" s="219"/>
      <c r="IR242" s="219"/>
      <c r="IS242" s="219"/>
      <c r="IT242" s="219"/>
      <c r="IU242" s="219"/>
      <c r="IV242" s="219"/>
      <c r="IW242" s="219"/>
      <c r="IX242" s="219"/>
      <c r="IY242" s="219"/>
      <c r="IZ242" s="219"/>
      <c r="JA242" s="219"/>
      <c r="JB242" s="219"/>
      <c r="JC242" s="219"/>
      <c r="JD242" s="219"/>
      <c r="JE242" s="219"/>
      <c r="JF242" s="219"/>
      <c r="JG242" s="219"/>
      <c r="JH242" s="219"/>
      <c r="JI242" s="219"/>
      <c r="JJ242" s="219"/>
      <c r="JK242" s="219"/>
      <c r="JL242" s="219"/>
      <c r="JM242" s="219"/>
      <c r="JN242" s="219"/>
      <c r="JO242" s="219"/>
      <c r="JP242" s="219"/>
      <c r="JQ242" s="219"/>
      <c r="JR242" s="219"/>
      <c r="JS242" s="219"/>
      <c r="JT242" s="219"/>
      <c r="JU242" s="219"/>
      <c r="JV242" s="219"/>
      <c r="JW242" s="219"/>
      <c r="JX242" s="219"/>
      <c r="JY242" s="219"/>
      <c r="JZ242" s="219"/>
      <c r="KA242" s="219"/>
      <c r="KB242" s="219"/>
      <c r="KC242" s="219"/>
      <c r="KD242" s="219"/>
      <c r="KE242" s="219"/>
      <c r="KF242" s="219"/>
      <c r="KG242" s="219"/>
      <c r="KH242" s="219"/>
      <c r="KI242" s="219"/>
      <c r="KJ242" s="219"/>
      <c r="KK242" s="219"/>
      <c r="KL242" s="219"/>
      <c r="KM242" s="219"/>
      <c r="KN242" s="219"/>
      <c r="KO242" s="219"/>
      <c r="KP242" s="219"/>
      <c r="KQ242" s="219"/>
      <c r="KR242" s="219"/>
      <c r="KS242" s="219"/>
      <c r="KT242" s="219"/>
      <c r="KU242" s="219"/>
      <c r="KV242" s="219"/>
      <c r="KW242" s="219"/>
      <c r="KX242" s="219"/>
      <c r="KY242" s="219"/>
      <c r="KZ242" s="219"/>
      <c r="LA242" s="219"/>
      <c r="LB242" s="219"/>
      <c r="LC242" s="219"/>
      <c r="LD242" s="219"/>
      <c r="LE242" s="219"/>
      <c r="LF242" s="219"/>
      <c r="LG242" s="219"/>
      <c r="LH242" s="219"/>
      <c r="LI242" s="219"/>
      <c r="LJ242" s="219"/>
      <c r="LK242" s="219"/>
      <c r="LL242" s="219"/>
      <c r="LM242" s="219"/>
      <c r="LN242" s="219"/>
      <c r="LO242" s="219"/>
      <c r="LP242" s="219"/>
      <c r="LQ242" s="219"/>
      <c r="LR242" s="219"/>
      <c r="LS242" s="219"/>
      <c r="LT242" s="219"/>
      <c r="LU242" s="219"/>
      <c r="LV242" s="219"/>
      <c r="LW242" s="219"/>
      <c r="LX242" s="219"/>
      <c r="LY242" s="219"/>
      <c r="LZ242" s="219"/>
      <c r="MA242" s="219"/>
      <c r="MB242" s="219"/>
      <c r="MC242" s="219"/>
      <c r="MD242" s="219"/>
      <c r="ME242" s="219"/>
      <c r="MF242" s="219"/>
      <c r="MG242" s="219"/>
      <c r="MH242" s="219"/>
      <c r="MI242" s="219"/>
      <c r="MJ242" s="219"/>
      <c r="MK242" s="219"/>
      <c r="ML242" s="219"/>
      <c r="MM242" s="219"/>
      <c r="MN242" s="219"/>
      <c r="MO242" s="219"/>
      <c r="MP242" s="219"/>
      <c r="MQ242" s="219"/>
      <c r="MR242" s="219"/>
      <c r="MS242" s="219"/>
      <c r="MT242" s="219"/>
      <c r="MU242" s="219"/>
      <c r="MV242" s="219"/>
      <c r="MW242" s="219"/>
      <c r="MX242" s="219"/>
      <c r="MY242" s="219"/>
      <c r="MZ242" s="219"/>
      <c r="NA242" s="219"/>
      <c r="NB242" s="219"/>
      <c r="NC242" s="219"/>
      <c r="ND242" s="219"/>
      <c r="NE242" s="219"/>
      <c r="NF242" s="219"/>
      <c r="NG242" s="219"/>
      <c r="NH242" s="219"/>
      <c r="NI242" s="219"/>
      <c r="NJ242" s="219"/>
      <c r="NK242" s="219"/>
      <c r="NL242" s="219"/>
      <c r="NM242" s="219"/>
      <c r="NN242" s="219"/>
      <c r="NO242" s="219"/>
      <c r="NP242" s="219"/>
      <c r="NQ242" s="219"/>
      <c r="NR242" s="219"/>
      <c r="NS242" s="219"/>
      <c r="NT242" s="219"/>
      <c r="NU242" s="219"/>
      <c r="NV242" s="219"/>
      <c r="NW242" s="219"/>
      <c r="NX242" s="219"/>
      <c r="NY242" s="219"/>
      <c r="NZ242" s="219"/>
      <c r="OA242" s="219"/>
      <c r="OB242" s="219"/>
      <c r="OC242" s="219"/>
      <c r="OD242" s="219"/>
      <c r="OE242" s="219"/>
      <c r="OF242" s="219"/>
      <c r="OG242" s="219"/>
      <c r="OH242" s="219"/>
      <c r="OI242" s="219"/>
      <c r="OJ242" s="219"/>
      <c r="OK242" s="219"/>
      <c r="OL242" s="219"/>
      <c r="OM242" s="219"/>
      <c r="ON242" s="219"/>
      <c r="OO242" s="219"/>
      <c r="OP242" s="219"/>
      <c r="OQ242" s="219"/>
      <c r="OR242" s="219"/>
      <c r="OS242" s="219"/>
      <c r="OT242" s="219"/>
      <c r="OU242" s="219"/>
      <c r="OV242" s="219"/>
      <c r="OW242" s="219"/>
      <c r="OX242" s="219"/>
      <c r="OY242" s="219"/>
      <c r="OZ242" s="219"/>
      <c r="PA242" s="219"/>
      <c r="PB242" s="219"/>
      <c r="PC242" s="219"/>
      <c r="PD242" s="219"/>
      <c r="PE242" s="219"/>
      <c r="PF242" s="219"/>
      <c r="PG242" s="219"/>
      <c r="PH242" s="219"/>
      <c r="PI242" s="219"/>
      <c r="PJ242" s="219"/>
      <c r="PK242" s="219"/>
      <c r="PL242" s="219"/>
      <c r="PM242" s="219"/>
      <c r="PN242" s="219"/>
      <c r="PO242" s="219"/>
      <c r="PP242" s="219"/>
      <c r="PQ242" s="219"/>
      <c r="PR242" s="219"/>
      <c r="PS242" s="219"/>
      <c r="PT242" s="219"/>
      <c r="PU242" s="219"/>
      <c r="PV242" s="219"/>
      <c r="PW242" s="219"/>
      <c r="PX242" s="219"/>
      <c r="PY242" s="219"/>
      <c r="PZ242" s="219"/>
      <c r="QA242" s="219"/>
      <c r="QB242" s="219"/>
      <c r="QC242" s="219"/>
      <c r="QD242" s="219"/>
      <c r="QE242" s="219"/>
      <c r="QF242" s="219"/>
      <c r="QG242" s="219"/>
      <c r="QH242" s="219"/>
      <c r="QI242" s="219"/>
      <c r="QJ242" s="219"/>
      <c r="QK242" s="219"/>
      <c r="QL242" s="219"/>
      <c r="QM242" s="219"/>
      <c r="QN242" s="219"/>
      <c r="QO242" s="219"/>
      <c r="QP242" s="219"/>
      <c r="QQ242" s="219"/>
      <c r="QR242" s="219"/>
      <c r="QS242" s="219"/>
      <c r="QT242" s="219"/>
      <c r="QU242" s="219"/>
      <c r="QV242" s="219"/>
      <c r="QW242" s="219"/>
      <c r="QX242" s="219"/>
      <c r="QY242" s="219"/>
      <c r="QZ242" s="219"/>
      <c r="RA242" s="219"/>
      <c r="RB242" s="219"/>
      <c r="RC242" s="219"/>
      <c r="RD242" s="219"/>
      <c r="RE242" s="219"/>
      <c r="RF242" s="219"/>
      <c r="RG242" s="219"/>
      <c r="RH242" s="219"/>
      <c r="RI242" s="219"/>
      <c r="RJ242" s="219"/>
      <c r="RK242" s="219"/>
      <c r="RL242" s="219"/>
      <c r="RM242" s="219"/>
      <c r="RN242" s="219"/>
      <c r="RO242" s="219"/>
      <c r="RP242" s="219"/>
      <c r="RQ242" s="219"/>
      <c r="RR242" s="219"/>
      <c r="RS242" s="219"/>
      <c r="RT242" s="219"/>
      <c r="RU242" s="219"/>
      <c r="RV242" s="219"/>
      <c r="RW242" s="219"/>
      <c r="RX242" s="219"/>
      <c r="RY242" s="219"/>
      <c r="RZ242" s="219"/>
      <c r="SA242" s="219"/>
      <c r="SB242" s="219"/>
      <c r="SC242" s="219"/>
      <c r="SD242" s="219"/>
      <c r="SE242" s="219"/>
      <c r="SF242" s="219"/>
      <c r="SG242" s="219"/>
      <c r="SH242" s="219"/>
      <c r="SI242" s="219"/>
      <c r="SJ242" s="219"/>
      <c r="SK242" s="219"/>
      <c r="SL242" s="219"/>
      <c r="SM242" s="219"/>
      <c r="SN242" s="219"/>
      <c r="SO242" s="219"/>
      <c r="SP242" s="219"/>
      <c r="SQ242" s="219"/>
      <c r="SR242" s="219"/>
      <c r="SS242" s="219"/>
      <c r="ST242" s="219"/>
      <c r="SU242" s="219"/>
      <c r="SV242" s="219"/>
      <c r="SW242" s="219"/>
      <c r="SX242" s="219"/>
      <c r="SY242" s="219"/>
      <c r="SZ242" s="219"/>
      <c r="TA242" s="219"/>
      <c r="TB242" s="219"/>
      <c r="TC242" s="219"/>
      <c r="TD242" s="219"/>
      <c r="TE242" s="219"/>
      <c r="TF242" s="219"/>
      <c r="TG242" s="219"/>
      <c r="TH242" s="219"/>
      <c r="TI242" s="219"/>
      <c r="TJ242" s="219"/>
      <c r="TK242" s="219"/>
      <c r="TL242" s="219"/>
      <c r="TM242" s="219"/>
      <c r="TN242" s="219"/>
      <c r="TO242" s="219"/>
      <c r="TP242" s="219"/>
      <c r="TQ242" s="219"/>
      <c r="TR242" s="219"/>
      <c r="TS242" s="219"/>
      <c r="TT242" s="219"/>
      <c r="TU242" s="219"/>
      <c r="TV242" s="219"/>
      <c r="TW242" s="219"/>
      <c r="TX242" s="219"/>
      <c r="TY242" s="219"/>
      <c r="TZ242" s="219"/>
      <c r="UA242" s="219"/>
      <c r="UB242" s="219"/>
      <c r="UC242" s="219"/>
      <c r="UD242" s="219"/>
      <c r="UE242" s="219"/>
      <c r="UF242" s="219"/>
      <c r="UG242" s="219"/>
      <c r="UH242" s="219"/>
      <c r="UI242" s="219"/>
      <c r="UJ242" s="219"/>
      <c r="UK242" s="219"/>
      <c r="UL242" s="219"/>
      <c r="UM242" s="219"/>
      <c r="UN242" s="219"/>
      <c r="UO242" s="219"/>
      <c r="UP242" s="219"/>
      <c r="UQ242" s="219"/>
      <c r="UR242" s="219"/>
      <c r="US242" s="219"/>
      <c r="UT242" s="219"/>
      <c r="UU242" s="219"/>
      <c r="UV242" s="219"/>
      <c r="UW242" s="219"/>
      <c r="UX242" s="219"/>
      <c r="UY242" s="219"/>
      <c r="UZ242" s="219"/>
      <c r="VA242" s="219"/>
      <c r="VB242" s="219"/>
      <c r="VC242" s="219"/>
      <c r="VD242" s="219"/>
      <c r="VE242" s="219"/>
      <c r="VF242" s="219"/>
      <c r="VG242" s="219"/>
      <c r="VH242" s="219"/>
      <c r="VI242" s="219"/>
      <c r="VJ242" s="219"/>
      <c r="VK242" s="219"/>
      <c r="VL242" s="219"/>
      <c r="VM242" s="219"/>
      <c r="VN242" s="219"/>
      <c r="VO242" s="219"/>
      <c r="VP242" s="219"/>
      <c r="VQ242" s="219"/>
      <c r="VR242" s="219"/>
      <c r="VS242" s="219"/>
      <c r="VT242" s="219"/>
      <c r="VU242" s="219"/>
      <c r="VV242" s="219"/>
      <c r="VW242" s="219"/>
      <c r="VX242" s="219"/>
      <c r="VY242" s="219"/>
      <c r="VZ242" s="219"/>
      <c r="WA242" s="219"/>
      <c r="WB242" s="219"/>
      <c r="WC242" s="219"/>
      <c r="WD242" s="219"/>
      <c r="WE242" s="219"/>
      <c r="WF242" s="219"/>
      <c r="WG242" s="219"/>
      <c r="WH242" s="219"/>
      <c r="WI242" s="219"/>
      <c r="WJ242" s="219"/>
      <c r="WK242" s="219"/>
      <c r="WL242" s="219"/>
      <c r="WM242" s="219"/>
      <c r="WN242" s="219"/>
      <c r="WO242" s="219"/>
      <c r="WP242" s="219"/>
      <c r="WQ242" s="219"/>
      <c r="WR242" s="219"/>
      <c r="WS242" s="219"/>
      <c r="WT242" s="219"/>
      <c r="WU242" s="219"/>
      <c r="WV242" s="219"/>
      <c r="WW242" s="219"/>
      <c r="WX242" s="219"/>
      <c r="WY242" s="219"/>
      <c r="WZ242" s="219"/>
      <c r="XA242" s="219"/>
      <c r="XB242" s="219"/>
      <c r="XC242" s="219"/>
      <c r="XD242" s="219"/>
      <c r="XE242" s="219"/>
      <c r="XF242" s="219"/>
      <c r="XG242" s="219"/>
      <c r="XH242" s="219"/>
      <c r="XI242" s="219"/>
      <c r="XJ242" s="219"/>
      <c r="XK242" s="219"/>
      <c r="XL242" s="219"/>
      <c r="XM242" s="219"/>
      <c r="XN242" s="219"/>
      <c r="XO242" s="219"/>
      <c r="XP242" s="219"/>
      <c r="XQ242" s="219"/>
      <c r="XR242" s="219"/>
      <c r="XS242" s="219"/>
      <c r="XT242" s="219"/>
      <c r="XU242" s="219"/>
      <c r="XV242" s="219"/>
      <c r="XW242" s="219"/>
      <c r="XX242" s="219"/>
      <c r="XY242" s="219"/>
      <c r="XZ242" s="219"/>
      <c r="YA242" s="219"/>
      <c r="YB242" s="219"/>
      <c r="YC242" s="219"/>
      <c r="YD242" s="219"/>
      <c r="YE242" s="219"/>
      <c r="YF242" s="219"/>
      <c r="YG242" s="219"/>
      <c r="YH242" s="219"/>
      <c r="YI242" s="219"/>
      <c r="YJ242" s="219"/>
      <c r="YK242" s="219"/>
      <c r="YL242" s="219"/>
      <c r="YM242" s="219"/>
      <c r="YN242" s="219"/>
      <c r="YO242" s="219"/>
      <c r="YP242" s="219"/>
      <c r="YQ242" s="219"/>
      <c r="YR242" s="219"/>
      <c r="YS242" s="219"/>
      <c r="YT242" s="219"/>
      <c r="YU242" s="219"/>
      <c r="YV242" s="219"/>
      <c r="YW242" s="219"/>
      <c r="YX242" s="219"/>
      <c r="YY242" s="219"/>
      <c r="YZ242" s="219"/>
      <c r="ZA242" s="219"/>
      <c r="ZB242" s="219"/>
      <c r="ZC242" s="219"/>
      <c r="ZD242" s="219"/>
      <c r="ZE242" s="219"/>
      <c r="ZF242" s="219"/>
      <c r="ZG242" s="219"/>
      <c r="ZH242" s="219"/>
      <c r="ZI242" s="219"/>
      <c r="ZJ242" s="219"/>
      <c r="ZK242" s="219"/>
      <c r="ZL242" s="219"/>
      <c r="ZM242" s="219"/>
      <c r="ZN242" s="219"/>
      <c r="ZO242" s="219"/>
      <c r="ZP242" s="219"/>
      <c r="ZQ242" s="219"/>
      <c r="ZR242" s="219"/>
      <c r="ZS242" s="219"/>
      <c r="ZT242" s="219"/>
      <c r="ZU242" s="219"/>
      <c r="ZV242" s="219"/>
      <c r="ZW242" s="219"/>
      <c r="ZX242" s="219"/>
      <c r="ZY242" s="219"/>
      <c r="ZZ242" s="219"/>
      <c r="AAA242" s="219"/>
      <c r="AAB242" s="219"/>
      <c r="AAC242" s="219"/>
      <c r="AAD242" s="219"/>
      <c r="AAE242" s="219"/>
      <c r="AAF242" s="219"/>
      <c r="AAG242" s="219"/>
      <c r="AAH242" s="219"/>
      <c r="AAI242" s="219"/>
      <c r="AAJ242" s="219"/>
      <c r="AAK242" s="219"/>
      <c r="AAL242" s="219"/>
      <c r="AAM242" s="219"/>
      <c r="AAN242" s="219"/>
      <c r="AAO242" s="219"/>
      <c r="AAP242" s="219"/>
      <c r="AAQ242" s="219"/>
      <c r="AAR242" s="219"/>
      <c r="AAS242" s="219"/>
      <c r="AAT242" s="219"/>
      <c r="AAU242" s="219"/>
      <c r="AAV242" s="219"/>
      <c r="AAW242" s="219"/>
      <c r="AAX242" s="219"/>
      <c r="AAY242" s="219"/>
      <c r="AAZ242" s="219"/>
      <c r="ABA242" s="219"/>
      <c r="ABB242" s="219"/>
      <c r="ABC242" s="219"/>
      <c r="ABD242" s="219"/>
      <c r="ABE242" s="219"/>
      <c r="ABF242" s="219"/>
      <c r="ABG242" s="219"/>
      <c r="ABH242" s="219"/>
      <c r="ABI242" s="219"/>
      <c r="ABJ242" s="219"/>
      <c r="ABK242" s="219"/>
      <c r="ABL242" s="219"/>
      <c r="ABM242" s="219"/>
      <c r="ABN242" s="219"/>
      <c r="ABO242" s="219"/>
      <c r="ABP242" s="219"/>
      <c r="ABQ242" s="219"/>
      <c r="ABR242" s="219"/>
      <c r="ABS242" s="219"/>
      <c r="ABT242" s="219"/>
      <c r="ABU242" s="219"/>
      <c r="ABV242" s="219"/>
      <c r="ABW242" s="219"/>
      <c r="ABX242" s="219"/>
      <c r="ABY242" s="219"/>
      <c r="ABZ242" s="219"/>
      <c r="ACA242" s="219"/>
      <c r="ACB242" s="219"/>
      <c r="ACC242" s="219"/>
      <c r="ACD242" s="219"/>
      <c r="ACE242" s="219"/>
      <c r="ACF242" s="219"/>
      <c r="ACG242" s="219"/>
      <c r="ACH242" s="219"/>
      <c r="ACI242" s="219"/>
      <c r="ACJ242" s="219"/>
      <c r="ACK242" s="219"/>
      <c r="ACL242" s="219"/>
      <c r="ACM242" s="219"/>
      <c r="ACN242" s="219"/>
      <c r="ACO242" s="219"/>
      <c r="ACP242" s="219"/>
      <c r="ACQ242" s="219"/>
      <c r="ACR242" s="219"/>
      <c r="ACS242" s="219"/>
      <c r="ACT242" s="219"/>
      <c r="ACU242" s="219"/>
      <c r="ACV242" s="219"/>
      <c r="ACW242" s="219"/>
      <c r="ACX242" s="219"/>
      <c r="ACY242" s="219"/>
      <c r="ACZ242" s="219"/>
      <c r="ADA242" s="219"/>
      <c r="ADB242" s="219"/>
      <c r="ADC242" s="219"/>
      <c r="ADD242" s="219"/>
      <c r="ADE242" s="219"/>
      <c r="ADF242" s="219"/>
      <c r="ADG242" s="219"/>
      <c r="ADH242" s="219"/>
      <c r="ADI242" s="219"/>
      <c r="ADJ242" s="219"/>
      <c r="ADK242" s="219"/>
      <c r="ADL242" s="219"/>
      <c r="ADM242" s="219"/>
      <c r="ADN242" s="219"/>
      <c r="ADO242" s="219"/>
      <c r="ADP242" s="219"/>
      <c r="ADQ242" s="219"/>
      <c r="ADR242" s="219"/>
      <c r="ADS242" s="219"/>
      <c r="ADT242" s="219"/>
      <c r="ADU242" s="219"/>
      <c r="ADV242" s="219"/>
      <c r="ADW242" s="219"/>
      <c r="ADX242" s="219"/>
      <c r="ADY242" s="219"/>
      <c r="ADZ242" s="219"/>
      <c r="AEA242" s="219"/>
      <c r="AEB242" s="219"/>
      <c r="AEC242" s="219"/>
      <c r="AED242" s="219"/>
      <c r="AEE242" s="219"/>
      <c r="AEF242" s="219"/>
      <c r="AEG242" s="219"/>
      <c r="AEH242" s="219"/>
      <c r="AEI242" s="219"/>
      <c r="AEJ242" s="219"/>
      <c r="AEK242" s="219"/>
      <c r="AEL242" s="219"/>
      <c r="AEM242" s="219"/>
      <c r="AEN242" s="219"/>
      <c r="AEO242" s="219"/>
      <c r="AEP242" s="219"/>
      <c r="AEQ242" s="219"/>
      <c r="AER242" s="219"/>
      <c r="AES242" s="219"/>
      <c r="AET242" s="219"/>
      <c r="AEU242" s="219"/>
      <c r="AEV242" s="219"/>
      <c r="AEW242" s="219"/>
      <c r="AEX242" s="219"/>
      <c r="AEY242" s="219"/>
      <c r="AEZ242" s="219"/>
      <c r="AFA242" s="219"/>
      <c r="AFB242" s="219"/>
      <c r="AFC242" s="219"/>
      <c r="AFD242" s="219"/>
      <c r="AFE242" s="219"/>
      <c r="AFF242" s="219"/>
      <c r="AFG242" s="219"/>
      <c r="AFH242" s="219"/>
      <c r="AFI242" s="219"/>
      <c r="AFJ242" s="219"/>
      <c r="AFK242" s="219"/>
      <c r="AFL242" s="219"/>
      <c r="AFM242" s="219"/>
      <c r="AFN242" s="219"/>
      <c r="AFO242" s="219"/>
      <c r="AFP242" s="219"/>
      <c r="AFQ242" s="219"/>
      <c r="AFR242" s="219"/>
      <c r="AFS242" s="219"/>
      <c r="AFT242" s="219"/>
      <c r="AFU242" s="219"/>
      <c r="AFV242" s="219"/>
      <c r="AFW242" s="219"/>
      <c r="AFX242" s="219"/>
      <c r="AFY242" s="219"/>
      <c r="AFZ242" s="219"/>
      <c r="AGA242" s="219"/>
      <c r="AGB242" s="219"/>
      <c r="AGC242" s="219"/>
      <c r="AGD242" s="219"/>
      <c r="AGE242" s="219"/>
      <c r="AGF242" s="219"/>
      <c r="AGG242" s="219"/>
      <c r="AGH242" s="219"/>
      <c r="AGI242" s="219"/>
      <c r="AGJ242" s="219"/>
      <c r="AGK242" s="219"/>
      <c r="AGL242" s="219"/>
      <c r="AGM242" s="219"/>
      <c r="AGN242" s="219"/>
      <c r="AGO242" s="219"/>
      <c r="AGP242" s="219"/>
      <c r="AGQ242" s="219"/>
      <c r="AGR242" s="219"/>
      <c r="AGS242" s="219"/>
      <c r="AGT242" s="219"/>
      <c r="AGU242" s="219"/>
      <c r="AGV242" s="219"/>
      <c r="AGW242" s="219"/>
      <c r="AGX242" s="219"/>
      <c r="AGY242" s="219"/>
      <c r="AGZ242" s="219"/>
      <c r="AHA242" s="219"/>
      <c r="AHB242" s="219"/>
      <c r="AHC242" s="219"/>
      <c r="AHD242" s="219"/>
      <c r="AHE242" s="219"/>
      <c r="AHF242" s="219"/>
      <c r="AHG242" s="219"/>
      <c r="AHH242" s="219"/>
      <c r="AHI242" s="219"/>
      <c r="AHJ242" s="219"/>
      <c r="AHK242" s="219"/>
      <c r="AHL242" s="219"/>
      <c r="AHM242" s="219"/>
      <c r="AHN242" s="219"/>
      <c r="AHO242" s="219"/>
      <c r="AHP242" s="219"/>
      <c r="AHQ242" s="219"/>
      <c r="AHR242" s="219"/>
      <c r="AHS242" s="219"/>
      <c r="AHT242" s="219"/>
      <c r="AHU242" s="219"/>
      <c r="AHV242" s="219"/>
      <c r="AHW242" s="219"/>
      <c r="AHX242" s="219"/>
      <c r="AHY242" s="219"/>
      <c r="AHZ242" s="219"/>
      <c r="AIA242" s="219"/>
      <c r="AIB242" s="219"/>
      <c r="AIC242" s="219"/>
      <c r="AID242" s="219"/>
      <c r="AIE242" s="219"/>
      <c r="AIF242" s="219"/>
      <c r="AIG242" s="219"/>
      <c r="AIH242" s="219"/>
      <c r="AII242" s="219"/>
      <c r="AIJ242" s="219"/>
      <c r="AIK242" s="219"/>
      <c r="AIL242" s="219"/>
      <c r="AIM242" s="219"/>
      <c r="AIN242" s="219"/>
      <c r="AIO242" s="219"/>
      <c r="AIP242" s="219"/>
      <c r="AIQ242" s="219"/>
      <c r="AIR242" s="219"/>
      <c r="AIS242" s="219"/>
      <c r="AIT242" s="219"/>
      <c r="AIU242" s="219"/>
      <c r="AIV242" s="219"/>
      <c r="AIW242" s="219"/>
      <c r="AIX242" s="219"/>
      <c r="AIY242" s="219"/>
      <c r="AIZ242" s="219"/>
      <c r="AJA242" s="219"/>
      <c r="AJB242" s="219"/>
      <c r="AJC242" s="219"/>
      <c r="AJD242" s="219"/>
      <c r="AJE242" s="219"/>
      <c r="AJF242" s="219"/>
      <c r="AJG242" s="219"/>
      <c r="AJH242" s="219"/>
      <c r="AJI242" s="219"/>
      <c r="AJJ242" s="219"/>
      <c r="AJK242" s="219"/>
      <c r="AJL242" s="219"/>
      <c r="AJM242" s="219"/>
      <c r="AJN242" s="219"/>
      <c r="AJO242" s="219"/>
      <c r="AJP242" s="219"/>
      <c r="AJQ242" s="219"/>
      <c r="AJR242" s="219"/>
      <c r="AJS242" s="219"/>
      <c r="AJT242" s="219"/>
      <c r="AJU242" s="219"/>
      <c r="AJV242" s="219"/>
      <c r="AJW242" s="219"/>
      <c r="AJX242" s="219"/>
      <c r="AJY242" s="219"/>
      <c r="AJZ242" s="219"/>
      <c r="AKA242" s="219"/>
      <c r="AKB242" s="219"/>
      <c r="AKC242" s="219"/>
      <c r="AKD242" s="219"/>
      <c r="AKE242" s="219"/>
      <c r="AKF242" s="219"/>
      <c r="AKG242" s="219"/>
      <c r="AKH242" s="219"/>
      <c r="AKI242" s="219"/>
      <c r="AKJ242" s="219"/>
      <c r="AKK242" s="219"/>
      <c r="AKL242" s="219"/>
      <c r="AKM242" s="219"/>
      <c r="AKN242" s="219"/>
      <c r="AKO242" s="219"/>
      <c r="AKP242" s="219"/>
      <c r="AKQ242" s="219"/>
      <c r="AKR242" s="219"/>
      <c r="AKS242" s="219"/>
      <c r="AKT242" s="219"/>
      <c r="AKU242" s="219"/>
      <c r="AKV242" s="219"/>
      <c r="AKW242" s="219"/>
      <c r="AKX242" s="219"/>
      <c r="AKY242" s="219"/>
      <c r="AKZ242" s="219"/>
      <c r="ALA242" s="219"/>
      <c r="ALB242" s="219"/>
      <c r="ALC242" s="219"/>
      <c r="ALD242" s="219"/>
      <c r="ALE242" s="219"/>
      <c r="ALF242" s="219"/>
      <c r="ALG242" s="219"/>
      <c r="ALH242" s="219"/>
      <c r="ALI242" s="219"/>
      <c r="ALJ242" s="219"/>
      <c r="ALK242" s="219"/>
      <c r="ALL242" s="219"/>
      <c r="ALM242" s="219"/>
      <c r="ALN242" s="219"/>
      <c r="ALO242" s="219"/>
      <c r="ALP242" s="219"/>
      <c r="ALQ242" s="219"/>
      <c r="ALR242" s="219"/>
      <c r="ALS242" s="219"/>
      <c r="ALT242" s="219"/>
      <c r="ALU242" s="219"/>
      <c r="ALV242" s="219"/>
      <c r="ALW242" s="219"/>
      <c r="ALX242" s="219"/>
      <c r="ALY242" s="219"/>
      <c r="ALZ242" s="219"/>
      <c r="AMA242" s="219"/>
      <c r="AMB242" s="219"/>
      <c r="AMC242" s="219"/>
      <c r="AMD242" s="219"/>
      <c r="AME242" s="219"/>
      <c r="AMF242" s="219"/>
      <c r="AMG242" s="219"/>
      <c r="AMH242" s="219"/>
      <c r="AMI242" s="219"/>
      <c r="AMJ242" s="219"/>
      <c r="AMK242" s="219"/>
      <c r="AML242" s="219"/>
      <c r="AMM242" s="219"/>
      <c r="AMN242" s="219"/>
      <c r="AMO242" s="219"/>
      <c r="AMP242" s="219"/>
      <c r="AMQ242" s="219"/>
      <c r="AMR242" s="219"/>
      <c r="AMS242" s="219"/>
      <c r="AMT242" s="219"/>
      <c r="AMU242" s="219"/>
      <c r="AMV242" s="219"/>
      <c r="AMW242" s="219"/>
      <c r="AMX242" s="219"/>
      <c r="AMY242" s="219"/>
      <c r="AMZ242" s="219"/>
      <c r="ANA242" s="219"/>
      <c r="ANB242" s="219"/>
      <c r="ANC242" s="219"/>
      <c r="AND242" s="219"/>
      <c r="ANE242" s="219"/>
      <c r="ANF242" s="219"/>
      <c r="ANG242" s="219"/>
      <c r="ANH242" s="219"/>
      <c r="ANI242" s="219"/>
      <c r="ANJ242" s="219"/>
      <c r="ANK242" s="219"/>
      <c r="ANL242" s="219"/>
      <c r="ANM242" s="219"/>
      <c r="ANN242" s="219"/>
      <c r="ANO242" s="219"/>
      <c r="ANP242" s="219"/>
      <c r="ANQ242" s="219"/>
      <c r="ANR242" s="219"/>
      <c r="ANS242" s="219"/>
      <c r="ANT242" s="219"/>
      <c r="ANU242" s="219"/>
      <c r="ANV242" s="219"/>
      <c r="ANW242" s="219"/>
      <c r="ANX242" s="219"/>
      <c r="ANY242" s="219"/>
      <c r="ANZ242" s="219"/>
      <c r="AOA242" s="219"/>
      <c r="AOB242" s="219"/>
      <c r="AOC242" s="219"/>
      <c r="AOD242" s="219"/>
      <c r="AOE242" s="219"/>
      <c r="AOF242" s="219"/>
      <c r="AOG242" s="219"/>
      <c r="AOH242" s="219"/>
      <c r="AOI242" s="219"/>
      <c r="AOJ242" s="219"/>
      <c r="AOK242" s="219"/>
      <c r="AOL242" s="219"/>
      <c r="AOM242" s="219"/>
      <c r="AON242" s="219"/>
      <c r="AOO242" s="219"/>
      <c r="AOP242" s="219"/>
      <c r="AOQ242" s="219"/>
      <c r="AOR242" s="219"/>
      <c r="AOS242" s="219"/>
      <c r="AOT242" s="219"/>
      <c r="AOU242" s="219"/>
      <c r="AOV242" s="219"/>
      <c r="AOW242" s="219"/>
      <c r="AOX242" s="219"/>
      <c r="AOY242" s="219"/>
      <c r="AOZ242" s="219"/>
      <c r="APA242" s="219"/>
      <c r="APB242" s="219"/>
      <c r="APC242" s="219"/>
      <c r="APD242" s="219"/>
      <c r="APE242" s="219"/>
      <c r="APF242" s="219"/>
      <c r="APG242" s="219"/>
      <c r="APH242" s="219"/>
      <c r="API242" s="219"/>
      <c r="APJ242" s="219"/>
      <c r="APK242" s="219"/>
      <c r="APL242" s="219"/>
      <c r="APM242" s="219"/>
      <c r="APN242" s="219"/>
      <c r="APO242" s="219"/>
      <c r="APP242" s="219"/>
      <c r="APQ242" s="219"/>
      <c r="APR242" s="219"/>
      <c r="APS242" s="219"/>
      <c r="APT242" s="219"/>
      <c r="APU242" s="219"/>
      <c r="APV242" s="219"/>
      <c r="APW242" s="219"/>
      <c r="APX242" s="219"/>
      <c r="APY242" s="219"/>
      <c r="APZ242" s="219"/>
      <c r="AQA242" s="219"/>
      <c r="AQB242" s="219"/>
      <c r="AQC242" s="219"/>
      <c r="AQD242" s="219"/>
      <c r="AQE242" s="219"/>
      <c r="AQF242" s="219"/>
      <c r="AQG242" s="219"/>
      <c r="AQH242" s="219"/>
      <c r="AQI242" s="219"/>
      <c r="AQJ242" s="219"/>
      <c r="AQK242" s="219"/>
      <c r="AQL242" s="219"/>
      <c r="AQM242" s="219"/>
      <c r="AQN242" s="219"/>
      <c r="AQO242" s="219"/>
      <c r="AQP242" s="219"/>
      <c r="AQQ242" s="219"/>
      <c r="AQR242" s="219"/>
      <c r="AQS242" s="219"/>
      <c r="AQT242" s="219"/>
      <c r="AQU242" s="219"/>
      <c r="AQV242" s="219"/>
      <c r="AQW242" s="219"/>
      <c r="AQX242" s="219"/>
      <c r="AQY242" s="219"/>
      <c r="AQZ242" s="219"/>
      <c r="ARA242" s="219"/>
      <c r="ARB242" s="219"/>
      <c r="ARC242" s="219"/>
      <c r="ARD242" s="219"/>
      <c r="ARE242" s="219"/>
      <c r="ARF242" s="219"/>
      <c r="ARG242" s="219"/>
      <c r="ARH242" s="219"/>
      <c r="ARI242" s="219"/>
      <c r="ARJ242" s="219"/>
      <c r="ARK242" s="219"/>
      <c r="ARL242" s="219"/>
      <c r="ARM242" s="219"/>
      <c r="ARN242" s="219"/>
      <c r="ARO242" s="219"/>
      <c r="ARP242" s="219"/>
      <c r="ARQ242" s="219"/>
      <c r="ARR242" s="219"/>
      <c r="ARS242" s="219"/>
      <c r="ART242" s="219"/>
      <c r="ARU242" s="219"/>
      <c r="ARV242" s="219"/>
      <c r="ARW242" s="219"/>
      <c r="ARX242" s="219"/>
      <c r="ARY242" s="219"/>
      <c r="ARZ242" s="219"/>
      <c r="ASA242" s="219"/>
      <c r="ASB242" s="219"/>
      <c r="ASC242" s="219"/>
      <c r="ASD242" s="219"/>
      <c r="ASE242" s="219"/>
      <c r="ASF242" s="219"/>
      <c r="ASG242" s="219"/>
      <c r="ASH242" s="219"/>
      <c r="ASI242" s="219"/>
      <c r="ASJ242" s="219"/>
      <c r="ASK242" s="219"/>
      <c r="ASL242" s="219"/>
      <c r="ASM242" s="219"/>
      <c r="ASN242" s="219"/>
      <c r="ASO242" s="219"/>
      <c r="ASP242" s="219"/>
      <c r="ASQ242" s="219"/>
      <c r="ASR242" s="219"/>
      <c r="ASS242" s="219"/>
      <c r="AST242" s="219"/>
      <c r="ASU242" s="219"/>
      <c r="ASV242" s="219"/>
      <c r="ASW242" s="219"/>
      <c r="ASX242" s="219"/>
      <c r="ASY242" s="219"/>
      <c r="ASZ242" s="219"/>
      <c r="ATA242" s="219"/>
      <c r="ATB242" s="219"/>
      <c r="ATC242" s="219"/>
      <c r="ATD242" s="219"/>
      <c r="ATE242" s="219"/>
      <c r="ATF242" s="219"/>
      <c r="ATG242" s="219"/>
      <c r="ATH242" s="219"/>
      <c r="ATI242" s="219"/>
      <c r="ATJ242" s="219"/>
      <c r="ATK242" s="219"/>
      <c r="ATL242" s="219"/>
      <c r="ATM242" s="219"/>
      <c r="ATN242" s="219"/>
      <c r="ATO242" s="219"/>
      <c r="ATP242" s="219"/>
      <c r="ATQ242" s="219"/>
      <c r="ATR242" s="219"/>
      <c r="ATS242" s="219"/>
      <c r="ATT242" s="219"/>
      <c r="ATU242" s="219"/>
      <c r="ATV242" s="219"/>
      <c r="ATW242" s="219"/>
      <c r="ATX242" s="219"/>
      <c r="ATY242" s="219"/>
      <c r="ATZ242" s="219"/>
      <c r="AUA242" s="219"/>
      <c r="AUB242" s="219"/>
      <c r="AUC242" s="219"/>
      <c r="AUD242" s="219"/>
      <c r="AUE242" s="219"/>
      <c r="AUF242" s="219"/>
      <c r="AUG242" s="219"/>
      <c r="AUH242" s="219"/>
      <c r="AUI242" s="219"/>
      <c r="AUJ242" s="219"/>
      <c r="AUK242" s="219"/>
      <c r="AUL242" s="219"/>
      <c r="AUM242" s="219"/>
      <c r="AUN242" s="219"/>
      <c r="AUO242" s="219"/>
      <c r="AUP242" s="219"/>
      <c r="AUQ242" s="219"/>
      <c r="AUR242" s="219"/>
      <c r="AUS242" s="219"/>
      <c r="AUT242" s="219"/>
      <c r="AUU242" s="219"/>
      <c r="AUV242" s="219"/>
      <c r="AUW242" s="219"/>
      <c r="AUX242" s="219"/>
      <c r="AUY242" s="219"/>
      <c r="AUZ242" s="219"/>
      <c r="AVA242" s="219"/>
      <c r="AVB242" s="219"/>
      <c r="AVC242" s="219"/>
      <c r="AVD242" s="219"/>
      <c r="AVE242" s="219"/>
      <c r="AVF242" s="219"/>
      <c r="AVG242" s="219"/>
      <c r="AVH242" s="219"/>
      <c r="AVI242" s="219"/>
      <c r="AVJ242" s="219"/>
      <c r="AVK242" s="219"/>
      <c r="AVL242" s="219"/>
      <c r="AVM242" s="219"/>
      <c r="AVN242" s="219"/>
      <c r="AVO242" s="219"/>
      <c r="AVP242" s="219"/>
      <c r="AVQ242" s="219"/>
      <c r="AVR242" s="219"/>
      <c r="AVS242" s="219"/>
      <c r="AVT242" s="219"/>
      <c r="AVU242" s="219"/>
      <c r="AVV242" s="219"/>
      <c r="AVW242" s="219"/>
      <c r="AVX242" s="219"/>
      <c r="AVY242" s="219"/>
      <c r="AVZ242" s="219"/>
      <c r="AWA242" s="219"/>
      <c r="AWB242" s="219"/>
      <c r="AWC242" s="219"/>
      <c r="AWD242" s="219"/>
      <c r="AWE242" s="219"/>
      <c r="AWF242" s="219"/>
      <c r="AWG242" s="219"/>
      <c r="AWH242" s="219"/>
      <c r="AWI242" s="219"/>
      <c r="AWJ242" s="219"/>
      <c r="AWK242" s="219"/>
      <c r="AWL242" s="219"/>
      <c r="AWM242" s="219"/>
      <c r="AWN242" s="219"/>
      <c r="AWO242" s="219"/>
      <c r="AWP242" s="219"/>
      <c r="AWQ242" s="219"/>
      <c r="AWR242" s="219"/>
      <c r="AWS242" s="219"/>
      <c r="AWT242" s="219"/>
      <c r="AWU242" s="219"/>
      <c r="AWV242" s="219"/>
      <c r="AWW242" s="219"/>
      <c r="AWX242" s="219"/>
      <c r="AWY242" s="219"/>
      <c r="AWZ242" s="219"/>
      <c r="AXA242" s="219"/>
      <c r="AXB242" s="219"/>
      <c r="AXC242" s="219"/>
      <c r="AXD242" s="219"/>
      <c r="AXE242" s="219"/>
      <c r="AXF242" s="219"/>
      <c r="AXG242" s="219"/>
      <c r="AXH242" s="219"/>
      <c r="AXI242" s="219"/>
      <c r="AXJ242" s="219"/>
      <c r="AXK242" s="219"/>
      <c r="AXL242" s="219"/>
      <c r="AXM242" s="219"/>
      <c r="AXN242" s="219"/>
      <c r="AXO242" s="219"/>
      <c r="AXP242" s="219"/>
      <c r="AXQ242" s="219"/>
      <c r="AXR242" s="219"/>
      <c r="AXS242" s="219"/>
      <c r="AXT242" s="219"/>
      <c r="AXU242" s="219"/>
      <c r="AXV242" s="219"/>
      <c r="AXW242" s="219"/>
      <c r="AXX242" s="219"/>
      <c r="AXY242" s="219"/>
      <c r="AXZ242" s="219"/>
      <c r="AYA242" s="219"/>
      <c r="AYB242" s="219"/>
      <c r="AYC242" s="219"/>
      <c r="AYD242" s="219"/>
      <c r="AYE242" s="219"/>
      <c r="AYF242" s="219"/>
      <c r="AYG242" s="219"/>
      <c r="AYH242" s="219"/>
      <c r="AYI242" s="219"/>
      <c r="AYJ242" s="219"/>
      <c r="AYK242" s="219"/>
      <c r="AYL242" s="219"/>
      <c r="AYM242" s="219"/>
      <c r="AYN242" s="219"/>
      <c r="AYO242" s="219"/>
      <c r="AYP242" s="219"/>
      <c r="AYQ242" s="219"/>
      <c r="AYR242" s="219"/>
      <c r="AYS242" s="219"/>
      <c r="AYT242" s="219"/>
      <c r="AYU242" s="219"/>
      <c r="AYV242" s="219"/>
      <c r="AYW242" s="219"/>
      <c r="AYX242" s="219"/>
      <c r="AYY242" s="219"/>
      <c r="AYZ242" s="219"/>
      <c r="AZA242" s="219"/>
      <c r="AZB242" s="219"/>
      <c r="AZC242" s="219"/>
      <c r="AZD242" s="219"/>
      <c r="AZE242" s="219"/>
      <c r="AZF242" s="219"/>
      <c r="AZG242" s="219"/>
      <c r="AZH242" s="219"/>
      <c r="AZI242" s="219"/>
      <c r="AZJ242" s="219"/>
      <c r="AZK242" s="219"/>
      <c r="AZL242" s="219"/>
      <c r="AZM242" s="219"/>
      <c r="AZN242" s="219"/>
      <c r="AZO242" s="219"/>
      <c r="AZP242" s="219"/>
      <c r="AZQ242" s="219"/>
      <c r="AZR242" s="219"/>
      <c r="AZS242" s="219"/>
      <c r="AZT242" s="219"/>
      <c r="AZU242" s="219"/>
      <c r="AZV242" s="219"/>
      <c r="AZW242" s="219"/>
      <c r="AZX242" s="219"/>
      <c r="AZY242" s="219"/>
      <c r="AZZ242" s="219"/>
      <c r="BAA242" s="219"/>
      <c r="BAB242" s="219"/>
      <c r="BAC242" s="219"/>
      <c r="BAD242" s="219"/>
      <c r="BAE242" s="219"/>
      <c r="BAF242" s="219"/>
      <c r="BAG242" s="219"/>
      <c r="BAH242" s="219"/>
      <c r="BAI242" s="219"/>
      <c r="BAJ242" s="219"/>
      <c r="BAK242" s="219"/>
      <c r="BAL242" s="219"/>
      <c r="BAM242" s="219"/>
      <c r="BAN242" s="219"/>
      <c r="BAO242" s="219"/>
      <c r="BAP242" s="219"/>
      <c r="BAQ242" s="219"/>
      <c r="BAR242" s="219"/>
      <c r="BAS242" s="219"/>
      <c r="BAT242" s="219"/>
      <c r="BAU242" s="219"/>
      <c r="BAV242" s="219"/>
      <c r="BAW242" s="219"/>
      <c r="BAX242" s="219"/>
      <c r="BAY242" s="219"/>
      <c r="BAZ242" s="219"/>
      <c r="BBA242" s="219"/>
      <c r="BBB242" s="219"/>
      <c r="BBC242" s="219"/>
      <c r="BBD242" s="219"/>
      <c r="BBE242" s="219"/>
      <c r="BBF242" s="219"/>
      <c r="BBG242" s="219"/>
      <c r="BBH242" s="219"/>
      <c r="BBI242" s="219"/>
      <c r="BBJ242" s="219"/>
      <c r="BBK242" s="219"/>
      <c r="BBL242" s="219"/>
      <c r="BBM242" s="219"/>
      <c r="BBN242" s="219"/>
      <c r="BBO242" s="219"/>
      <c r="BBP242" s="219"/>
      <c r="BBQ242" s="219"/>
      <c r="BBR242" s="219"/>
      <c r="BBS242" s="219"/>
      <c r="BBT242" s="219"/>
      <c r="BBU242" s="219"/>
      <c r="BBV242" s="219"/>
      <c r="BBW242" s="219"/>
      <c r="BBX242" s="219"/>
      <c r="BBY242" s="219"/>
      <c r="BBZ242" s="219"/>
      <c r="BCA242" s="219"/>
      <c r="BCB242" s="219"/>
      <c r="BCC242" s="219"/>
      <c r="BCD242" s="219"/>
      <c r="BCE242" s="219"/>
      <c r="BCF242" s="219"/>
      <c r="BCG242" s="219"/>
      <c r="BCH242" s="219"/>
      <c r="BCI242" s="219"/>
      <c r="BCJ242" s="219"/>
      <c r="BCK242" s="219"/>
      <c r="BCL242" s="219"/>
      <c r="BCM242" s="219"/>
      <c r="BCN242" s="219"/>
      <c r="BCO242" s="219"/>
      <c r="BCP242" s="219"/>
      <c r="BCQ242" s="219"/>
      <c r="BCR242" s="219"/>
      <c r="BCS242" s="219"/>
      <c r="BCT242" s="219"/>
      <c r="BCU242" s="219"/>
      <c r="BCV242" s="219"/>
      <c r="BCW242" s="219"/>
      <c r="BCX242" s="219"/>
      <c r="BCY242" s="219"/>
      <c r="BCZ242" s="219"/>
      <c r="BDA242" s="219"/>
      <c r="BDB242" s="219"/>
      <c r="BDC242" s="219"/>
      <c r="BDD242" s="219"/>
      <c r="BDE242" s="219"/>
      <c r="BDF242" s="219"/>
      <c r="BDG242" s="219"/>
      <c r="BDH242" s="219"/>
      <c r="BDI242" s="219"/>
      <c r="BDJ242" s="219"/>
      <c r="BDK242" s="219"/>
      <c r="BDL242" s="219"/>
      <c r="BDM242" s="219"/>
      <c r="BDN242" s="219"/>
      <c r="BDO242" s="219"/>
      <c r="BDP242" s="219"/>
      <c r="BDQ242" s="219"/>
      <c r="BDR242" s="219"/>
      <c r="BDS242" s="219"/>
      <c r="BDT242" s="219"/>
      <c r="BDU242" s="219"/>
      <c r="BDV242" s="219"/>
      <c r="BDW242" s="219"/>
      <c r="BDX242" s="219"/>
      <c r="BDY242" s="219"/>
      <c r="BDZ242" s="219"/>
      <c r="BEA242" s="219"/>
      <c r="BEB242" s="219"/>
      <c r="BEC242" s="219"/>
      <c r="BED242" s="219"/>
      <c r="BEE242" s="219"/>
      <c r="BEF242" s="219"/>
      <c r="BEG242" s="219"/>
      <c r="BEH242" s="219"/>
      <c r="BEI242" s="219"/>
      <c r="BEJ242" s="219"/>
      <c r="BEK242" s="219"/>
      <c r="BEL242" s="219"/>
      <c r="BEM242" s="219"/>
      <c r="BEN242" s="219"/>
      <c r="BEO242" s="219"/>
      <c r="BEP242" s="219"/>
      <c r="BEQ242" s="219"/>
      <c r="BER242" s="219"/>
      <c r="BES242" s="219"/>
      <c r="BET242" s="219"/>
      <c r="BEU242" s="219"/>
      <c r="BEV242" s="219"/>
      <c r="BEW242" s="219"/>
      <c r="BEX242" s="219"/>
      <c r="BEY242" s="219"/>
      <c r="BEZ242" s="219"/>
      <c r="BFA242" s="219"/>
      <c r="BFB242" s="219"/>
      <c r="BFC242" s="219"/>
      <c r="BFD242" s="219"/>
      <c r="BFE242" s="219"/>
      <c r="BFF242" s="219"/>
      <c r="BFG242" s="219"/>
      <c r="BFH242" s="219"/>
      <c r="BFI242" s="219"/>
      <c r="BFJ242" s="219"/>
      <c r="BFK242" s="219"/>
      <c r="BFL242" s="219"/>
      <c r="BFM242" s="219"/>
      <c r="BFN242" s="219"/>
      <c r="BFO242" s="219"/>
      <c r="BFP242" s="219"/>
      <c r="BFQ242" s="219"/>
      <c r="BFR242" s="219"/>
      <c r="BFS242" s="219"/>
      <c r="BFT242" s="219"/>
      <c r="BFU242" s="219"/>
      <c r="BFV242" s="219"/>
      <c r="BFW242" s="219"/>
      <c r="BFX242" s="219"/>
      <c r="BFY242" s="219"/>
      <c r="BFZ242" s="219"/>
      <c r="BGA242" s="219"/>
      <c r="BGB242" s="219"/>
      <c r="BGC242" s="219"/>
      <c r="BGD242" s="219"/>
      <c r="BGE242" s="219"/>
      <c r="BGF242" s="219"/>
      <c r="BGG242" s="219"/>
      <c r="BGH242" s="219"/>
      <c r="BGI242" s="219"/>
      <c r="BGJ242" s="219"/>
      <c r="BGK242" s="219"/>
      <c r="BGL242" s="219"/>
      <c r="BGM242" s="219"/>
      <c r="BGN242" s="219"/>
      <c r="BGO242" s="219"/>
      <c r="BGP242" s="219"/>
      <c r="BGQ242" s="219"/>
      <c r="BGR242" s="219"/>
      <c r="BGS242" s="219"/>
      <c r="BGT242" s="219"/>
      <c r="BGU242" s="219"/>
      <c r="BGV242" s="219"/>
      <c r="BGW242" s="219"/>
      <c r="BGX242" s="219"/>
      <c r="BGY242" s="219"/>
      <c r="BGZ242" s="219"/>
      <c r="BHA242" s="219"/>
      <c r="BHB242" s="219"/>
      <c r="BHC242" s="219"/>
      <c r="BHD242" s="219"/>
      <c r="BHE242" s="219"/>
      <c r="BHF242" s="219"/>
      <c r="BHG242" s="219"/>
      <c r="BHH242" s="219"/>
      <c r="BHI242" s="219"/>
      <c r="BHJ242" s="219"/>
      <c r="BHK242" s="219"/>
      <c r="BHL242" s="219"/>
      <c r="BHM242" s="219"/>
      <c r="BHN242" s="219"/>
      <c r="BHO242" s="219"/>
      <c r="BHP242" s="219"/>
      <c r="BHQ242" s="219"/>
      <c r="BHR242" s="219"/>
      <c r="BHS242" s="219"/>
      <c r="BHT242" s="219"/>
      <c r="BHU242" s="219"/>
      <c r="BHV242" s="219"/>
      <c r="BHW242" s="219"/>
      <c r="BHX242" s="219"/>
      <c r="BHY242" s="219"/>
      <c r="BHZ242" s="219"/>
      <c r="BIA242" s="219"/>
      <c r="BIB242" s="219"/>
      <c r="BIC242" s="219"/>
      <c r="BID242" s="219"/>
      <c r="BIE242" s="219"/>
      <c r="BIF242" s="219"/>
      <c r="BIG242" s="219"/>
      <c r="BIH242" s="219"/>
      <c r="BII242" s="219"/>
      <c r="BIJ242" s="219"/>
      <c r="BIK242" s="219"/>
      <c r="BIL242" s="219"/>
      <c r="BIM242" s="219"/>
      <c r="BIN242" s="219"/>
      <c r="BIO242" s="219"/>
      <c r="BIP242" s="219"/>
      <c r="BIQ242" s="219"/>
      <c r="BIR242" s="219"/>
      <c r="BIS242" s="219"/>
      <c r="BIT242" s="219"/>
      <c r="BIU242" s="219"/>
      <c r="BIV242" s="219"/>
      <c r="BIW242" s="219"/>
      <c r="BIX242" s="219"/>
      <c r="BIY242" s="219"/>
      <c r="BIZ242" s="219"/>
      <c r="BJA242" s="219"/>
      <c r="BJB242" s="219"/>
      <c r="BJC242" s="219"/>
      <c r="BJD242" s="219"/>
      <c r="BJE242" s="219"/>
      <c r="BJF242" s="219"/>
      <c r="BJG242" s="219"/>
      <c r="BJH242" s="219"/>
      <c r="BJI242" s="219"/>
      <c r="BJJ242" s="219"/>
      <c r="BJK242" s="219"/>
      <c r="BJL242" s="219"/>
      <c r="BJM242" s="219"/>
      <c r="BJN242" s="219"/>
      <c r="BJO242" s="219"/>
      <c r="BJP242" s="219"/>
      <c r="BJQ242" s="219"/>
      <c r="BJR242" s="219"/>
      <c r="BJS242" s="219"/>
      <c r="BJT242" s="219"/>
      <c r="BJU242" s="219"/>
      <c r="BJV242" s="219"/>
      <c r="BJW242" s="219"/>
      <c r="BJX242" s="219"/>
      <c r="BJY242" s="219"/>
      <c r="BJZ242" s="219"/>
      <c r="BKA242" s="219"/>
      <c r="BKB242" s="219"/>
      <c r="BKC242" s="219"/>
      <c r="BKD242" s="219"/>
      <c r="BKE242" s="219"/>
      <c r="BKF242" s="219"/>
      <c r="BKG242" s="219"/>
      <c r="BKH242" s="219"/>
      <c r="BKI242" s="219"/>
      <c r="BKJ242" s="219"/>
      <c r="BKK242" s="219"/>
      <c r="BKL242" s="219"/>
      <c r="BKM242" s="219"/>
      <c r="BKN242" s="219"/>
      <c r="BKO242" s="219"/>
      <c r="BKP242" s="219"/>
      <c r="BKQ242" s="219"/>
      <c r="BKR242" s="219"/>
      <c r="BKS242" s="219"/>
      <c r="BKT242" s="219"/>
      <c r="BKU242" s="219"/>
      <c r="BKV242" s="219"/>
      <c r="BKW242" s="219"/>
      <c r="BKX242" s="219"/>
      <c r="BKY242" s="219"/>
      <c r="BKZ242" s="219"/>
      <c r="BLA242" s="219"/>
      <c r="BLB242" s="219"/>
      <c r="BLC242" s="219"/>
      <c r="BLD242" s="219"/>
      <c r="BLE242" s="219"/>
      <c r="BLF242" s="219"/>
      <c r="BLG242" s="219"/>
      <c r="BLH242" s="219"/>
      <c r="BLI242" s="219"/>
      <c r="BLJ242" s="219"/>
      <c r="BLK242" s="219"/>
      <c r="BLL242" s="219"/>
      <c r="BLM242" s="219"/>
      <c r="BLN242" s="219"/>
      <c r="BLO242" s="219"/>
      <c r="BLP242" s="219"/>
      <c r="BLQ242" s="219"/>
      <c r="BLR242" s="219"/>
      <c r="BLS242" s="219"/>
      <c r="BLT242" s="219"/>
      <c r="BLU242" s="219"/>
      <c r="BLV242" s="219"/>
      <c r="BLW242" s="219"/>
      <c r="BLX242" s="219"/>
      <c r="BLY242" s="219"/>
      <c r="BLZ242" s="219"/>
      <c r="BMA242" s="219"/>
      <c r="BMB242" s="219"/>
      <c r="BMC242" s="219"/>
      <c r="BMD242" s="219"/>
      <c r="BME242" s="219"/>
      <c r="BMF242" s="219"/>
      <c r="BMG242" s="219"/>
      <c r="BMH242" s="219"/>
      <c r="BMI242" s="219"/>
      <c r="BMJ242" s="219"/>
      <c r="BMK242" s="219"/>
      <c r="BML242" s="219"/>
      <c r="BMM242" s="219"/>
      <c r="BMN242" s="219"/>
      <c r="BMO242" s="219"/>
      <c r="BMP242" s="219"/>
      <c r="BMQ242" s="219"/>
      <c r="BMR242" s="219"/>
      <c r="BMS242" s="219"/>
      <c r="BMT242" s="219"/>
      <c r="BMU242" s="219"/>
      <c r="BMV242" s="219"/>
      <c r="BMW242" s="219"/>
      <c r="BMX242" s="219"/>
      <c r="BMY242" s="219"/>
      <c r="BMZ242" s="219"/>
      <c r="BNA242" s="219"/>
      <c r="BNB242" s="219"/>
      <c r="BNC242" s="219"/>
      <c r="BND242" s="219"/>
      <c r="BNE242" s="219"/>
      <c r="BNF242" s="219"/>
      <c r="BNG242" s="219"/>
      <c r="BNH242" s="219"/>
      <c r="BNI242" s="219"/>
      <c r="BNJ242" s="219"/>
      <c r="BNK242" s="219"/>
      <c r="BNL242" s="219"/>
      <c r="BNM242" s="219"/>
      <c r="BNN242" s="219"/>
      <c r="BNO242" s="219"/>
      <c r="BNP242" s="219"/>
      <c r="BNQ242" s="219"/>
      <c r="BNR242" s="219"/>
      <c r="BNS242" s="219"/>
      <c r="BNT242" s="219"/>
      <c r="BNU242" s="219"/>
      <c r="BNV242" s="219"/>
      <c r="BNW242" s="219"/>
      <c r="BNX242" s="219"/>
      <c r="BNY242" s="219"/>
      <c r="BNZ242" s="219"/>
      <c r="BOA242" s="219"/>
      <c r="BOB242" s="219"/>
      <c r="BOC242" s="219"/>
      <c r="BOD242" s="219"/>
      <c r="BOE242" s="219"/>
      <c r="BOF242" s="219"/>
      <c r="BOG242" s="219"/>
      <c r="BOH242" s="219"/>
      <c r="BOI242" s="219"/>
      <c r="BOJ242" s="219"/>
      <c r="BOK242" s="219"/>
      <c r="BOL242" s="219"/>
      <c r="BOM242" s="219"/>
      <c r="BON242" s="219"/>
      <c r="BOO242" s="219"/>
      <c r="BOP242" s="219"/>
      <c r="BOQ242" s="219"/>
      <c r="BOR242" s="219"/>
      <c r="BOS242" s="219"/>
      <c r="BOT242" s="219"/>
      <c r="BOU242" s="219"/>
      <c r="BOV242" s="219"/>
      <c r="BOW242" s="219"/>
      <c r="BOX242" s="219"/>
      <c r="BOY242" s="219"/>
      <c r="BOZ242" s="219"/>
      <c r="BPA242" s="219"/>
      <c r="BPB242" s="219"/>
      <c r="BPC242" s="219"/>
      <c r="BPD242" s="219"/>
      <c r="BPE242" s="219"/>
      <c r="BPF242" s="219"/>
      <c r="BPG242" s="219"/>
      <c r="BPH242" s="219"/>
      <c r="BPI242" s="219"/>
      <c r="BPJ242" s="219"/>
      <c r="BPK242" s="219"/>
      <c r="BPL242" s="219"/>
      <c r="BPM242" s="219"/>
      <c r="BPN242" s="219"/>
      <c r="BPO242" s="219"/>
      <c r="BPP242" s="219"/>
      <c r="BPQ242" s="219"/>
      <c r="BPR242" s="219"/>
      <c r="BPS242" s="219"/>
      <c r="BPT242" s="219"/>
      <c r="BPU242" s="219"/>
      <c r="BPV242" s="219"/>
      <c r="BPW242" s="219"/>
      <c r="BPX242" s="219"/>
      <c r="BPY242" s="219"/>
      <c r="BPZ242" s="219"/>
      <c r="BQA242" s="219"/>
      <c r="BQB242" s="219"/>
      <c r="BQC242" s="219"/>
      <c r="BQD242" s="219"/>
      <c r="BQE242" s="219"/>
      <c r="BQF242" s="219"/>
      <c r="BQG242" s="219"/>
      <c r="BQH242" s="219"/>
      <c r="BQI242" s="219"/>
      <c r="BQJ242" s="219"/>
      <c r="BQK242" s="219"/>
      <c r="BQL242" s="219"/>
      <c r="BQM242" s="219"/>
      <c r="BQN242" s="219"/>
      <c r="BQO242" s="219"/>
      <c r="BQP242" s="219"/>
      <c r="BQQ242" s="219"/>
      <c r="BQR242" s="219"/>
      <c r="BQS242" s="219"/>
      <c r="BQT242" s="219"/>
      <c r="BQU242" s="219"/>
      <c r="BQV242" s="219"/>
      <c r="BQW242" s="219"/>
      <c r="BQX242" s="219"/>
      <c r="BQY242" s="219"/>
      <c r="BQZ242" s="219"/>
      <c r="BRA242" s="219"/>
      <c r="BRB242" s="219"/>
      <c r="BRC242" s="219"/>
      <c r="BRD242" s="219"/>
      <c r="BRE242" s="219"/>
      <c r="BRF242" s="219"/>
      <c r="BRG242" s="219"/>
      <c r="BRH242" s="219"/>
      <c r="BRI242" s="219"/>
      <c r="BRJ242" s="219"/>
      <c r="BRK242" s="219"/>
      <c r="BRL242" s="219"/>
      <c r="BRM242" s="219"/>
      <c r="BRN242" s="219"/>
      <c r="BRO242" s="219"/>
      <c r="BRP242" s="219"/>
      <c r="BRQ242" s="219"/>
      <c r="BRR242" s="219"/>
      <c r="BRS242" s="219"/>
      <c r="BRT242" s="219"/>
      <c r="BRU242" s="219"/>
      <c r="BRV242" s="219"/>
      <c r="BRW242" s="219"/>
      <c r="BRX242" s="219"/>
      <c r="BRY242" s="219"/>
      <c r="BRZ242" s="219"/>
      <c r="BSA242" s="219"/>
      <c r="BSB242" s="219"/>
      <c r="BSC242" s="219"/>
      <c r="BSD242" s="219"/>
      <c r="BSE242" s="219"/>
      <c r="BSF242" s="219"/>
      <c r="BSG242" s="219"/>
      <c r="BSH242" s="219"/>
      <c r="BSI242" s="219"/>
      <c r="BSJ242" s="219"/>
      <c r="BSK242" s="219"/>
      <c r="BSL242" s="219"/>
      <c r="BSM242" s="219"/>
      <c r="BSN242" s="219"/>
      <c r="BSO242" s="219"/>
      <c r="BSP242" s="219"/>
      <c r="BSQ242" s="219"/>
      <c r="BSR242" s="219"/>
      <c r="BSS242" s="219"/>
      <c r="BST242" s="219"/>
      <c r="BSU242" s="219"/>
      <c r="BSV242" s="219"/>
      <c r="BSW242" s="219"/>
      <c r="BSX242" s="219"/>
      <c r="BSY242" s="219"/>
      <c r="BSZ242" s="219"/>
      <c r="BTA242" s="219"/>
      <c r="BTB242" s="219"/>
      <c r="BTC242" s="219"/>
      <c r="BTD242" s="219"/>
      <c r="BTE242" s="219"/>
      <c r="BTF242" s="219"/>
      <c r="BTG242" s="219"/>
      <c r="BTH242" s="219"/>
      <c r="BTI242" s="219"/>
      <c r="BTJ242" s="219"/>
      <c r="BTK242" s="219"/>
      <c r="BTL242" s="219"/>
      <c r="BTM242" s="219"/>
      <c r="BTN242" s="219"/>
      <c r="BTO242" s="219"/>
      <c r="BTP242" s="219"/>
      <c r="BTQ242" s="219"/>
      <c r="BTR242" s="219"/>
      <c r="BTS242" s="219"/>
      <c r="BTT242" s="219"/>
      <c r="BTU242" s="219"/>
      <c r="BTV242" s="219"/>
      <c r="BTW242" s="219"/>
      <c r="BTX242" s="219"/>
      <c r="BTY242" s="219"/>
      <c r="BTZ242" s="219"/>
      <c r="BUA242" s="219"/>
      <c r="BUB242" s="219"/>
      <c r="BUC242" s="219"/>
      <c r="BUD242" s="219"/>
      <c r="BUE242" s="219"/>
      <c r="BUF242" s="219"/>
      <c r="BUG242" s="219"/>
      <c r="BUH242" s="219"/>
      <c r="BUI242" s="219"/>
      <c r="BUJ242" s="219"/>
      <c r="BUK242" s="219"/>
      <c r="BUL242" s="219"/>
      <c r="BUM242" s="219"/>
      <c r="BUN242" s="219"/>
      <c r="BUO242" s="219"/>
      <c r="BUP242" s="219"/>
      <c r="BUQ242" s="219"/>
      <c r="BUR242" s="219"/>
      <c r="BUS242" s="219"/>
      <c r="BUT242" s="219"/>
      <c r="BUU242" s="219"/>
      <c r="BUV242" s="219"/>
      <c r="BUW242" s="219"/>
      <c r="BUX242" s="219"/>
      <c r="BUY242" s="219"/>
      <c r="BUZ242" s="219"/>
      <c r="BVA242" s="219"/>
      <c r="BVB242" s="219"/>
      <c r="BVC242" s="219"/>
      <c r="BVD242" s="219"/>
      <c r="BVE242" s="219"/>
      <c r="BVF242" s="219"/>
      <c r="BVG242" s="219"/>
      <c r="BVH242" s="219"/>
      <c r="BVI242" s="219"/>
      <c r="BVJ242" s="219"/>
      <c r="BVK242" s="219"/>
      <c r="BVL242" s="219"/>
      <c r="BVM242" s="219"/>
      <c r="BVN242" s="219"/>
      <c r="BVO242" s="219"/>
      <c r="BVP242" s="219"/>
      <c r="BVQ242" s="219"/>
      <c r="BVR242" s="219"/>
      <c r="BVS242" s="219"/>
      <c r="BVT242" s="219"/>
      <c r="BVU242" s="219"/>
      <c r="BVV242" s="219"/>
      <c r="BVW242" s="219"/>
      <c r="BVX242" s="219"/>
      <c r="BVY242" s="219"/>
      <c r="BVZ242" s="219"/>
      <c r="BWA242" s="219"/>
      <c r="BWB242" s="219"/>
      <c r="BWC242" s="219"/>
      <c r="BWD242" s="219"/>
      <c r="BWE242" s="219"/>
      <c r="BWF242" s="219"/>
      <c r="BWG242" s="219"/>
      <c r="BWH242" s="219"/>
      <c r="BWI242" s="219"/>
      <c r="BWJ242" s="219"/>
      <c r="BWK242" s="219"/>
      <c r="BWL242" s="219"/>
      <c r="BWM242" s="219"/>
      <c r="BWN242" s="219"/>
      <c r="BWO242" s="219"/>
      <c r="BWP242" s="219"/>
      <c r="BWQ242" s="219"/>
      <c r="BWR242" s="219"/>
      <c r="BWS242" s="219"/>
      <c r="BWT242" s="219"/>
      <c r="BWU242" s="219"/>
      <c r="BWV242" s="219"/>
      <c r="BWW242" s="219"/>
      <c r="BWX242" s="219"/>
      <c r="BWY242" s="219"/>
      <c r="BWZ242" s="219"/>
      <c r="BXA242" s="219"/>
      <c r="BXB242" s="219"/>
      <c r="BXC242" s="219"/>
      <c r="BXD242" s="219"/>
      <c r="BXE242" s="219"/>
      <c r="BXF242" s="219"/>
      <c r="BXG242" s="219"/>
      <c r="BXH242" s="219"/>
      <c r="BXI242" s="219"/>
      <c r="BXJ242" s="219"/>
      <c r="BXK242" s="219"/>
      <c r="BXL242" s="219"/>
      <c r="BXM242" s="219"/>
      <c r="BXN242" s="219"/>
      <c r="BXO242" s="219"/>
      <c r="BXP242" s="219"/>
      <c r="BXQ242" s="219"/>
      <c r="BXR242" s="219"/>
      <c r="BXS242" s="219"/>
      <c r="BXT242" s="219"/>
      <c r="BXU242" s="219"/>
      <c r="BXV242" s="219"/>
      <c r="BXW242" s="219"/>
      <c r="BXX242" s="219"/>
      <c r="BXY242" s="219"/>
      <c r="BXZ242" s="219"/>
      <c r="BYA242" s="219"/>
      <c r="BYB242" s="219"/>
      <c r="BYC242" s="219"/>
      <c r="BYD242" s="219"/>
      <c r="BYE242" s="219"/>
      <c r="BYF242" s="219"/>
      <c r="BYG242" s="219"/>
      <c r="BYH242" s="219"/>
      <c r="BYI242" s="219"/>
      <c r="BYJ242" s="219"/>
      <c r="BYK242" s="219"/>
      <c r="BYL242" s="219"/>
      <c r="BYM242" s="219"/>
      <c r="BYN242" s="219"/>
      <c r="BYO242" s="219"/>
      <c r="BYP242" s="219"/>
      <c r="BYQ242" s="219"/>
      <c r="BYR242" s="219"/>
      <c r="BYS242" s="219"/>
      <c r="BYT242" s="219"/>
      <c r="BYU242" s="219"/>
      <c r="BYV242" s="219"/>
      <c r="BYW242" s="219"/>
      <c r="BYX242" s="219"/>
      <c r="BYY242" s="219"/>
      <c r="BYZ242" s="219"/>
      <c r="BZA242" s="219"/>
      <c r="BZB242" s="219"/>
      <c r="BZC242" s="219"/>
      <c r="BZD242" s="219"/>
      <c r="BZE242" s="219"/>
      <c r="BZF242" s="219"/>
      <c r="BZG242" s="219"/>
      <c r="BZH242" s="219"/>
      <c r="BZI242" s="219"/>
      <c r="BZJ242" s="219"/>
      <c r="BZK242" s="219"/>
      <c r="BZL242" s="219"/>
      <c r="BZM242" s="219"/>
      <c r="BZN242" s="219"/>
      <c r="BZO242" s="219"/>
      <c r="BZP242" s="219"/>
      <c r="BZQ242" s="219"/>
      <c r="BZR242" s="219"/>
      <c r="BZS242" s="219"/>
      <c r="BZT242" s="219"/>
      <c r="BZU242" s="219"/>
      <c r="BZV242" s="219"/>
      <c r="BZW242" s="219"/>
      <c r="BZX242" s="219"/>
      <c r="BZY242" s="219"/>
      <c r="BZZ242" s="219"/>
      <c r="CAA242" s="219"/>
      <c r="CAB242" s="219"/>
      <c r="CAC242" s="219"/>
      <c r="CAD242" s="219"/>
      <c r="CAE242" s="219"/>
      <c r="CAF242" s="219"/>
      <c r="CAG242" s="219"/>
      <c r="CAH242" s="219"/>
      <c r="CAI242" s="219"/>
      <c r="CAJ242" s="219"/>
      <c r="CAK242" s="219"/>
      <c r="CAL242" s="219"/>
      <c r="CAM242" s="219"/>
      <c r="CAN242" s="219"/>
      <c r="CAO242" s="219"/>
      <c r="CAP242" s="219"/>
      <c r="CAQ242" s="219"/>
      <c r="CAR242" s="219"/>
      <c r="CAS242" s="219"/>
      <c r="CAT242" s="219"/>
      <c r="CAU242" s="219"/>
      <c r="CAV242" s="219"/>
      <c r="CAW242" s="219"/>
      <c r="CAX242" s="219"/>
      <c r="CAY242" s="219"/>
      <c r="CAZ242" s="219"/>
      <c r="CBA242" s="219"/>
      <c r="CBB242" s="219"/>
      <c r="CBC242" s="219"/>
      <c r="CBD242" s="219"/>
      <c r="CBE242" s="219"/>
      <c r="CBF242" s="219"/>
      <c r="CBG242" s="219"/>
      <c r="CBH242" s="219"/>
      <c r="CBI242" s="219"/>
      <c r="CBJ242" s="219"/>
      <c r="CBK242" s="219"/>
      <c r="CBL242" s="219"/>
      <c r="CBM242" s="219"/>
      <c r="CBN242" s="219"/>
      <c r="CBO242" s="219"/>
      <c r="CBP242" s="219"/>
      <c r="CBQ242" s="219"/>
      <c r="CBR242" s="219"/>
      <c r="CBS242" s="219"/>
      <c r="CBT242" s="219"/>
      <c r="CBU242" s="219"/>
      <c r="CBV242" s="219"/>
      <c r="CBW242" s="219"/>
      <c r="CBX242" s="219"/>
      <c r="CBY242" s="219"/>
      <c r="CBZ242" s="219"/>
      <c r="CCA242" s="219"/>
      <c r="CCB242" s="219"/>
      <c r="CCC242" s="219"/>
      <c r="CCD242" s="219"/>
      <c r="CCE242" s="219"/>
      <c r="CCF242" s="219"/>
      <c r="CCG242" s="219"/>
      <c r="CCH242" s="219"/>
      <c r="CCI242" s="219"/>
      <c r="CCJ242" s="219"/>
      <c r="CCK242" s="219"/>
      <c r="CCL242" s="219"/>
      <c r="CCM242" s="219"/>
      <c r="CCN242" s="219"/>
      <c r="CCO242" s="219"/>
      <c r="CCP242" s="219"/>
      <c r="CCQ242" s="219"/>
      <c r="CCR242" s="219"/>
      <c r="CCS242" s="219"/>
      <c r="CCT242" s="219"/>
      <c r="CCU242" s="219"/>
      <c r="CCV242" s="219"/>
      <c r="CCW242" s="219"/>
      <c r="CCX242" s="219"/>
      <c r="CCY242" s="219"/>
      <c r="CCZ242" s="219"/>
      <c r="CDA242" s="219"/>
      <c r="CDB242" s="219"/>
      <c r="CDC242" s="219"/>
      <c r="CDD242" s="219"/>
      <c r="CDE242" s="219"/>
      <c r="CDF242" s="219"/>
      <c r="CDG242" s="219"/>
      <c r="CDH242" s="219"/>
      <c r="CDI242" s="219"/>
      <c r="CDJ242" s="219"/>
      <c r="CDK242" s="219"/>
      <c r="CDL242" s="219"/>
      <c r="CDM242" s="219"/>
      <c r="CDN242" s="219"/>
      <c r="CDO242" s="219"/>
      <c r="CDP242" s="219"/>
      <c r="CDQ242" s="219"/>
      <c r="CDR242" s="219"/>
      <c r="CDS242" s="219"/>
      <c r="CDT242" s="219"/>
      <c r="CDU242" s="219"/>
      <c r="CDV242" s="219"/>
      <c r="CDW242" s="219"/>
      <c r="CDX242" s="219"/>
      <c r="CDY242" s="219"/>
      <c r="CDZ242" s="219"/>
      <c r="CEA242" s="219"/>
      <c r="CEB242" s="219"/>
      <c r="CEC242" s="219"/>
      <c r="CED242" s="219"/>
      <c r="CEE242" s="219"/>
      <c r="CEF242" s="219"/>
      <c r="CEG242" s="219"/>
      <c r="CEH242" s="219"/>
      <c r="CEI242" s="219"/>
      <c r="CEJ242" s="219"/>
      <c r="CEK242" s="219"/>
      <c r="CEL242" s="219"/>
      <c r="CEM242" s="219"/>
      <c r="CEN242" s="219"/>
      <c r="CEO242" s="219"/>
      <c r="CEP242" s="219"/>
      <c r="CEQ242" s="219"/>
      <c r="CER242" s="219"/>
      <c r="CES242" s="219"/>
      <c r="CET242" s="219"/>
      <c r="CEU242" s="219"/>
      <c r="CEV242" s="219"/>
      <c r="CEW242" s="219"/>
      <c r="CEX242" s="219"/>
      <c r="CEY242" s="219"/>
      <c r="CEZ242" s="219"/>
      <c r="CFA242" s="219"/>
      <c r="CFB242" s="219"/>
      <c r="CFC242" s="219"/>
      <c r="CFD242" s="219"/>
      <c r="CFE242" s="219"/>
      <c r="CFF242" s="219"/>
      <c r="CFG242" s="219"/>
      <c r="CFH242" s="219"/>
      <c r="CFI242" s="219"/>
      <c r="CFJ242" s="219"/>
      <c r="CFK242" s="219"/>
      <c r="CFL242" s="219"/>
      <c r="CFM242" s="219"/>
      <c r="CFN242" s="219"/>
      <c r="CFO242" s="219"/>
      <c r="CFP242" s="219"/>
      <c r="CFQ242" s="219"/>
      <c r="CFR242" s="219"/>
      <c r="CFS242" s="219"/>
      <c r="CFT242" s="219"/>
      <c r="CFU242" s="219"/>
      <c r="CFV242" s="219"/>
      <c r="CFW242" s="219"/>
      <c r="CFX242" s="219"/>
      <c r="CFY242" s="219"/>
      <c r="CFZ242" s="219"/>
      <c r="CGA242" s="219"/>
      <c r="CGB242" s="219"/>
      <c r="CGC242" s="219"/>
      <c r="CGD242" s="219"/>
      <c r="CGE242" s="219"/>
      <c r="CGF242" s="219"/>
      <c r="CGG242" s="219"/>
      <c r="CGH242" s="219"/>
      <c r="CGI242" s="219"/>
      <c r="CGJ242" s="219"/>
      <c r="CGK242" s="219"/>
      <c r="CGL242" s="219"/>
      <c r="CGM242" s="219"/>
      <c r="CGN242" s="219"/>
      <c r="CGO242" s="219"/>
      <c r="CGP242" s="219"/>
      <c r="CGQ242" s="219"/>
      <c r="CGR242" s="219"/>
      <c r="CGS242" s="219"/>
      <c r="CGT242" s="219"/>
      <c r="CGU242" s="219"/>
      <c r="CGV242" s="219"/>
      <c r="CGW242" s="219"/>
      <c r="CGX242" s="219"/>
      <c r="CGY242" s="219"/>
      <c r="CGZ242" s="219"/>
      <c r="CHA242" s="219"/>
      <c r="CHB242" s="219"/>
      <c r="CHC242" s="219"/>
      <c r="CHD242" s="219"/>
      <c r="CHE242" s="219"/>
      <c r="CHF242" s="219"/>
      <c r="CHG242" s="219"/>
      <c r="CHH242" s="219"/>
      <c r="CHI242" s="219"/>
      <c r="CHJ242" s="219"/>
      <c r="CHK242" s="219"/>
      <c r="CHL242" s="219"/>
      <c r="CHM242" s="219"/>
      <c r="CHN242" s="219"/>
      <c r="CHO242" s="219"/>
      <c r="CHP242" s="219"/>
      <c r="CHQ242" s="219"/>
      <c r="CHR242" s="219"/>
      <c r="CHS242" s="219"/>
      <c r="CHT242" s="219"/>
      <c r="CHU242" s="219"/>
      <c r="CHV242" s="219"/>
      <c r="CHW242" s="219"/>
      <c r="CHX242" s="219"/>
      <c r="CHY242" s="219"/>
      <c r="CHZ242" s="219"/>
      <c r="CIA242" s="219"/>
      <c r="CIB242" s="219"/>
      <c r="CIC242" s="219"/>
      <c r="CID242" s="219"/>
      <c r="CIE242" s="219"/>
      <c r="CIF242" s="219"/>
      <c r="CIG242" s="219"/>
      <c r="CIH242" s="219"/>
      <c r="CII242" s="219"/>
      <c r="CIJ242" s="219"/>
      <c r="CIK242" s="219"/>
      <c r="CIL242" s="219"/>
      <c r="CIM242" s="219"/>
      <c r="CIN242" s="219"/>
      <c r="CIO242" s="219"/>
      <c r="CIP242" s="219"/>
      <c r="CIQ242" s="219"/>
      <c r="CIR242" s="219"/>
      <c r="CIS242" s="219"/>
      <c r="CIT242" s="219"/>
      <c r="CIU242" s="219"/>
      <c r="CIV242" s="219"/>
      <c r="CIW242" s="219"/>
      <c r="CIX242" s="219"/>
      <c r="CIY242" s="219"/>
      <c r="CIZ242" s="219"/>
      <c r="CJA242" s="219"/>
      <c r="CJB242" s="219"/>
      <c r="CJC242" s="219"/>
      <c r="CJD242" s="219"/>
      <c r="CJE242" s="219"/>
      <c r="CJF242" s="219"/>
      <c r="CJG242" s="219"/>
      <c r="CJH242" s="219"/>
      <c r="CJI242" s="219"/>
      <c r="CJJ242" s="219"/>
      <c r="CJK242" s="219"/>
      <c r="CJL242" s="219"/>
      <c r="CJM242" s="219"/>
      <c r="CJN242" s="219"/>
      <c r="CJO242" s="219"/>
      <c r="CJP242" s="219"/>
      <c r="CJQ242" s="219"/>
      <c r="CJR242" s="219"/>
      <c r="CJS242" s="219"/>
      <c r="CJT242" s="219"/>
      <c r="CJU242" s="219"/>
      <c r="CJV242" s="219"/>
      <c r="CJW242" s="219"/>
      <c r="CJX242" s="219"/>
      <c r="CJY242" s="219"/>
      <c r="CJZ242" s="219"/>
      <c r="CKA242" s="219"/>
      <c r="CKB242" s="219"/>
      <c r="CKC242" s="219"/>
      <c r="CKD242" s="219"/>
      <c r="CKE242" s="219"/>
      <c r="CKF242" s="219"/>
      <c r="CKG242" s="219"/>
      <c r="CKH242" s="219"/>
      <c r="CKI242" s="219"/>
      <c r="CKJ242" s="219"/>
      <c r="CKK242" s="219"/>
      <c r="CKL242" s="219"/>
      <c r="CKM242" s="219"/>
      <c r="CKN242" s="219"/>
      <c r="CKO242" s="219"/>
      <c r="CKP242" s="219"/>
      <c r="CKQ242" s="219"/>
      <c r="CKR242" s="219"/>
      <c r="CKS242" s="219"/>
      <c r="CKT242" s="219"/>
      <c r="CKU242" s="219"/>
      <c r="CKV242" s="219"/>
      <c r="CKW242" s="219"/>
      <c r="CKX242" s="219"/>
      <c r="CKY242" s="219"/>
      <c r="CKZ242" s="219"/>
      <c r="CLA242" s="219"/>
      <c r="CLB242" s="219"/>
      <c r="CLC242" s="219"/>
      <c r="CLD242" s="219"/>
      <c r="CLE242" s="219"/>
      <c r="CLF242" s="219"/>
      <c r="CLG242" s="219"/>
      <c r="CLH242" s="219"/>
      <c r="CLI242" s="219"/>
      <c r="CLJ242" s="219"/>
      <c r="CLK242" s="219"/>
      <c r="CLL242" s="219"/>
      <c r="CLM242" s="219"/>
      <c r="CLN242" s="219"/>
      <c r="CLO242" s="219"/>
      <c r="CLP242" s="219"/>
      <c r="CLQ242" s="219"/>
      <c r="CLR242" s="219"/>
      <c r="CLS242" s="219"/>
      <c r="CLT242" s="219"/>
      <c r="CLU242" s="219"/>
      <c r="CLV242" s="219"/>
      <c r="CLW242" s="219"/>
      <c r="CLX242" s="219"/>
      <c r="CLY242" s="219"/>
      <c r="CLZ242" s="219"/>
      <c r="CMA242" s="219"/>
      <c r="CMB242" s="219"/>
      <c r="CMC242" s="219"/>
      <c r="CMD242" s="219"/>
      <c r="CME242" s="219"/>
      <c r="CMF242" s="219"/>
      <c r="CMG242" s="219"/>
      <c r="CMH242" s="219"/>
      <c r="CMI242" s="219"/>
      <c r="CMJ242" s="219"/>
      <c r="CMK242" s="219"/>
      <c r="CML242" s="219"/>
      <c r="CMM242" s="219"/>
      <c r="CMN242" s="219"/>
      <c r="CMO242" s="219"/>
      <c r="CMP242" s="219"/>
      <c r="CMQ242" s="219"/>
      <c r="CMR242" s="219"/>
      <c r="CMS242" s="219"/>
      <c r="CMT242" s="219"/>
      <c r="CMU242" s="219"/>
      <c r="CMV242" s="219"/>
      <c r="CMW242" s="219"/>
      <c r="CMX242" s="219"/>
      <c r="CMY242" s="219"/>
      <c r="CMZ242" s="219"/>
      <c r="CNA242" s="219"/>
      <c r="CNB242" s="219"/>
      <c r="CNC242" s="219"/>
      <c r="CND242" s="219"/>
      <c r="CNE242" s="219"/>
      <c r="CNF242" s="219"/>
      <c r="CNG242" s="219"/>
      <c r="CNH242" s="219"/>
      <c r="CNI242" s="219"/>
      <c r="CNJ242" s="219"/>
      <c r="CNK242" s="219"/>
      <c r="CNL242" s="219"/>
      <c r="CNM242" s="219"/>
      <c r="CNN242" s="219"/>
      <c r="CNO242" s="219"/>
      <c r="CNP242" s="219"/>
      <c r="CNQ242" s="219"/>
      <c r="CNR242" s="219"/>
      <c r="CNS242" s="219"/>
      <c r="CNT242" s="219"/>
      <c r="CNU242" s="219"/>
      <c r="CNV242" s="219"/>
      <c r="CNW242" s="219"/>
      <c r="CNX242" s="219"/>
      <c r="CNY242" s="219"/>
      <c r="CNZ242" s="219"/>
      <c r="COA242" s="219"/>
      <c r="COB242" s="219"/>
      <c r="COC242" s="219"/>
      <c r="COD242" s="219"/>
      <c r="COE242" s="219"/>
      <c r="COF242" s="219"/>
      <c r="COG242" s="219"/>
      <c r="COH242" s="219"/>
      <c r="COI242" s="219"/>
      <c r="COJ242" s="219"/>
      <c r="COK242" s="219"/>
      <c r="COL242" s="219"/>
      <c r="COM242" s="219"/>
      <c r="CON242" s="219"/>
      <c r="COO242" s="219"/>
      <c r="COP242" s="219"/>
      <c r="COQ242" s="219"/>
      <c r="COR242" s="219"/>
      <c r="COS242" s="219"/>
      <c r="COT242" s="219"/>
      <c r="COU242" s="219"/>
      <c r="COV242" s="219"/>
      <c r="COW242" s="219"/>
      <c r="COX242" s="219"/>
      <c r="COY242" s="219"/>
      <c r="COZ242" s="219"/>
      <c r="CPA242" s="219"/>
      <c r="CPB242" s="219"/>
      <c r="CPC242" s="219"/>
      <c r="CPD242" s="219"/>
      <c r="CPE242" s="219"/>
      <c r="CPF242" s="219"/>
      <c r="CPG242" s="219"/>
      <c r="CPH242" s="219"/>
      <c r="CPI242" s="219"/>
      <c r="CPJ242" s="219"/>
      <c r="CPK242" s="219"/>
      <c r="CPL242" s="219"/>
      <c r="CPM242" s="219"/>
      <c r="CPN242" s="219"/>
      <c r="CPO242" s="219"/>
      <c r="CPP242" s="219"/>
      <c r="CPQ242" s="219"/>
      <c r="CPR242" s="219"/>
      <c r="CPS242" s="219"/>
      <c r="CPT242" s="219"/>
      <c r="CPU242" s="219"/>
      <c r="CPV242" s="219"/>
      <c r="CPW242" s="219"/>
      <c r="CPX242" s="219"/>
      <c r="CPY242" s="219"/>
      <c r="CPZ242" s="219"/>
      <c r="CQA242" s="219"/>
      <c r="CQB242" s="219"/>
      <c r="CQC242" s="219"/>
      <c r="CQD242" s="219"/>
      <c r="CQE242" s="219"/>
      <c r="CQF242" s="219"/>
      <c r="CQG242" s="219"/>
      <c r="CQH242" s="219"/>
      <c r="CQI242" s="219"/>
      <c r="CQJ242" s="219"/>
      <c r="CQK242" s="219"/>
      <c r="CQL242" s="219"/>
      <c r="CQM242" s="219"/>
      <c r="CQN242" s="219"/>
      <c r="CQO242" s="219"/>
      <c r="CQP242" s="219"/>
      <c r="CQQ242" s="219"/>
      <c r="CQR242" s="219"/>
      <c r="CQS242" s="219"/>
      <c r="CQT242" s="219"/>
      <c r="CQU242" s="219"/>
      <c r="CQV242" s="219"/>
      <c r="CQW242" s="219"/>
      <c r="CQX242" s="219"/>
      <c r="CQY242" s="219"/>
      <c r="CQZ242" s="219"/>
      <c r="CRA242" s="219"/>
      <c r="CRB242" s="219"/>
      <c r="CRC242" s="219"/>
      <c r="CRD242" s="219"/>
      <c r="CRE242" s="219"/>
      <c r="CRF242" s="219"/>
      <c r="CRG242" s="219"/>
      <c r="CRH242" s="219"/>
      <c r="CRI242" s="219"/>
      <c r="CRJ242" s="219"/>
      <c r="CRK242" s="219"/>
      <c r="CRL242" s="219"/>
      <c r="CRM242" s="219"/>
      <c r="CRN242" s="219"/>
      <c r="CRO242" s="219"/>
      <c r="CRP242" s="219"/>
      <c r="CRQ242" s="219"/>
      <c r="CRR242" s="219"/>
      <c r="CRS242" s="219"/>
      <c r="CRT242" s="219"/>
      <c r="CRU242" s="219"/>
      <c r="CRV242" s="219"/>
      <c r="CRW242" s="219"/>
      <c r="CRX242" s="219"/>
      <c r="CRY242" s="219"/>
      <c r="CRZ242" s="219"/>
      <c r="CSA242" s="219"/>
      <c r="CSB242" s="219"/>
      <c r="CSC242" s="219"/>
      <c r="CSD242" s="219"/>
      <c r="CSE242" s="219"/>
      <c r="CSF242" s="219"/>
      <c r="CSG242" s="219"/>
      <c r="CSH242" s="219"/>
      <c r="CSI242" s="219"/>
      <c r="CSJ242" s="219"/>
      <c r="CSK242" s="219"/>
      <c r="CSL242" s="219"/>
      <c r="CSM242" s="219"/>
      <c r="CSN242" s="219"/>
      <c r="CSO242" s="219"/>
      <c r="CSP242" s="219"/>
      <c r="CSQ242" s="219"/>
      <c r="CSR242" s="219"/>
      <c r="CSS242" s="219"/>
      <c r="CST242" s="219"/>
      <c r="CSU242" s="219"/>
      <c r="CSV242" s="219"/>
      <c r="CSW242" s="219"/>
      <c r="CSX242" s="219"/>
      <c r="CSY242" s="219"/>
      <c r="CSZ242" s="219"/>
      <c r="CTA242" s="219"/>
      <c r="CTB242" s="219"/>
      <c r="CTC242" s="219"/>
      <c r="CTD242" s="219"/>
      <c r="CTE242" s="219"/>
      <c r="CTF242" s="219"/>
      <c r="CTG242" s="219"/>
      <c r="CTH242" s="219"/>
      <c r="CTI242" s="219"/>
      <c r="CTJ242" s="219"/>
      <c r="CTK242" s="219"/>
      <c r="CTL242" s="219"/>
      <c r="CTM242" s="219"/>
      <c r="CTN242" s="219"/>
      <c r="CTO242" s="219"/>
      <c r="CTP242" s="219"/>
      <c r="CTQ242" s="219"/>
      <c r="CTR242" s="219"/>
      <c r="CTS242" s="219"/>
      <c r="CTT242" s="219"/>
      <c r="CTU242" s="219"/>
      <c r="CTV242" s="219"/>
      <c r="CTW242" s="219"/>
      <c r="CTX242" s="219"/>
      <c r="CTY242" s="219"/>
      <c r="CTZ242" s="219"/>
      <c r="CUA242" s="219"/>
      <c r="CUB242" s="219"/>
      <c r="CUC242" s="219"/>
      <c r="CUD242" s="219"/>
      <c r="CUE242" s="219"/>
      <c r="CUF242" s="219"/>
      <c r="CUG242" s="219"/>
      <c r="CUH242" s="219"/>
      <c r="CUI242" s="219"/>
      <c r="CUJ242" s="219"/>
      <c r="CUK242" s="219"/>
      <c r="CUL242" s="219"/>
      <c r="CUM242" s="219"/>
      <c r="CUN242" s="219"/>
      <c r="CUO242" s="219"/>
      <c r="CUP242" s="219"/>
      <c r="CUQ242" s="219"/>
      <c r="CUR242" s="219"/>
      <c r="CUS242" s="219"/>
      <c r="CUT242" s="219"/>
      <c r="CUU242" s="219"/>
      <c r="CUV242" s="219"/>
      <c r="CUW242" s="219"/>
      <c r="CUX242" s="219"/>
      <c r="CUY242" s="219"/>
      <c r="CUZ242" s="219"/>
      <c r="CVA242" s="219"/>
      <c r="CVB242" s="219"/>
      <c r="CVC242" s="219"/>
      <c r="CVD242" s="219"/>
      <c r="CVE242" s="219"/>
      <c r="CVF242" s="219"/>
      <c r="CVG242" s="219"/>
      <c r="CVH242" s="219"/>
      <c r="CVI242" s="219"/>
      <c r="CVJ242" s="219"/>
      <c r="CVK242" s="219"/>
      <c r="CVL242" s="219"/>
      <c r="CVM242" s="219"/>
      <c r="CVN242" s="219"/>
      <c r="CVO242" s="219"/>
      <c r="CVP242" s="219"/>
      <c r="CVQ242" s="219"/>
      <c r="CVR242" s="219"/>
      <c r="CVS242" s="219"/>
      <c r="CVT242" s="219"/>
      <c r="CVU242" s="219"/>
      <c r="CVV242" s="219"/>
      <c r="CVW242" s="219"/>
      <c r="CVX242" s="219"/>
      <c r="CVY242" s="219"/>
      <c r="CVZ242" s="219"/>
      <c r="CWA242" s="219"/>
      <c r="CWB242" s="219"/>
      <c r="CWC242" s="219"/>
      <c r="CWD242" s="219"/>
      <c r="CWE242" s="219"/>
      <c r="CWF242" s="219"/>
      <c r="CWG242" s="219"/>
      <c r="CWH242" s="219"/>
      <c r="CWI242" s="219"/>
      <c r="CWJ242" s="219"/>
      <c r="CWK242" s="219"/>
      <c r="CWL242" s="219"/>
      <c r="CWM242" s="219"/>
      <c r="CWN242" s="219"/>
      <c r="CWO242" s="219"/>
      <c r="CWP242" s="219"/>
      <c r="CWQ242" s="219"/>
      <c r="CWR242" s="219"/>
      <c r="CWS242" s="219"/>
      <c r="CWT242" s="219"/>
      <c r="CWU242" s="219"/>
      <c r="CWV242" s="219"/>
      <c r="CWW242" s="219"/>
      <c r="CWX242" s="219"/>
      <c r="CWY242" s="219"/>
      <c r="CWZ242" s="219"/>
      <c r="CXA242" s="219"/>
      <c r="CXB242" s="219"/>
      <c r="CXC242" s="219"/>
      <c r="CXD242" s="219"/>
      <c r="CXE242" s="219"/>
      <c r="CXF242" s="219"/>
      <c r="CXG242" s="219"/>
      <c r="CXH242" s="219"/>
      <c r="CXI242" s="219"/>
      <c r="CXJ242" s="219"/>
      <c r="CXK242" s="219"/>
      <c r="CXL242" s="219"/>
      <c r="CXM242" s="219"/>
      <c r="CXN242" s="219"/>
      <c r="CXO242" s="219"/>
      <c r="CXP242" s="219"/>
      <c r="CXQ242" s="219"/>
      <c r="CXR242" s="219"/>
      <c r="CXS242" s="219"/>
      <c r="CXT242" s="219"/>
      <c r="CXU242" s="219"/>
      <c r="CXV242" s="219"/>
      <c r="CXW242" s="219"/>
      <c r="CXX242" s="219"/>
      <c r="CXY242" s="219"/>
      <c r="CXZ242" s="219"/>
      <c r="CYA242" s="219"/>
      <c r="CYB242" s="219"/>
      <c r="CYC242" s="219"/>
      <c r="CYD242" s="219"/>
      <c r="CYE242" s="219"/>
      <c r="CYF242" s="219"/>
      <c r="CYG242" s="219"/>
      <c r="CYH242" s="219"/>
      <c r="CYI242" s="219"/>
      <c r="CYJ242" s="219"/>
      <c r="CYK242" s="219"/>
      <c r="CYL242" s="219"/>
      <c r="CYM242" s="219"/>
      <c r="CYN242" s="219"/>
      <c r="CYO242" s="219"/>
      <c r="CYP242" s="219"/>
      <c r="CYQ242" s="219"/>
      <c r="CYR242" s="219"/>
      <c r="CYS242" s="219"/>
      <c r="CYT242" s="219"/>
      <c r="CYU242" s="219"/>
      <c r="CYV242" s="219"/>
      <c r="CYW242" s="219"/>
      <c r="CYX242" s="219"/>
      <c r="CYY242" s="219"/>
      <c r="CYZ242" s="219"/>
      <c r="CZA242" s="219"/>
      <c r="CZB242" s="219"/>
      <c r="CZC242" s="219"/>
      <c r="CZD242" s="219"/>
      <c r="CZE242" s="219"/>
      <c r="CZF242" s="219"/>
      <c r="CZG242" s="219"/>
      <c r="CZH242" s="219"/>
      <c r="CZI242" s="219"/>
      <c r="CZJ242" s="219"/>
      <c r="CZK242" s="219"/>
      <c r="CZL242" s="219"/>
      <c r="CZM242" s="219"/>
      <c r="CZN242" s="219"/>
      <c r="CZO242" s="219"/>
      <c r="CZP242" s="219"/>
      <c r="CZQ242" s="219"/>
      <c r="CZR242" s="219"/>
      <c r="CZS242" s="219"/>
      <c r="CZT242" s="219"/>
      <c r="CZU242" s="219"/>
      <c r="CZV242" s="219"/>
      <c r="CZW242" s="219"/>
      <c r="CZX242" s="219"/>
      <c r="CZY242" s="219"/>
      <c r="CZZ242" s="219"/>
      <c r="DAA242" s="219"/>
      <c r="DAB242" s="219"/>
      <c r="DAC242" s="219"/>
      <c r="DAD242" s="219"/>
      <c r="DAE242" s="219"/>
      <c r="DAF242" s="219"/>
      <c r="DAG242" s="219"/>
      <c r="DAH242" s="219"/>
      <c r="DAI242" s="219"/>
      <c r="DAJ242" s="219"/>
      <c r="DAK242" s="219"/>
      <c r="DAL242" s="219"/>
      <c r="DAM242" s="219"/>
      <c r="DAN242" s="219"/>
      <c r="DAO242" s="219"/>
      <c r="DAP242" s="219"/>
      <c r="DAQ242" s="219"/>
      <c r="DAR242" s="219"/>
      <c r="DAS242" s="219"/>
      <c r="DAT242" s="219"/>
      <c r="DAU242" s="219"/>
      <c r="DAV242" s="219"/>
      <c r="DAW242" s="219"/>
      <c r="DAX242" s="219"/>
      <c r="DAY242" s="219"/>
      <c r="DAZ242" s="219"/>
      <c r="DBA242" s="219"/>
      <c r="DBB242" s="219"/>
      <c r="DBC242" s="219"/>
      <c r="DBD242" s="219"/>
      <c r="DBE242" s="219"/>
      <c r="DBF242" s="219"/>
      <c r="DBG242" s="219"/>
      <c r="DBH242" s="219"/>
      <c r="DBI242" s="219"/>
      <c r="DBJ242" s="219"/>
      <c r="DBK242" s="219"/>
      <c r="DBL242" s="219"/>
      <c r="DBM242" s="219"/>
      <c r="DBN242" s="219"/>
      <c r="DBO242" s="219"/>
      <c r="DBP242" s="219"/>
      <c r="DBQ242" s="219"/>
      <c r="DBR242" s="219"/>
      <c r="DBS242" s="219"/>
      <c r="DBT242" s="219"/>
      <c r="DBU242" s="219"/>
      <c r="DBV242" s="219"/>
      <c r="DBW242" s="219"/>
      <c r="DBX242" s="219"/>
      <c r="DBY242" s="219"/>
      <c r="DBZ242" s="219"/>
      <c r="DCA242" s="219"/>
      <c r="DCB242" s="219"/>
      <c r="DCC242" s="219"/>
      <c r="DCD242" s="219"/>
      <c r="DCE242" s="219"/>
      <c r="DCF242" s="219"/>
      <c r="DCG242" s="219"/>
      <c r="DCH242" s="219"/>
      <c r="DCI242" s="219"/>
      <c r="DCJ242" s="219"/>
      <c r="DCK242" s="219"/>
      <c r="DCL242" s="219"/>
      <c r="DCM242" s="219"/>
      <c r="DCN242" s="219"/>
      <c r="DCO242" s="219"/>
      <c r="DCP242" s="219"/>
      <c r="DCQ242" s="219"/>
      <c r="DCR242" s="219"/>
      <c r="DCS242" s="219"/>
      <c r="DCT242" s="219"/>
      <c r="DCU242" s="219"/>
      <c r="DCV242" s="219"/>
      <c r="DCW242" s="219"/>
      <c r="DCX242" s="219"/>
      <c r="DCY242" s="219"/>
      <c r="DCZ242" s="219"/>
      <c r="DDA242" s="219"/>
      <c r="DDB242" s="219"/>
      <c r="DDC242" s="219"/>
      <c r="DDD242" s="219"/>
      <c r="DDE242" s="219"/>
      <c r="DDF242" s="219"/>
      <c r="DDG242" s="219"/>
      <c r="DDH242" s="219"/>
      <c r="DDI242" s="219"/>
      <c r="DDJ242" s="219"/>
      <c r="DDK242" s="219"/>
      <c r="DDL242" s="219"/>
      <c r="DDM242" s="219"/>
      <c r="DDN242" s="219"/>
      <c r="DDO242" s="219"/>
      <c r="DDP242" s="219"/>
      <c r="DDQ242" s="219"/>
      <c r="DDR242" s="219"/>
      <c r="DDS242" s="219"/>
      <c r="DDT242" s="219"/>
      <c r="DDU242" s="219"/>
      <c r="DDV242" s="219"/>
      <c r="DDW242" s="219"/>
      <c r="DDX242" s="219"/>
      <c r="DDY242" s="219"/>
      <c r="DDZ242" s="219"/>
      <c r="DEA242" s="219"/>
      <c r="DEB242" s="219"/>
      <c r="DEC242" s="219"/>
      <c r="DED242" s="219"/>
      <c r="DEE242" s="219"/>
      <c r="DEF242" s="219"/>
      <c r="DEG242" s="219"/>
      <c r="DEH242" s="219"/>
      <c r="DEI242" s="219"/>
      <c r="DEJ242" s="219"/>
      <c r="DEK242" s="219"/>
      <c r="DEL242" s="219"/>
      <c r="DEM242" s="219"/>
      <c r="DEN242" s="219"/>
      <c r="DEO242" s="219"/>
      <c r="DEP242" s="219"/>
      <c r="DEQ242" s="219"/>
      <c r="DER242" s="219"/>
      <c r="DES242" s="219"/>
      <c r="DET242" s="219"/>
      <c r="DEU242" s="219"/>
      <c r="DEV242" s="219"/>
      <c r="DEW242" s="219"/>
      <c r="DEX242" s="219"/>
      <c r="DEY242" s="219"/>
      <c r="DEZ242" s="219"/>
      <c r="DFA242" s="219"/>
      <c r="DFB242" s="219"/>
      <c r="DFC242" s="219"/>
      <c r="DFD242" s="219"/>
      <c r="DFE242" s="219"/>
      <c r="DFF242" s="219"/>
      <c r="DFG242" s="219"/>
      <c r="DFH242" s="219"/>
      <c r="DFI242" s="219"/>
      <c r="DFJ242" s="219"/>
      <c r="DFK242" s="219"/>
      <c r="DFL242" s="219"/>
      <c r="DFM242" s="219"/>
      <c r="DFN242" s="219"/>
      <c r="DFO242" s="219"/>
      <c r="DFP242" s="219"/>
      <c r="DFQ242" s="219"/>
      <c r="DFR242" s="219"/>
      <c r="DFS242" s="219"/>
      <c r="DFT242" s="219"/>
      <c r="DFU242" s="219"/>
      <c r="DFV242" s="219"/>
      <c r="DFW242" s="219"/>
      <c r="DFX242" s="219"/>
      <c r="DFY242" s="219"/>
      <c r="DFZ242" s="219"/>
      <c r="DGA242" s="219"/>
      <c r="DGB242" s="219"/>
      <c r="DGC242" s="219"/>
      <c r="DGD242" s="219"/>
      <c r="DGE242" s="219"/>
      <c r="DGF242" s="219"/>
      <c r="DGG242" s="219"/>
      <c r="DGH242" s="219"/>
      <c r="DGI242" s="219"/>
      <c r="DGJ242" s="219"/>
      <c r="DGK242" s="219"/>
      <c r="DGL242" s="219"/>
      <c r="DGM242" s="219"/>
      <c r="DGN242" s="219"/>
      <c r="DGO242" s="219"/>
      <c r="DGP242" s="219"/>
      <c r="DGQ242" s="219"/>
      <c r="DGR242" s="219"/>
      <c r="DGS242" s="219"/>
      <c r="DGT242" s="219"/>
      <c r="DGU242" s="219"/>
      <c r="DGV242" s="219"/>
      <c r="DGW242" s="219"/>
      <c r="DGX242" s="219"/>
      <c r="DGY242" s="219"/>
      <c r="DGZ242" s="219"/>
      <c r="DHA242" s="219"/>
      <c r="DHB242" s="219"/>
      <c r="DHC242" s="219"/>
      <c r="DHD242" s="219"/>
      <c r="DHE242" s="219"/>
      <c r="DHF242" s="219"/>
      <c r="DHG242" s="219"/>
      <c r="DHH242" s="219"/>
      <c r="DHI242" s="219"/>
      <c r="DHJ242" s="219"/>
      <c r="DHK242" s="219"/>
      <c r="DHL242" s="219"/>
      <c r="DHM242" s="219"/>
      <c r="DHN242" s="219"/>
      <c r="DHO242" s="219"/>
      <c r="DHP242" s="219"/>
      <c r="DHQ242" s="219"/>
      <c r="DHR242" s="219"/>
      <c r="DHS242" s="219"/>
      <c r="DHT242" s="219"/>
      <c r="DHU242" s="219"/>
      <c r="DHV242" s="219"/>
      <c r="DHW242" s="219"/>
      <c r="DHX242" s="219"/>
      <c r="DHY242" s="219"/>
      <c r="DHZ242" s="219"/>
      <c r="DIA242" s="219"/>
      <c r="DIB242" s="219"/>
      <c r="DIC242" s="219"/>
      <c r="DID242" s="219"/>
      <c r="DIE242" s="219"/>
      <c r="DIF242" s="219"/>
      <c r="DIG242" s="219"/>
      <c r="DIH242" s="219"/>
      <c r="DII242" s="219"/>
      <c r="DIJ242" s="219"/>
      <c r="DIK242" s="219"/>
      <c r="DIL242" s="219"/>
      <c r="DIM242" s="219"/>
      <c r="DIN242" s="219"/>
      <c r="DIO242" s="219"/>
      <c r="DIP242" s="219"/>
      <c r="DIQ242" s="219"/>
      <c r="DIR242" s="219"/>
      <c r="DIS242" s="219"/>
      <c r="DIT242" s="219"/>
      <c r="DIU242" s="219"/>
      <c r="DIV242" s="219"/>
      <c r="DIW242" s="219"/>
      <c r="DIX242" s="219"/>
      <c r="DIY242" s="219"/>
      <c r="DIZ242" s="219"/>
      <c r="DJA242" s="219"/>
      <c r="DJB242" s="219"/>
      <c r="DJC242" s="219"/>
      <c r="DJD242" s="219"/>
      <c r="DJE242" s="219"/>
      <c r="DJF242" s="219"/>
      <c r="DJG242" s="219"/>
      <c r="DJH242" s="219"/>
      <c r="DJI242" s="219"/>
      <c r="DJJ242" s="219"/>
      <c r="DJK242" s="219"/>
      <c r="DJL242" s="219"/>
      <c r="DJM242" s="219"/>
      <c r="DJN242" s="219"/>
      <c r="DJO242" s="219"/>
      <c r="DJP242" s="219"/>
      <c r="DJQ242" s="219"/>
      <c r="DJR242" s="219"/>
      <c r="DJS242" s="219"/>
      <c r="DJT242" s="219"/>
      <c r="DJU242" s="219"/>
      <c r="DJV242" s="219"/>
      <c r="DJW242" s="219"/>
      <c r="DJX242" s="219"/>
      <c r="DJY242" s="219"/>
      <c r="DJZ242" s="219"/>
      <c r="DKA242" s="219"/>
      <c r="DKB242" s="219"/>
      <c r="DKC242" s="219"/>
      <c r="DKD242" s="219"/>
      <c r="DKE242" s="219"/>
      <c r="DKF242" s="219"/>
      <c r="DKG242" s="219"/>
      <c r="DKH242" s="219"/>
      <c r="DKI242" s="219"/>
      <c r="DKJ242" s="219"/>
      <c r="DKK242" s="219"/>
      <c r="DKL242" s="219"/>
      <c r="DKM242" s="219"/>
      <c r="DKN242" s="219"/>
      <c r="DKO242" s="219"/>
      <c r="DKP242" s="219"/>
      <c r="DKQ242" s="219"/>
      <c r="DKR242" s="219"/>
      <c r="DKS242" s="219"/>
      <c r="DKT242" s="219"/>
      <c r="DKU242" s="219"/>
      <c r="DKV242" s="219"/>
      <c r="DKW242" s="219"/>
      <c r="DKX242" s="219"/>
      <c r="DKY242" s="219"/>
      <c r="DKZ242" s="219"/>
      <c r="DLA242" s="219"/>
      <c r="DLB242" s="219"/>
      <c r="DLC242" s="219"/>
      <c r="DLD242" s="219"/>
      <c r="DLE242" s="219"/>
      <c r="DLF242" s="219"/>
      <c r="DLG242" s="219"/>
      <c r="DLH242" s="219"/>
      <c r="DLI242" s="219"/>
      <c r="DLJ242" s="219"/>
      <c r="DLK242" s="219"/>
      <c r="DLL242" s="219"/>
      <c r="DLM242" s="219"/>
      <c r="DLN242" s="219"/>
      <c r="DLO242" s="219"/>
      <c r="DLP242" s="219"/>
      <c r="DLQ242" s="219"/>
      <c r="DLR242" s="219"/>
      <c r="DLS242" s="219"/>
      <c r="DLT242" s="219"/>
      <c r="DLU242" s="219"/>
      <c r="DLV242" s="219"/>
      <c r="DLW242" s="219"/>
      <c r="DLX242" s="219"/>
      <c r="DLY242" s="219"/>
      <c r="DLZ242" s="219"/>
      <c r="DMA242" s="219"/>
      <c r="DMB242" s="219"/>
      <c r="DMC242" s="219"/>
      <c r="DMD242" s="219"/>
      <c r="DME242" s="219"/>
      <c r="DMF242" s="219"/>
      <c r="DMG242" s="219"/>
      <c r="DMH242" s="219"/>
      <c r="DMI242" s="219"/>
      <c r="DMJ242" s="219"/>
      <c r="DMK242" s="219"/>
      <c r="DML242" s="219"/>
      <c r="DMM242" s="219"/>
      <c r="DMN242" s="219"/>
      <c r="DMO242" s="219"/>
      <c r="DMP242" s="219"/>
      <c r="DMQ242" s="219"/>
      <c r="DMR242" s="219"/>
      <c r="DMS242" s="219"/>
      <c r="DMT242" s="219"/>
      <c r="DMU242" s="219"/>
      <c r="DMV242" s="219"/>
      <c r="DMW242" s="219"/>
      <c r="DMX242" s="219"/>
      <c r="DMY242" s="219"/>
      <c r="DMZ242" s="219"/>
      <c r="DNA242" s="219"/>
      <c r="DNB242" s="219"/>
      <c r="DNC242" s="219"/>
      <c r="DND242" s="219"/>
      <c r="DNE242" s="219"/>
      <c r="DNF242" s="219"/>
      <c r="DNG242" s="219"/>
      <c r="DNH242" s="219"/>
      <c r="DNI242" s="219"/>
      <c r="DNJ242" s="219"/>
      <c r="DNK242" s="219"/>
      <c r="DNL242" s="219"/>
      <c r="DNM242" s="219"/>
      <c r="DNN242" s="219"/>
      <c r="DNO242" s="219"/>
      <c r="DNP242" s="219"/>
      <c r="DNQ242" s="219"/>
      <c r="DNR242" s="219"/>
      <c r="DNS242" s="219"/>
      <c r="DNT242" s="219"/>
      <c r="DNU242" s="219"/>
      <c r="DNV242" s="219"/>
      <c r="DNW242" s="219"/>
      <c r="DNX242" s="219"/>
      <c r="DNY242" s="219"/>
      <c r="DNZ242" s="219"/>
      <c r="DOA242" s="219"/>
      <c r="DOB242" s="219"/>
      <c r="DOC242" s="219"/>
      <c r="DOD242" s="219"/>
      <c r="DOE242" s="219"/>
      <c r="DOF242" s="219"/>
      <c r="DOG242" s="219"/>
      <c r="DOH242" s="219"/>
      <c r="DOI242" s="219"/>
      <c r="DOJ242" s="219"/>
      <c r="DOK242" s="219"/>
      <c r="DOL242" s="219"/>
      <c r="DOM242" s="219"/>
      <c r="DON242" s="219"/>
      <c r="DOO242" s="219"/>
      <c r="DOP242" s="219"/>
      <c r="DOQ242" s="219"/>
      <c r="DOR242" s="219"/>
      <c r="DOS242" s="219"/>
      <c r="DOT242" s="219"/>
      <c r="DOU242" s="219"/>
      <c r="DOV242" s="219"/>
      <c r="DOW242" s="219"/>
      <c r="DOX242" s="219"/>
      <c r="DOY242" s="219"/>
      <c r="DOZ242" s="219"/>
      <c r="DPA242" s="219"/>
      <c r="DPB242" s="219"/>
      <c r="DPC242" s="219"/>
      <c r="DPD242" s="219"/>
      <c r="DPE242" s="219"/>
      <c r="DPF242" s="219"/>
      <c r="DPG242" s="219"/>
      <c r="DPH242" s="219"/>
      <c r="DPI242" s="219"/>
      <c r="DPJ242" s="219"/>
      <c r="DPK242" s="219"/>
      <c r="DPL242" s="219"/>
      <c r="DPM242" s="219"/>
      <c r="DPN242" s="219"/>
      <c r="DPO242" s="219"/>
      <c r="DPP242" s="219"/>
      <c r="DPQ242" s="219"/>
      <c r="DPR242" s="219"/>
      <c r="DPS242" s="219"/>
      <c r="DPT242" s="219"/>
      <c r="DPU242" s="219"/>
      <c r="DPV242" s="219"/>
      <c r="DPW242" s="219"/>
      <c r="DPX242" s="219"/>
      <c r="DPY242" s="219"/>
      <c r="DPZ242" s="219"/>
      <c r="DQA242" s="219"/>
      <c r="DQB242" s="219"/>
      <c r="DQC242" s="219"/>
      <c r="DQD242" s="219"/>
      <c r="DQE242" s="219"/>
      <c r="DQF242" s="219"/>
      <c r="DQG242" s="219"/>
      <c r="DQH242" s="219"/>
      <c r="DQI242" s="219"/>
      <c r="DQJ242" s="219"/>
      <c r="DQK242" s="219"/>
      <c r="DQL242" s="219"/>
      <c r="DQM242" s="219"/>
      <c r="DQN242" s="219"/>
      <c r="DQO242" s="219"/>
      <c r="DQP242" s="219"/>
      <c r="DQQ242" s="219"/>
      <c r="DQR242" s="219"/>
      <c r="DQS242" s="219"/>
      <c r="DQT242" s="219"/>
      <c r="DQU242" s="219"/>
      <c r="DQV242" s="219"/>
      <c r="DQW242" s="219"/>
      <c r="DQX242" s="219"/>
      <c r="DQY242" s="219"/>
      <c r="DQZ242" s="219"/>
      <c r="DRA242" s="219"/>
      <c r="DRB242" s="219"/>
      <c r="DRC242" s="219"/>
      <c r="DRD242" s="219"/>
      <c r="DRE242" s="219"/>
      <c r="DRF242" s="219"/>
      <c r="DRG242" s="219"/>
      <c r="DRH242" s="219"/>
      <c r="DRI242" s="219"/>
      <c r="DRJ242" s="219"/>
      <c r="DRK242" s="219"/>
      <c r="DRL242" s="219"/>
      <c r="DRM242" s="219"/>
      <c r="DRN242" s="219"/>
      <c r="DRO242" s="219"/>
      <c r="DRP242" s="219"/>
      <c r="DRQ242" s="219"/>
      <c r="DRR242" s="219"/>
      <c r="DRS242" s="219"/>
      <c r="DRT242" s="219"/>
      <c r="DRU242" s="219"/>
      <c r="DRV242" s="219"/>
      <c r="DRW242" s="219"/>
      <c r="DRX242" s="219"/>
      <c r="DRY242" s="219"/>
      <c r="DRZ242" s="219"/>
      <c r="DSA242" s="219"/>
      <c r="DSB242" s="219"/>
      <c r="DSC242" s="219"/>
      <c r="DSD242" s="219"/>
      <c r="DSE242" s="219"/>
      <c r="DSF242" s="219"/>
      <c r="DSG242" s="219"/>
      <c r="DSH242" s="219"/>
      <c r="DSI242" s="219"/>
      <c r="DSJ242" s="219"/>
      <c r="DSK242" s="219"/>
      <c r="DSL242" s="219"/>
      <c r="DSM242" s="219"/>
      <c r="DSN242" s="219"/>
      <c r="DSO242" s="219"/>
      <c r="DSP242" s="219"/>
      <c r="DSQ242" s="219"/>
      <c r="DSR242" s="219"/>
      <c r="DSS242" s="219"/>
      <c r="DST242" s="219"/>
      <c r="DSU242" s="219"/>
      <c r="DSV242" s="219"/>
      <c r="DSW242" s="219"/>
      <c r="DSX242" s="219"/>
      <c r="DSY242" s="219"/>
      <c r="DSZ242" s="219"/>
      <c r="DTA242" s="219"/>
      <c r="DTB242" s="219"/>
      <c r="DTC242" s="219"/>
      <c r="DTD242" s="219"/>
      <c r="DTE242" s="219"/>
      <c r="DTF242" s="219"/>
      <c r="DTG242" s="219"/>
      <c r="DTH242" s="219"/>
      <c r="DTI242" s="219"/>
      <c r="DTJ242" s="219"/>
      <c r="DTK242" s="219"/>
      <c r="DTL242" s="219"/>
      <c r="DTM242" s="219"/>
      <c r="DTN242" s="219"/>
      <c r="DTO242" s="219"/>
      <c r="DTP242" s="219"/>
      <c r="DTQ242" s="219"/>
      <c r="DTR242" s="219"/>
      <c r="DTS242" s="219"/>
      <c r="DTT242" s="219"/>
      <c r="DTU242" s="219"/>
      <c r="DTV242" s="219"/>
      <c r="DTW242" s="219"/>
      <c r="DTX242" s="219"/>
      <c r="DTY242" s="219"/>
      <c r="DTZ242" s="219"/>
      <c r="DUA242" s="219"/>
      <c r="DUB242" s="219"/>
      <c r="DUC242" s="219"/>
      <c r="DUD242" s="219"/>
      <c r="DUE242" s="219"/>
      <c r="DUF242" s="219"/>
      <c r="DUG242" s="219"/>
      <c r="DUH242" s="219"/>
      <c r="DUI242" s="219"/>
      <c r="DUJ242" s="219"/>
      <c r="DUK242" s="219"/>
      <c r="DUL242" s="219"/>
      <c r="DUM242" s="219"/>
      <c r="DUN242" s="219"/>
      <c r="DUO242" s="219"/>
      <c r="DUP242" s="219"/>
      <c r="DUQ242" s="219"/>
      <c r="DUR242" s="219"/>
      <c r="DUS242" s="219"/>
      <c r="DUT242" s="219"/>
      <c r="DUU242" s="219"/>
      <c r="DUV242" s="219"/>
      <c r="DUW242" s="219"/>
      <c r="DUX242" s="219"/>
      <c r="DUY242" s="219"/>
      <c r="DUZ242" s="219"/>
      <c r="DVA242" s="219"/>
      <c r="DVB242" s="219"/>
      <c r="DVC242" s="219"/>
      <c r="DVD242" s="219"/>
      <c r="DVE242" s="219"/>
      <c r="DVF242" s="219"/>
      <c r="DVG242" s="219"/>
      <c r="DVH242" s="219"/>
      <c r="DVI242" s="219"/>
      <c r="DVJ242" s="219"/>
      <c r="DVK242" s="219"/>
      <c r="DVL242" s="219"/>
      <c r="DVM242" s="219"/>
      <c r="DVN242" s="219"/>
      <c r="DVO242" s="219"/>
      <c r="DVP242" s="219"/>
      <c r="DVQ242" s="219"/>
      <c r="DVR242" s="219"/>
      <c r="DVS242" s="219"/>
      <c r="DVT242" s="219"/>
      <c r="DVU242" s="219"/>
      <c r="DVV242" s="219"/>
      <c r="DVW242" s="219"/>
      <c r="DVX242" s="219"/>
      <c r="DVY242" s="219"/>
      <c r="DVZ242" s="219"/>
      <c r="DWA242" s="219"/>
      <c r="DWB242" s="219"/>
      <c r="DWC242" s="219"/>
      <c r="DWD242" s="219"/>
      <c r="DWE242" s="219"/>
      <c r="DWF242" s="219"/>
      <c r="DWG242" s="219"/>
      <c r="DWH242" s="219"/>
      <c r="DWI242" s="219"/>
      <c r="DWJ242" s="219"/>
      <c r="DWK242" s="219"/>
      <c r="DWL242" s="219"/>
      <c r="DWM242" s="219"/>
      <c r="DWN242" s="219"/>
      <c r="DWO242" s="219"/>
      <c r="DWP242" s="219"/>
      <c r="DWQ242" s="219"/>
      <c r="DWR242" s="219"/>
      <c r="DWS242" s="219"/>
      <c r="DWT242" s="219"/>
      <c r="DWU242" s="219"/>
      <c r="DWV242" s="219"/>
      <c r="DWW242" s="219"/>
      <c r="DWX242" s="219"/>
      <c r="DWY242" s="219"/>
      <c r="DWZ242" s="219"/>
      <c r="DXA242" s="219"/>
      <c r="DXB242" s="219"/>
      <c r="DXC242" s="219"/>
      <c r="DXD242" s="219"/>
      <c r="DXE242" s="219"/>
      <c r="DXF242" s="219"/>
      <c r="DXG242" s="219"/>
      <c r="DXH242" s="219"/>
      <c r="DXI242" s="219"/>
      <c r="DXJ242" s="219"/>
      <c r="DXK242" s="219"/>
      <c r="DXL242" s="219"/>
      <c r="DXM242" s="219"/>
      <c r="DXN242" s="219"/>
      <c r="DXO242" s="219"/>
      <c r="DXP242" s="219"/>
      <c r="DXQ242" s="219"/>
      <c r="DXR242" s="219"/>
      <c r="DXS242" s="219"/>
      <c r="DXT242" s="219"/>
      <c r="DXU242" s="219"/>
      <c r="DXV242" s="219"/>
      <c r="DXW242" s="219"/>
      <c r="DXX242" s="219"/>
      <c r="DXY242" s="219"/>
      <c r="DXZ242" s="219"/>
      <c r="DYA242" s="219"/>
      <c r="DYB242" s="219"/>
      <c r="DYC242" s="219"/>
      <c r="DYD242" s="219"/>
      <c r="DYE242" s="219"/>
      <c r="DYF242" s="219"/>
      <c r="DYG242" s="219"/>
      <c r="DYH242" s="219"/>
      <c r="DYI242" s="219"/>
      <c r="DYJ242" s="219"/>
      <c r="DYK242" s="219"/>
      <c r="DYL242" s="219"/>
      <c r="DYM242" s="219"/>
      <c r="DYN242" s="219"/>
      <c r="DYO242" s="219"/>
      <c r="DYP242" s="219"/>
      <c r="DYQ242" s="219"/>
      <c r="DYR242" s="219"/>
      <c r="DYS242" s="219"/>
      <c r="DYT242" s="219"/>
      <c r="DYU242" s="219"/>
      <c r="DYV242" s="219"/>
      <c r="DYW242" s="219"/>
      <c r="DYX242" s="219"/>
      <c r="DYY242" s="219"/>
      <c r="DYZ242" s="219"/>
      <c r="DZA242" s="219"/>
      <c r="DZB242" s="219"/>
      <c r="DZC242" s="219"/>
      <c r="DZD242" s="219"/>
      <c r="DZE242" s="219"/>
      <c r="DZF242" s="219"/>
      <c r="DZG242" s="219"/>
      <c r="DZH242" s="219"/>
      <c r="DZI242" s="219"/>
      <c r="DZJ242" s="219"/>
      <c r="DZK242" s="219"/>
      <c r="DZL242" s="219"/>
      <c r="DZM242" s="219"/>
      <c r="DZN242" s="219"/>
      <c r="DZO242" s="219"/>
      <c r="DZP242" s="219"/>
      <c r="DZQ242" s="219"/>
      <c r="DZR242" s="219"/>
      <c r="DZS242" s="219"/>
      <c r="DZT242" s="219"/>
      <c r="DZU242" s="219"/>
      <c r="DZV242" s="219"/>
      <c r="DZW242" s="219"/>
      <c r="DZX242" s="219"/>
      <c r="DZY242" s="219"/>
      <c r="DZZ242" s="219"/>
      <c r="EAA242" s="219"/>
      <c r="EAB242" s="219"/>
      <c r="EAC242" s="219"/>
      <c r="EAD242" s="219"/>
      <c r="EAE242" s="219"/>
      <c r="EAF242" s="219"/>
      <c r="EAG242" s="219"/>
      <c r="EAH242" s="219"/>
      <c r="EAI242" s="219"/>
      <c r="EAJ242" s="219"/>
      <c r="EAK242" s="219"/>
      <c r="EAL242" s="219"/>
      <c r="EAM242" s="219"/>
      <c r="EAN242" s="219"/>
      <c r="EAO242" s="219"/>
      <c r="EAP242" s="219"/>
      <c r="EAQ242" s="219"/>
      <c r="EAR242" s="219"/>
      <c r="EAS242" s="219"/>
      <c r="EAT242" s="219"/>
      <c r="EAU242" s="219"/>
      <c r="EAV242" s="219"/>
      <c r="EAW242" s="219"/>
      <c r="EAX242" s="219"/>
      <c r="EAY242" s="219"/>
      <c r="EAZ242" s="219"/>
      <c r="EBA242" s="219"/>
      <c r="EBB242" s="219"/>
      <c r="EBC242" s="219"/>
      <c r="EBD242" s="219"/>
      <c r="EBE242" s="219"/>
      <c r="EBF242" s="219"/>
      <c r="EBG242" s="219"/>
      <c r="EBH242" s="219"/>
      <c r="EBI242" s="219"/>
      <c r="EBJ242" s="219"/>
      <c r="EBK242" s="219"/>
      <c r="EBL242" s="219"/>
      <c r="EBM242" s="219"/>
      <c r="EBN242" s="219"/>
      <c r="EBO242" s="219"/>
      <c r="EBP242" s="219"/>
      <c r="EBQ242" s="219"/>
      <c r="EBR242" s="219"/>
      <c r="EBS242" s="219"/>
      <c r="EBT242" s="219"/>
      <c r="EBU242" s="219"/>
      <c r="EBV242" s="219"/>
      <c r="EBW242" s="219"/>
      <c r="EBX242" s="219"/>
      <c r="EBY242" s="219"/>
      <c r="EBZ242" s="219"/>
      <c r="ECA242" s="219"/>
      <c r="ECB242" s="219"/>
      <c r="ECC242" s="219"/>
      <c r="ECD242" s="219"/>
      <c r="ECE242" s="219"/>
      <c r="ECF242" s="219"/>
      <c r="ECG242" s="219"/>
      <c r="ECH242" s="219"/>
      <c r="ECI242" s="219"/>
      <c r="ECJ242" s="219"/>
      <c r="ECK242" s="219"/>
      <c r="ECL242" s="219"/>
      <c r="ECM242" s="219"/>
      <c r="ECN242" s="219"/>
      <c r="ECO242" s="219"/>
      <c r="ECP242" s="219"/>
      <c r="ECQ242" s="219"/>
      <c r="ECR242" s="219"/>
      <c r="ECS242" s="219"/>
      <c r="ECT242" s="219"/>
      <c r="ECU242" s="219"/>
      <c r="ECV242" s="219"/>
      <c r="ECW242" s="219"/>
      <c r="ECX242" s="219"/>
      <c r="ECY242" s="219"/>
      <c r="ECZ242" s="219"/>
      <c r="EDA242" s="219"/>
      <c r="EDB242" s="219"/>
      <c r="EDC242" s="219"/>
      <c r="EDD242" s="219"/>
      <c r="EDE242" s="219"/>
      <c r="EDF242" s="219"/>
      <c r="EDG242" s="219"/>
      <c r="EDH242" s="219"/>
      <c r="EDI242" s="219"/>
      <c r="EDJ242" s="219"/>
      <c r="EDK242" s="219"/>
      <c r="EDL242" s="219"/>
      <c r="EDM242" s="219"/>
      <c r="EDN242" s="219"/>
      <c r="EDO242" s="219"/>
      <c r="EDP242" s="219"/>
      <c r="EDQ242" s="219"/>
      <c r="EDR242" s="219"/>
      <c r="EDS242" s="219"/>
      <c r="EDT242" s="219"/>
      <c r="EDU242" s="219"/>
      <c r="EDV242" s="219"/>
      <c r="EDW242" s="219"/>
      <c r="EDX242" s="219"/>
      <c r="EDY242" s="219"/>
      <c r="EDZ242" s="219"/>
      <c r="EEA242" s="219"/>
      <c r="EEB242" s="219"/>
      <c r="EEC242" s="219"/>
      <c r="EED242" s="219"/>
      <c r="EEE242" s="219"/>
      <c r="EEF242" s="219"/>
      <c r="EEG242" s="219"/>
      <c r="EEH242" s="219"/>
      <c r="EEI242" s="219"/>
      <c r="EEJ242" s="219"/>
      <c r="EEK242" s="219"/>
      <c r="EEL242" s="219"/>
      <c r="EEM242" s="219"/>
      <c r="EEN242" s="219"/>
      <c r="EEO242" s="219"/>
      <c r="EEP242" s="219"/>
      <c r="EEQ242" s="219"/>
      <c r="EER242" s="219"/>
      <c r="EES242" s="219"/>
      <c r="EET242" s="219"/>
      <c r="EEU242" s="219"/>
      <c r="EEV242" s="219"/>
      <c r="EEW242" s="219"/>
      <c r="EEX242" s="219"/>
      <c r="EEY242" s="219"/>
      <c r="EEZ242" s="219"/>
      <c r="EFA242" s="219"/>
      <c r="EFB242" s="219"/>
      <c r="EFC242" s="219"/>
      <c r="EFD242" s="219"/>
      <c r="EFE242" s="219"/>
      <c r="EFF242" s="219"/>
      <c r="EFG242" s="219"/>
      <c r="EFH242" s="219"/>
      <c r="EFI242" s="219"/>
      <c r="EFJ242" s="219"/>
      <c r="EFK242" s="219"/>
      <c r="EFL242" s="219"/>
      <c r="EFM242" s="219"/>
      <c r="EFN242" s="219"/>
      <c r="EFO242" s="219"/>
      <c r="EFP242" s="219"/>
      <c r="EFQ242" s="219"/>
      <c r="EFR242" s="219"/>
      <c r="EFS242" s="219"/>
      <c r="EFT242" s="219"/>
      <c r="EFU242" s="219"/>
      <c r="EFV242" s="219"/>
      <c r="EFW242" s="219"/>
      <c r="EFX242" s="219"/>
      <c r="EFY242" s="219"/>
      <c r="EFZ242" s="219"/>
      <c r="EGA242" s="219"/>
      <c r="EGB242" s="219"/>
      <c r="EGC242" s="219"/>
      <c r="EGD242" s="219"/>
      <c r="EGE242" s="219"/>
      <c r="EGF242" s="219"/>
      <c r="EGG242" s="219"/>
      <c r="EGH242" s="219"/>
      <c r="EGI242" s="219"/>
      <c r="EGJ242" s="219"/>
      <c r="EGK242" s="219"/>
      <c r="EGL242" s="219"/>
      <c r="EGM242" s="219"/>
      <c r="EGN242" s="219"/>
      <c r="EGO242" s="219"/>
      <c r="EGP242" s="219"/>
      <c r="EGQ242" s="219"/>
      <c r="EGR242" s="219"/>
      <c r="EGS242" s="219"/>
      <c r="EGT242" s="219"/>
      <c r="EGU242" s="219"/>
      <c r="EGV242" s="219"/>
      <c r="EGW242" s="219"/>
      <c r="EGX242" s="219"/>
      <c r="EGY242" s="219"/>
      <c r="EGZ242" s="219"/>
      <c r="EHA242" s="219"/>
      <c r="EHB242" s="219"/>
      <c r="EHC242" s="219"/>
      <c r="EHD242" s="219"/>
      <c r="EHE242" s="219"/>
      <c r="EHF242" s="219"/>
      <c r="EHG242" s="219"/>
      <c r="EHH242" s="219"/>
      <c r="EHI242" s="219"/>
      <c r="EHJ242" s="219"/>
      <c r="EHK242" s="219"/>
      <c r="EHL242" s="219"/>
      <c r="EHM242" s="219"/>
      <c r="EHN242" s="219"/>
      <c r="EHO242" s="219"/>
      <c r="EHP242" s="219"/>
      <c r="EHQ242" s="219"/>
      <c r="EHR242" s="219"/>
      <c r="EHS242" s="219"/>
      <c r="EHT242" s="219"/>
      <c r="EHU242" s="219"/>
      <c r="EHV242" s="219"/>
      <c r="EHW242" s="219"/>
      <c r="EHX242" s="219"/>
      <c r="EHY242" s="219"/>
      <c r="EHZ242" s="219"/>
      <c r="EIA242" s="219"/>
      <c r="EIB242" s="219"/>
      <c r="EIC242" s="219"/>
      <c r="EID242" s="219"/>
      <c r="EIE242" s="219"/>
      <c r="EIF242" s="219"/>
      <c r="EIG242" s="219"/>
      <c r="EIH242" s="219"/>
      <c r="EII242" s="219"/>
      <c r="EIJ242" s="219"/>
      <c r="EIK242" s="219"/>
      <c r="EIL242" s="219"/>
      <c r="EIM242" s="219"/>
      <c r="EIN242" s="219"/>
      <c r="EIO242" s="219"/>
      <c r="EIP242" s="219"/>
      <c r="EIQ242" s="219"/>
      <c r="EIR242" s="219"/>
      <c r="EIS242" s="219"/>
      <c r="EIT242" s="219"/>
      <c r="EIU242" s="219"/>
      <c r="EIV242" s="219"/>
      <c r="EIW242" s="219"/>
      <c r="EIX242" s="219"/>
      <c r="EIY242" s="219"/>
      <c r="EIZ242" s="219"/>
      <c r="EJA242" s="219"/>
      <c r="EJB242" s="219"/>
      <c r="EJC242" s="219"/>
      <c r="EJD242" s="219"/>
      <c r="EJE242" s="219"/>
      <c r="EJF242" s="219"/>
      <c r="EJG242" s="219"/>
      <c r="EJH242" s="219"/>
      <c r="EJI242" s="219"/>
      <c r="EJJ242" s="219"/>
      <c r="EJK242" s="219"/>
      <c r="EJL242" s="219"/>
      <c r="EJM242" s="219"/>
      <c r="EJN242" s="219"/>
      <c r="EJO242" s="219"/>
      <c r="EJP242" s="219"/>
      <c r="EJQ242" s="219"/>
      <c r="EJR242" s="219"/>
      <c r="EJS242" s="219"/>
      <c r="EJT242" s="219"/>
      <c r="EJU242" s="219"/>
      <c r="EJV242" s="219"/>
      <c r="EJW242" s="219"/>
      <c r="EJX242" s="219"/>
      <c r="EJY242" s="219"/>
      <c r="EJZ242" s="219"/>
      <c r="EKA242" s="219"/>
      <c r="EKB242" s="219"/>
      <c r="EKC242" s="219"/>
      <c r="EKD242" s="219"/>
      <c r="EKE242" s="219"/>
      <c r="EKF242" s="219"/>
      <c r="EKG242" s="219"/>
      <c r="EKH242" s="219"/>
      <c r="EKI242" s="219"/>
      <c r="EKJ242" s="219"/>
      <c r="EKK242" s="219"/>
      <c r="EKL242" s="219"/>
      <c r="EKM242" s="219"/>
      <c r="EKN242" s="219"/>
      <c r="EKO242" s="219"/>
      <c r="EKP242" s="219"/>
      <c r="EKQ242" s="219"/>
      <c r="EKR242" s="219"/>
      <c r="EKS242" s="219"/>
      <c r="EKT242" s="219"/>
      <c r="EKU242" s="219"/>
      <c r="EKV242" s="219"/>
      <c r="EKW242" s="219"/>
      <c r="EKX242" s="219"/>
      <c r="EKY242" s="219"/>
      <c r="EKZ242" s="219"/>
      <c r="ELA242" s="219"/>
      <c r="ELB242" s="219"/>
      <c r="ELC242" s="219"/>
      <c r="ELD242" s="219"/>
      <c r="ELE242" s="219"/>
      <c r="ELF242" s="219"/>
      <c r="ELG242" s="219"/>
      <c r="ELH242" s="219"/>
      <c r="ELI242" s="219"/>
      <c r="ELJ242" s="219"/>
      <c r="ELK242" s="219"/>
      <c r="ELL242" s="219"/>
      <c r="ELM242" s="219"/>
      <c r="ELN242" s="219"/>
      <c r="ELO242" s="219"/>
      <c r="ELP242" s="219"/>
      <c r="ELQ242" s="219"/>
      <c r="ELR242" s="219"/>
      <c r="ELS242" s="219"/>
      <c r="ELT242" s="219"/>
      <c r="ELU242" s="219"/>
      <c r="ELV242" s="219"/>
      <c r="ELW242" s="219"/>
      <c r="ELX242" s="219"/>
      <c r="ELY242" s="219"/>
      <c r="ELZ242" s="219"/>
      <c r="EMA242" s="219"/>
      <c r="EMB242" s="219"/>
      <c r="EMC242" s="219"/>
      <c r="EMD242" s="219"/>
      <c r="EME242" s="219"/>
      <c r="EMF242" s="219"/>
      <c r="EMG242" s="219"/>
      <c r="EMH242" s="219"/>
      <c r="EMI242" s="219"/>
      <c r="EMJ242" s="219"/>
      <c r="EMK242" s="219"/>
      <c r="EML242" s="219"/>
      <c r="EMM242" s="219"/>
      <c r="EMN242" s="219"/>
      <c r="EMO242" s="219"/>
      <c r="EMP242" s="219"/>
      <c r="EMQ242" s="219"/>
      <c r="EMR242" s="219"/>
      <c r="EMS242" s="219"/>
      <c r="EMT242" s="219"/>
      <c r="EMU242" s="219"/>
      <c r="EMV242" s="219"/>
      <c r="EMW242" s="219"/>
      <c r="EMX242" s="219"/>
      <c r="EMY242" s="219"/>
      <c r="EMZ242" s="219"/>
      <c r="ENA242" s="219"/>
      <c r="ENB242" s="219"/>
      <c r="ENC242" s="219"/>
      <c r="END242" s="219"/>
      <c r="ENE242" s="219"/>
      <c r="ENF242" s="219"/>
      <c r="ENG242" s="219"/>
      <c r="ENH242" s="219"/>
      <c r="ENI242" s="219"/>
      <c r="ENJ242" s="219"/>
      <c r="ENK242" s="219"/>
      <c r="ENL242" s="219"/>
      <c r="ENM242" s="219"/>
      <c r="ENN242" s="219"/>
      <c r="ENO242" s="219"/>
      <c r="ENP242" s="219"/>
      <c r="ENQ242" s="219"/>
      <c r="ENR242" s="219"/>
      <c r="ENS242" s="219"/>
      <c r="ENT242" s="219"/>
      <c r="ENU242" s="219"/>
      <c r="ENV242" s="219"/>
      <c r="ENW242" s="219"/>
      <c r="ENX242" s="219"/>
      <c r="ENY242" s="219"/>
      <c r="ENZ242" s="219"/>
      <c r="EOA242" s="219"/>
      <c r="EOB242" s="219"/>
      <c r="EOC242" s="219"/>
      <c r="EOD242" s="219"/>
      <c r="EOE242" s="219"/>
      <c r="EOF242" s="219"/>
      <c r="EOG242" s="219"/>
      <c r="EOH242" s="219"/>
      <c r="EOI242" s="219"/>
      <c r="EOJ242" s="219"/>
      <c r="EOK242" s="219"/>
      <c r="EOL242" s="219"/>
      <c r="EOM242" s="219"/>
      <c r="EON242" s="219"/>
      <c r="EOO242" s="219"/>
      <c r="EOP242" s="219"/>
      <c r="EOQ242" s="219"/>
      <c r="EOR242" s="219"/>
      <c r="EOS242" s="219"/>
      <c r="EOT242" s="219"/>
      <c r="EOU242" s="219"/>
      <c r="EOV242" s="219"/>
      <c r="EOW242" s="219"/>
      <c r="EOX242" s="219"/>
      <c r="EOY242" s="219"/>
      <c r="EOZ242" s="219"/>
      <c r="EPA242" s="219"/>
      <c r="EPB242" s="219"/>
      <c r="EPC242" s="219"/>
      <c r="EPD242" s="219"/>
      <c r="EPE242" s="219"/>
      <c r="EPF242" s="219"/>
      <c r="EPG242" s="219"/>
      <c r="EPH242" s="219"/>
      <c r="EPI242" s="219"/>
      <c r="EPJ242" s="219"/>
      <c r="EPK242" s="219"/>
      <c r="EPL242" s="219"/>
      <c r="EPM242" s="219"/>
      <c r="EPN242" s="219"/>
      <c r="EPO242" s="219"/>
      <c r="EPP242" s="219"/>
      <c r="EPQ242" s="219"/>
      <c r="EPR242" s="219"/>
      <c r="EPS242" s="219"/>
      <c r="EPT242" s="219"/>
      <c r="EPU242" s="219"/>
      <c r="EPV242" s="219"/>
      <c r="EPW242" s="219"/>
      <c r="EPX242" s="219"/>
      <c r="EPY242" s="219"/>
      <c r="EPZ242" s="219"/>
      <c r="EQA242" s="219"/>
      <c r="EQB242" s="219"/>
      <c r="EQC242" s="219"/>
      <c r="EQD242" s="219"/>
      <c r="EQE242" s="219"/>
      <c r="EQF242" s="219"/>
      <c r="EQG242" s="219"/>
      <c r="EQH242" s="219"/>
      <c r="EQI242" s="219"/>
      <c r="EQJ242" s="219"/>
      <c r="EQK242" s="219"/>
      <c r="EQL242" s="219"/>
      <c r="EQM242" s="219"/>
      <c r="EQN242" s="219"/>
      <c r="EQO242" s="219"/>
      <c r="EQP242" s="219"/>
      <c r="EQQ242" s="219"/>
      <c r="EQR242" s="219"/>
      <c r="EQS242" s="219"/>
      <c r="EQT242" s="219"/>
      <c r="EQU242" s="219"/>
      <c r="EQV242" s="219"/>
      <c r="EQW242" s="219"/>
      <c r="EQX242" s="219"/>
      <c r="EQY242" s="219"/>
      <c r="EQZ242" s="219"/>
      <c r="ERA242" s="219"/>
      <c r="ERB242" s="219"/>
      <c r="ERC242" s="219"/>
      <c r="ERD242" s="219"/>
      <c r="ERE242" s="219"/>
      <c r="ERF242" s="219"/>
      <c r="ERG242" s="219"/>
      <c r="ERH242" s="219"/>
      <c r="ERI242" s="219"/>
      <c r="ERJ242" s="219"/>
      <c r="ERK242" s="219"/>
      <c r="ERL242" s="219"/>
      <c r="ERM242" s="219"/>
      <c r="ERN242" s="219"/>
      <c r="ERO242" s="219"/>
      <c r="ERP242" s="219"/>
      <c r="ERQ242" s="219"/>
      <c r="ERR242" s="219"/>
      <c r="ERS242" s="219"/>
      <c r="ERT242" s="219"/>
      <c r="ERU242" s="219"/>
      <c r="ERV242" s="219"/>
      <c r="ERW242" s="219"/>
      <c r="ERX242" s="219"/>
      <c r="ERY242" s="219"/>
      <c r="ERZ242" s="219"/>
      <c r="ESA242" s="219"/>
      <c r="ESB242" s="219"/>
      <c r="ESC242" s="219"/>
      <c r="ESD242" s="219"/>
      <c r="ESE242" s="219"/>
      <c r="ESF242" s="219"/>
      <c r="ESG242" s="219"/>
      <c r="ESH242" s="219"/>
      <c r="ESI242" s="219"/>
      <c r="ESJ242" s="219"/>
      <c r="ESK242" s="219"/>
      <c r="ESL242" s="219"/>
      <c r="ESM242" s="219"/>
      <c r="ESN242" s="219"/>
      <c r="ESO242" s="219"/>
      <c r="ESP242" s="219"/>
      <c r="ESQ242" s="219"/>
      <c r="ESR242" s="219"/>
      <c r="ESS242" s="219"/>
      <c r="EST242" s="219"/>
      <c r="ESU242" s="219"/>
      <c r="ESV242" s="219"/>
      <c r="ESW242" s="219"/>
      <c r="ESX242" s="219"/>
      <c r="ESY242" s="219"/>
      <c r="ESZ242" s="219"/>
      <c r="ETA242" s="219"/>
      <c r="ETB242" s="219"/>
      <c r="ETC242" s="219"/>
      <c r="ETD242" s="219"/>
      <c r="ETE242" s="219"/>
      <c r="ETF242" s="219"/>
      <c r="ETG242" s="219"/>
      <c r="ETH242" s="219"/>
      <c r="ETI242" s="219"/>
      <c r="ETJ242" s="219"/>
      <c r="ETK242" s="219"/>
      <c r="ETL242" s="219"/>
      <c r="ETM242" s="219"/>
      <c r="ETN242" s="219"/>
      <c r="ETO242" s="219"/>
      <c r="ETP242" s="219"/>
      <c r="ETQ242" s="219"/>
      <c r="ETR242" s="219"/>
      <c r="ETS242" s="219"/>
      <c r="ETT242" s="219"/>
      <c r="ETU242" s="219"/>
      <c r="ETV242" s="219"/>
      <c r="ETW242" s="219"/>
      <c r="ETX242" s="219"/>
      <c r="ETY242" s="219"/>
      <c r="ETZ242" s="219"/>
      <c r="EUA242" s="219"/>
      <c r="EUB242" s="219"/>
      <c r="EUC242" s="219"/>
      <c r="EUD242" s="219"/>
      <c r="EUE242" s="219"/>
      <c r="EUF242" s="219"/>
      <c r="EUG242" s="219"/>
      <c r="EUH242" s="219"/>
      <c r="EUI242" s="219"/>
      <c r="EUJ242" s="219"/>
      <c r="EUK242" s="219"/>
      <c r="EUL242" s="219"/>
      <c r="EUM242" s="219"/>
      <c r="EUN242" s="219"/>
      <c r="EUO242" s="219"/>
      <c r="EUP242" s="219"/>
      <c r="EUQ242" s="219"/>
      <c r="EUR242" s="219"/>
      <c r="EUS242" s="219"/>
      <c r="EUT242" s="219"/>
      <c r="EUU242" s="219"/>
      <c r="EUV242" s="219"/>
      <c r="EUW242" s="219"/>
      <c r="EUX242" s="219"/>
      <c r="EUY242" s="219"/>
      <c r="EUZ242" s="219"/>
      <c r="EVA242" s="219"/>
      <c r="EVB242" s="219"/>
      <c r="EVC242" s="219"/>
      <c r="EVD242" s="219"/>
      <c r="EVE242" s="219"/>
      <c r="EVF242" s="219"/>
      <c r="EVG242" s="219"/>
      <c r="EVH242" s="219"/>
      <c r="EVI242" s="219"/>
      <c r="EVJ242" s="219"/>
      <c r="EVK242" s="219"/>
      <c r="EVL242" s="219"/>
      <c r="EVM242" s="219"/>
      <c r="EVN242" s="219"/>
      <c r="EVO242" s="219"/>
      <c r="EVP242" s="219"/>
      <c r="EVQ242" s="219"/>
      <c r="EVR242" s="219"/>
      <c r="EVS242" s="219"/>
      <c r="EVT242" s="219"/>
      <c r="EVU242" s="219"/>
      <c r="EVV242" s="219"/>
      <c r="EVW242" s="219"/>
      <c r="EVX242" s="219"/>
      <c r="EVY242" s="219"/>
      <c r="EVZ242" s="219"/>
      <c r="EWA242" s="219"/>
      <c r="EWB242" s="219"/>
      <c r="EWC242" s="219"/>
      <c r="EWD242" s="219"/>
      <c r="EWE242" s="219"/>
      <c r="EWF242" s="219"/>
      <c r="EWG242" s="219"/>
      <c r="EWH242" s="219"/>
      <c r="EWI242" s="219"/>
      <c r="EWJ242" s="219"/>
      <c r="EWK242" s="219"/>
      <c r="EWL242" s="219"/>
      <c r="EWM242" s="219"/>
      <c r="EWN242" s="219"/>
      <c r="EWO242" s="219"/>
      <c r="EWP242" s="219"/>
      <c r="EWQ242" s="219"/>
      <c r="EWR242" s="219"/>
      <c r="EWS242" s="219"/>
      <c r="EWT242" s="219"/>
      <c r="EWU242" s="219"/>
      <c r="EWV242" s="219"/>
      <c r="EWW242" s="219"/>
      <c r="EWX242" s="219"/>
      <c r="EWY242" s="219"/>
      <c r="EWZ242" s="219"/>
      <c r="EXA242" s="219"/>
      <c r="EXB242" s="219"/>
      <c r="EXC242" s="219"/>
      <c r="EXD242" s="219"/>
      <c r="EXE242" s="219"/>
      <c r="EXF242" s="219"/>
      <c r="EXG242" s="219"/>
      <c r="EXH242" s="219"/>
      <c r="EXI242" s="219"/>
      <c r="EXJ242" s="219"/>
      <c r="EXK242" s="219"/>
      <c r="EXL242" s="219"/>
      <c r="EXM242" s="219"/>
      <c r="EXN242" s="219"/>
      <c r="EXO242" s="219"/>
      <c r="EXP242" s="219"/>
      <c r="EXQ242" s="219"/>
      <c r="EXR242" s="219"/>
      <c r="EXS242" s="219"/>
      <c r="EXT242" s="219"/>
      <c r="EXU242" s="219"/>
      <c r="EXV242" s="219"/>
      <c r="EXW242" s="219"/>
      <c r="EXX242" s="219"/>
      <c r="EXY242" s="219"/>
      <c r="EXZ242" s="219"/>
      <c r="EYA242" s="219"/>
      <c r="EYB242" s="219"/>
      <c r="EYC242" s="219"/>
      <c r="EYD242" s="219"/>
      <c r="EYE242" s="219"/>
      <c r="EYF242" s="219"/>
      <c r="EYG242" s="219"/>
      <c r="EYH242" s="219"/>
      <c r="EYI242" s="219"/>
      <c r="EYJ242" s="219"/>
      <c r="EYK242" s="219"/>
      <c r="EYL242" s="219"/>
      <c r="EYM242" s="219"/>
      <c r="EYN242" s="219"/>
      <c r="EYO242" s="219"/>
      <c r="EYP242" s="219"/>
      <c r="EYQ242" s="219"/>
      <c r="EYR242" s="219"/>
      <c r="EYS242" s="219"/>
      <c r="EYT242" s="219"/>
      <c r="EYU242" s="219"/>
      <c r="EYV242" s="219"/>
      <c r="EYW242" s="219"/>
      <c r="EYX242" s="219"/>
      <c r="EYY242" s="219"/>
      <c r="EYZ242" s="219"/>
      <c r="EZA242" s="219"/>
      <c r="EZB242" s="219"/>
      <c r="EZC242" s="219"/>
      <c r="EZD242" s="219"/>
      <c r="EZE242" s="219"/>
      <c r="EZF242" s="219"/>
      <c r="EZG242" s="219"/>
      <c r="EZH242" s="219"/>
      <c r="EZI242" s="219"/>
      <c r="EZJ242" s="219"/>
      <c r="EZK242" s="219"/>
      <c r="EZL242" s="219"/>
      <c r="EZM242" s="219"/>
      <c r="EZN242" s="219"/>
      <c r="EZO242" s="219"/>
      <c r="EZP242" s="219"/>
      <c r="EZQ242" s="219"/>
      <c r="EZR242" s="219"/>
      <c r="EZS242" s="219"/>
      <c r="EZT242" s="219"/>
      <c r="EZU242" s="219"/>
      <c r="EZV242" s="219"/>
      <c r="EZW242" s="219"/>
      <c r="EZX242" s="219"/>
      <c r="EZY242" s="219"/>
      <c r="EZZ242" s="219"/>
      <c r="FAA242" s="219"/>
      <c r="FAB242" s="219"/>
      <c r="FAC242" s="219"/>
      <c r="FAD242" s="219"/>
      <c r="FAE242" s="219"/>
      <c r="FAF242" s="219"/>
      <c r="FAG242" s="219"/>
      <c r="FAH242" s="219"/>
      <c r="FAI242" s="219"/>
      <c r="FAJ242" s="219"/>
      <c r="FAK242" s="219"/>
      <c r="FAL242" s="219"/>
      <c r="FAM242" s="219"/>
      <c r="FAN242" s="219"/>
      <c r="FAO242" s="219"/>
      <c r="FAP242" s="219"/>
      <c r="FAQ242" s="219"/>
      <c r="FAR242" s="219"/>
      <c r="FAS242" s="219"/>
      <c r="FAT242" s="219"/>
      <c r="FAU242" s="219"/>
      <c r="FAV242" s="219"/>
      <c r="FAW242" s="219"/>
      <c r="FAX242" s="219"/>
      <c r="FAY242" s="219"/>
      <c r="FAZ242" s="219"/>
      <c r="FBA242" s="219"/>
      <c r="FBB242" s="219"/>
      <c r="FBC242" s="219"/>
      <c r="FBD242" s="219"/>
      <c r="FBE242" s="219"/>
      <c r="FBF242" s="219"/>
      <c r="FBG242" s="219"/>
      <c r="FBH242" s="219"/>
      <c r="FBI242" s="219"/>
      <c r="FBJ242" s="219"/>
      <c r="FBK242" s="219"/>
      <c r="FBL242" s="219"/>
      <c r="FBM242" s="219"/>
      <c r="FBN242" s="219"/>
      <c r="FBO242" s="219"/>
      <c r="FBP242" s="219"/>
      <c r="FBQ242" s="219"/>
      <c r="FBR242" s="219"/>
      <c r="FBS242" s="219"/>
      <c r="FBT242" s="219"/>
      <c r="FBU242" s="219"/>
      <c r="FBV242" s="219"/>
      <c r="FBW242" s="219"/>
      <c r="FBX242" s="219"/>
      <c r="FBY242" s="219"/>
      <c r="FBZ242" s="219"/>
      <c r="FCA242" s="219"/>
      <c r="FCB242" s="219"/>
      <c r="FCC242" s="219"/>
      <c r="FCD242" s="219"/>
      <c r="FCE242" s="219"/>
      <c r="FCF242" s="219"/>
      <c r="FCG242" s="219"/>
      <c r="FCH242" s="219"/>
      <c r="FCI242" s="219"/>
      <c r="FCJ242" s="219"/>
      <c r="FCK242" s="219"/>
      <c r="FCL242" s="219"/>
      <c r="FCM242" s="219"/>
      <c r="FCN242" s="219"/>
      <c r="FCO242" s="219"/>
      <c r="FCP242" s="219"/>
      <c r="FCQ242" s="219"/>
      <c r="FCR242" s="219"/>
      <c r="FCS242" s="219"/>
      <c r="FCT242" s="219"/>
      <c r="FCU242" s="219"/>
      <c r="FCV242" s="219"/>
      <c r="FCW242" s="219"/>
      <c r="FCX242" s="219"/>
      <c r="FCY242" s="219"/>
      <c r="FCZ242" s="219"/>
      <c r="FDA242" s="219"/>
      <c r="FDB242" s="219"/>
      <c r="FDC242" s="219"/>
      <c r="FDD242" s="219"/>
      <c r="FDE242" s="219"/>
      <c r="FDF242" s="219"/>
      <c r="FDG242" s="219"/>
      <c r="FDH242" s="219"/>
      <c r="FDI242" s="219"/>
      <c r="FDJ242" s="219"/>
      <c r="FDK242" s="219"/>
      <c r="FDL242" s="219"/>
      <c r="FDM242" s="219"/>
      <c r="FDN242" s="219"/>
      <c r="FDO242" s="219"/>
      <c r="FDP242" s="219"/>
      <c r="FDQ242" s="219"/>
      <c r="FDR242" s="219"/>
      <c r="FDS242" s="219"/>
      <c r="FDT242" s="219"/>
      <c r="FDU242" s="219"/>
      <c r="FDV242" s="219"/>
      <c r="FDW242" s="219"/>
      <c r="FDX242" s="219"/>
      <c r="FDY242" s="219"/>
      <c r="FDZ242" s="219"/>
      <c r="FEA242" s="219"/>
      <c r="FEB242" s="219"/>
      <c r="FEC242" s="219"/>
      <c r="FED242" s="219"/>
      <c r="FEE242" s="219"/>
      <c r="FEF242" s="219"/>
      <c r="FEG242" s="219"/>
      <c r="FEH242" s="219"/>
      <c r="FEI242" s="219"/>
      <c r="FEJ242" s="219"/>
      <c r="FEK242" s="219"/>
      <c r="FEL242" s="219"/>
      <c r="FEM242" s="219"/>
      <c r="FEN242" s="219"/>
      <c r="FEO242" s="219"/>
      <c r="FEP242" s="219"/>
      <c r="FEQ242" s="219"/>
      <c r="FER242" s="219"/>
      <c r="FES242" s="219"/>
      <c r="FET242" s="219"/>
      <c r="FEU242" s="219"/>
      <c r="FEV242" s="219"/>
      <c r="FEW242" s="219"/>
      <c r="FEX242" s="219"/>
      <c r="FEY242" s="219"/>
      <c r="FEZ242" s="219"/>
      <c r="FFA242" s="219"/>
      <c r="FFB242" s="219"/>
      <c r="FFC242" s="219"/>
      <c r="FFD242" s="219"/>
      <c r="FFE242" s="219"/>
      <c r="FFF242" s="219"/>
      <c r="FFG242" s="219"/>
      <c r="FFH242" s="219"/>
      <c r="FFI242" s="219"/>
      <c r="FFJ242" s="219"/>
      <c r="FFK242" s="219"/>
      <c r="FFL242" s="219"/>
      <c r="FFM242" s="219"/>
      <c r="FFN242" s="219"/>
      <c r="FFO242" s="219"/>
      <c r="FFP242" s="219"/>
      <c r="FFQ242" s="219"/>
      <c r="FFR242" s="219"/>
      <c r="FFS242" s="219"/>
      <c r="FFT242" s="219"/>
      <c r="FFU242" s="219"/>
      <c r="FFV242" s="219"/>
      <c r="FFW242" s="219"/>
      <c r="FFX242" s="219"/>
      <c r="FFY242" s="219"/>
      <c r="FFZ242" s="219"/>
      <c r="FGA242" s="219"/>
      <c r="FGB242" s="219"/>
      <c r="FGC242" s="219"/>
      <c r="FGD242" s="219"/>
      <c r="FGE242" s="219"/>
      <c r="FGF242" s="219"/>
      <c r="FGG242" s="219"/>
      <c r="FGH242" s="219"/>
      <c r="FGI242" s="219"/>
      <c r="FGJ242" s="219"/>
      <c r="FGK242" s="219"/>
      <c r="FGL242" s="219"/>
      <c r="FGM242" s="219"/>
      <c r="FGN242" s="219"/>
      <c r="FGO242" s="219"/>
      <c r="FGP242" s="219"/>
      <c r="FGQ242" s="219"/>
      <c r="FGR242" s="219"/>
      <c r="FGS242" s="219"/>
      <c r="FGT242" s="219"/>
      <c r="FGU242" s="219"/>
      <c r="FGV242" s="219"/>
      <c r="FGW242" s="219"/>
      <c r="FGX242" s="219"/>
      <c r="FGY242" s="219"/>
      <c r="FGZ242" s="219"/>
      <c r="FHA242" s="219"/>
      <c r="FHB242" s="219"/>
      <c r="FHC242" s="219"/>
      <c r="FHD242" s="219"/>
      <c r="FHE242" s="219"/>
      <c r="FHF242" s="219"/>
      <c r="FHG242" s="219"/>
      <c r="FHH242" s="219"/>
      <c r="FHI242" s="219"/>
      <c r="FHJ242" s="219"/>
      <c r="FHK242" s="219"/>
      <c r="FHL242" s="219"/>
      <c r="FHM242" s="219"/>
      <c r="FHN242" s="219"/>
      <c r="FHO242" s="219"/>
      <c r="FHP242" s="219"/>
      <c r="FHQ242" s="219"/>
      <c r="FHR242" s="219"/>
      <c r="FHS242" s="219"/>
      <c r="FHT242" s="219"/>
      <c r="FHU242" s="219"/>
      <c r="FHV242" s="219"/>
      <c r="FHW242" s="219"/>
      <c r="FHX242" s="219"/>
      <c r="FHY242" s="219"/>
      <c r="FHZ242" s="219"/>
      <c r="FIA242" s="219"/>
      <c r="FIB242" s="219"/>
      <c r="FIC242" s="219"/>
      <c r="FID242" s="219"/>
      <c r="FIE242" s="219"/>
      <c r="FIF242" s="219"/>
      <c r="FIG242" s="219"/>
      <c r="FIH242" s="219"/>
      <c r="FII242" s="219"/>
      <c r="FIJ242" s="219"/>
      <c r="FIK242" s="219"/>
      <c r="FIL242" s="219"/>
      <c r="FIM242" s="219"/>
      <c r="FIN242" s="219"/>
      <c r="FIO242" s="219"/>
      <c r="FIP242" s="219"/>
      <c r="FIQ242" s="219"/>
      <c r="FIR242" s="219"/>
      <c r="FIS242" s="219"/>
      <c r="FIT242" s="219"/>
      <c r="FIU242" s="219"/>
      <c r="FIV242" s="219"/>
      <c r="FIW242" s="219"/>
      <c r="FIX242" s="219"/>
      <c r="FIY242" s="219"/>
      <c r="FIZ242" s="219"/>
      <c r="FJA242" s="219"/>
      <c r="FJB242" s="219"/>
      <c r="FJC242" s="219"/>
      <c r="FJD242" s="219"/>
      <c r="FJE242" s="219"/>
      <c r="FJF242" s="219"/>
      <c r="FJG242" s="219"/>
      <c r="FJH242" s="219"/>
      <c r="FJI242" s="219"/>
      <c r="FJJ242" s="219"/>
      <c r="FJK242" s="219"/>
      <c r="FJL242" s="219"/>
      <c r="FJM242" s="219"/>
      <c r="FJN242" s="219"/>
      <c r="FJO242" s="219"/>
      <c r="FJP242" s="219"/>
      <c r="FJQ242" s="219"/>
      <c r="FJR242" s="219"/>
      <c r="FJS242" s="219"/>
      <c r="FJT242" s="219"/>
      <c r="FJU242" s="219"/>
      <c r="FJV242" s="219"/>
      <c r="FJW242" s="219"/>
      <c r="FJX242" s="219"/>
      <c r="FJY242" s="219"/>
      <c r="FJZ242" s="219"/>
      <c r="FKA242" s="219"/>
      <c r="FKB242" s="219"/>
      <c r="FKC242" s="219"/>
      <c r="FKD242" s="219"/>
      <c r="FKE242" s="219"/>
      <c r="FKF242" s="219"/>
      <c r="FKG242" s="219"/>
      <c r="FKH242" s="219"/>
      <c r="FKI242" s="219"/>
      <c r="FKJ242" s="219"/>
      <c r="FKK242" s="219"/>
      <c r="FKL242" s="219"/>
      <c r="FKM242" s="219"/>
      <c r="FKN242" s="219"/>
      <c r="FKO242" s="219"/>
      <c r="FKP242" s="219"/>
      <c r="FKQ242" s="219"/>
      <c r="FKR242" s="219"/>
      <c r="FKS242" s="219"/>
      <c r="FKT242" s="219"/>
      <c r="FKU242" s="219"/>
      <c r="FKV242" s="219"/>
      <c r="FKW242" s="219"/>
      <c r="FKX242" s="219"/>
      <c r="FKY242" s="219"/>
      <c r="FKZ242" s="219"/>
      <c r="FLA242" s="219"/>
      <c r="FLB242" s="219"/>
      <c r="FLC242" s="219"/>
      <c r="FLD242" s="219"/>
      <c r="FLE242" s="219"/>
      <c r="FLF242" s="219"/>
      <c r="FLG242" s="219"/>
      <c r="FLH242" s="219"/>
      <c r="FLI242" s="219"/>
      <c r="FLJ242" s="219"/>
      <c r="FLK242" s="219"/>
      <c r="FLL242" s="219"/>
      <c r="FLM242" s="219"/>
      <c r="FLN242" s="219"/>
      <c r="FLO242" s="219"/>
      <c r="FLP242" s="219"/>
      <c r="FLQ242" s="219"/>
      <c r="FLR242" s="219"/>
      <c r="FLS242" s="219"/>
      <c r="FLT242" s="219"/>
      <c r="FLU242" s="219"/>
      <c r="FLV242" s="219"/>
      <c r="FLW242" s="219"/>
      <c r="FLX242" s="219"/>
      <c r="FLY242" s="219"/>
      <c r="FLZ242" s="219"/>
      <c r="FMA242" s="219"/>
      <c r="FMB242" s="219"/>
      <c r="FMC242" s="219"/>
      <c r="FMD242" s="219"/>
      <c r="FME242" s="219"/>
      <c r="FMF242" s="219"/>
      <c r="FMG242" s="219"/>
      <c r="FMH242" s="219"/>
      <c r="FMI242" s="219"/>
      <c r="FMJ242" s="219"/>
      <c r="FMK242" s="219"/>
      <c r="FML242" s="219"/>
      <c r="FMM242" s="219"/>
      <c r="FMN242" s="219"/>
      <c r="FMO242" s="219"/>
      <c r="FMP242" s="219"/>
      <c r="FMQ242" s="219"/>
      <c r="FMR242" s="219"/>
      <c r="FMS242" s="219"/>
      <c r="FMT242" s="219"/>
      <c r="FMU242" s="219"/>
      <c r="FMV242" s="219"/>
      <c r="FMW242" s="219"/>
      <c r="FMX242" s="219"/>
      <c r="FMY242" s="219"/>
      <c r="FMZ242" s="219"/>
      <c r="FNA242" s="219"/>
      <c r="FNB242" s="219"/>
      <c r="FNC242" s="219"/>
      <c r="FND242" s="219"/>
      <c r="FNE242" s="219"/>
      <c r="FNF242" s="219"/>
      <c r="FNG242" s="219"/>
      <c r="FNH242" s="219"/>
      <c r="FNI242" s="219"/>
      <c r="FNJ242" s="219"/>
      <c r="FNK242" s="219"/>
      <c r="FNL242" s="219"/>
      <c r="FNM242" s="219"/>
      <c r="FNN242" s="219"/>
      <c r="FNO242" s="219"/>
      <c r="FNP242" s="219"/>
      <c r="FNQ242" s="219"/>
      <c r="FNR242" s="219"/>
      <c r="FNS242" s="219"/>
      <c r="FNT242" s="219"/>
      <c r="FNU242" s="219"/>
      <c r="FNV242" s="219"/>
      <c r="FNW242" s="219"/>
      <c r="FNX242" s="219"/>
      <c r="FNY242" s="219"/>
      <c r="FNZ242" s="219"/>
      <c r="FOA242" s="219"/>
      <c r="FOB242" s="219"/>
      <c r="FOC242" s="219"/>
      <c r="FOD242" s="219"/>
      <c r="FOE242" s="219"/>
      <c r="FOF242" s="219"/>
      <c r="FOG242" s="219"/>
      <c r="FOH242" s="219"/>
      <c r="FOI242" s="219"/>
      <c r="FOJ242" s="219"/>
      <c r="FOK242" s="219"/>
      <c r="FOL242" s="219"/>
      <c r="FOM242" s="219"/>
      <c r="FON242" s="219"/>
      <c r="FOO242" s="219"/>
      <c r="FOP242" s="219"/>
      <c r="FOQ242" s="219"/>
      <c r="FOR242" s="219"/>
      <c r="FOS242" s="219"/>
      <c r="FOT242" s="219"/>
      <c r="FOU242" s="219"/>
      <c r="FOV242" s="219"/>
      <c r="FOW242" s="219"/>
      <c r="FOX242" s="219"/>
      <c r="FOY242" s="219"/>
      <c r="FOZ242" s="219"/>
      <c r="FPA242" s="219"/>
      <c r="FPB242" s="219"/>
      <c r="FPC242" s="219"/>
      <c r="FPD242" s="219"/>
      <c r="FPE242" s="219"/>
      <c r="FPF242" s="219"/>
      <c r="FPG242" s="219"/>
      <c r="FPH242" s="219"/>
      <c r="FPI242" s="219"/>
      <c r="FPJ242" s="219"/>
      <c r="FPK242" s="219"/>
      <c r="FPL242" s="219"/>
      <c r="FPM242" s="219"/>
      <c r="FPN242" s="219"/>
      <c r="FPO242" s="219"/>
      <c r="FPP242" s="219"/>
      <c r="FPQ242" s="219"/>
      <c r="FPR242" s="219"/>
      <c r="FPS242" s="219"/>
      <c r="FPT242" s="219"/>
      <c r="FPU242" s="219"/>
      <c r="FPV242" s="219"/>
      <c r="FPW242" s="219"/>
      <c r="FPX242" s="219"/>
      <c r="FPY242" s="219"/>
      <c r="FPZ242" s="219"/>
      <c r="FQA242" s="219"/>
      <c r="FQB242" s="219"/>
      <c r="FQC242" s="219"/>
      <c r="FQD242" s="219"/>
      <c r="FQE242" s="219"/>
      <c r="FQF242" s="219"/>
      <c r="FQG242" s="219"/>
      <c r="FQH242" s="219"/>
      <c r="FQI242" s="219"/>
      <c r="FQJ242" s="219"/>
      <c r="FQK242" s="219"/>
      <c r="FQL242" s="219"/>
      <c r="FQM242" s="219"/>
      <c r="FQN242" s="219"/>
      <c r="FQO242" s="219"/>
      <c r="FQP242" s="219"/>
      <c r="FQQ242" s="219"/>
      <c r="FQR242" s="219"/>
      <c r="FQS242" s="219"/>
      <c r="FQT242" s="219"/>
      <c r="FQU242" s="219"/>
      <c r="FQV242" s="219"/>
      <c r="FQW242" s="219"/>
      <c r="FQX242" s="219"/>
      <c r="FQY242" s="219"/>
      <c r="FQZ242" s="219"/>
      <c r="FRA242" s="219"/>
      <c r="FRB242" s="219"/>
      <c r="FRC242" s="219"/>
      <c r="FRD242" s="219"/>
      <c r="FRE242" s="219"/>
      <c r="FRF242" s="219"/>
      <c r="FRG242" s="219"/>
      <c r="FRH242" s="219"/>
      <c r="FRI242" s="219"/>
      <c r="FRJ242" s="219"/>
      <c r="FRK242" s="219"/>
      <c r="FRL242" s="219"/>
      <c r="FRM242" s="219"/>
      <c r="FRN242" s="219"/>
      <c r="FRO242" s="219"/>
      <c r="FRP242" s="219"/>
      <c r="FRQ242" s="219"/>
      <c r="FRR242" s="219"/>
      <c r="FRS242" s="219"/>
      <c r="FRT242" s="219"/>
      <c r="FRU242" s="219"/>
      <c r="FRV242" s="219"/>
      <c r="FRW242" s="219"/>
      <c r="FRX242" s="219"/>
      <c r="FRY242" s="219"/>
      <c r="FRZ242" s="219"/>
      <c r="FSA242" s="219"/>
      <c r="FSB242" s="219"/>
      <c r="FSC242" s="219"/>
      <c r="FSD242" s="219"/>
      <c r="FSE242" s="219"/>
      <c r="FSF242" s="219"/>
      <c r="FSG242" s="219"/>
      <c r="FSH242" s="219"/>
      <c r="FSI242" s="219"/>
      <c r="FSJ242" s="219"/>
      <c r="FSK242" s="219"/>
      <c r="FSL242" s="219"/>
      <c r="FSM242" s="219"/>
      <c r="FSN242" s="219"/>
      <c r="FSO242" s="219"/>
      <c r="FSP242" s="219"/>
      <c r="FSQ242" s="219"/>
      <c r="FSR242" s="219"/>
      <c r="FSS242" s="219"/>
      <c r="FST242" s="219"/>
      <c r="FSU242" s="219"/>
      <c r="FSV242" s="219"/>
      <c r="FSW242" s="219"/>
      <c r="FSX242" s="219"/>
      <c r="FSY242" s="219"/>
      <c r="FSZ242" s="219"/>
      <c r="FTA242" s="219"/>
      <c r="FTB242" s="219"/>
      <c r="FTC242" s="219"/>
      <c r="FTD242" s="219"/>
      <c r="FTE242" s="219"/>
      <c r="FTF242" s="219"/>
      <c r="FTG242" s="219"/>
      <c r="FTH242" s="219"/>
      <c r="FTI242" s="219"/>
      <c r="FTJ242" s="219"/>
      <c r="FTK242" s="219"/>
      <c r="FTL242" s="219"/>
      <c r="FTM242" s="219"/>
      <c r="FTN242" s="219"/>
      <c r="FTO242" s="219"/>
      <c r="FTP242" s="219"/>
      <c r="FTQ242" s="219"/>
      <c r="FTR242" s="219"/>
      <c r="FTS242" s="219"/>
      <c r="FTT242" s="219"/>
      <c r="FTU242" s="219"/>
      <c r="FTV242" s="219"/>
      <c r="FTW242" s="219"/>
      <c r="FTX242" s="219"/>
      <c r="FTY242" s="219"/>
      <c r="FTZ242" s="219"/>
      <c r="FUA242" s="219"/>
      <c r="FUB242" s="219"/>
      <c r="FUC242" s="219"/>
      <c r="FUD242" s="219"/>
      <c r="FUE242" s="219"/>
      <c r="FUF242" s="219"/>
      <c r="FUG242" s="219"/>
      <c r="FUH242" s="219"/>
      <c r="FUI242" s="219"/>
      <c r="FUJ242" s="219"/>
      <c r="FUK242" s="219"/>
      <c r="FUL242" s="219"/>
      <c r="FUM242" s="219"/>
      <c r="FUN242" s="219"/>
      <c r="FUO242" s="219"/>
      <c r="FUP242" s="219"/>
      <c r="FUQ242" s="219"/>
      <c r="FUR242" s="219"/>
      <c r="FUS242" s="219"/>
      <c r="FUT242" s="219"/>
      <c r="FUU242" s="219"/>
      <c r="FUV242" s="219"/>
      <c r="FUW242" s="219"/>
      <c r="FUX242" s="219"/>
      <c r="FUY242" s="219"/>
      <c r="FUZ242" s="219"/>
      <c r="FVA242" s="219"/>
      <c r="FVB242" s="219"/>
      <c r="FVC242" s="219"/>
      <c r="FVD242" s="219"/>
      <c r="FVE242" s="219"/>
      <c r="FVF242" s="219"/>
      <c r="FVG242" s="219"/>
      <c r="FVH242" s="219"/>
      <c r="FVI242" s="219"/>
      <c r="FVJ242" s="219"/>
      <c r="FVK242" s="219"/>
      <c r="FVL242" s="219"/>
      <c r="FVM242" s="219"/>
      <c r="FVN242" s="219"/>
      <c r="FVO242" s="219"/>
      <c r="FVP242" s="219"/>
      <c r="FVQ242" s="219"/>
      <c r="FVR242" s="219"/>
      <c r="FVS242" s="219"/>
      <c r="FVT242" s="219"/>
      <c r="FVU242" s="219"/>
      <c r="FVV242" s="219"/>
      <c r="FVW242" s="219"/>
      <c r="FVX242" s="219"/>
      <c r="FVY242" s="219"/>
      <c r="FVZ242" s="219"/>
      <c r="FWA242" s="219"/>
      <c r="FWB242" s="219"/>
      <c r="FWC242" s="219"/>
      <c r="FWD242" s="219"/>
      <c r="FWE242" s="219"/>
      <c r="FWF242" s="219"/>
      <c r="FWG242" s="219"/>
      <c r="FWH242" s="219"/>
      <c r="FWI242" s="219"/>
      <c r="FWJ242" s="219"/>
      <c r="FWK242" s="219"/>
      <c r="FWL242" s="219"/>
      <c r="FWM242" s="219"/>
      <c r="FWN242" s="219"/>
      <c r="FWO242" s="219"/>
      <c r="FWP242" s="219"/>
      <c r="FWQ242" s="219"/>
      <c r="FWR242" s="219"/>
      <c r="FWS242" s="219"/>
      <c r="FWT242" s="219"/>
      <c r="FWU242" s="219"/>
      <c r="FWV242" s="219"/>
      <c r="FWW242" s="219"/>
      <c r="FWX242" s="219"/>
      <c r="FWY242" s="219"/>
      <c r="FWZ242" s="219"/>
      <c r="FXA242" s="219"/>
      <c r="FXB242" s="219"/>
      <c r="FXC242" s="219"/>
      <c r="FXD242" s="219"/>
      <c r="FXE242" s="219"/>
      <c r="FXF242" s="219"/>
      <c r="FXG242" s="219"/>
      <c r="FXH242" s="219"/>
      <c r="FXI242" s="219"/>
      <c r="FXJ242" s="219"/>
      <c r="FXK242" s="219"/>
      <c r="FXL242" s="219"/>
      <c r="FXM242" s="219"/>
      <c r="FXN242" s="219"/>
      <c r="FXO242" s="219"/>
      <c r="FXP242" s="219"/>
      <c r="FXQ242" s="219"/>
      <c r="FXR242" s="219"/>
      <c r="FXS242" s="219"/>
      <c r="FXT242" s="219"/>
      <c r="FXU242" s="219"/>
      <c r="FXV242" s="219"/>
      <c r="FXW242" s="219"/>
      <c r="FXX242" s="219"/>
      <c r="FXY242" s="219"/>
      <c r="FXZ242" s="219"/>
      <c r="FYA242" s="219"/>
      <c r="FYB242" s="219"/>
      <c r="FYC242" s="219"/>
      <c r="FYD242" s="219"/>
      <c r="FYE242" s="219"/>
      <c r="FYF242" s="219"/>
      <c r="FYG242" s="219"/>
      <c r="FYH242" s="219"/>
      <c r="FYI242" s="219"/>
      <c r="FYJ242" s="219"/>
      <c r="FYK242" s="219"/>
      <c r="FYL242" s="219"/>
      <c r="FYM242" s="219"/>
      <c r="FYN242" s="219"/>
      <c r="FYO242" s="219"/>
      <c r="FYP242" s="219"/>
      <c r="FYQ242" s="219"/>
      <c r="FYR242" s="219"/>
      <c r="FYS242" s="219"/>
      <c r="FYT242" s="219"/>
      <c r="FYU242" s="219"/>
      <c r="FYV242" s="219"/>
      <c r="FYW242" s="219"/>
      <c r="FYX242" s="219"/>
      <c r="FYY242" s="219"/>
      <c r="FYZ242" s="219"/>
      <c r="FZA242" s="219"/>
      <c r="FZB242" s="219"/>
      <c r="FZC242" s="219"/>
      <c r="FZD242" s="219"/>
      <c r="FZE242" s="219"/>
      <c r="FZF242" s="219"/>
      <c r="FZG242" s="219"/>
      <c r="FZH242" s="219"/>
      <c r="FZI242" s="219"/>
      <c r="FZJ242" s="219"/>
      <c r="FZK242" s="219"/>
      <c r="FZL242" s="219"/>
      <c r="FZM242" s="219"/>
      <c r="FZN242" s="219"/>
      <c r="FZO242" s="219"/>
      <c r="FZP242" s="219"/>
      <c r="FZQ242" s="219"/>
      <c r="FZR242" s="219"/>
      <c r="FZS242" s="219"/>
      <c r="FZT242" s="219"/>
      <c r="FZU242" s="219"/>
      <c r="FZV242" s="219"/>
      <c r="FZW242" s="219"/>
      <c r="FZX242" s="219"/>
      <c r="FZY242" s="219"/>
      <c r="FZZ242" s="219"/>
      <c r="GAA242" s="219"/>
      <c r="GAB242" s="219"/>
      <c r="GAC242" s="219"/>
      <c r="GAD242" s="219"/>
      <c r="GAE242" s="219"/>
      <c r="GAF242" s="219"/>
      <c r="GAG242" s="219"/>
      <c r="GAH242" s="219"/>
      <c r="GAI242" s="219"/>
      <c r="GAJ242" s="219"/>
      <c r="GAK242" s="219"/>
      <c r="GAL242" s="219"/>
      <c r="GAM242" s="219"/>
      <c r="GAN242" s="219"/>
      <c r="GAO242" s="219"/>
      <c r="GAP242" s="219"/>
      <c r="GAQ242" s="219"/>
      <c r="GAR242" s="219"/>
      <c r="GAS242" s="219"/>
      <c r="GAT242" s="219"/>
      <c r="GAU242" s="219"/>
      <c r="GAV242" s="219"/>
      <c r="GAW242" s="219"/>
      <c r="GAX242" s="219"/>
      <c r="GAY242" s="219"/>
      <c r="GAZ242" s="219"/>
      <c r="GBA242" s="219"/>
      <c r="GBB242" s="219"/>
      <c r="GBC242" s="219"/>
      <c r="GBD242" s="219"/>
      <c r="GBE242" s="219"/>
      <c r="GBF242" s="219"/>
      <c r="GBG242" s="219"/>
      <c r="GBH242" s="219"/>
      <c r="GBI242" s="219"/>
      <c r="GBJ242" s="219"/>
      <c r="GBK242" s="219"/>
      <c r="GBL242" s="219"/>
      <c r="GBM242" s="219"/>
      <c r="GBN242" s="219"/>
      <c r="GBO242" s="219"/>
      <c r="GBP242" s="219"/>
      <c r="GBQ242" s="219"/>
      <c r="GBR242" s="219"/>
      <c r="GBS242" s="219"/>
      <c r="GBT242" s="219"/>
      <c r="GBU242" s="219"/>
      <c r="GBV242" s="219"/>
      <c r="GBW242" s="219"/>
      <c r="GBX242" s="219"/>
      <c r="GBY242" s="219"/>
      <c r="GBZ242" s="219"/>
      <c r="GCA242" s="219"/>
      <c r="GCB242" s="219"/>
      <c r="GCC242" s="219"/>
      <c r="GCD242" s="219"/>
      <c r="GCE242" s="219"/>
      <c r="GCF242" s="219"/>
      <c r="GCG242" s="219"/>
      <c r="GCH242" s="219"/>
      <c r="GCI242" s="219"/>
      <c r="GCJ242" s="219"/>
      <c r="GCK242" s="219"/>
      <c r="GCL242" s="219"/>
      <c r="GCM242" s="219"/>
      <c r="GCN242" s="219"/>
      <c r="GCO242" s="219"/>
      <c r="GCP242" s="219"/>
      <c r="GCQ242" s="219"/>
      <c r="GCR242" s="219"/>
      <c r="GCS242" s="219"/>
      <c r="GCT242" s="219"/>
      <c r="GCU242" s="219"/>
      <c r="GCV242" s="219"/>
      <c r="GCW242" s="219"/>
      <c r="GCX242" s="219"/>
      <c r="GCY242" s="219"/>
      <c r="GCZ242" s="219"/>
      <c r="GDA242" s="219"/>
      <c r="GDB242" s="219"/>
      <c r="GDC242" s="219"/>
      <c r="GDD242" s="219"/>
      <c r="GDE242" s="219"/>
      <c r="GDF242" s="219"/>
      <c r="GDG242" s="219"/>
      <c r="GDH242" s="219"/>
      <c r="GDI242" s="219"/>
      <c r="GDJ242" s="219"/>
      <c r="GDK242" s="219"/>
      <c r="GDL242" s="219"/>
      <c r="GDM242" s="219"/>
      <c r="GDN242" s="219"/>
      <c r="GDO242" s="219"/>
      <c r="GDP242" s="219"/>
      <c r="GDQ242" s="219"/>
      <c r="GDR242" s="219"/>
      <c r="GDS242" s="219"/>
      <c r="GDT242" s="219"/>
      <c r="GDU242" s="219"/>
      <c r="GDV242" s="219"/>
      <c r="GDW242" s="219"/>
      <c r="GDX242" s="219"/>
      <c r="GDY242" s="219"/>
      <c r="GDZ242" s="219"/>
      <c r="GEA242" s="219"/>
      <c r="GEB242" s="219"/>
      <c r="GEC242" s="219"/>
      <c r="GED242" s="219"/>
      <c r="GEE242" s="219"/>
      <c r="GEF242" s="219"/>
      <c r="GEG242" s="219"/>
      <c r="GEH242" s="219"/>
      <c r="GEI242" s="219"/>
      <c r="GEJ242" s="219"/>
      <c r="GEK242" s="219"/>
      <c r="GEL242" s="219"/>
      <c r="GEM242" s="219"/>
      <c r="GEN242" s="219"/>
      <c r="GEO242" s="219"/>
      <c r="GEP242" s="219"/>
      <c r="GEQ242" s="219"/>
      <c r="GER242" s="219"/>
      <c r="GES242" s="219"/>
      <c r="GET242" s="219"/>
      <c r="GEU242" s="219"/>
      <c r="GEV242" s="219"/>
      <c r="GEW242" s="219"/>
      <c r="GEX242" s="219"/>
      <c r="GEY242" s="219"/>
      <c r="GEZ242" s="219"/>
      <c r="GFA242" s="219"/>
      <c r="GFB242" s="219"/>
      <c r="GFC242" s="219"/>
      <c r="GFD242" s="219"/>
      <c r="GFE242" s="219"/>
      <c r="GFF242" s="219"/>
      <c r="GFG242" s="219"/>
      <c r="GFH242" s="219"/>
      <c r="GFI242" s="219"/>
      <c r="GFJ242" s="219"/>
      <c r="GFK242" s="219"/>
      <c r="GFL242" s="219"/>
      <c r="GFM242" s="219"/>
      <c r="GFN242" s="219"/>
      <c r="GFO242" s="219"/>
      <c r="GFP242" s="219"/>
      <c r="GFQ242" s="219"/>
      <c r="GFR242" s="219"/>
      <c r="GFS242" s="219"/>
      <c r="GFT242" s="219"/>
      <c r="GFU242" s="219"/>
      <c r="GFV242" s="219"/>
      <c r="GFW242" s="219"/>
      <c r="GFX242" s="219"/>
      <c r="GFY242" s="219"/>
      <c r="GFZ242" s="219"/>
      <c r="GGA242" s="219"/>
      <c r="GGB242" s="219"/>
      <c r="GGC242" s="219"/>
      <c r="GGD242" s="219"/>
      <c r="GGE242" s="219"/>
      <c r="GGF242" s="219"/>
      <c r="GGG242" s="219"/>
      <c r="GGH242" s="219"/>
      <c r="GGI242" s="219"/>
      <c r="GGJ242" s="219"/>
      <c r="GGK242" s="219"/>
      <c r="GGL242" s="219"/>
      <c r="GGM242" s="219"/>
      <c r="GGN242" s="219"/>
      <c r="GGO242" s="219"/>
      <c r="GGP242" s="219"/>
      <c r="GGQ242" s="219"/>
      <c r="GGR242" s="219"/>
      <c r="GGS242" s="219"/>
      <c r="GGT242" s="219"/>
      <c r="GGU242" s="219"/>
      <c r="GGV242" s="219"/>
      <c r="GGW242" s="219"/>
      <c r="GGX242" s="219"/>
      <c r="GGY242" s="219"/>
      <c r="GGZ242" s="219"/>
      <c r="GHA242" s="219"/>
      <c r="GHB242" s="219"/>
      <c r="GHC242" s="219"/>
      <c r="GHD242" s="219"/>
      <c r="GHE242" s="219"/>
      <c r="GHF242" s="219"/>
      <c r="GHG242" s="219"/>
      <c r="GHH242" s="219"/>
      <c r="GHI242" s="219"/>
      <c r="GHJ242" s="219"/>
      <c r="GHK242" s="219"/>
      <c r="GHL242" s="219"/>
      <c r="GHM242" s="219"/>
      <c r="GHN242" s="219"/>
      <c r="GHO242" s="219"/>
      <c r="GHP242" s="219"/>
      <c r="GHQ242" s="219"/>
      <c r="GHR242" s="219"/>
      <c r="GHS242" s="219"/>
      <c r="GHT242" s="219"/>
      <c r="GHU242" s="219"/>
      <c r="GHV242" s="219"/>
      <c r="GHW242" s="219"/>
      <c r="GHX242" s="219"/>
      <c r="GHY242" s="219"/>
      <c r="GHZ242" s="219"/>
      <c r="GIA242" s="219"/>
      <c r="GIB242" s="219"/>
      <c r="GIC242" s="219"/>
      <c r="GID242" s="219"/>
      <c r="GIE242" s="219"/>
      <c r="GIF242" s="219"/>
      <c r="GIG242" s="219"/>
      <c r="GIH242" s="219"/>
      <c r="GII242" s="219"/>
      <c r="GIJ242" s="219"/>
      <c r="GIK242" s="219"/>
      <c r="GIL242" s="219"/>
      <c r="GIM242" s="219"/>
      <c r="GIN242" s="219"/>
      <c r="GIO242" s="219"/>
      <c r="GIP242" s="219"/>
      <c r="GIQ242" s="219"/>
      <c r="GIR242" s="219"/>
      <c r="GIS242" s="219"/>
      <c r="GIT242" s="219"/>
      <c r="GIU242" s="219"/>
      <c r="GIV242" s="219"/>
      <c r="GIW242" s="219"/>
      <c r="GIX242" s="219"/>
      <c r="GIY242" s="219"/>
      <c r="GIZ242" s="219"/>
      <c r="GJA242" s="219"/>
      <c r="GJB242" s="219"/>
      <c r="GJC242" s="219"/>
      <c r="GJD242" s="219"/>
      <c r="GJE242" s="219"/>
      <c r="GJF242" s="219"/>
      <c r="GJG242" s="219"/>
      <c r="GJH242" s="219"/>
      <c r="GJI242" s="219"/>
      <c r="GJJ242" s="219"/>
      <c r="GJK242" s="219"/>
      <c r="GJL242" s="219"/>
      <c r="GJM242" s="219"/>
      <c r="GJN242" s="219"/>
      <c r="GJO242" s="219"/>
      <c r="GJP242" s="219"/>
      <c r="GJQ242" s="219"/>
      <c r="GJR242" s="219"/>
      <c r="GJS242" s="219"/>
      <c r="GJT242" s="219"/>
      <c r="GJU242" s="219"/>
      <c r="GJV242" s="219"/>
      <c r="GJW242" s="219"/>
      <c r="GJX242" s="219"/>
      <c r="GJY242" s="219"/>
      <c r="GJZ242" s="219"/>
      <c r="GKA242" s="219"/>
      <c r="GKB242" s="219"/>
      <c r="GKC242" s="219"/>
      <c r="GKD242" s="219"/>
      <c r="GKE242" s="219"/>
      <c r="GKF242" s="219"/>
      <c r="GKG242" s="219"/>
      <c r="GKH242" s="219"/>
      <c r="GKI242" s="219"/>
      <c r="GKJ242" s="219"/>
      <c r="GKK242" s="219"/>
      <c r="GKL242" s="219"/>
      <c r="GKM242" s="219"/>
      <c r="GKN242" s="219"/>
      <c r="GKO242" s="219"/>
      <c r="GKP242" s="219"/>
      <c r="GKQ242" s="219"/>
      <c r="GKR242" s="219"/>
      <c r="GKS242" s="219"/>
      <c r="GKT242" s="219"/>
      <c r="GKU242" s="219"/>
      <c r="GKV242" s="219"/>
      <c r="GKW242" s="219"/>
      <c r="GKX242" s="219"/>
      <c r="GKY242" s="219"/>
      <c r="GKZ242" s="219"/>
      <c r="GLA242" s="219"/>
      <c r="GLB242" s="219"/>
      <c r="GLC242" s="219"/>
      <c r="GLD242" s="219"/>
      <c r="GLE242" s="219"/>
      <c r="GLF242" s="219"/>
      <c r="GLG242" s="219"/>
      <c r="GLH242" s="219"/>
      <c r="GLI242" s="219"/>
      <c r="GLJ242" s="219"/>
      <c r="GLK242" s="219"/>
      <c r="GLL242" s="219"/>
      <c r="GLM242" s="219"/>
      <c r="GLN242" s="219"/>
      <c r="GLO242" s="219"/>
      <c r="GLP242" s="219"/>
      <c r="GLQ242" s="219"/>
      <c r="GLR242" s="219"/>
      <c r="GLS242" s="219"/>
      <c r="GLT242" s="219"/>
      <c r="GLU242" s="219"/>
      <c r="GLV242" s="219"/>
      <c r="GLW242" s="219"/>
      <c r="GLX242" s="219"/>
      <c r="GLY242" s="219"/>
      <c r="GLZ242" s="219"/>
      <c r="GMA242" s="219"/>
      <c r="GMB242" s="219"/>
      <c r="GMC242" s="219"/>
      <c r="GMD242" s="219"/>
      <c r="GME242" s="219"/>
      <c r="GMF242" s="219"/>
      <c r="GMG242" s="219"/>
      <c r="GMH242" s="219"/>
      <c r="GMI242" s="219"/>
      <c r="GMJ242" s="219"/>
      <c r="GMK242" s="219"/>
      <c r="GML242" s="219"/>
      <c r="GMM242" s="219"/>
      <c r="GMN242" s="219"/>
      <c r="GMO242" s="219"/>
      <c r="GMP242" s="219"/>
      <c r="GMQ242" s="219"/>
      <c r="GMR242" s="219"/>
      <c r="GMS242" s="219"/>
      <c r="GMT242" s="219"/>
      <c r="GMU242" s="219"/>
      <c r="GMV242" s="219"/>
      <c r="GMW242" s="219"/>
      <c r="GMX242" s="219"/>
      <c r="GMY242" s="219"/>
      <c r="GMZ242" s="219"/>
      <c r="GNA242" s="219"/>
      <c r="GNB242" s="219"/>
      <c r="GNC242" s="219"/>
      <c r="GND242" s="219"/>
      <c r="GNE242" s="219"/>
      <c r="GNF242" s="219"/>
      <c r="GNG242" s="219"/>
      <c r="GNH242" s="219"/>
      <c r="GNI242" s="219"/>
      <c r="GNJ242" s="219"/>
      <c r="GNK242" s="219"/>
      <c r="GNL242" s="219"/>
      <c r="GNM242" s="219"/>
      <c r="GNN242" s="219"/>
      <c r="GNO242" s="219"/>
      <c r="GNP242" s="219"/>
      <c r="GNQ242" s="219"/>
      <c r="GNR242" s="219"/>
      <c r="GNS242" s="219"/>
      <c r="GNT242" s="219"/>
      <c r="GNU242" s="219"/>
      <c r="GNV242" s="219"/>
      <c r="GNW242" s="219"/>
      <c r="GNX242" s="219"/>
      <c r="GNY242" s="219"/>
      <c r="GNZ242" s="219"/>
      <c r="GOA242" s="219"/>
      <c r="GOB242" s="219"/>
      <c r="GOC242" s="219"/>
      <c r="GOD242" s="219"/>
      <c r="GOE242" s="219"/>
      <c r="GOF242" s="219"/>
      <c r="GOG242" s="219"/>
      <c r="GOH242" s="219"/>
      <c r="GOI242" s="219"/>
      <c r="GOJ242" s="219"/>
      <c r="GOK242" s="219"/>
      <c r="GOL242" s="219"/>
      <c r="GOM242" s="219"/>
      <c r="GON242" s="219"/>
      <c r="GOO242" s="219"/>
      <c r="GOP242" s="219"/>
      <c r="GOQ242" s="219"/>
      <c r="GOR242" s="219"/>
      <c r="GOS242" s="219"/>
      <c r="GOT242" s="219"/>
      <c r="GOU242" s="219"/>
      <c r="GOV242" s="219"/>
      <c r="GOW242" s="219"/>
      <c r="GOX242" s="219"/>
      <c r="GOY242" s="219"/>
      <c r="GOZ242" s="219"/>
      <c r="GPA242" s="219"/>
      <c r="GPB242" s="219"/>
      <c r="GPC242" s="219"/>
      <c r="GPD242" s="219"/>
      <c r="GPE242" s="219"/>
      <c r="GPF242" s="219"/>
      <c r="GPG242" s="219"/>
      <c r="GPH242" s="219"/>
      <c r="GPI242" s="219"/>
      <c r="GPJ242" s="219"/>
      <c r="GPK242" s="219"/>
      <c r="GPL242" s="219"/>
      <c r="GPM242" s="219"/>
      <c r="GPN242" s="219"/>
      <c r="GPO242" s="219"/>
      <c r="GPP242" s="219"/>
      <c r="GPQ242" s="219"/>
      <c r="GPR242" s="219"/>
      <c r="GPS242" s="219"/>
      <c r="GPT242" s="219"/>
      <c r="GPU242" s="219"/>
      <c r="GPV242" s="219"/>
      <c r="GPW242" s="219"/>
      <c r="GPX242" s="219"/>
      <c r="GPY242" s="219"/>
      <c r="GPZ242" s="219"/>
      <c r="GQA242" s="219"/>
      <c r="GQB242" s="219"/>
      <c r="GQC242" s="219"/>
      <c r="GQD242" s="219"/>
      <c r="GQE242" s="219"/>
      <c r="GQF242" s="219"/>
      <c r="GQG242" s="219"/>
      <c r="GQH242" s="219"/>
      <c r="GQI242" s="219"/>
      <c r="GQJ242" s="219"/>
      <c r="GQK242" s="219"/>
      <c r="GQL242" s="219"/>
      <c r="GQM242" s="219"/>
      <c r="GQN242" s="219"/>
      <c r="GQO242" s="219"/>
      <c r="GQP242" s="219"/>
      <c r="GQQ242" s="219"/>
      <c r="GQR242" s="219"/>
      <c r="GQS242" s="219"/>
      <c r="GQT242" s="219"/>
      <c r="GQU242" s="219"/>
      <c r="GQV242" s="219"/>
      <c r="GQW242" s="219"/>
      <c r="GQX242" s="219"/>
      <c r="GQY242" s="219"/>
      <c r="GQZ242" s="219"/>
      <c r="GRA242" s="219"/>
      <c r="GRB242" s="219"/>
      <c r="GRC242" s="219"/>
      <c r="GRD242" s="219"/>
      <c r="GRE242" s="219"/>
      <c r="GRF242" s="219"/>
      <c r="GRG242" s="219"/>
      <c r="GRH242" s="219"/>
      <c r="GRI242" s="219"/>
      <c r="GRJ242" s="219"/>
      <c r="GRK242" s="219"/>
      <c r="GRL242" s="219"/>
      <c r="GRM242" s="219"/>
      <c r="GRN242" s="219"/>
      <c r="GRO242" s="219"/>
      <c r="GRP242" s="219"/>
      <c r="GRQ242" s="219"/>
      <c r="GRR242" s="219"/>
      <c r="GRS242" s="219"/>
      <c r="GRT242" s="219"/>
      <c r="GRU242" s="219"/>
      <c r="GRV242" s="219"/>
      <c r="GRW242" s="219"/>
      <c r="GRX242" s="219"/>
      <c r="GRY242" s="219"/>
      <c r="GRZ242" s="219"/>
      <c r="GSA242" s="219"/>
      <c r="GSB242" s="219"/>
      <c r="GSC242" s="219"/>
      <c r="GSD242" s="219"/>
      <c r="GSE242" s="219"/>
      <c r="GSF242" s="219"/>
      <c r="GSG242" s="219"/>
      <c r="GSH242" s="219"/>
      <c r="GSI242" s="219"/>
      <c r="GSJ242" s="219"/>
      <c r="GSK242" s="219"/>
      <c r="GSL242" s="219"/>
      <c r="GSM242" s="219"/>
      <c r="GSN242" s="219"/>
      <c r="GSO242" s="219"/>
      <c r="GSP242" s="219"/>
      <c r="GSQ242" s="219"/>
      <c r="GSR242" s="219"/>
      <c r="GSS242" s="219"/>
      <c r="GST242" s="219"/>
      <c r="GSU242" s="219"/>
      <c r="GSV242" s="219"/>
      <c r="GSW242" s="219"/>
      <c r="GSX242" s="219"/>
      <c r="GSY242" s="219"/>
      <c r="GSZ242" s="219"/>
      <c r="GTA242" s="219"/>
      <c r="GTB242" s="219"/>
      <c r="GTC242" s="219"/>
      <c r="GTD242" s="219"/>
      <c r="GTE242" s="219"/>
      <c r="GTF242" s="219"/>
      <c r="GTG242" s="219"/>
      <c r="GTH242" s="219"/>
      <c r="GTI242" s="219"/>
      <c r="GTJ242" s="219"/>
      <c r="GTK242" s="219"/>
      <c r="GTL242" s="219"/>
      <c r="GTM242" s="219"/>
      <c r="GTN242" s="219"/>
      <c r="GTO242" s="219"/>
      <c r="GTP242" s="219"/>
      <c r="GTQ242" s="219"/>
      <c r="GTR242" s="219"/>
      <c r="GTS242" s="219"/>
      <c r="GTT242" s="219"/>
      <c r="GTU242" s="219"/>
      <c r="GTV242" s="219"/>
      <c r="GTW242" s="219"/>
      <c r="GTX242" s="219"/>
      <c r="GTY242" s="219"/>
      <c r="GTZ242" s="219"/>
      <c r="GUA242" s="219"/>
      <c r="GUB242" s="219"/>
      <c r="GUC242" s="219"/>
      <c r="GUD242" s="219"/>
      <c r="GUE242" s="219"/>
      <c r="GUF242" s="219"/>
      <c r="GUG242" s="219"/>
      <c r="GUH242" s="219"/>
      <c r="GUI242" s="219"/>
      <c r="GUJ242" s="219"/>
      <c r="GUK242" s="219"/>
      <c r="GUL242" s="219"/>
      <c r="GUM242" s="219"/>
      <c r="GUN242" s="219"/>
      <c r="GUO242" s="219"/>
      <c r="GUP242" s="219"/>
      <c r="GUQ242" s="219"/>
      <c r="GUR242" s="219"/>
      <c r="GUS242" s="219"/>
      <c r="GUT242" s="219"/>
      <c r="GUU242" s="219"/>
      <c r="GUV242" s="219"/>
      <c r="GUW242" s="219"/>
      <c r="GUX242" s="219"/>
      <c r="GUY242" s="219"/>
      <c r="GUZ242" s="219"/>
      <c r="GVA242" s="219"/>
      <c r="GVB242" s="219"/>
      <c r="GVC242" s="219"/>
      <c r="GVD242" s="219"/>
      <c r="GVE242" s="219"/>
      <c r="GVF242" s="219"/>
      <c r="GVG242" s="219"/>
      <c r="GVH242" s="219"/>
      <c r="GVI242" s="219"/>
      <c r="GVJ242" s="219"/>
      <c r="GVK242" s="219"/>
      <c r="GVL242" s="219"/>
      <c r="GVM242" s="219"/>
      <c r="GVN242" s="219"/>
      <c r="GVO242" s="219"/>
      <c r="GVP242" s="219"/>
      <c r="GVQ242" s="219"/>
      <c r="GVR242" s="219"/>
      <c r="GVS242" s="219"/>
      <c r="GVT242" s="219"/>
      <c r="GVU242" s="219"/>
      <c r="GVV242" s="219"/>
      <c r="GVW242" s="219"/>
      <c r="GVX242" s="219"/>
      <c r="GVY242" s="219"/>
      <c r="GVZ242" s="219"/>
      <c r="GWA242" s="219"/>
      <c r="GWB242" s="219"/>
      <c r="GWC242" s="219"/>
      <c r="GWD242" s="219"/>
      <c r="GWE242" s="219"/>
      <c r="GWF242" s="219"/>
      <c r="GWG242" s="219"/>
      <c r="GWH242" s="219"/>
      <c r="GWI242" s="219"/>
      <c r="GWJ242" s="219"/>
      <c r="GWK242" s="219"/>
      <c r="GWL242" s="219"/>
      <c r="GWM242" s="219"/>
      <c r="GWN242" s="219"/>
      <c r="GWO242" s="219"/>
      <c r="GWP242" s="219"/>
      <c r="GWQ242" s="219"/>
      <c r="GWR242" s="219"/>
      <c r="GWS242" s="219"/>
      <c r="GWT242" s="219"/>
      <c r="GWU242" s="219"/>
      <c r="GWV242" s="219"/>
      <c r="GWW242" s="219"/>
      <c r="GWX242" s="219"/>
      <c r="GWY242" s="219"/>
      <c r="GWZ242" s="219"/>
      <c r="GXA242" s="219"/>
      <c r="GXB242" s="219"/>
      <c r="GXC242" s="219"/>
      <c r="GXD242" s="219"/>
      <c r="GXE242" s="219"/>
      <c r="GXF242" s="219"/>
      <c r="GXG242" s="219"/>
      <c r="GXH242" s="219"/>
      <c r="GXI242" s="219"/>
      <c r="GXJ242" s="219"/>
      <c r="GXK242" s="219"/>
      <c r="GXL242" s="219"/>
      <c r="GXM242" s="219"/>
      <c r="GXN242" s="219"/>
      <c r="GXO242" s="219"/>
      <c r="GXP242" s="219"/>
      <c r="GXQ242" s="219"/>
      <c r="GXR242" s="219"/>
      <c r="GXS242" s="219"/>
      <c r="GXT242" s="219"/>
      <c r="GXU242" s="219"/>
      <c r="GXV242" s="219"/>
      <c r="GXW242" s="219"/>
      <c r="GXX242" s="219"/>
      <c r="GXY242" s="219"/>
      <c r="GXZ242" s="219"/>
      <c r="GYA242" s="219"/>
      <c r="GYB242" s="219"/>
      <c r="GYC242" s="219"/>
      <c r="GYD242" s="219"/>
      <c r="GYE242" s="219"/>
      <c r="GYF242" s="219"/>
      <c r="GYG242" s="219"/>
      <c r="GYH242" s="219"/>
      <c r="GYI242" s="219"/>
      <c r="GYJ242" s="219"/>
      <c r="GYK242" s="219"/>
      <c r="GYL242" s="219"/>
      <c r="GYM242" s="219"/>
      <c r="GYN242" s="219"/>
      <c r="GYO242" s="219"/>
      <c r="GYP242" s="219"/>
      <c r="GYQ242" s="219"/>
      <c r="GYR242" s="219"/>
      <c r="GYS242" s="219"/>
      <c r="GYT242" s="219"/>
      <c r="GYU242" s="219"/>
      <c r="GYV242" s="219"/>
      <c r="GYW242" s="219"/>
      <c r="GYX242" s="219"/>
      <c r="GYY242" s="219"/>
      <c r="GYZ242" s="219"/>
      <c r="GZA242" s="219"/>
      <c r="GZB242" s="219"/>
      <c r="GZC242" s="219"/>
      <c r="GZD242" s="219"/>
      <c r="GZE242" s="219"/>
      <c r="GZF242" s="219"/>
      <c r="GZG242" s="219"/>
      <c r="GZH242" s="219"/>
      <c r="GZI242" s="219"/>
      <c r="GZJ242" s="219"/>
      <c r="GZK242" s="219"/>
      <c r="GZL242" s="219"/>
      <c r="GZM242" s="219"/>
      <c r="GZN242" s="219"/>
      <c r="GZO242" s="219"/>
      <c r="GZP242" s="219"/>
      <c r="GZQ242" s="219"/>
      <c r="GZR242" s="219"/>
      <c r="GZS242" s="219"/>
      <c r="GZT242" s="219"/>
      <c r="GZU242" s="219"/>
      <c r="GZV242" s="219"/>
      <c r="GZW242" s="219"/>
      <c r="GZX242" s="219"/>
      <c r="GZY242" s="219"/>
      <c r="GZZ242" s="219"/>
      <c r="HAA242" s="219"/>
      <c r="HAB242" s="219"/>
      <c r="HAC242" s="219"/>
      <c r="HAD242" s="219"/>
      <c r="HAE242" s="219"/>
      <c r="HAF242" s="219"/>
      <c r="HAG242" s="219"/>
      <c r="HAH242" s="219"/>
      <c r="HAI242" s="219"/>
      <c r="HAJ242" s="219"/>
      <c r="HAK242" s="219"/>
      <c r="HAL242" s="219"/>
      <c r="HAM242" s="219"/>
      <c r="HAN242" s="219"/>
      <c r="HAO242" s="219"/>
      <c r="HAP242" s="219"/>
      <c r="HAQ242" s="219"/>
      <c r="HAR242" s="219"/>
      <c r="HAS242" s="219"/>
      <c r="HAT242" s="219"/>
      <c r="HAU242" s="219"/>
      <c r="HAV242" s="219"/>
      <c r="HAW242" s="219"/>
      <c r="HAX242" s="219"/>
      <c r="HAY242" s="219"/>
      <c r="HAZ242" s="219"/>
      <c r="HBA242" s="219"/>
      <c r="HBB242" s="219"/>
      <c r="HBC242" s="219"/>
      <c r="HBD242" s="219"/>
      <c r="HBE242" s="219"/>
      <c r="HBF242" s="219"/>
      <c r="HBG242" s="219"/>
      <c r="HBH242" s="219"/>
      <c r="HBI242" s="219"/>
      <c r="HBJ242" s="219"/>
      <c r="HBK242" s="219"/>
      <c r="HBL242" s="219"/>
      <c r="HBM242" s="219"/>
      <c r="HBN242" s="219"/>
      <c r="HBO242" s="219"/>
      <c r="HBP242" s="219"/>
      <c r="HBQ242" s="219"/>
      <c r="HBR242" s="219"/>
      <c r="HBS242" s="219"/>
      <c r="HBT242" s="219"/>
      <c r="HBU242" s="219"/>
      <c r="HBV242" s="219"/>
      <c r="HBW242" s="219"/>
      <c r="HBX242" s="219"/>
      <c r="HBY242" s="219"/>
      <c r="HBZ242" s="219"/>
      <c r="HCA242" s="219"/>
      <c r="HCB242" s="219"/>
      <c r="HCC242" s="219"/>
      <c r="HCD242" s="219"/>
      <c r="HCE242" s="219"/>
      <c r="HCF242" s="219"/>
      <c r="HCG242" s="219"/>
      <c r="HCH242" s="219"/>
      <c r="HCI242" s="219"/>
      <c r="HCJ242" s="219"/>
      <c r="HCK242" s="219"/>
      <c r="HCL242" s="219"/>
      <c r="HCM242" s="219"/>
      <c r="HCN242" s="219"/>
      <c r="HCO242" s="219"/>
      <c r="HCP242" s="219"/>
      <c r="HCQ242" s="219"/>
      <c r="HCR242" s="219"/>
      <c r="HCS242" s="219"/>
      <c r="HCT242" s="219"/>
      <c r="HCU242" s="219"/>
      <c r="HCV242" s="219"/>
      <c r="HCW242" s="219"/>
      <c r="HCX242" s="219"/>
      <c r="HCY242" s="219"/>
      <c r="HCZ242" s="219"/>
      <c r="HDA242" s="219"/>
      <c r="HDB242" s="219"/>
      <c r="HDC242" s="219"/>
      <c r="HDD242" s="219"/>
      <c r="HDE242" s="219"/>
      <c r="HDF242" s="219"/>
      <c r="HDG242" s="219"/>
      <c r="HDH242" s="219"/>
      <c r="HDI242" s="219"/>
      <c r="HDJ242" s="219"/>
      <c r="HDK242" s="219"/>
      <c r="HDL242" s="219"/>
      <c r="HDM242" s="219"/>
      <c r="HDN242" s="219"/>
      <c r="HDO242" s="219"/>
      <c r="HDP242" s="219"/>
      <c r="HDQ242" s="219"/>
      <c r="HDR242" s="219"/>
      <c r="HDS242" s="219"/>
      <c r="HDT242" s="219"/>
      <c r="HDU242" s="219"/>
      <c r="HDV242" s="219"/>
      <c r="HDW242" s="219"/>
      <c r="HDX242" s="219"/>
      <c r="HDY242" s="219"/>
      <c r="HDZ242" s="219"/>
      <c r="HEA242" s="219"/>
      <c r="HEB242" s="219"/>
      <c r="HEC242" s="219"/>
      <c r="HED242" s="219"/>
      <c r="HEE242" s="219"/>
      <c r="HEF242" s="219"/>
      <c r="HEG242" s="219"/>
      <c r="HEH242" s="219"/>
      <c r="HEI242" s="219"/>
      <c r="HEJ242" s="219"/>
      <c r="HEK242" s="219"/>
      <c r="HEL242" s="219"/>
      <c r="HEM242" s="219"/>
      <c r="HEN242" s="219"/>
      <c r="HEO242" s="219"/>
      <c r="HEP242" s="219"/>
      <c r="HEQ242" s="219"/>
      <c r="HER242" s="219"/>
      <c r="HES242" s="219"/>
      <c r="HET242" s="219"/>
      <c r="HEU242" s="219"/>
      <c r="HEV242" s="219"/>
      <c r="HEW242" s="219"/>
      <c r="HEX242" s="219"/>
      <c r="HEY242" s="219"/>
      <c r="HEZ242" s="219"/>
      <c r="HFA242" s="219"/>
      <c r="HFB242" s="219"/>
      <c r="HFC242" s="219"/>
      <c r="HFD242" s="219"/>
      <c r="HFE242" s="219"/>
      <c r="HFF242" s="219"/>
      <c r="HFG242" s="219"/>
      <c r="HFH242" s="219"/>
      <c r="HFI242" s="219"/>
      <c r="HFJ242" s="219"/>
      <c r="HFK242" s="219"/>
      <c r="HFL242" s="219"/>
      <c r="HFM242" s="219"/>
      <c r="HFN242" s="219"/>
      <c r="HFO242" s="219"/>
      <c r="HFP242" s="219"/>
      <c r="HFQ242" s="219"/>
      <c r="HFR242" s="219"/>
      <c r="HFS242" s="219"/>
      <c r="HFT242" s="219"/>
      <c r="HFU242" s="219"/>
      <c r="HFV242" s="219"/>
      <c r="HFW242" s="219"/>
      <c r="HFX242" s="219"/>
      <c r="HFY242" s="219"/>
      <c r="HFZ242" s="219"/>
      <c r="HGA242" s="219"/>
      <c r="HGB242" s="219"/>
      <c r="HGC242" s="219"/>
      <c r="HGD242" s="219"/>
      <c r="HGE242" s="219"/>
      <c r="HGF242" s="219"/>
      <c r="HGG242" s="219"/>
      <c r="HGH242" s="219"/>
      <c r="HGI242" s="219"/>
      <c r="HGJ242" s="219"/>
      <c r="HGK242" s="219"/>
      <c r="HGL242" s="219"/>
      <c r="HGM242" s="219"/>
      <c r="HGN242" s="219"/>
      <c r="HGO242" s="219"/>
      <c r="HGP242" s="219"/>
      <c r="HGQ242" s="219"/>
      <c r="HGR242" s="219"/>
      <c r="HGS242" s="219"/>
      <c r="HGT242" s="219"/>
      <c r="HGU242" s="219"/>
      <c r="HGV242" s="219"/>
      <c r="HGW242" s="219"/>
      <c r="HGX242" s="219"/>
      <c r="HGY242" s="219"/>
      <c r="HGZ242" s="219"/>
      <c r="HHA242" s="219"/>
      <c r="HHB242" s="219"/>
      <c r="HHC242" s="219"/>
      <c r="HHD242" s="219"/>
      <c r="HHE242" s="219"/>
      <c r="HHF242" s="219"/>
      <c r="HHG242" s="219"/>
      <c r="HHH242" s="219"/>
      <c r="HHI242" s="219"/>
      <c r="HHJ242" s="219"/>
      <c r="HHK242" s="219"/>
      <c r="HHL242" s="219"/>
      <c r="HHM242" s="219"/>
      <c r="HHN242" s="219"/>
      <c r="HHO242" s="219"/>
      <c r="HHP242" s="219"/>
      <c r="HHQ242" s="219"/>
      <c r="HHR242" s="219"/>
      <c r="HHS242" s="219"/>
      <c r="HHT242" s="219"/>
      <c r="HHU242" s="219"/>
      <c r="HHV242" s="219"/>
      <c r="HHW242" s="219"/>
      <c r="HHX242" s="219"/>
      <c r="HHY242" s="219"/>
      <c r="HHZ242" s="219"/>
      <c r="HIA242" s="219"/>
      <c r="HIB242" s="219"/>
      <c r="HIC242" s="219"/>
      <c r="HID242" s="219"/>
      <c r="HIE242" s="219"/>
      <c r="HIF242" s="219"/>
      <c r="HIG242" s="219"/>
      <c r="HIH242" s="219"/>
      <c r="HII242" s="219"/>
      <c r="HIJ242" s="219"/>
      <c r="HIK242" s="219"/>
      <c r="HIL242" s="219"/>
      <c r="HIM242" s="219"/>
      <c r="HIN242" s="219"/>
      <c r="HIO242" s="219"/>
      <c r="HIP242" s="219"/>
      <c r="HIQ242" s="219"/>
      <c r="HIR242" s="219"/>
      <c r="HIS242" s="219"/>
      <c r="HIT242" s="219"/>
      <c r="HIU242" s="219"/>
      <c r="HIV242" s="219"/>
      <c r="HIW242" s="219"/>
      <c r="HIX242" s="219"/>
      <c r="HIY242" s="219"/>
      <c r="HIZ242" s="219"/>
      <c r="HJA242" s="219"/>
      <c r="HJB242" s="219"/>
      <c r="HJC242" s="219"/>
      <c r="HJD242" s="219"/>
      <c r="HJE242" s="219"/>
      <c r="HJF242" s="219"/>
      <c r="HJG242" s="219"/>
      <c r="HJH242" s="219"/>
      <c r="HJI242" s="219"/>
      <c r="HJJ242" s="219"/>
      <c r="HJK242" s="219"/>
      <c r="HJL242" s="219"/>
      <c r="HJM242" s="219"/>
      <c r="HJN242" s="219"/>
      <c r="HJO242" s="219"/>
      <c r="HJP242" s="219"/>
      <c r="HJQ242" s="219"/>
      <c r="HJR242" s="219"/>
      <c r="HJS242" s="219"/>
      <c r="HJT242" s="219"/>
      <c r="HJU242" s="219"/>
      <c r="HJV242" s="219"/>
      <c r="HJW242" s="219"/>
      <c r="HJX242" s="219"/>
      <c r="HJY242" s="219"/>
      <c r="HJZ242" s="219"/>
      <c r="HKA242" s="219"/>
      <c r="HKB242" s="219"/>
      <c r="HKC242" s="219"/>
      <c r="HKD242" s="219"/>
      <c r="HKE242" s="219"/>
      <c r="HKF242" s="219"/>
      <c r="HKG242" s="219"/>
      <c r="HKH242" s="219"/>
      <c r="HKI242" s="219"/>
      <c r="HKJ242" s="219"/>
      <c r="HKK242" s="219"/>
      <c r="HKL242" s="219"/>
      <c r="HKM242" s="219"/>
      <c r="HKN242" s="219"/>
      <c r="HKO242" s="219"/>
      <c r="HKP242" s="219"/>
      <c r="HKQ242" s="219"/>
      <c r="HKR242" s="219"/>
      <c r="HKS242" s="219"/>
      <c r="HKT242" s="219"/>
      <c r="HKU242" s="219"/>
      <c r="HKV242" s="219"/>
      <c r="HKW242" s="219"/>
      <c r="HKX242" s="219"/>
      <c r="HKY242" s="219"/>
      <c r="HKZ242" s="219"/>
      <c r="HLA242" s="219"/>
      <c r="HLB242" s="219"/>
      <c r="HLC242" s="219"/>
      <c r="HLD242" s="219"/>
      <c r="HLE242" s="219"/>
      <c r="HLF242" s="219"/>
      <c r="HLG242" s="219"/>
      <c r="HLH242" s="219"/>
      <c r="HLI242" s="219"/>
      <c r="HLJ242" s="219"/>
      <c r="HLK242" s="219"/>
      <c r="HLL242" s="219"/>
      <c r="HLM242" s="219"/>
      <c r="HLN242" s="219"/>
      <c r="HLO242" s="219"/>
      <c r="HLP242" s="219"/>
      <c r="HLQ242" s="219"/>
      <c r="HLR242" s="219"/>
      <c r="HLS242" s="219"/>
      <c r="HLT242" s="219"/>
      <c r="HLU242" s="219"/>
      <c r="HLV242" s="219"/>
      <c r="HLW242" s="219"/>
      <c r="HLX242" s="219"/>
      <c r="HLY242" s="219"/>
      <c r="HLZ242" s="219"/>
      <c r="HMA242" s="219"/>
      <c r="HMB242" s="219"/>
      <c r="HMC242" s="219"/>
      <c r="HMD242" s="219"/>
      <c r="HME242" s="219"/>
      <c r="HMF242" s="219"/>
      <c r="HMG242" s="219"/>
      <c r="HMH242" s="219"/>
      <c r="HMI242" s="219"/>
      <c r="HMJ242" s="219"/>
      <c r="HMK242" s="219"/>
      <c r="HML242" s="219"/>
      <c r="HMM242" s="219"/>
      <c r="HMN242" s="219"/>
      <c r="HMO242" s="219"/>
      <c r="HMP242" s="219"/>
      <c r="HMQ242" s="219"/>
      <c r="HMR242" s="219"/>
      <c r="HMS242" s="219"/>
      <c r="HMT242" s="219"/>
      <c r="HMU242" s="219"/>
      <c r="HMV242" s="219"/>
      <c r="HMW242" s="219"/>
      <c r="HMX242" s="219"/>
      <c r="HMY242" s="219"/>
      <c r="HMZ242" s="219"/>
      <c r="HNA242" s="219"/>
      <c r="HNB242" s="219"/>
      <c r="HNC242" s="219"/>
      <c r="HND242" s="219"/>
      <c r="HNE242" s="219"/>
      <c r="HNF242" s="219"/>
      <c r="HNG242" s="219"/>
      <c r="HNH242" s="219"/>
      <c r="HNI242" s="219"/>
      <c r="HNJ242" s="219"/>
      <c r="HNK242" s="219"/>
      <c r="HNL242" s="219"/>
      <c r="HNM242" s="219"/>
      <c r="HNN242" s="219"/>
      <c r="HNO242" s="219"/>
      <c r="HNP242" s="219"/>
      <c r="HNQ242" s="219"/>
      <c r="HNR242" s="219"/>
      <c r="HNS242" s="219"/>
      <c r="HNT242" s="219"/>
      <c r="HNU242" s="219"/>
      <c r="HNV242" s="219"/>
      <c r="HNW242" s="219"/>
      <c r="HNX242" s="219"/>
      <c r="HNY242" s="219"/>
      <c r="HNZ242" s="219"/>
      <c r="HOA242" s="219"/>
      <c r="HOB242" s="219"/>
      <c r="HOC242" s="219"/>
      <c r="HOD242" s="219"/>
      <c r="HOE242" s="219"/>
      <c r="HOF242" s="219"/>
      <c r="HOG242" s="219"/>
      <c r="HOH242" s="219"/>
      <c r="HOI242" s="219"/>
      <c r="HOJ242" s="219"/>
      <c r="HOK242" s="219"/>
      <c r="HOL242" s="219"/>
      <c r="HOM242" s="219"/>
      <c r="HON242" s="219"/>
      <c r="HOO242" s="219"/>
      <c r="HOP242" s="219"/>
      <c r="HOQ242" s="219"/>
      <c r="HOR242" s="219"/>
      <c r="HOS242" s="219"/>
      <c r="HOT242" s="219"/>
      <c r="HOU242" s="219"/>
      <c r="HOV242" s="219"/>
      <c r="HOW242" s="219"/>
      <c r="HOX242" s="219"/>
      <c r="HOY242" s="219"/>
      <c r="HOZ242" s="219"/>
      <c r="HPA242" s="219"/>
      <c r="HPB242" s="219"/>
      <c r="HPC242" s="219"/>
      <c r="HPD242" s="219"/>
      <c r="HPE242" s="219"/>
      <c r="HPF242" s="219"/>
      <c r="HPG242" s="219"/>
      <c r="HPH242" s="219"/>
      <c r="HPI242" s="219"/>
      <c r="HPJ242" s="219"/>
      <c r="HPK242" s="219"/>
      <c r="HPL242" s="219"/>
      <c r="HPM242" s="219"/>
      <c r="HPN242" s="219"/>
      <c r="HPO242" s="219"/>
      <c r="HPP242" s="219"/>
      <c r="HPQ242" s="219"/>
      <c r="HPR242" s="219"/>
      <c r="HPS242" s="219"/>
      <c r="HPT242" s="219"/>
      <c r="HPU242" s="219"/>
      <c r="HPV242" s="219"/>
      <c r="HPW242" s="219"/>
      <c r="HPX242" s="219"/>
      <c r="HPY242" s="219"/>
      <c r="HPZ242" s="219"/>
      <c r="HQA242" s="219"/>
      <c r="HQB242" s="219"/>
      <c r="HQC242" s="219"/>
      <c r="HQD242" s="219"/>
      <c r="HQE242" s="219"/>
      <c r="HQF242" s="219"/>
      <c r="HQG242" s="219"/>
      <c r="HQH242" s="219"/>
      <c r="HQI242" s="219"/>
      <c r="HQJ242" s="219"/>
      <c r="HQK242" s="219"/>
      <c r="HQL242" s="219"/>
      <c r="HQM242" s="219"/>
      <c r="HQN242" s="219"/>
      <c r="HQO242" s="219"/>
      <c r="HQP242" s="219"/>
      <c r="HQQ242" s="219"/>
      <c r="HQR242" s="219"/>
      <c r="HQS242" s="219"/>
      <c r="HQT242" s="219"/>
      <c r="HQU242" s="219"/>
      <c r="HQV242" s="219"/>
      <c r="HQW242" s="219"/>
      <c r="HQX242" s="219"/>
      <c r="HQY242" s="219"/>
      <c r="HQZ242" s="219"/>
      <c r="HRA242" s="219"/>
      <c r="HRB242" s="219"/>
      <c r="HRC242" s="219"/>
      <c r="HRD242" s="219"/>
      <c r="HRE242" s="219"/>
      <c r="HRF242" s="219"/>
      <c r="HRG242" s="219"/>
      <c r="HRH242" s="219"/>
      <c r="HRI242" s="219"/>
      <c r="HRJ242" s="219"/>
      <c r="HRK242" s="219"/>
      <c r="HRL242" s="219"/>
      <c r="HRM242" s="219"/>
      <c r="HRN242" s="219"/>
      <c r="HRO242" s="219"/>
      <c r="HRP242" s="219"/>
      <c r="HRQ242" s="219"/>
      <c r="HRR242" s="219"/>
      <c r="HRS242" s="219"/>
      <c r="HRT242" s="219"/>
      <c r="HRU242" s="219"/>
      <c r="HRV242" s="219"/>
      <c r="HRW242" s="219"/>
      <c r="HRX242" s="219"/>
      <c r="HRY242" s="219"/>
      <c r="HRZ242" s="219"/>
      <c r="HSA242" s="219"/>
      <c r="HSB242" s="219"/>
      <c r="HSC242" s="219"/>
      <c r="HSD242" s="219"/>
      <c r="HSE242" s="219"/>
      <c r="HSF242" s="219"/>
      <c r="HSG242" s="219"/>
      <c r="HSH242" s="219"/>
      <c r="HSI242" s="219"/>
      <c r="HSJ242" s="219"/>
      <c r="HSK242" s="219"/>
      <c r="HSL242" s="219"/>
      <c r="HSM242" s="219"/>
      <c r="HSN242" s="219"/>
      <c r="HSO242" s="219"/>
      <c r="HSP242" s="219"/>
      <c r="HSQ242" s="219"/>
      <c r="HSR242" s="219"/>
      <c r="HSS242" s="219"/>
      <c r="HST242" s="219"/>
      <c r="HSU242" s="219"/>
      <c r="HSV242" s="219"/>
      <c r="HSW242" s="219"/>
      <c r="HSX242" s="219"/>
      <c r="HSY242" s="219"/>
      <c r="HSZ242" s="219"/>
      <c r="HTA242" s="219"/>
      <c r="HTB242" s="219"/>
      <c r="HTC242" s="219"/>
      <c r="HTD242" s="219"/>
      <c r="HTE242" s="219"/>
      <c r="HTF242" s="219"/>
      <c r="HTG242" s="219"/>
      <c r="HTH242" s="219"/>
      <c r="HTI242" s="219"/>
      <c r="HTJ242" s="219"/>
      <c r="HTK242" s="219"/>
      <c r="HTL242" s="219"/>
      <c r="HTM242" s="219"/>
      <c r="HTN242" s="219"/>
      <c r="HTO242" s="219"/>
      <c r="HTP242" s="219"/>
      <c r="HTQ242" s="219"/>
      <c r="HTR242" s="219"/>
      <c r="HTS242" s="219"/>
      <c r="HTT242" s="219"/>
      <c r="HTU242" s="219"/>
      <c r="HTV242" s="219"/>
      <c r="HTW242" s="219"/>
      <c r="HTX242" s="219"/>
      <c r="HTY242" s="219"/>
      <c r="HTZ242" s="219"/>
      <c r="HUA242" s="219"/>
      <c r="HUB242" s="219"/>
      <c r="HUC242" s="219"/>
      <c r="HUD242" s="219"/>
      <c r="HUE242" s="219"/>
      <c r="HUF242" s="219"/>
      <c r="HUG242" s="219"/>
      <c r="HUH242" s="219"/>
      <c r="HUI242" s="219"/>
      <c r="HUJ242" s="219"/>
      <c r="HUK242" s="219"/>
      <c r="HUL242" s="219"/>
      <c r="HUM242" s="219"/>
      <c r="HUN242" s="219"/>
      <c r="HUO242" s="219"/>
      <c r="HUP242" s="219"/>
      <c r="HUQ242" s="219"/>
      <c r="HUR242" s="219"/>
      <c r="HUS242" s="219"/>
      <c r="HUT242" s="219"/>
      <c r="HUU242" s="219"/>
      <c r="HUV242" s="219"/>
      <c r="HUW242" s="219"/>
      <c r="HUX242" s="219"/>
      <c r="HUY242" s="219"/>
      <c r="HUZ242" s="219"/>
      <c r="HVA242" s="219"/>
      <c r="HVB242" s="219"/>
      <c r="HVC242" s="219"/>
      <c r="HVD242" s="219"/>
      <c r="HVE242" s="219"/>
      <c r="HVF242" s="219"/>
      <c r="HVG242" s="219"/>
      <c r="HVH242" s="219"/>
      <c r="HVI242" s="219"/>
      <c r="HVJ242" s="219"/>
      <c r="HVK242" s="219"/>
      <c r="HVL242" s="219"/>
      <c r="HVM242" s="219"/>
      <c r="HVN242" s="219"/>
      <c r="HVO242" s="219"/>
      <c r="HVP242" s="219"/>
      <c r="HVQ242" s="219"/>
      <c r="HVR242" s="219"/>
      <c r="HVS242" s="219"/>
      <c r="HVT242" s="219"/>
      <c r="HVU242" s="219"/>
      <c r="HVV242" s="219"/>
      <c r="HVW242" s="219"/>
      <c r="HVX242" s="219"/>
      <c r="HVY242" s="219"/>
      <c r="HVZ242" s="219"/>
      <c r="HWA242" s="219"/>
      <c r="HWB242" s="219"/>
      <c r="HWC242" s="219"/>
      <c r="HWD242" s="219"/>
      <c r="HWE242" s="219"/>
      <c r="HWF242" s="219"/>
      <c r="HWG242" s="219"/>
      <c r="HWH242" s="219"/>
      <c r="HWI242" s="219"/>
      <c r="HWJ242" s="219"/>
      <c r="HWK242" s="219"/>
      <c r="HWL242" s="219"/>
      <c r="HWM242" s="219"/>
      <c r="HWN242" s="219"/>
      <c r="HWO242" s="219"/>
      <c r="HWP242" s="219"/>
      <c r="HWQ242" s="219"/>
      <c r="HWR242" s="219"/>
      <c r="HWS242" s="219"/>
      <c r="HWT242" s="219"/>
      <c r="HWU242" s="219"/>
      <c r="HWV242" s="219"/>
      <c r="HWW242" s="219"/>
      <c r="HWX242" s="219"/>
      <c r="HWY242" s="219"/>
      <c r="HWZ242" s="219"/>
      <c r="HXA242" s="219"/>
      <c r="HXB242" s="219"/>
      <c r="HXC242" s="219"/>
      <c r="HXD242" s="219"/>
      <c r="HXE242" s="219"/>
      <c r="HXF242" s="219"/>
      <c r="HXG242" s="219"/>
      <c r="HXH242" s="219"/>
      <c r="HXI242" s="219"/>
      <c r="HXJ242" s="219"/>
      <c r="HXK242" s="219"/>
      <c r="HXL242" s="219"/>
      <c r="HXM242" s="219"/>
      <c r="HXN242" s="219"/>
      <c r="HXO242" s="219"/>
      <c r="HXP242" s="219"/>
      <c r="HXQ242" s="219"/>
      <c r="HXR242" s="219"/>
      <c r="HXS242" s="219"/>
      <c r="HXT242" s="219"/>
      <c r="HXU242" s="219"/>
      <c r="HXV242" s="219"/>
      <c r="HXW242" s="219"/>
      <c r="HXX242" s="219"/>
      <c r="HXY242" s="219"/>
      <c r="HXZ242" s="219"/>
      <c r="HYA242" s="219"/>
      <c r="HYB242" s="219"/>
      <c r="HYC242" s="219"/>
      <c r="HYD242" s="219"/>
      <c r="HYE242" s="219"/>
      <c r="HYF242" s="219"/>
      <c r="HYG242" s="219"/>
      <c r="HYH242" s="219"/>
      <c r="HYI242" s="219"/>
      <c r="HYJ242" s="219"/>
      <c r="HYK242" s="219"/>
      <c r="HYL242" s="219"/>
      <c r="HYM242" s="219"/>
      <c r="HYN242" s="219"/>
      <c r="HYO242" s="219"/>
      <c r="HYP242" s="219"/>
      <c r="HYQ242" s="219"/>
      <c r="HYR242" s="219"/>
      <c r="HYS242" s="219"/>
      <c r="HYT242" s="219"/>
      <c r="HYU242" s="219"/>
      <c r="HYV242" s="219"/>
      <c r="HYW242" s="219"/>
      <c r="HYX242" s="219"/>
      <c r="HYY242" s="219"/>
      <c r="HYZ242" s="219"/>
      <c r="HZA242" s="219"/>
      <c r="HZB242" s="219"/>
      <c r="HZC242" s="219"/>
      <c r="HZD242" s="219"/>
      <c r="HZE242" s="219"/>
      <c r="HZF242" s="219"/>
      <c r="HZG242" s="219"/>
      <c r="HZH242" s="219"/>
      <c r="HZI242" s="219"/>
      <c r="HZJ242" s="219"/>
      <c r="HZK242" s="219"/>
      <c r="HZL242" s="219"/>
      <c r="HZM242" s="219"/>
      <c r="HZN242" s="219"/>
      <c r="HZO242" s="219"/>
      <c r="HZP242" s="219"/>
      <c r="HZQ242" s="219"/>
      <c r="HZR242" s="219"/>
      <c r="HZS242" s="219"/>
      <c r="HZT242" s="219"/>
      <c r="HZU242" s="219"/>
      <c r="HZV242" s="219"/>
      <c r="HZW242" s="219"/>
      <c r="HZX242" s="219"/>
      <c r="HZY242" s="219"/>
      <c r="HZZ242" s="219"/>
      <c r="IAA242" s="219"/>
      <c r="IAB242" s="219"/>
      <c r="IAC242" s="219"/>
      <c r="IAD242" s="219"/>
      <c r="IAE242" s="219"/>
      <c r="IAF242" s="219"/>
      <c r="IAG242" s="219"/>
      <c r="IAH242" s="219"/>
      <c r="IAI242" s="219"/>
      <c r="IAJ242" s="219"/>
      <c r="IAK242" s="219"/>
      <c r="IAL242" s="219"/>
      <c r="IAM242" s="219"/>
      <c r="IAN242" s="219"/>
      <c r="IAO242" s="219"/>
      <c r="IAP242" s="219"/>
      <c r="IAQ242" s="219"/>
      <c r="IAR242" s="219"/>
      <c r="IAS242" s="219"/>
      <c r="IAT242" s="219"/>
      <c r="IAU242" s="219"/>
      <c r="IAV242" s="219"/>
      <c r="IAW242" s="219"/>
      <c r="IAX242" s="219"/>
      <c r="IAY242" s="219"/>
      <c r="IAZ242" s="219"/>
      <c r="IBA242" s="219"/>
      <c r="IBB242" s="219"/>
      <c r="IBC242" s="219"/>
      <c r="IBD242" s="219"/>
      <c r="IBE242" s="219"/>
      <c r="IBF242" s="219"/>
      <c r="IBG242" s="219"/>
      <c r="IBH242" s="219"/>
      <c r="IBI242" s="219"/>
      <c r="IBJ242" s="219"/>
      <c r="IBK242" s="219"/>
      <c r="IBL242" s="219"/>
      <c r="IBM242" s="219"/>
      <c r="IBN242" s="219"/>
      <c r="IBO242" s="219"/>
      <c r="IBP242" s="219"/>
      <c r="IBQ242" s="219"/>
      <c r="IBR242" s="219"/>
      <c r="IBS242" s="219"/>
      <c r="IBT242" s="219"/>
      <c r="IBU242" s="219"/>
      <c r="IBV242" s="219"/>
      <c r="IBW242" s="219"/>
      <c r="IBX242" s="219"/>
      <c r="IBY242" s="219"/>
      <c r="IBZ242" s="219"/>
      <c r="ICA242" s="219"/>
      <c r="ICB242" s="219"/>
      <c r="ICC242" s="219"/>
      <c r="ICD242" s="219"/>
      <c r="ICE242" s="219"/>
      <c r="ICF242" s="219"/>
      <c r="ICG242" s="219"/>
      <c r="ICH242" s="219"/>
      <c r="ICI242" s="219"/>
      <c r="ICJ242" s="219"/>
      <c r="ICK242" s="219"/>
      <c r="ICL242" s="219"/>
      <c r="ICM242" s="219"/>
      <c r="ICN242" s="219"/>
      <c r="ICO242" s="219"/>
      <c r="ICP242" s="219"/>
      <c r="ICQ242" s="219"/>
      <c r="ICR242" s="219"/>
      <c r="ICS242" s="219"/>
      <c r="ICT242" s="219"/>
      <c r="ICU242" s="219"/>
      <c r="ICV242" s="219"/>
      <c r="ICW242" s="219"/>
      <c r="ICX242" s="219"/>
      <c r="ICY242" s="219"/>
      <c r="ICZ242" s="219"/>
      <c r="IDA242" s="219"/>
      <c r="IDB242" s="219"/>
      <c r="IDC242" s="219"/>
      <c r="IDD242" s="219"/>
      <c r="IDE242" s="219"/>
      <c r="IDF242" s="219"/>
      <c r="IDG242" s="219"/>
      <c r="IDH242" s="219"/>
      <c r="IDI242" s="219"/>
      <c r="IDJ242" s="219"/>
      <c r="IDK242" s="219"/>
      <c r="IDL242" s="219"/>
      <c r="IDM242" s="219"/>
      <c r="IDN242" s="219"/>
      <c r="IDO242" s="219"/>
      <c r="IDP242" s="219"/>
      <c r="IDQ242" s="219"/>
      <c r="IDR242" s="219"/>
      <c r="IDS242" s="219"/>
      <c r="IDT242" s="219"/>
      <c r="IDU242" s="219"/>
      <c r="IDV242" s="219"/>
      <c r="IDW242" s="219"/>
      <c r="IDX242" s="219"/>
      <c r="IDY242" s="219"/>
      <c r="IDZ242" s="219"/>
      <c r="IEA242" s="219"/>
      <c r="IEB242" s="219"/>
      <c r="IEC242" s="219"/>
      <c r="IED242" s="219"/>
      <c r="IEE242" s="219"/>
      <c r="IEF242" s="219"/>
      <c r="IEG242" s="219"/>
      <c r="IEH242" s="219"/>
      <c r="IEI242" s="219"/>
      <c r="IEJ242" s="219"/>
      <c r="IEK242" s="219"/>
      <c r="IEL242" s="219"/>
      <c r="IEM242" s="219"/>
      <c r="IEN242" s="219"/>
      <c r="IEO242" s="219"/>
      <c r="IEP242" s="219"/>
      <c r="IEQ242" s="219"/>
      <c r="IER242" s="219"/>
      <c r="IES242" s="219"/>
      <c r="IET242" s="219"/>
      <c r="IEU242" s="219"/>
      <c r="IEV242" s="219"/>
      <c r="IEW242" s="219"/>
      <c r="IEX242" s="219"/>
      <c r="IEY242" s="219"/>
      <c r="IEZ242" s="219"/>
      <c r="IFA242" s="219"/>
      <c r="IFB242" s="219"/>
      <c r="IFC242" s="219"/>
      <c r="IFD242" s="219"/>
      <c r="IFE242" s="219"/>
      <c r="IFF242" s="219"/>
      <c r="IFG242" s="219"/>
      <c r="IFH242" s="219"/>
      <c r="IFI242" s="219"/>
      <c r="IFJ242" s="219"/>
      <c r="IFK242" s="219"/>
      <c r="IFL242" s="219"/>
      <c r="IFM242" s="219"/>
      <c r="IFN242" s="219"/>
      <c r="IFO242" s="219"/>
      <c r="IFP242" s="219"/>
      <c r="IFQ242" s="219"/>
      <c r="IFR242" s="219"/>
      <c r="IFS242" s="219"/>
      <c r="IFT242" s="219"/>
      <c r="IFU242" s="219"/>
      <c r="IFV242" s="219"/>
      <c r="IFW242" s="219"/>
      <c r="IFX242" s="219"/>
      <c r="IFY242" s="219"/>
      <c r="IFZ242" s="219"/>
      <c r="IGA242" s="219"/>
      <c r="IGB242" s="219"/>
      <c r="IGC242" s="219"/>
      <c r="IGD242" s="219"/>
      <c r="IGE242" s="219"/>
      <c r="IGF242" s="219"/>
      <c r="IGG242" s="219"/>
      <c r="IGH242" s="219"/>
      <c r="IGI242" s="219"/>
      <c r="IGJ242" s="219"/>
      <c r="IGK242" s="219"/>
      <c r="IGL242" s="219"/>
      <c r="IGM242" s="219"/>
      <c r="IGN242" s="219"/>
      <c r="IGO242" s="219"/>
      <c r="IGP242" s="219"/>
      <c r="IGQ242" s="219"/>
      <c r="IGR242" s="219"/>
      <c r="IGS242" s="219"/>
      <c r="IGT242" s="219"/>
      <c r="IGU242" s="219"/>
      <c r="IGV242" s="219"/>
      <c r="IGW242" s="219"/>
      <c r="IGX242" s="219"/>
      <c r="IGY242" s="219"/>
      <c r="IGZ242" s="219"/>
      <c r="IHA242" s="219"/>
      <c r="IHB242" s="219"/>
      <c r="IHC242" s="219"/>
      <c r="IHD242" s="219"/>
      <c r="IHE242" s="219"/>
      <c r="IHF242" s="219"/>
      <c r="IHG242" s="219"/>
      <c r="IHH242" s="219"/>
      <c r="IHI242" s="219"/>
      <c r="IHJ242" s="219"/>
      <c r="IHK242" s="219"/>
      <c r="IHL242" s="219"/>
      <c r="IHM242" s="219"/>
      <c r="IHN242" s="219"/>
      <c r="IHO242" s="219"/>
      <c r="IHP242" s="219"/>
      <c r="IHQ242" s="219"/>
      <c r="IHR242" s="219"/>
      <c r="IHS242" s="219"/>
      <c r="IHT242" s="219"/>
      <c r="IHU242" s="219"/>
      <c r="IHV242" s="219"/>
      <c r="IHW242" s="219"/>
      <c r="IHX242" s="219"/>
      <c r="IHY242" s="219"/>
      <c r="IHZ242" s="219"/>
      <c r="IIA242" s="219"/>
      <c r="IIB242" s="219"/>
      <c r="IIC242" s="219"/>
      <c r="IID242" s="219"/>
      <c r="IIE242" s="219"/>
      <c r="IIF242" s="219"/>
      <c r="IIG242" s="219"/>
      <c r="IIH242" s="219"/>
      <c r="III242" s="219"/>
      <c r="IIJ242" s="219"/>
      <c r="IIK242" s="219"/>
      <c r="IIL242" s="219"/>
      <c r="IIM242" s="219"/>
      <c r="IIN242" s="219"/>
      <c r="IIO242" s="219"/>
      <c r="IIP242" s="219"/>
      <c r="IIQ242" s="219"/>
      <c r="IIR242" s="219"/>
      <c r="IIS242" s="219"/>
      <c r="IIT242" s="219"/>
      <c r="IIU242" s="219"/>
      <c r="IIV242" s="219"/>
      <c r="IIW242" s="219"/>
      <c r="IIX242" s="219"/>
      <c r="IIY242" s="219"/>
      <c r="IIZ242" s="219"/>
      <c r="IJA242" s="219"/>
      <c r="IJB242" s="219"/>
      <c r="IJC242" s="219"/>
      <c r="IJD242" s="219"/>
      <c r="IJE242" s="219"/>
      <c r="IJF242" s="219"/>
      <c r="IJG242" s="219"/>
      <c r="IJH242" s="219"/>
      <c r="IJI242" s="219"/>
      <c r="IJJ242" s="219"/>
      <c r="IJK242" s="219"/>
      <c r="IJL242" s="219"/>
      <c r="IJM242" s="219"/>
      <c r="IJN242" s="219"/>
      <c r="IJO242" s="219"/>
      <c r="IJP242" s="219"/>
      <c r="IJQ242" s="219"/>
      <c r="IJR242" s="219"/>
      <c r="IJS242" s="219"/>
      <c r="IJT242" s="219"/>
      <c r="IJU242" s="219"/>
      <c r="IJV242" s="219"/>
      <c r="IJW242" s="219"/>
      <c r="IJX242" s="219"/>
      <c r="IJY242" s="219"/>
      <c r="IJZ242" s="219"/>
      <c r="IKA242" s="219"/>
      <c r="IKB242" s="219"/>
      <c r="IKC242" s="219"/>
      <c r="IKD242" s="219"/>
      <c r="IKE242" s="219"/>
      <c r="IKF242" s="219"/>
      <c r="IKG242" s="219"/>
      <c r="IKH242" s="219"/>
      <c r="IKI242" s="219"/>
      <c r="IKJ242" s="219"/>
      <c r="IKK242" s="219"/>
      <c r="IKL242" s="219"/>
      <c r="IKM242" s="219"/>
      <c r="IKN242" s="219"/>
      <c r="IKO242" s="219"/>
      <c r="IKP242" s="219"/>
      <c r="IKQ242" s="219"/>
      <c r="IKR242" s="219"/>
      <c r="IKS242" s="219"/>
      <c r="IKT242" s="219"/>
      <c r="IKU242" s="219"/>
      <c r="IKV242" s="219"/>
      <c r="IKW242" s="219"/>
      <c r="IKX242" s="219"/>
      <c r="IKY242" s="219"/>
      <c r="IKZ242" s="219"/>
      <c r="ILA242" s="219"/>
      <c r="ILB242" s="219"/>
      <c r="ILC242" s="219"/>
      <c r="ILD242" s="219"/>
      <c r="ILE242" s="219"/>
      <c r="ILF242" s="219"/>
      <c r="ILG242" s="219"/>
      <c r="ILH242" s="219"/>
      <c r="ILI242" s="219"/>
      <c r="ILJ242" s="219"/>
      <c r="ILK242" s="219"/>
      <c r="ILL242" s="219"/>
      <c r="ILM242" s="219"/>
      <c r="ILN242" s="219"/>
      <c r="ILO242" s="219"/>
      <c r="ILP242" s="219"/>
      <c r="ILQ242" s="219"/>
      <c r="ILR242" s="219"/>
      <c r="ILS242" s="219"/>
      <c r="ILT242" s="219"/>
      <c r="ILU242" s="219"/>
      <c r="ILV242" s="219"/>
      <c r="ILW242" s="219"/>
      <c r="ILX242" s="219"/>
      <c r="ILY242" s="219"/>
      <c r="ILZ242" s="219"/>
      <c r="IMA242" s="219"/>
      <c r="IMB242" s="219"/>
      <c r="IMC242" s="219"/>
      <c r="IMD242" s="219"/>
      <c r="IME242" s="219"/>
      <c r="IMF242" s="219"/>
      <c r="IMG242" s="219"/>
      <c r="IMH242" s="219"/>
      <c r="IMI242" s="219"/>
      <c r="IMJ242" s="219"/>
      <c r="IMK242" s="219"/>
      <c r="IML242" s="219"/>
      <c r="IMM242" s="219"/>
      <c r="IMN242" s="219"/>
      <c r="IMO242" s="219"/>
      <c r="IMP242" s="219"/>
      <c r="IMQ242" s="219"/>
      <c r="IMR242" s="219"/>
      <c r="IMS242" s="219"/>
      <c r="IMT242" s="219"/>
      <c r="IMU242" s="219"/>
      <c r="IMV242" s="219"/>
      <c r="IMW242" s="219"/>
      <c r="IMX242" s="219"/>
      <c r="IMY242" s="219"/>
      <c r="IMZ242" s="219"/>
      <c r="INA242" s="219"/>
      <c r="INB242" s="219"/>
      <c r="INC242" s="219"/>
      <c r="IND242" s="219"/>
      <c r="INE242" s="219"/>
      <c r="INF242" s="219"/>
      <c r="ING242" s="219"/>
      <c r="INH242" s="219"/>
      <c r="INI242" s="219"/>
      <c r="INJ242" s="219"/>
      <c r="INK242" s="219"/>
      <c r="INL242" s="219"/>
      <c r="INM242" s="219"/>
      <c r="INN242" s="219"/>
      <c r="INO242" s="219"/>
      <c r="INP242" s="219"/>
      <c r="INQ242" s="219"/>
      <c r="INR242" s="219"/>
      <c r="INS242" s="219"/>
      <c r="INT242" s="219"/>
      <c r="INU242" s="219"/>
      <c r="INV242" s="219"/>
      <c r="INW242" s="219"/>
      <c r="INX242" s="219"/>
      <c r="INY242" s="219"/>
      <c r="INZ242" s="219"/>
      <c r="IOA242" s="219"/>
      <c r="IOB242" s="219"/>
      <c r="IOC242" s="219"/>
      <c r="IOD242" s="219"/>
      <c r="IOE242" s="219"/>
      <c r="IOF242" s="219"/>
      <c r="IOG242" s="219"/>
      <c r="IOH242" s="219"/>
      <c r="IOI242" s="219"/>
      <c r="IOJ242" s="219"/>
      <c r="IOK242" s="219"/>
      <c r="IOL242" s="219"/>
      <c r="IOM242" s="219"/>
      <c r="ION242" s="219"/>
      <c r="IOO242" s="219"/>
      <c r="IOP242" s="219"/>
      <c r="IOQ242" s="219"/>
      <c r="IOR242" s="219"/>
      <c r="IOS242" s="219"/>
      <c r="IOT242" s="219"/>
      <c r="IOU242" s="219"/>
      <c r="IOV242" s="219"/>
      <c r="IOW242" s="219"/>
      <c r="IOX242" s="219"/>
      <c r="IOY242" s="219"/>
      <c r="IOZ242" s="219"/>
      <c r="IPA242" s="219"/>
      <c r="IPB242" s="219"/>
      <c r="IPC242" s="219"/>
      <c r="IPD242" s="219"/>
      <c r="IPE242" s="219"/>
      <c r="IPF242" s="219"/>
      <c r="IPG242" s="219"/>
      <c r="IPH242" s="219"/>
      <c r="IPI242" s="219"/>
      <c r="IPJ242" s="219"/>
      <c r="IPK242" s="219"/>
      <c r="IPL242" s="219"/>
      <c r="IPM242" s="219"/>
      <c r="IPN242" s="219"/>
      <c r="IPO242" s="219"/>
      <c r="IPP242" s="219"/>
      <c r="IPQ242" s="219"/>
      <c r="IPR242" s="219"/>
      <c r="IPS242" s="219"/>
      <c r="IPT242" s="219"/>
      <c r="IPU242" s="219"/>
      <c r="IPV242" s="219"/>
      <c r="IPW242" s="219"/>
      <c r="IPX242" s="219"/>
      <c r="IPY242" s="219"/>
      <c r="IPZ242" s="219"/>
      <c r="IQA242" s="219"/>
      <c r="IQB242" s="219"/>
      <c r="IQC242" s="219"/>
      <c r="IQD242" s="219"/>
      <c r="IQE242" s="219"/>
      <c r="IQF242" s="219"/>
      <c r="IQG242" s="219"/>
      <c r="IQH242" s="219"/>
      <c r="IQI242" s="219"/>
      <c r="IQJ242" s="219"/>
      <c r="IQK242" s="219"/>
      <c r="IQL242" s="219"/>
      <c r="IQM242" s="219"/>
      <c r="IQN242" s="219"/>
      <c r="IQO242" s="219"/>
      <c r="IQP242" s="219"/>
      <c r="IQQ242" s="219"/>
      <c r="IQR242" s="219"/>
      <c r="IQS242" s="219"/>
      <c r="IQT242" s="219"/>
      <c r="IQU242" s="219"/>
      <c r="IQV242" s="219"/>
      <c r="IQW242" s="219"/>
      <c r="IQX242" s="219"/>
      <c r="IQY242" s="219"/>
      <c r="IQZ242" s="219"/>
      <c r="IRA242" s="219"/>
      <c r="IRB242" s="219"/>
      <c r="IRC242" s="219"/>
      <c r="IRD242" s="219"/>
      <c r="IRE242" s="219"/>
      <c r="IRF242" s="219"/>
      <c r="IRG242" s="219"/>
      <c r="IRH242" s="219"/>
      <c r="IRI242" s="219"/>
      <c r="IRJ242" s="219"/>
      <c r="IRK242" s="219"/>
      <c r="IRL242" s="219"/>
      <c r="IRM242" s="219"/>
      <c r="IRN242" s="219"/>
      <c r="IRO242" s="219"/>
      <c r="IRP242" s="219"/>
      <c r="IRQ242" s="219"/>
      <c r="IRR242" s="219"/>
      <c r="IRS242" s="219"/>
      <c r="IRT242" s="219"/>
      <c r="IRU242" s="219"/>
      <c r="IRV242" s="219"/>
      <c r="IRW242" s="219"/>
      <c r="IRX242" s="219"/>
      <c r="IRY242" s="219"/>
      <c r="IRZ242" s="219"/>
      <c r="ISA242" s="219"/>
      <c r="ISB242" s="219"/>
      <c r="ISC242" s="219"/>
      <c r="ISD242" s="219"/>
      <c r="ISE242" s="219"/>
      <c r="ISF242" s="219"/>
      <c r="ISG242" s="219"/>
      <c r="ISH242" s="219"/>
      <c r="ISI242" s="219"/>
      <c r="ISJ242" s="219"/>
      <c r="ISK242" s="219"/>
      <c r="ISL242" s="219"/>
      <c r="ISM242" s="219"/>
      <c r="ISN242" s="219"/>
      <c r="ISO242" s="219"/>
      <c r="ISP242" s="219"/>
      <c r="ISQ242" s="219"/>
      <c r="ISR242" s="219"/>
      <c r="ISS242" s="219"/>
      <c r="IST242" s="219"/>
      <c r="ISU242" s="219"/>
      <c r="ISV242" s="219"/>
      <c r="ISW242" s="219"/>
      <c r="ISX242" s="219"/>
      <c r="ISY242" s="219"/>
      <c r="ISZ242" s="219"/>
      <c r="ITA242" s="219"/>
      <c r="ITB242" s="219"/>
      <c r="ITC242" s="219"/>
      <c r="ITD242" s="219"/>
      <c r="ITE242" s="219"/>
      <c r="ITF242" s="219"/>
      <c r="ITG242" s="219"/>
      <c r="ITH242" s="219"/>
      <c r="ITI242" s="219"/>
      <c r="ITJ242" s="219"/>
      <c r="ITK242" s="219"/>
      <c r="ITL242" s="219"/>
      <c r="ITM242" s="219"/>
      <c r="ITN242" s="219"/>
      <c r="ITO242" s="219"/>
      <c r="ITP242" s="219"/>
      <c r="ITQ242" s="219"/>
      <c r="ITR242" s="219"/>
      <c r="ITS242" s="219"/>
      <c r="ITT242" s="219"/>
      <c r="ITU242" s="219"/>
      <c r="ITV242" s="219"/>
      <c r="ITW242" s="219"/>
      <c r="ITX242" s="219"/>
      <c r="ITY242" s="219"/>
      <c r="ITZ242" s="219"/>
      <c r="IUA242" s="219"/>
      <c r="IUB242" s="219"/>
      <c r="IUC242" s="219"/>
      <c r="IUD242" s="219"/>
      <c r="IUE242" s="219"/>
      <c r="IUF242" s="219"/>
      <c r="IUG242" s="219"/>
      <c r="IUH242" s="219"/>
      <c r="IUI242" s="219"/>
      <c r="IUJ242" s="219"/>
      <c r="IUK242" s="219"/>
      <c r="IUL242" s="219"/>
      <c r="IUM242" s="219"/>
      <c r="IUN242" s="219"/>
      <c r="IUO242" s="219"/>
      <c r="IUP242" s="219"/>
      <c r="IUQ242" s="219"/>
      <c r="IUR242" s="219"/>
      <c r="IUS242" s="219"/>
      <c r="IUT242" s="219"/>
      <c r="IUU242" s="219"/>
      <c r="IUV242" s="219"/>
      <c r="IUW242" s="219"/>
      <c r="IUX242" s="219"/>
      <c r="IUY242" s="219"/>
      <c r="IUZ242" s="219"/>
      <c r="IVA242" s="219"/>
      <c r="IVB242" s="219"/>
      <c r="IVC242" s="219"/>
      <c r="IVD242" s="219"/>
      <c r="IVE242" s="219"/>
      <c r="IVF242" s="219"/>
      <c r="IVG242" s="219"/>
      <c r="IVH242" s="219"/>
      <c r="IVI242" s="219"/>
      <c r="IVJ242" s="219"/>
      <c r="IVK242" s="219"/>
      <c r="IVL242" s="219"/>
      <c r="IVM242" s="219"/>
      <c r="IVN242" s="219"/>
      <c r="IVO242" s="219"/>
      <c r="IVP242" s="219"/>
      <c r="IVQ242" s="219"/>
      <c r="IVR242" s="219"/>
      <c r="IVS242" s="219"/>
      <c r="IVT242" s="219"/>
      <c r="IVU242" s="219"/>
      <c r="IVV242" s="219"/>
      <c r="IVW242" s="219"/>
      <c r="IVX242" s="219"/>
      <c r="IVY242" s="219"/>
      <c r="IVZ242" s="219"/>
      <c r="IWA242" s="219"/>
      <c r="IWB242" s="219"/>
      <c r="IWC242" s="219"/>
      <c r="IWD242" s="219"/>
      <c r="IWE242" s="219"/>
      <c r="IWF242" s="219"/>
      <c r="IWG242" s="219"/>
      <c r="IWH242" s="219"/>
      <c r="IWI242" s="219"/>
      <c r="IWJ242" s="219"/>
      <c r="IWK242" s="219"/>
      <c r="IWL242" s="219"/>
      <c r="IWM242" s="219"/>
      <c r="IWN242" s="219"/>
      <c r="IWO242" s="219"/>
      <c r="IWP242" s="219"/>
      <c r="IWQ242" s="219"/>
      <c r="IWR242" s="219"/>
      <c r="IWS242" s="219"/>
      <c r="IWT242" s="219"/>
      <c r="IWU242" s="219"/>
      <c r="IWV242" s="219"/>
      <c r="IWW242" s="219"/>
      <c r="IWX242" s="219"/>
      <c r="IWY242" s="219"/>
      <c r="IWZ242" s="219"/>
      <c r="IXA242" s="219"/>
      <c r="IXB242" s="219"/>
      <c r="IXC242" s="219"/>
      <c r="IXD242" s="219"/>
      <c r="IXE242" s="219"/>
      <c r="IXF242" s="219"/>
      <c r="IXG242" s="219"/>
      <c r="IXH242" s="219"/>
      <c r="IXI242" s="219"/>
      <c r="IXJ242" s="219"/>
      <c r="IXK242" s="219"/>
      <c r="IXL242" s="219"/>
      <c r="IXM242" s="219"/>
      <c r="IXN242" s="219"/>
      <c r="IXO242" s="219"/>
      <c r="IXP242" s="219"/>
      <c r="IXQ242" s="219"/>
      <c r="IXR242" s="219"/>
      <c r="IXS242" s="219"/>
      <c r="IXT242" s="219"/>
      <c r="IXU242" s="219"/>
      <c r="IXV242" s="219"/>
      <c r="IXW242" s="219"/>
      <c r="IXX242" s="219"/>
      <c r="IXY242" s="219"/>
      <c r="IXZ242" s="219"/>
      <c r="IYA242" s="219"/>
      <c r="IYB242" s="219"/>
      <c r="IYC242" s="219"/>
      <c r="IYD242" s="219"/>
      <c r="IYE242" s="219"/>
      <c r="IYF242" s="219"/>
      <c r="IYG242" s="219"/>
      <c r="IYH242" s="219"/>
      <c r="IYI242" s="219"/>
      <c r="IYJ242" s="219"/>
      <c r="IYK242" s="219"/>
      <c r="IYL242" s="219"/>
      <c r="IYM242" s="219"/>
      <c r="IYN242" s="219"/>
      <c r="IYO242" s="219"/>
      <c r="IYP242" s="219"/>
      <c r="IYQ242" s="219"/>
      <c r="IYR242" s="219"/>
      <c r="IYS242" s="219"/>
      <c r="IYT242" s="219"/>
      <c r="IYU242" s="219"/>
      <c r="IYV242" s="219"/>
      <c r="IYW242" s="219"/>
      <c r="IYX242" s="219"/>
      <c r="IYY242" s="219"/>
      <c r="IYZ242" s="219"/>
      <c r="IZA242" s="219"/>
      <c r="IZB242" s="219"/>
      <c r="IZC242" s="219"/>
      <c r="IZD242" s="219"/>
      <c r="IZE242" s="219"/>
      <c r="IZF242" s="219"/>
      <c r="IZG242" s="219"/>
      <c r="IZH242" s="219"/>
      <c r="IZI242" s="219"/>
      <c r="IZJ242" s="219"/>
      <c r="IZK242" s="219"/>
      <c r="IZL242" s="219"/>
      <c r="IZM242" s="219"/>
      <c r="IZN242" s="219"/>
      <c r="IZO242" s="219"/>
      <c r="IZP242" s="219"/>
      <c r="IZQ242" s="219"/>
      <c r="IZR242" s="219"/>
      <c r="IZS242" s="219"/>
      <c r="IZT242" s="219"/>
      <c r="IZU242" s="219"/>
      <c r="IZV242" s="219"/>
      <c r="IZW242" s="219"/>
      <c r="IZX242" s="219"/>
      <c r="IZY242" s="219"/>
      <c r="IZZ242" s="219"/>
      <c r="JAA242" s="219"/>
      <c r="JAB242" s="219"/>
      <c r="JAC242" s="219"/>
      <c r="JAD242" s="219"/>
      <c r="JAE242" s="219"/>
      <c r="JAF242" s="219"/>
      <c r="JAG242" s="219"/>
      <c r="JAH242" s="219"/>
      <c r="JAI242" s="219"/>
      <c r="JAJ242" s="219"/>
      <c r="JAK242" s="219"/>
      <c r="JAL242" s="219"/>
      <c r="JAM242" s="219"/>
      <c r="JAN242" s="219"/>
      <c r="JAO242" s="219"/>
      <c r="JAP242" s="219"/>
      <c r="JAQ242" s="219"/>
      <c r="JAR242" s="219"/>
      <c r="JAS242" s="219"/>
      <c r="JAT242" s="219"/>
      <c r="JAU242" s="219"/>
      <c r="JAV242" s="219"/>
      <c r="JAW242" s="219"/>
      <c r="JAX242" s="219"/>
      <c r="JAY242" s="219"/>
      <c r="JAZ242" s="219"/>
      <c r="JBA242" s="219"/>
      <c r="JBB242" s="219"/>
      <c r="JBC242" s="219"/>
      <c r="JBD242" s="219"/>
      <c r="JBE242" s="219"/>
      <c r="JBF242" s="219"/>
      <c r="JBG242" s="219"/>
      <c r="JBH242" s="219"/>
      <c r="JBI242" s="219"/>
      <c r="JBJ242" s="219"/>
      <c r="JBK242" s="219"/>
      <c r="JBL242" s="219"/>
      <c r="JBM242" s="219"/>
      <c r="JBN242" s="219"/>
      <c r="JBO242" s="219"/>
      <c r="JBP242" s="219"/>
      <c r="JBQ242" s="219"/>
      <c r="JBR242" s="219"/>
      <c r="JBS242" s="219"/>
      <c r="JBT242" s="219"/>
      <c r="JBU242" s="219"/>
      <c r="JBV242" s="219"/>
      <c r="JBW242" s="219"/>
      <c r="JBX242" s="219"/>
      <c r="JBY242" s="219"/>
      <c r="JBZ242" s="219"/>
      <c r="JCA242" s="219"/>
      <c r="JCB242" s="219"/>
      <c r="JCC242" s="219"/>
      <c r="JCD242" s="219"/>
      <c r="JCE242" s="219"/>
      <c r="JCF242" s="219"/>
      <c r="JCG242" s="219"/>
      <c r="JCH242" s="219"/>
      <c r="JCI242" s="219"/>
      <c r="JCJ242" s="219"/>
      <c r="JCK242" s="219"/>
      <c r="JCL242" s="219"/>
      <c r="JCM242" s="219"/>
      <c r="JCN242" s="219"/>
      <c r="JCO242" s="219"/>
      <c r="JCP242" s="219"/>
      <c r="JCQ242" s="219"/>
      <c r="JCR242" s="219"/>
      <c r="JCS242" s="219"/>
      <c r="JCT242" s="219"/>
      <c r="JCU242" s="219"/>
      <c r="JCV242" s="219"/>
      <c r="JCW242" s="219"/>
      <c r="JCX242" s="219"/>
      <c r="JCY242" s="219"/>
      <c r="JCZ242" s="219"/>
      <c r="JDA242" s="219"/>
      <c r="JDB242" s="219"/>
      <c r="JDC242" s="219"/>
      <c r="JDD242" s="219"/>
      <c r="JDE242" s="219"/>
      <c r="JDF242" s="219"/>
      <c r="JDG242" s="219"/>
      <c r="JDH242" s="219"/>
      <c r="JDI242" s="219"/>
      <c r="JDJ242" s="219"/>
      <c r="JDK242" s="219"/>
      <c r="JDL242" s="219"/>
      <c r="JDM242" s="219"/>
      <c r="JDN242" s="219"/>
      <c r="JDO242" s="219"/>
      <c r="JDP242" s="219"/>
      <c r="JDQ242" s="219"/>
      <c r="JDR242" s="219"/>
      <c r="JDS242" s="219"/>
      <c r="JDT242" s="219"/>
      <c r="JDU242" s="219"/>
      <c r="JDV242" s="219"/>
      <c r="JDW242" s="219"/>
      <c r="JDX242" s="219"/>
      <c r="JDY242" s="219"/>
      <c r="JDZ242" s="219"/>
      <c r="JEA242" s="219"/>
      <c r="JEB242" s="219"/>
      <c r="JEC242" s="219"/>
      <c r="JED242" s="219"/>
      <c r="JEE242" s="219"/>
      <c r="JEF242" s="219"/>
      <c r="JEG242" s="219"/>
      <c r="JEH242" s="219"/>
      <c r="JEI242" s="219"/>
      <c r="JEJ242" s="219"/>
      <c r="JEK242" s="219"/>
      <c r="JEL242" s="219"/>
      <c r="JEM242" s="219"/>
      <c r="JEN242" s="219"/>
      <c r="JEO242" s="219"/>
      <c r="JEP242" s="219"/>
      <c r="JEQ242" s="219"/>
      <c r="JER242" s="219"/>
      <c r="JES242" s="219"/>
      <c r="JET242" s="219"/>
      <c r="JEU242" s="219"/>
      <c r="JEV242" s="219"/>
      <c r="JEW242" s="219"/>
      <c r="JEX242" s="219"/>
      <c r="JEY242" s="219"/>
      <c r="JEZ242" s="219"/>
      <c r="JFA242" s="219"/>
      <c r="JFB242" s="219"/>
      <c r="JFC242" s="219"/>
      <c r="JFD242" s="219"/>
      <c r="JFE242" s="219"/>
      <c r="JFF242" s="219"/>
      <c r="JFG242" s="219"/>
      <c r="JFH242" s="219"/>
      <c r="JFI242" s="219"/>
      <c r="JFJ242" s="219"/>
      <c r="JFK242" s="219"/>
      <c r="JFL242" s="219"/>
      <c r="JFM242" s="219"/>
      <c r="JFN242" s="219"/>
      <c r="JFO242" s="219"/>
      <c r="JFP242" s="219"/>
      <c r="JFQ242" s="219"/>
      <c r="JFR242" s="219"/>
      <c r="JFS242" s="219"/>
      <c r="JFT242" s="219"/>
      <c r="JFU242" s="219"/>
      <c r="JFV242" s="219"/>
      <c r="JFW242" s="219"/>
      <c r="JFX242" s="219"/>
      <c r="JFY242" s="219"/>
      <c r="JFZ242" s="219"/>
      <c r="JGA242" s="219"/>
      <c r="JGB242" s="219"/>
      <c r="JGC242" s="219"/>
      <c r="JGD242" s="219"/>
      <c r="JGE242" s="219"/>
      <c r="JGF242" s="219"/>
      <c r="JGG242" s="219"/>
      <c r="JGH242" s="219"/>
      <c r="JGI242" s="219"/>
      <c r="JGJ242" s="219"/>
      <c r="JGK242" s="219"/>
      <c r="JGL242" s="219"/>
      <c r="JGM242" s="219"/>
      <c r="JGN242" s="219"/>
      <c r="JGO242" s="219"/>
      <c r="JGP242" s="219"/>
      <c r="JGQ242" s="219"/>
      <c r="JGR242" s="219"/>
      <c r="JGS242" s="219"/>
      <c r="JGT242" s="219"/>
      <c r="JGU242" s="219"/>
      <c r="JGV242" s="219"/>
      <c r="JGW242" s="219"/>
      <c r="JGX242" s="219"/>
      <c r="JGY242" s="219"/>
      <c r="JGZ242" s="219"/>
      <c r="JHA242" s="219"/>
      <c r="JHB242" s="219"/>
      <c r="JHC242" s="219"/>
      <c r="JHD242" s="219"/>
      <c r="JHE242" s="219"/>
      <c r="JHF242" s="219"/>
      <c r="JHG242" s="219"/>
      <c r="JHH242" s="219"/>
      <c r="JHI242" s="219"/>
      <c r="JHJ242" s="219"/>
      <c r="JHK242" s="219"/>
      <c r="JHL242" s="219"/>
      <c r="JHM242" s="219"/>
      <c r="JHN242" s="219"/>
      <c r="JHO242" s="219"/>
      <c r="JHP242" s="219"/>
      <c r="JHQ242" s="219"/>
      <c r="JHR242" s="219"/>
      <c r="JHS242" s="219"/>
      <c r="JHT242" s="219"/>
      <c r="JHU242" s="219"/>
      <c r="JHV242" s="219"/>
      <c r="JHW242" s="219"/>
      <c r="JHX242" s="219"/>
      <c r="JHY242" s="219"/>
      <c r="JHZ242" s="219"/>
      <c r="JIA242" s="219"/>
      <c r="JIB242" s="219"/>
      <c r="JIC242" s="219"/>
      <c r="JID242" s="219"/>
      <c r="JIE242" s="219"/>
      <c r="JIF242" s="219"/>
      <c r="JIG242" s="219"/>
      <c r="JIH242" s="219"/>
      <c r="JII242" s="219"/>
      <c r="JIJ242" s="219"/>
      <c r="JIK242" s="219"/>
      <c r="JIL242" s="219"/>
      <c r="JIM242" s="219"/>
      <c r="JIN242" s="219"/>
      <c r="JIO242" s="219"/>
      <c r="JIP242" s="219"/>
      <c r="JIQ242" s="219"/>
      <c r="JIR242" s="219"/>
      <c r="JIS242" s="219"/>
      <c r="JIT242" s="219"/>
      <c r="JIU242" s="219"/>
      <c r="JIV242" s="219"/>
      <c r="JIW242" s="219"/>
      <c r="JIX242" s="219"/>
      <c r="JIY242" s="219"/>
      <c r="JIZ242" s="219"/>
      <c r="JJA242" s="219"/>
      <c r="JJB242" s="219"/>
      <c r="JJC242" s="219"/>
      <c r="JJD242" s="219"/>
      <c r="JJE242" s="219"/>
      <c r="JJF242" s="219"/>
      <c r="JJG242" s="219"/>
      <c r="JJH242" s="219"/>
      <c r="JJI242" s="219"/>
      <c r="JJJ242" s="219"/>
      <c r="JJK242" s="219"/>
      <c r="JJL242" s="219"/>
      <c r="JJM242" s="219"/>
      <c r="JJN242" s="219"/>
      <c r="JJO242" s="219"/>
      <c r="JJP242" s="219"/>
      <c r="JJQ242" s="219"/>
      <c r="JJR242" s="219"/>
      <c r="JJS242" s="219"/>
      <c r="JJT242" s="219"/>
      <c r="JJU242" s="219"/>
      <c r="JJV242" s="219"/>
      <c r="JJW242" s="219"/>
      <c r="JJX242" s="219"/>
      <c r="JJY242" s="219"/>
      <c r="JJZ242" s="219"/>
      <c r="JKA242" s="219"/>
      <c r="JKB242" s="219"/>
      <c r="JKC242" s="219"/>
      <c r="JKD242" s="219"/>
      <c r="JKE242" s="219"/>
      <c r="JKF242" s="219"/>
      <c r="JKG242" s="219"/>
      <c r="JKH242" s="219"/>
      <c r="JKI242" s="219"/>
      <c r="JKJ242" s="219"/>
      <c r="JKK242" s="219"/>
      <c r="JKL242" s="219"/>
      <c r="JKM242" s="219"/>
      <c r="JKN242" s="219"/>
      <c r="JKO242" s="219"/>
      <c r="JKP242" s="219"/>
      <c r="JKQ242" s="219"/>
      <c r="JKR242" s="219"/>
      <c r="JKS242" s="219"/>
      <c r="JKT242" s="219"/>
      <c r="JKU242" s="219"/>
      <c r="JKV242" s="219"/>
      <c r="JKW242" s="219"/>
      <c r="JKX242" s="219"/>
      <c r="JKY242" s="219"/>
      <c r="JKZ242" s="219"/>
      <c r="JLA242" s="219"/>
      <c r="JLB242" s="219"/>
      <c r="JLC242" s="219"/>
      <c r="JLD242" s="219"/>
      <c r="JLE242" s="219"/>
      <c r="JLF242" s="219"/>
      <c r="JLG242" s="219"/>
      <c r="JLH242" s="219"/>
      <c r="JLI242" s="219"/>
      <c r="JLJ242" s="219"/>
      <c r="JLK242" s="219"/>
      <c r="JLL242" s="219"/>
      <c r="JLM242" s="219"/>
      <c r="JLN242" s="219"/>
      <c r="JLO242" s="219"/>
      <c r="JLP242" s="219"/>
      <c r="JLQ242" s="219"/>
      <c r="JLR242" s="219"/>
      <c r="JLS242" s="219"/>
      <c r="JLT242" s="219"/>
      <c r="JLU242" s="219"/>
      <c r="JLV242" s="219"/>
      <c r="JLW242" s="219"/>
      <c r="JLX242" s="219"/>
      <c r="JLY242" s="219"/>
      <c r="JLZ242" s="219"/>
      <c r="JMA242" s="219"/>
      <c r="JMB242" s="219"/>
      <c r="JMC242" s="219"/>
      <c r="JMD242" s="219"/>
      <c r="JME242" s="219"/>
      <c r="JMF242" s="219"/>
      <c r="JMG242" s="219"/>
      <c r="JMH242" s="219"/>
      <c r="JMI242" s="219"/>
      <c r="JMJ242" s="219"/>
      <c r="JMK242" s="219"/>
      <c r="JML242" s="219"/>
      <c r="JMM242" s="219"/>
      <c r="JMN242" s="219"/>
      <c r="JMO242" s="219"/>
      <c r="JMP242" s="219"/>
      <c r="JMQ242" s="219"/>
      <c r="JMR242" s="219"/>
      <c r="JMS242" s="219"/>
      <c r="JMT242" s="219"/>
      <c r="JMU242" s="219"/>
      <c r="JMV242" s="219"/>
      <c r="JMW242" s="219"/>
      <c r="JMX242" s="219"/>
      <c r="JMY242" s="219"/>
      <c r="JMZ242" s="219"/>
      <c r="JNA242" s="219"/>
      <c r="JNB242" s="219"/>
      <c r="JNC242" s="219"/>
      <c r="JND242" s="219"/>
      <c r="JNE242" s="219"/>
      <c r="JNF242" s="219"/>
      <c r="JNG242" s="219"/>
      <c r="JNH242" s="219"/>
      <c r="JNI242" s="219"/>
      <c r="JNJ242" s="219"/>
      <c r="JNK242" s="219"/>
      <c r="JNL242" s="219"/>
      <c r="JNM242" s="219"/>
      <c r="JNN242" s="219"/>
      <c r="JNO242" s="219"/>
      <c r="JNP242" s="219"/>
      <c r="JNQ242" s="219"/>
      <c r="JNR242" s="219"/>
      <c r="JNS242" s="219"/>
      <c r="JNT242" s="219"/>
      <c r="JNU242" s="219"/>
      <c r="JNV242" s="219"/>
      <c r="JNW242" s="219"/>
      <c r="JNX242" s="219"/>
      <c r="JNY242" s="219"/>
      <c r="JNZ242" s="219"/>
      <c r="JOA242" s="219"/>
      <c r="JOB242" s="219"/>
      <c r="JOC242" s="219"/>
      <c r="JOD242" s="219"/>
      <c r="JOE242" s="219"/>
      <c r="JOF242" s="219"/>
      <c r="JOG242" s="219"/>
      <c r="JOH242" s="219"/>
      <c r="JOI242" s="219"/>
      <c r="JOJ242" s="219"/>
      <c r="JOK242" s="219"/>
      <c r="JOL242" s="219"/>
      <c r="JOM242" s="219"/>
      <c r="JON242" s="219"/>
      <c r="JOO242" s="219"/>
      <c r="JOP242" s="219"/>
      <c r="JOQ242" s="219"/>
      <c r="JOR242" s="219"/>
      <c r="JOS242" s="219"/>
      <c r="JOT242" s="219"/>
      <c r="JOU242" s="219"/>
      <c r="JOV242" s="219"/>
      <c r="JOW242" s="219"/>
      <c r="JOX242" s="219"/>
      <c r="JOY242" s="219"/>
      <c r="JOZ242" s="219"/>
      <c r="JPA242" s="219"/>
      <c r="JPB242" s="219"/>
      <c r="JPC242" s="219"/>
      <c r="JPD242" s="219"/>
      <c r="JPE242" s="219"/>
      <c r="JPF242" s="219"/>
      <c r="JPG242" s="219"/>
      <c r="JPH242" s="219"/>
      <c r="JPI242" s="219"/>
      <c r="JPJ242" s="219"/>
      <c r="JPK242" s="219"/>
      <c r="JPL242" s="219"/>
      <c r="JPM242" s="219"/>
      <c r="JPN242" s="219"/>
      <c r="JPO242" s="219"/>
      <c r="JPP242" s="219"/>
      <c r="JPQ242" s="219"/>
      <c r="JPR242" s="219"/>
      <c r="JPS242" s="219"/>
      <c r="JPT242" s="219"/>
      <c r="JPU242" s="219"/>
      <c r="JPV242" s="219"/>
      <c r="JPW242" s="219"/>
      <c r="JPX242" s="219"/>
      <c r="JPY242" s="219"/>
      <c r="JPZ242" s="219"/>
      <c r="JQA242" s="219"/>
      <c r="JQB242" s="219"/>
      <c r="JQC242" s="219"/>
      <c r="JQD242" s="219"/>
      <c r="JQE242" s="219"/>
      <c r="JQF242" s="219"/>
      <c r="JQG242" s="219"/>
      <c r="JQH242" s="219"/>
      <c r="JQI242" s="219"/>
      <c r="JQJ242" s="219"/>
      <c r="JQK242" s="219"/>
      <c r="JQL242" s="219"/>
      <c r="JQM242" s="219"/>
      <c r="JQN242" s="219"/>
      <c r="JQO242" s="219"/>
      <c r="JQP242" s="219"/>
      <c r="JQQ242" s="219"/>
      <c r="JQR242" s="219"/>
      <c r="JQS242" s="219"/>
      <c r="JQT242" s="219"/>
      <c r="JQU242" s="219"/>
      <c r="JQV242" s="219"/>
      <c r="JQW242" s="219"/>
      <c r="JQX242" s="219"/>
      <c r="JQY242" s="219"/>
      <c r="JQZ242" s="219"/>
      <c r="JRA242" s="219"/>
      <c r="JRB242" s="219"/>
      <c r="JRC242" s="219"/>
      <c r="JRD242" s="219"/>
      <c r="JRE242" s="219"/>
      <c r="JRF242" s="219"/>
      <c r="JRG242" s="219"/>
      <c r="JRH242" s="219"/>
      <c r="JRI242" s="219"/>
      <c r="JRJ242" s="219"/>
      <c r="JRK242" s="219"/>
      <c r="JRL242" s="219"/>
      <c r="JRM242" s="219"/>
      <c r="JRN242" s="219"/>
      <c r="JRO242" s="219"/>
      <c r="JRP242" s="219"/>
      <c r="JRQ242" s="219"/>
      <c r="JRR242" s="219"/>
      <c r="JRS242" s="219"/>
      <c r="JRT242" s="219"/>
      <c r="JRU242" s="219"/>
      <c r="JRV242" s="219"/>
      <c r="JRW242" s="219"/>
      <c r="JRX242" s="219"/>
      <c r="JRY242" s="219"/>
      <c r="JRZ242" s="219"/>
      <c r="JSA242" s="219"/>
      <c r="JSB242" s="219"/>
      <c r="JSC242" s="219"/>
      <c r="JSD242" s="219"/>
      <c r="JSE242" s="219"/>
      <c r="JSF242" s="219"/>
      <c r="JSG242" s="219"/>
      <c r="JSH242" s="219"/>
      <c r="JSI242" s="219"/>
      <c r="JSJ242" s="219"/>
      <c r="JSK242" s="219"/>
      <c r="JSL242" s="219"/>
      <c r="JSM242" s="219"/>
      <c r="JSN242" s="219"/>
      <c r="JSO242" s="219"/>
      <c r="JSP242" s="219"/>
      <c r="JSQ242" s="219"/>
      <c r="JSR242" s="219"/>
      <c r="JSS242" s="219"/>
      <c r="JST242" s="219"/>
      <c r="JSU242" s="219"/>
      <c r="JSV242" s="219"/>
      <c r="JSW242" s="219"/>
      <c r="JSX242" s="219"/>
      <c r="JSY242" s="219"/>
      <c r="JSZ242" s="219"/>
      <c r="JTA242" s="219"/>
      <c r="JTB242" s="219"/>
      <c r="JTC242" s="219"/>
      <c r="JTD242" s="219"/>
      <c r="JTE242" s="219"/>
      <c r="JTF242" s="219"/>
      <c r="JTG242" s="219"/>
      <c r="JTH242" s="219"/>
      <c r="JTI242" s="219"/>
      <c r="JTJ242" s="219"/>
      <c r="JTK242" s="219"/>
      <c r="JTL242" s="219"/>
      <c r="JTM242" s="219"/>
      <c r="JTN242" s="219"/>
      <c r="JTO242" s="219"/>
      <c r="JTP242" s="219"/>
      <c r="JTQ242" s="219"/>
      <c r="JTR242" s="219"/>
      <c r="JTS242" s="219"/>
      <c r="JTT242" s="219"/>
      <c r="JTU242" s="219"/>
      <c r="JTV242" s="219"/>
      <c r="JTW242" s="219"/>
      <c r="JTX242" s="219"/>
      <c r="JTY242" s="219"/>
      <c r="JTZ242" s="219"/>
      <c r="JUA242" s="219"/>
      <c r="JUB242" s="219"/>
      <c r="JUC242" s="219"/>
      <c r="JUD242" s="219"/>
      <c r="JUE242" s="219"/>
      <c r="JUF242" s="219"/>
      <c r="JUG242" s="219"/>
      <c r="JUH242" s="219"/>
      <c r="JUI242" s="219"/>
      <c r="JUJ242" s="219"/>
      <c r="JUK242" s="219"/>
      <c r="JUL242" s="219"/>
      <c r="JUM242" s="219"/>
      <c r="JUN242" s="219"/>
      <c r="JUO242" s="219"/>
      <c r="JUP242" s="219"/>
      <c r="JUQ242" s="219"/>
      <c r="JUR242" s="219"/>
      <c r="JUS242" s="219"/>
      <c r="JUT242" s="219"/>
      <c r="JUU242" s="219"/>
      <c r="JUV242" s="219"/>
      <c r="JUW242" s="219"/>
      <c r="JUX242" s="219"/>
      <c r="JUY242" s="219"/>
      <c r="JUZ242" s="219"/>
      <c r="JVA242" s="219"/>
      <c r="JVB242" s="219"/>
      <c r="JVC242" s="219"/>
      <c r="JVD242" s="219"/>
      <c r="JVE242" s="219"/>
      <c r="JVF242" s="219"/>
      <c r="JVG242" s="219"/>
      <c r="JVH242" s="219"/>
      <c r="JVI242" s="219"/>
      <c r="JVJ242" s="219"/>
      <c r="JVK242" s="219"/>
      <c r="JVL242" s="219"/>
      <c r="JVM242" s="219"/>
      <c r="JVN242" s="219"/>
      <c r="JVO242" s="219"/>
      <c r="JVP242" s="219"/>
      <c r="JVQ242" s="219"/>
      <c r="JVR242" s="219"/>
      <c r="JVS242" s="219"/>
      <c r="JVT242" s="219"/>
      <c r="JVU242" s="219"/>
      <c r="JVV242" s="219"/>
      <c r="JVW242" s="219"/>
      <c r="JVX242" s="219"/>
      <c r="JVY242" s="219"/>
      <c r="JVZ242" s="219"/>
      <c r="JWA242" s="219"/>
      <c r="JWB242" s="219"/>
      <c r="JWC242" s="219"/>
      <c r="JWD242" s="219"/>
      <c r="JWE242" s="219"/>
      <c r="JWF242" s="219"/>
      <c r="JWG242" s="219"/>
      <c r="JWH242" s="219"/>
      <c r="JWI242" s="219"/>
      <c r="JWJ242" s="219"/>
      <c r="JWK242" s="219"/>
      <c r="JWL242" s="219"/>
      <c r="JWM242" s="219"/>
      <c r="JWN242" s="219"/>
      <c r="JWO242" s="219"/>
      <c r="JWP242" s="219"/>
      <c r="JWQ242" s="219"/>
      <c r="JWR242" s="219"/>
      <c r="JWS242" s="219"/>
      <c r="JWT242" s="219"/>
      <c r="JWU242" s="219"/>
      <c r="JWV242" s="219"/>
      <c r="JWW242" s="219"/>
      <c r="JWX242" s="219"/>
      <c r="JWY242" s="219"/>
      <c r="JWZ242" s="219"/>
      <c r="JXA242" s="219"/>
      <c r="JXB242" s="219"/>
      <c r="JXC242" s="219"/>
      <c r="JXD242" s="219"/>
      <c r="JXE242" s="219"/>
      <c r="JXF242" s="219"/>
      <c r="JXG242" s="219"/>
      <c r="JXH242" s="219"/>
      <c r="JXI242" s="219"/>
      <c r="JXJ242" s="219"/>
      <c r="JXK242" s="219"/>
      <c r="JXL242" s="219"/>
      <c r="JXM242" s="219"/>
      <c r="JXN242" s="219"/>
      <c r="JXO242" s="219"/>
      <c r="JXP242" s="219"/>
      <c r="JXQ242" s="219"/>
      <c r="JXR242" s="219"/>
      <c r="JXS242" s="219"/>
      <c r="JXT242" s="219"/>
      <c r="JXU242" s="219"/>
      <c r="JXV242" s="219"/>
      <c r="JXW242" s="219"/>
      <c r="JXX242" s="219"/>
      <c r="JXY242" s="219"/>
      <c r="JXZ242" s="219"/>
      <c r="JYA242" s="219"/>
      <c r="JYB242" s="219"/>
      <c r="JYC242" s="219"/>
      <c r="JYD242" s="219"/>
      <c r="JYE242" s="219"/>
      <c r="JYF242" s="219"/>
      <c r="JYG242" s="219"/>
      <c r="JYH242" s="219"/>
      <c r="JYI242" s="219"/>
      <c r="JYJ242" s="219"/>
      <c r="JYK242" s="219"/>
      <c r="JYL242" s="219"/>
      <c r="JYM242" s="219"/>
      <c r="JYN242" s="219"/>
      <c r="JYO242" s="219"/>
      <c r="JYP242" s="219"/>
      <c r="JYQ242" s="219"/>
      <c r="JYR242" s="219"/>
      <c r="JYS242" s="219"/>
      <c r="JYT242" s="219"/>
      <c r="JYU242" s="219"/>
      <c r="JYV242" s="219"/>
      <c r="JYW242" s="219"/>
      <c r="JYX242" s="219"/>
      <c r="JYY242" s="219"/>
      <c r="JYZ242" s="219"/>
      <c r="JZA242" s="219"/>
      <c r="JZB242" s="219"/>
      <c r="JZC242" s="219"/>
      <c r="JZD242" s="219"/>
      <c r="JZE242" s="219"/>
      <c r="JZF242" s="219"/>
      <c r="JZG242" s="219"/>
      <c r="JZH242" s="219"/>
      <c r="JZI242" s="219"/>
      <c r="JZJ242" s="219"/>
      <c r="JZK242" s="219"/>
      <c r="JZL242" s="219"/>
      <c r="JZM242" s="219"/>
      <c r="JZN242" s="219"/>
      <c r="JZO242" s="219"/>
      <c r="JZP242" s="219"/>
      <c r="JZQ242" s="219"/>
      <c r="JZR242" s="219"/>
      <c r="JZS242" s="219"/>
      <c r="JZT242" s="219"/>
      <c r="JZU242" s="219"/>
      <c r="JZV242" s="219"/>
      <c r="JZW242" s="219"/>
      <c r="JZX242" s="219"/>
      <c r="JZY242" s="219"/>
      <c r="JZZ242" s="219"/>
      <c r="KAA242" s="219"/>
      <c r="KAB242" s="219"/>
      <c r="KAC242" s="219"/>
      <c r="KAD242" s="219"/>
      <c r="KAE242" s="219"/>
      <c r="KAF242" s="219"/>
      <c r="KAG242" s="219"/>
      <c r="KAH242" s="219"/>
      <c r="KAI242" s="219"/>
      <c r="KAJ242" s="219"/>
      <c r="KAK242" s="219"/>
      <c r="KAL242" s="219"/>
      <c r="KAM242" s="219"/>
      <c r="KAN242" s="219"/>
      <c r="KAO242" s="219"/>
      <c r="KAP242" s="219"/>
      <c r="KAQ242" s="219"/>
      <c r="KAR242" s="219"/>
      <c r="KAS242" s="219"/>
      <c r="KAT242" s="219"/>
      <c r="KAU242" s="219"/>
      <c r="KAV242" s="219"/>
      <c r="KAW242" s="219"/>
      <c r="KAX242" s="219"/>
      <c r="KAY242" s="219"/>
      <c r="KAZ242" s="219"/>
      <c r="KBA242" s="219"/>
      <c r="KBB242" s="219"/>
      <c r="KBC242" s="219"/>
      <c r="KBD242" s="219"/>
      <c r="KBE242" s="219"/>
      <c r="KBF242" s="219"/>
      <c r="KBG242" s="219"/>
      <c r="KBH242" s="219"/>
      <c r="KBI242" s="219"/>
      <c r="KBJ242" s="219"/>
      <c r="KBK242" s="219"/>
      <c r="KBL242" s="219"/>
      <c r="KBM242" s="219"/>
      <c r="KBN242" s="219"/>
      <c r="KBO242" s="219"/>
      <c r="KBP242" s="219"/>
      <c r="KBQ242" s="219"/>
      <c r="KBR242" s="219"/>
      <c r="KBS242" s="219"/>
      <c r="KBT242" s="219"/>
      <c r="KBU242" s="219"/>
      <c r="KBV242" s="219"/>
      <c r="KBW242" s="219"/>
      <c r="KBX242" s="219"/>
      <c r="KBY242" s="219"/>
      <c r="KBZ242" s="219"/>
      <c r="KCA242" s="219"/>
      <c r="KCB242" s="219"/>
      <c r="KCC242" s="219"/>
      <c r="KCD242" s="219"/>
      <c r="KCE242" s="219"/>
      <c r="KCF242" s="219"/>
      <c r="KCG242" s="219"/>
      <c r="KCH242" s="219"/>
      <c r="KCI242" s="219"/>
      <c r="KCJ242" s="219"/>
      <c r="KCK242" s="219"/>
      <c r="KCL242" s="219"/>
      <c r="KCM242" s="219"/>
      <c r="KCN242" s="219"/>
      <c r="KCO242" s="219"/>
      <c r="KCP242" s="219"/>
      <c r="KCQ242" s="219"/>
      <c r="KCR242" s="219"/>
      <c r="KCS242" s="219"/>
      <c r="KCT242" s="219"/>
      <c r="KCU242" s="219"/>
      <c r="KCV242" s="219"/>
      <c r="KCW242" s="219"/>
      <c r="KCX242" s="219"/>
      <c r="KCY242" s="219"/>
      <c r="KCZ242" s="219"/>
      <c r="KDA242" s="219"/>
      <c r="KDB242" s="219"/>
      <c r="KDC242" s="219"/>
      <c r="KDD242" s="219"/>
      <c r="KDE242" s="219"/>
      <c r="KDF242" s="219"/>
      <c r="KDG242" s="219"/>
      <c r="KDH242" s="219"/>
      <c r="KDI242" s="219"/>
      <c r="KDJ242" s="219"/>
      <c r="KDK242" s="219"/>
      <c r="KDL242" s="219"/>
      <c r="KDM242" s="219"/>
      <c r="KDN242" s="219"/>
      <c r="KDO242" s="219"/>
      <c r="KDP242" s="219"/>
      <c r="KDQ242" s="219"/>
      <c r="KDR242" s="219"/>
      <c r="KDS242" s="219"/>
      <c r="KDT242" s="219"/>
      <c r="KDU242" s="219"/>
      <c r="KDV242" s="219"/>
      <c r="KDW242" s="219"/>
      <c r="KDX242" s="219"/>
      <c r="KDY242" s="219"/>
      <c r="KDZ242" s="219"/>
      <c r="KEA242" s="219"/>
      <c r="KEB242" s="219"/>
      <c r="KEC242" s="219"/>
      <c r="KED242" s="219"/>
      <c r="KEE242" s="219"/>
      <c r="KEF242" s="219"/>
      <c r="KEG242" s="219"/>
      <c r="KEH242" s="219"/>
      <c r="KEI242" s="219"/>
      <c r="KEJ242" s="219"/>
      <c r="KEK242" s="219"/>
      <c r="KEL242" s="219"/>
      <c r="KEM242" s="219"/>
      <c r="KEN242" s="219"/>
      <c r="KEO242" s="219"/>
      <c r="KEP242" s="219"/>
      <c r="KEQ242" s="219"/>
      <c r="KER242" s="219"/>
      <c r="KES242" s="219"/>
      <c r="KET242" s="219"/>
      <c r="KEU242" s="219"/>
      <c r="KEV242" s="219"/>
      <c r="KEW242" s="219"/>
      <c r="KEX242" s="219"/>
      <c r="KEY242" s="219"/>
      <c r="KEZ242" s="219"/>
      <c r="KFA242" s="219"/>
      <c r="KFB242" s="219"/>
      <c r="KFC242" s="219"/>
      <c r="KFD242" s="219"/>
      <c r="KFE242" s="219"/>
      <c r="KFF242" s="219"/>
      <c r="KFG242" s="219"/>
      <c r="KFH242" s="219"/>
      <c r="KFI242" s="219"/>
      <c r="KFJ242" s="219"/>
      <c r="KFK242" s="219"/>
      <c r="KFL242" s="219"/>
      <c r="KFM242" s="219"/>
      <c r="KFN242" s="219"/>
      <c r="KFO242" s="219"/>
      <c r="KFP242" s="219"/>
      <c r="KFQ242" s="219"/>
      <c r="KFR242" s="219"/>
      <c r="KFS242" s="219"/>
      <c r="KFT242" s="219"/>
      <c r="KFU242" s="219"/>
      <c r="KFV242" s="219"/>
      <c r="KFW242" s="219"/>
      <c r="KFX242" s="219"/>
      <c r="KFY242" s="219"/>
      <c r="KFZ242" s="219"/>
      <c r="KGA242" s="219"/>
      <c r="KGB242" s="219"/>
      <c r="KGC242" s="219"/>
      <c r="KGD242" s="219"/>
      <c r="KGE242" s="219"/>
      <c r="KGF242" s="219"/>
      <c r="KGG242" s="219"/>
      <c r="KGH242" s="219"/>
      <c r="KGI242" s="219"/>
      <c r="KGJ242" s="219"/>
      <c r="KGK242" s="219"/>
      <c r="KGL242" s="219"/>
      <c r="KGM242" s="219"/>
      <c r="KGN242" s="219"/>
      <c r="KGO242" s="219"/>
      <c r="KGP242" s="219"/>
      <c r="KGQ242" s="219"/>
      <c r="KGR242" s="219"/>
      <c r="KGS242" s="219"/>
      <c r="KGT242" s="219"/>
      <c r="KGU242" s="219"/>
      <c r="KGV242" s="219"/>
      <c r="KGW242" s="219"/>
      <c r="KGX242" s="219"/>
      <c r="KGY242" s="219"/>
      <c r="KGZ242" s="219"/>
      <c r="KHA242" s="219"/>
      <c r="KHB242" s="219"/>
      <c r="KHC242" s="219"/>
      <c r="KHD242" s="219"/>
      <c r="KHE242" s="219"/>
      <c r="KHF242" s="219"/>
      <c r="KHG242" s="219"/>
      <c r="KHH242" s="219"/>
      <c r="KHI242" s="219"/>
      <c r="KHJ242" s="219"/>
      <c r="KHK242" s="219"/>
      <c r="KHL242" s="219"/>
      <c r="KHM242" s="219"/>
      <c r="KHN242" s="219"/>
      <c r="KHO242" s="219"/>
      <c r="KHP242" s="219"/>
      <c r="KHQ242" s="219"/>
      <c r="KHR242" s="219"/>
      <c r="KHS242" s="219"/>
      <c r="KHT242" s="219"/>
      <c r="KHU242" s="219"/>
      <c r="KHV242" s="219"/>
      <c r="KHW242" s="219"/>
      <c r="KHX242" s="219"/>
      <c r="KHY242" s="219"/>
      <c r="KHZ242" s="219"/>
      <c r="KIA242" s="219"/>
      <c r="KIB242" s="219"/>
      <c r="KIC242" s="219"/>
      <c r="KID242" s="219"/>
      <c r="KIE242" s="219"/>
      <c r="KIF242" s="219"/>
      <c r="KIG242" s="219"/>
      <c r="KIH242" s="219"/>
      <c r="KII242" s="219"/>
      <c r="KIJ242" s="219"/>
      <c r="KIK242" s="219"/>
      <c r="KIL242" s="219"/>
      <c r="KIM242" s="219"/>
      <c r="KIN242" s="219"/>
      <c r="KIO242" s="219"/>
      <c r="KIP242" s="219"/>
      <c r="KIQ242" s="219"/>
      <c r="KIR242" s="219"/>
      <c r="KIS242" s="219"/>
      <c r="KIT242" s="219"/>
      <c r="KIU242" s="219"/>
      <c r="KIV242" s="219"/>
      <c r="KIW242" s="219"/>
      <c r="KIX242" s="219"/>
      <c r="KIY242" s="219"/>
      <c r="KIZ242" s="219"/>
      <c r="KJA242" s="219"/>
      <c r="KJB242" s="219"/>
      <c r="KJC242" s="219"/>
      <c r="KJD242" s="219"/>
      <c r="KJE242" s="219"/>
      <c r="KJF242" s="219"/>
      <c r="KJG242" s="219"/>
      <c r="KJH242" s="219"/>
      <c r="KJI242" s="219"/>
      <c r="KJJ242" s="219"/>
      <c r="KJK242" s="219"/>
      <c r="KJL242" s="219"/>
      <c r="KJM242" s="219"/>
      <c r="KJN242" s="219"/>
      <c r="KJO242" s="219"/>
      <c r="KJP242" s="219"/>
      <c r="KJQ242" s="219"/>
      <c r="KJR242" s="219"/>
      <c r="KJS242" s="219"/>
      <c r="KJT242" s="219"/>
      <c r="KJU242" s="219"/>
      <c r="KJV242" s="219"/>
      <c r="KJW242" s="219"/>
      <c r="KJX242" s="219"/>
      <c r="KJY242" s="219"/>
      <c r="KJZ242" s="219"/>
      <c r="KKA242" s="219"/>
      <c r="KKB242" s="219"/>
      <c r="KKC242" s="219"/>
      <c r="KKD242" s="219"/>
      <c r="KKE242" s="219"/>
      <c r="KKF242" s="219"/>
      <c r="KKG242" s="219"/>
      <c r="KKH242" s="219"/>
      <c r="KKI242" s="219"/>
      <c r="KKJ242" s="219"/>
      <c r="KKK242" s="219"/>
      <c r="KKL242" s="219"/>
      <c r="KKM242" s="219"/>
      <c r="KKN242" s="219"/>
      <c r="KKO242" s="219"/>
      <c r="KKP242" s="219"/>
      <c r="KKQ242" s="219"/>
      <c r="KKR242" s="219"/>
      <c r="KKS242" s="219"/>
      <c r="KKT242" s="219"/>
      <c r="KKU242" s="219"/>
      <c r="KKV242" s="219"/>
      <c r="KKW242" s="219"/>
      <c r="KKX242" s="219"/>
      <c r="KKY242" s="219"/>
      <c r="KKZ242" s="219"/>
      <c r="KLA242" s="219"/>
      <c r="KLB242" s="219"/>
      <c r="KLC242" s="219"/>
      <c r="KLD242" s="219"/>
      <c r="KLE242" s="219"/>
      <c r="KLF242" s="219"/>
      <c r="KLG242" s="219"/>
      <c r="KLH242" s="219"/>
      <c r="KLI242" s="219"/>
      <c r="KLJ242" s="219"/>
      <c r="KLK242" s="219"/>
      <c r="KLL242" s="219"/>
      <c r="KLM242" s="219"/>
      <c r="KLN242" s="219"/>
      <c r="KLO242" s="219"/>
      <c r="KLP242" s="219"/>
      <c r="KLQ242" s="219"/>
      <c r="KLR242" s="219"/>
      <c r="KLS242" s="219"/>
      <c r="KLT242" s="219"/>
      <c r="KLU242" s="219"/>
      <c r="KLV242" s="219"/>
      <c r="KLW242" s="219"/>
      <c r="KLX242" s="219"/>
      <c r="KLY242" s="219"/>
      <c r="KLZ242" s="219"/>
      <c r="KMA242" s="219"/>
      <c r="KMB242" s="219"/>
      <c r="KMC242" s="219"/>
      <c r="KMD242" s="219"/>
      <c r="KME242" s="219"/>
      <c r="KMF242" s="219"/>
      <c r="KMG242" s="219"/>
      <c r="KMH242" s="219"/>
      <c r="KMI242" s="219"/>
      <c r="KMJ242" s="219"/>
      <c r="KMK242" s="219"/>
      <c r="KML242" s="219"/>
      <c r="KMM242" s="219"/>
      <c r="KMN242" s="219"/>
      <c r="KMO242" s="219"/>
      <c r="KMP242" s="219"/>
      <c r="KMQ242" s="219"/>
      <c r="KMR242" s="219"/>
      <c r="KMS242" s="219"/>
      <c r="KMT242" s="219"/>
      <c r="KMU242" s="219"/>
      <c r="KMV242" s="219"/>
      <c r="KMW242" s="219"/>
      <c r="KMX242" s="219"/>
      <c r="KMY242" s="219"/>
      <c r="KMZ242" s="219"/>
      <c r="KNA242" s="219"/>
      <c r="KNB242" s="219"/>
      <c r="KNC242" s="219"/>
      <c r="KND242" s="219"/>
      <c r="KNE242" s="219"/>
      <c r="KNF242" s="219"/>
      <c r="KNG242" s="219"/>
      <c r="KNH242" s="219"/>
      <c r="KNI242" s="219"/>
      <c r="KNJ242" s="219"/>
      <c r="KNK242" s="219"/>
      <c r="KNL242" s="219"/>
      <c r="KNM242" s="219"/>
      <c r="KNN242" s="219"/>
      <c r="KNO242" s="219"/>
      <c r="KNP242" s="219"/>
      <c r="KNQ242" s="219"/>
      <c r="KNR242" s="219"/>
      <c r="KNS242" s="219"/>
      <c r="KNT242" s="219"/>
      <c r="KNU242" s="219"/>
      <c r="KNV242" s="219"/>
      <c r="KNW242" s="219"/>
      <c r="KNX242" s="219"/>
      <c r="KNY242" s="219"/>
      <c r="KNZ242" s="219"/>
      <c r="KOA242" s="219"/>
      <c r="KOB242" s="219"/>
      <c r="KOC242" s="219"/>
      <c r="KOD242" s="219"/>
      <c r="KOE242" s="219"/>
      <c r="KOF242" s="219"/>
      <c r="KOG242" s="219"/>
      <c r="KOH242" s="219"/>
      <c r="KOI242" s="219"/>
      <c r="KOJ242" s="219"/>
      <c r="KOK242" s="219"/>
      <c r="KOL242" s="219"/>
      <c r="KOM242" s="219"/>
      <c r="KON242" s="219"/>
      <c r="KOO242" s="219"/>
      <c r="KOP242" s="219"/>
      <c r="KOQ242" s="219"/>
      <c r="KOR242" s="219"/>
      <c r="KOS242" s="219"/>
      <c r="KOT242" s="219"/>
      <c r="KOU242" s="219"/>
      <c r="KOV242" s="219"/>
      <c r="KOW242" s="219"/>
      <c r="KOX242" s="219"/>
      <c r="KOY242" s="219"/>
      <c r="KOZ242" s="219"/>
      <c r="KPA242" s="219"/>
      <c r="KPB242" s="219"/>
      <c r="KPC242" s="219"/>
      <c r="KPD242" s="219"/>
      <c r="KPE242" s="219"/>
      <c r="KPF242" s="219"/>
      <c r="KPG242" s="219"/>
      <c r="KPH242" s="219"/>
      <c r="KPI242" s="219"/>
      <c r="KPJ242" s="219"/>
      <c r="KPK242" s="219"/>
      <c r="KPL242" s="219"/>
      <c r="KPM242" s="219"/>
      <c r="KPN242" s="219"/>
      <c r="KPO242" s="219"/>
      <c r="KPP242" s="219"/>
      <c r="KPQ242" s="219"/>
      <c r="KPR242" s="219"/>
      <c r="KPS242" s="219"/>
      <c r="KPT242" s="219"/>
      <c r="KPU242" s="219"/>
      <c r="KPV242" s="219"/>
      <c r="KPW242" s="219"/>
      <c r="KPX242" s="219"/>
      <c r="KPY242" s="219"/>
      <c r="KPZ242" s="219"/>
      <c r="KQA242" s="219"/>
      <c r="KQB242" s="219"/>
      <c r="KQC242" s="219"/>
      <c r="KQD242" s="219"/>
      <c r="KQE242" s="219"/>
      <c r="KQF242" s="219"/>
      <c r="KQG242" s="219"/>
      <c r="KQH242" s="219"/>
      <c r="KQI242" s="219"/>
      <c r="KQJ242" s="219"/>
      <c r="KQK242" s="219"/>
      <c r="KQL242" s="219"/>
      <c r="KQM242" s="219"/>
      <c r="KQN242" s="219"/>
      <c r="KQO242" s="219"/>
      <c r="KQP242" s="219"/>
      <c r="KQQ242" s="219"/>
      <c r="KQR242" s="219"/>
      <c r="KQS242" s="219"/>
      <c r="KQT242" s="219"/>
      <c r="KQU242" s="219"/>
      <c r="KQV242" s="219"/>
      <c r="KQW242" s="219"/>
      <c r="KQX242" s="219"/>
      <c r="KQY242" s="219"/>
      <c r="KQZ242" s="219"/>
      <c r="KRA242" s="219"/>
      <c r="KRB242" s="219"/>
      <c r="KRC242" s="219"/>
      <c r="KRD242" s="219"/>
      <c r="KRE242" s="219"/>
      <c r="KRF242" s="219"/>
      <c r="KRG242" s="219"/>
      <c r="KRH242" s="219"/>
      <c r="KRI242" s="219"/>
      <c r="KRJ242" s="219"/>
      <c r="KRK242" s="219"/>
      <c r="KRL242" s="219"/>
      <c r="KRM242" s="219"/>
      <c r="KRN242" s="219"/>
      <c r="KRO242" s="219"/>
      <c r="KRP242" s="219"/>
      <c r="KRQ242" s="219"/>
      <c r="KRR242" s="219"/>
      <c r="KRS242" s="219"/>
      <c r="KRT242" s="219"/>
      <c r="KRU242" s="219"/>
      <c r="KRV242" s="219"/>
      <c r="KRW242" s="219"/>
      <c r="KRX242" s="219"/>
      <c r="KRY242" s="219"/>
      <c r="KRZ242" s="219"/>
      <c r="KSA242" s="219"/>
      <c r="KSB242" s="219"/>
      <c r="KSC242" s="219"/>
      <c r="KSD242" s="219"/>
      <c r="KSE242" s="219"/>
      <c r="KSF242" s="219"/>
      <c r="KSG242" s="219"/>
      <c r="KSH242" s="219"/>
      <c r="KSI242" s="219"/>
      <c r="KSJ242" s="219"/>
      <c r="KSK242" s="219"/>
      <c r="KSL242" s="219"/>
      <c r="KSM242" s="219"/>
      <c r="KSN242" s="219"/>
      <c r="KSO242" s="219"/>
      <c r="KSP242" s="219"/>
      <c r="KSQ242" s="219"/>
      <c r="KSR242" s="219"/>
      <c r="KSS242" s="219"/>
      <c r="KST242" s="219"/>
      <c r="KSU242" s="219"/>
      <c r="KSV242" s="219"/>
      <c r="KSW242" s="219"/>
      <c r="KSX242" s="219"/>
      <c r="KSY242" s="219"/>
      <c r="KSZ242" s="219"/>
      <c r="KTA242" s="219"/>
      <c r="KTB242" s="219"/>
      <c r="KTC242" s="219"/>
      <c r="KTD242" s="219"/>
      <c r="KTE242" s="219"/>
      <c r="KTF242" s="219"/>
      <c r="KTG242" s="219"/>
      <c r="KTH242" s="219"/>
      <c r="KTI242" s="219"/>
      <c r="KTJ242" s="219"/>
      <c r="KTK242" s="219"/>
      <c r="KTL242" s="219"/>
      <c r="KTM242" s="219"/>
      <c r="KTN242" s="219"/>
      <c r="KTO242" s="219"/>
      <c r="KTP242" s="219"/>
      <c r="KTQ242" s="219"/>
      <c r="KTR242" s="219"/>
      <c r="KTS242" s="219"/>
      <c r="KTT242" s="219"/>
      <c r="KTU242" s="219"/>
      <c r="KTV242" s="219"/>
      <c r="KTW242" s="219"/>
      <c r="KTX242" s="219"/>
      <c r="KTY242" s="219"/>
      <c r="KTZ242" s="219"/>
      <c r="KUA242" s="219"/>
      <c r="KUB242" s="219"/>
      <c r="KUC242" s="219"/>
      <c r="KUD242" s="219"/>
      <c r="KUE242" s="219"/>
      <c r="KUF242" s="219"/>
      <c r="KUG242" s="219"/>
      <c r="KUH242" s="219"/>
      <c r="KUI242" s="219"/>
      <c r="KUJ242" s="219"/>
      <c r="KUK242" s="219"/>
      <c r="KUL242" s="219"/>
      <c r="KUM242" s="219"/>
      <c r="KUN242" s="219"/>
      <c r="KUO242" s="219"/>
      <c r="KUP242" s="219"/>
      <c r="KUQ242" s="219"/>
      <c r="KUR242" s="219"/>
      <c r="KUS242" s="219"/>
      <c r="KUT242" s="219"/>
      <c r="KUU242" s="219"/>
      <c r="KUV242" s="219"/>
      <c r="KUW242" s="219"/>
      <c r="KUX242" s="219"/>
      <c r="KUY242" s="219"/>
      <c r="KUZ242" s="219"/>
      <c r="KVA242" s="219"/>
      <c r="KVB242" s="219"/>
      <c r="KVC242" s="219"/>
      <c r="KVD242" s="219"/>
      <c r="KVE242" s="219"/>
      <c r="KVF242" s="219"/>
      <c r="KVG242" s="219"/>
      <c r="KVH242" s="219"/>
      <c r="KVI242" s="219"/>
      <c r="KVJ242" s="219"/>
      <c r="KVK242" s="219"/>
      <c r="KVL242" s="219"/>
      <c r="KVM242" s="219"/>
      <c r="KVN242" s="219"/>
      <c r="KVO242" s="219"/>
      <c r="KVP242" s="219"/>
      <c r="KVQ242" s="219"/>
      <c r="KVR242" s="219"/>
      <c r="KVS242" s="219"/>
      <c r="KVT242" s="219"/>
      <c r="KVU242" s="219"/>
      <c r="KVV242" s="219"/>
      <c r="KVW242" s="219"/>
      <c r="KVX242" s="219"/>
      <c r="KVY242" s="219"/>
      <c r="KVZ242" s="219"/>
      <c r="KWA242" s="219"/>
      <c r="KWB242" s="219"/>
      <c r="KWC242" s="219"/>
      <c r="KWD242" s="219"/>
      <c r="KWE242" s="219"/>
      <c r="KWF242" s="219"/>
      <c r="KWG242" s="219"/>
      <c r="KWH242" s="219"/>
      <c r="KWI242" s="219"/>
      <c r="KWJ242" s="219"/>
      <c r="KWK242" s="219"/>
      <c r="KWL242" s="219"/>
      <c r="KWM242" s="219"/>
      <c r="KWN242" s="219"/>
      <c r="KWO242" s="219"/>
      <c r="KWP242" s="219"/>
      <c r="KWQ242" s="219"/>
      <c r="KWR242" s="219"/>
      <c r="KWS242" s="219"/>
      <c r="KWT242" s="219"/>
      <c r="KWU242" s="219"/>
      <c r="KWV242" s="219"/>
      <c r="KWW242" s="219"/>
      <c r="KWX242" s="219"/>
      <c r="KWY242" s="219"/>
      <c r="KWZ242" s="219"/>
      <c r="KXA242" s="219"/>
      <c r="KXB242" s="219"/>
      <c r="KXC242" s="219"/>
      <c r="KXD242" s="219"/>
      <c r="KXE242" s="219"/>
      <c r="KXF242" s="219"/>
      <c r="KXG242" s="219"/>
      <c r="KXH242" s="219"/>
      <c r="KXI242" s="219"/>
      <c r="KXJ242" s="219"/>
      <c r="KXK242" s="219"/>
      <c r="KXL242" s="219"/>
      <c r="KXM242" s="219"/>
      <c r="KXN242" s="219"/>
      <c r="KXO242" s="219"/>
      <c r="KXP242" s="219"/>
      <c r="KXQ242" s="219"/>
      <c r="KXR242" s="219"/>
      <c r="KXS242" s="219"/>
      <c r="KXT242" s="219"/>
      <c r="KXU242" s="219"/>
      <c r="KXV242" s="219"/>
      <c r="KXW242" s="219"/>
      <c r="KXX242" s="219"/>
      <c r="KXY242" s="219"/>
      <c r="KXZ242" s="219"/>
      <c r="KYA242" s="219"/>
      <c r="KYB242" s="219"/>
      <c r="KYC242" s="219"/>
      <c r="KYD242" s="219"/>
      <c r="KYE242" s="219"/>
      <c r="KYF242" s="219"/>
      <c r="KYG242" s="219"/>
      <c r="KYH242" s="219"/>
      <c r="KYI242" s="219"/>
      <c r="KYJ242" s="219"/>
      <c r="KYK242" s="219"/>
      <c r="KYL242" s="219"/>
      <c r="KYM242" s="219"/>
      <c r="KYN242" s="219"/>
      <c r="KYO242" s="219"/>
      <c r="KYP242" s="219"/>
      <c r="KYQ242" s="219"/>
      <c r="KYR242" s="219"/>
      <c r="KYS242" s="219"/>
      <c r="KYT242" s="219"/>
      <c r="KYU242" s="219"/>
      <c r="KYV242" s="219"/>
      <c r="KYW242" s="219"/>
      <c r="KYX242" s="219"/>
      <c r="KYY242" s="219"/>
      <c r="KYZ242" s="219"/>
      <c r="KZA242" s="219"/>
      <c r="KZB242" s="219"/>
      <c r="KZC242" s="219"/>
      <c r="KZD242" s="219"/>
      <c r="KZE242" s="219"/>
      <c r="KZF242" s="219"/>
      <c r="KZG242" s="219"/>
      <c r="KZH242" s="219"/>
      <c r="KZI242" s="219"/>
      <c r="KZJ242" s="219"/>
      <c r="KZK242" s="219"/>
      <c r="KZL242" s="219"/>
      <c r="KZM242" s="219"/>
      <c r="KZN242" s="219"/>
      <c r="KZO242" s="219"/>
      <c r="KZP242" s="219"/>
      <c r="KZQ242" s="219"/>
      <c r="KZR242" s="219"/>
      <c r="KZS242" s="219"/>
      <c r="KZT242" s="219"/>
      <c r="KZU242" s="219"/>
      <c r="KZV242" s="219"/>
      <c r="KZW242" s="219"/>
      <c r="KZX242" s="219"/>
      <c r="KZY242" s="219"/>
      <c r="KZZ242" s="219"/>
      <c r="LAA242" s="219"/>
      <c r="LAB242" s="219"/>
      <c r="LAC242" s="219"/>
      <c r="LAD242" s="219"/>
      <c r="LAE242" s="219"/>
      <c r="LAF242" s="219"/>
      <c r="LAG242" s="219"/>
      <c r="LAH242" s="219"/>
      <c r="LAI242" s="219"/>
      <c r="LAJ242" s="219"/>
      <c r="LAK242" s="219"/>
      <c r="LAL242" s="219"/>
      <c r="LAM242" s="219"/>
      <c r="LAN242" s="219"/>
      <c r="LAO242" s="219"/>
      <c r="LAP242" s="219"/>
      <c r="LAQ242" s="219"/>
      <c r="LAR242" s="219"/>
      <c r="LAS242" s="219"/>
      <c r="LAT242" s="219"/>
      <c r="LAU242" s="219"/>
      <c r="LAV242" s="219"/>
      <c r="LAW242" s="219"/>
      <c r="LAX242" s="219"/>
      <c r="LAY242" s="219"/>
      <c r="LAZ242" s="219"/>
      <c r="LBA242" s="219"/>
      <c r="LBB242" s="219"/>
      <c r="LBC242" s="219"/>
      <c r="LBD242" s="219"/>
      <c r="LBE242" s="219"/>
      <c r="LBF242" s="219"/>
      <c r="LBG242" s="219"/>
      <c r="LBH242" s="219"/>
      <c r="LBI242" s="219"/>
      <c r="LBJ242" s="219"/>
      <c r="LBK242" s="219"/>
      <c r="LBL242" s="219"/>
      <c r="LBM242" s="219"/>
      <c r="LBN242" s="219"/>
      <c r="LBO242" s="219"/>
      <c r="LBP242" s="219"/>
      <c r="LBQ242" s="219"/>
      <c r="LBR242" s="219"/>
      <c r="LBS242" s="219"/>
      <c r="LBT242" s="219"/>
      <c r="LBU242" s="219"/>
      <c r="LBV242" s="219"/>
      <c r="LBW242" s="219"/>
      <c r="LBX242" s="219"/>
      <c r="LBY242" s="219"/>
      <c r="LBZ242" s="219"/>
      <c r="LCA242" s="219"/>
      <c r="LCB242" s="219"/>
      <c r="LCC242" s="219"/>
      <c r="LCD242" s="219"/>
      <c r="LCE242" s="219"/>
      <c r="LCF242" s="219"/>
      <c r="LCG242" s="219"/>
      <c r="LCH242" s="219"/>
      <c r="LCI242" s="219"/>
      <c r="LCJ242" s="219"/>
      <c r="LCK242" s="219"/>
      <c r="LCL242" s="219"/>
      <c r="LCM242" s="219"/>
      <c r="LCN242" s="219"/>
      <c r="LCO242" s="219"/>
      <c r="LCP242" s="219"/>
      <c r="LCQ242" s="219"/>
      <c r="LCR242" s="219"/>
      <c r="LCS242" s="219"/>
      <c r="LCT242" s="219"/>
      <c r="LCU242" s="219"/>
      <c r="LCV242" s="219"/>
      <c r="LCW242" s="219"/>
      <c r="LCX242" s="219"/>
      <c r="LCY242" s="219"/>
      <c r="LCZ242" s="219"/>
      <c r="LDA242" s="219"/>
      <c r="LDB242" s="219"/>
      <c r="LDC242" s="219"/>
      <c r="LDD242" s="219"/>
      <c r="LDE242" s="219"/>
      <c r="LDF242" s="219"/>
      <c r="LDG242" s="219"/>
      <c r="LDH242" s="219"/>
      <c r="LDI242" s="219"/>
      <c r="LDJ242" s="219"/>
      <c r="LDK242" s="219"/>
      <c r="LDL242" s="219"/>
      <c r="LDM242" s="219"/>
      <c r="LDN242" s="219"/>
      <c r="LDO242" s="219"/>
      <c r="LDP242" s="219"/>
      <c r="LDQ242" s="219"/>
      <c r="LDR242" s="219"/>
      <c r="LDS242" s="219"/>
      <c r="LDT242" s="219"/>
      <c r="LDU242" s="219"/>
      <c r="LDV242" s="219"/>
      <c r="LDW242" s="219"/>
      <c r="LDX242" s="219"/>
      <c r="LDY242" s="219"/>
      <c r="LDZ242" s="219"/>
      <c r="LEA242" s="219"/>
      <c r="LEB242" s="219"/>
      <c r="LEC242" s="219"/>
      <c r="LED242" s="219"/>
      <c r="LEE242" s="219"/>
      <c r="LEF242" s="219"/>
      <c r="LEG242" s="219"/>
      <c r="LEH242" s="219"/>
      <c r="LEI242" s="219"/>
      <c r="LEJ242" s="219"/>
      <c r="LEK242" s="219"/>
      <c r="LEL242" s="219"/>
      <c r="LEM242" s="219"/>
      <c r="LEN242" s="219"/>
      <c r="LEO242" s="219"/>
      <c r="LEP242" s="219"/>
      <c r="LEQ242" s="219"/>
      <c r="LER242" s="219"/>
      <c r="LES242" s="219"/>
      <c r="LET242" s="219"/>
      <c r="LEU242" s="219"/>
      <c r="LEV242" s="219"/>
      <c r="LEW242" s="219"/>
      <c r="LEX242" s="219"/>
      <c r="LEY242" s="219"/>
      <c r="LEZ242" s="219"/>
      <c r="LFA242" s="219"/>
      <c r="LFB242" s="219"/>
      <c r="LFC242" s="219"/>
      <c r="LFD242" s="219"/>
      <c r="LFE242" s="219"/>
      <c r="LFF242" s="219"/>
      <c r="LFG242" s="219"/>
      <c r="LFH242" s="219"/>
      <c r="LFI242" s="219"/>
      <c r="LFJ242" s="219"/>
      <c r="LFK242" s="219"/>
      <c r="LFL242" s="219"/>
      <c r="LFM242" s="219"/>
      <c r="LFN242" s="219"/>
      <c r="LFO242" s="219"/>
      <c r="LFP242" s="219"/>
      <c r="LFQ242" s="219"/>
      <c r="LFR242" s="219"/>
      <c r="LFS242" s="219"/>
      <c r="LFT242" s="219"/>
      <c r="LFU242" s="219"/>
      <c r="LFV242" s="219"/>
      <c r="LFW242" s="219"/>
      <c r="LFX242" s="219"/>
      <c r="LFY242" s="219"/>
      <c r="LFZ242" s="219"/>
      <c r="LGA242" s="219"/>
      <c r="LGB242" s="219"/>
      <c r="LGC242" s="219"/>
      <c r="LGD242" s="219"/>
      <c r="LGE242" s="219"/>
      <c r="LGF242" s="219"/>
      <c r="LGG242" s="219"/>
      <c r="LGH242" s="219"/>
      <c r="LGI242" s="219"/>
      <c r="LGJ242" s="219"/>
      <c r="LGK242" s="219"/>
      <c r="LGL242" s="219"/>
      <c r="LGM242" s="219"/>
      <c r="LGN242" s="219"/>
      <c r="LGO242" s="219"/>
      <c r="LGP242" s="219"/>
      <c r="LGQ242" s="219"/>
      <c r="LGR242" s="219"/>
      <c r="LGS242" s="219"/>
      <c r="LGT242" s="219"/>
      <c r="LGU242" s="219"/>
      <c r="LGV242" s="219"/>
      <c r="LGW242" s="219"/>
      <c r="LGX242" s="219"/>
      <c r="LGY242" s="219"/>
      <c r="LGZ242" s="219"/>
      <c r="LHA242" s="219"/>
      <c r="LHB242" s="219"/>
      <c r="LHC242" s="219"/>
      <c r="LHD242" s="219"/>
      <c r="LHE242" s="219"/>
      <c r="LHF242" s="219"/>
      <c r="LHG242" s="219"/>
      <c r="LHH242" s="219"/>
      <c r="LHI242" s="219"/>
      <c r="LHJ242" s="219"/>
      <c r="LHK242" s="219"/>
      <c r="LHL242" s="219"/>
      <c r="LHM242" s="219"/>
      <c r="LHN242" s="219"/>
      <c r="LHO242" s="219"/>
      <c r="LHP242" s="219"/>
      <c r="LHQ242" s="219"/>
      <c r="LHR242" s="219"/>
      <c r="LHS242" s="219"/>
      <c r="LHT242" s="219"/>
      <c r="LHU242" s="219"/>
      <c r="LHV242" s="219"/>
      <c r="LHW242" s="219"/>
      <c r="LHX242" s="219"/>
      <c r="LHY242" s="219"/>
      <c r="LHZ242" s="219"/>
      <c r="LIA242" s="219"/>
      <c r="LIB242" s="219"/>
      <c r="LIC242" s="219"/>
      <c r="LID242" s="219"/>
      <c r="LIE242" s="219"/>
      <c r="LIF242" s="219"/>
      <c r="LIG242" s="219"/>
      <c r="LIH242" s="219"/>
      <c r="LII242" s="219"/>
      <c r="LIJ242" s="219"/>
      <c r="LIK242" s="219"/>
      <c r="LIL242" s="219"/>
      <c r="LIM242" s="219"/>
      <c r="LIN242" s="219"/>
      <c r="LIO242" s="219"/>
      <c r="LIP242" s="219"/>
      <c r="LIQ242" s="219"/>
      <c r="LIR242" s="219"/>
      <c r="LIS242" s="219"/>
      <c r="LIT242" s="219"/>
      <c r="LIU242" s="219"/>
      <c r="LIV242" s="219"/>
      <c r="LIW242" s="219"/>
      <c r="LIX242" s="219"/>
      <c r="LIY242" s="219"/>
      <c r="LIZ242" s="219"/>
      <c r="LJA242" s="219"/>
      <c r="LJB242" s="219"/>
      <c r="LJC242" s="219"/>
      <c r="LJD242" s="219"/>
      <c r="LJE242" s="219"/>
      <c r="LJF242" s="219"/>
      <c r="LJG242" s="219"/>
      <c r="LJH242" s="219"/>
      <c r="LJI242" s="219"/>
      <c r="LJJ242" s="219"/>
      <c r="LJK242" s="219"/>
      <c r="LJL242" s="219"/>
      <c r="LJM242" s="219"/>
      <c r="LJN242" s="219"/>
      <c r="LJO242" s="219"/>
      <c r="LJP242" s="219"/>
      <c r="LJQ242" s="219"/>
      <c r="LJR242" s="219"/>
      <c r="LJS242" s="219"/>
      <c r="LJT242" s="219"/>
      <c r="LJU242" s="219"/>
      <c r="LJV242" s="219"/>
      <c r="LJW242" s="219"/>
      <c r="LJX242" s="219"/>
      <c r="LJY242" s="219"/>
      <c r="LJZ242" s="219"/>
      <c r="LKA242" s="219"/>
      <c r="LKB242" s="219"/>
      <c r="LKC242" s="219"/>
      <c r="LKD242" s="219"/>
      <c r="LKE242" s="219"/>
      <c r="LKF242" s="219"/>
      <c r="LKG242" s="219"/>
      <c r="LKH242" s="219"/>
      <c r="LKI242" s="219"/>
      <c r="LKJ242" s="219"/>
      <c r="LKK242" s="219"/>
      <c r="LKL242" s="219"/>
      <c r="LKM242" s="219"/>
      <c r="LKN242" s="219"/>
      <c r="LKO242" s="219"/>
      <c r="LKP242" s="219"/>
      <c r="LKQ242" s="219"/>
      <c r="LKR242" s="219"/>
      <c r="LKS242" s="219"/>
      <c r="LKT242" s="219"/>
      <c r="LKU242" s="219"/>
      <c r="LKV242" s="219"/>
      <c r="LKW242" s="219"/>
      <c r="LKX242" s="219"/>
      <c r="LKY242" s="219"/>
      <c r="LKZ242" s="219"/>
      <c r="LLA242" s="219"/>
      <c r="LLB242" s="219"/>
      <c r="LLC242" s="219"/>
      <c r="LLD242" s="219"/>
      <c r="LLE242" s="219"/>
      <c r="LLF242" s="219"/>
      <c r="LLG242" s="219"/>
      <c r="LLH242" s="219"/>
      <c r="LLI242" s="219"/>
      <c r="LLJ242" s="219"/>
      <c r="LLK242" s="219"/>
      <c r="LLL242" s="219"/>
      <c r="LLM242" s="219"/>
      <c r="LLN242" s="219"/>
      <c r="LLO242" s="219"/>
      <c r="LLP242" s="219"/>
      <c r="LLQ242" s="219"/>
      <c r="LLR242" s="219"/>
      <c r="LLS242" s="219"/>
      <c r="LLT242" s="219"/>
      <c r="LLU242" s="219"/>
      <c r="LLV242" s="219"/>
      <c r="LLW242" s="219"/>
      <c r="LLX242" s="219"/>
      <c r="LLY242" s="219"/>
      <c r="LLZ242" s="219"/>
      <c r="LMA242" s="219"/>
      <c r="LMB242" s="219"/>
      <c r="LMC242" s="219"/>
      <c r="LMD242" s="219"/>
      <c r="LME242" s="219"/>
      <c r="LMF242" s="219"/>
      <c r="LMG242" s="219"/>
      <c r="LMH242" s="219"/>
      <c r="LMI242" s="219"/>
      <c r="LMJ242" s="219"/>
      <c r="LMK242" s="219"/>
      <c r="LML242" s="219"/>
      <c r="LMM242" s="219"/>
      <c r="LMN242" s="219"/>
      <c r="LMO242" s="219"/>
      <c r="LMP242" s="219"/>
      <c r="LMQ242" s="219"/>
      <c r="LMR242" s="219"/>
      <c r="LMS242" s="219"/>
      <c r="LMT242" s="219"/>
      <c r="LMU242" s="219"/>
      <c r="LMV242" s="219"/>
      <c r="LMW242" s="219"/>
      <c r="LMX242" s="219"/>
      <c r="LMY242" s="219"/>
      <c r="LMZ242" s="219"/>
      <c r="LNA242" s="219"/>
      <c r="LNB242" s="219"/>
      <c r="LNC242" s="219"/>
      <c r="LND242" s="219"/>
      <c r="LNE242" s="219"/>
      <c r="LNF242" s="219"/>
      <c r="LNG242" s="219"/>
      <c r="LNH242" s="219"/>
      <c r="LNI242" s="219"/>
      <c r="LNJ242" s="219"/>
      <c r="LNK242" s="219"/>
      <c r="LNL242" s="219"/>
      <c r="LNM242" s="219"/>
      <c r="LNN242" s="219"/>
      <c r="LNO242" s="219"/>
      <c r="LNP242" s="219"/>
      <c r="LNQ242" s="219"/>
      <c r="LNR242" s="219"/>
      <c r="LNS242" s="219"/>
      <c r="LNT242" s="219"/>
      <c r="LNU242" s="219"/>
      <c r="LNV242" s="219"/>
      <c r="LNW242" s="219"/>
      <c r="LNX242" s="219"/>
      <c r="LNY242" s="219"/>
      <c r="LNZ242" s="219"/>
      <c r="LOA242" s="219"/>
      <c r="LOB242" s="219"/>
      <c r="LOC242" s="219"/>
      <c r="LOD242" s="219"/>
      <c r="LOE242" s="219"/>
      <c r="LOF242" s="219"/>
      <c r="LOG242" s="219"/>
      <c r="LOH242" s="219"/>
      <c r="LOI242" s="219"/>
      <c r="LOJ242" s="219"/>
      <c r="LOK242" s="219"/>
      <c r="LOL242" s="219"/>
      <c r="LOM242" s="219"/>
      <c r="LON242" s="219"/>
      <c r="LOO242" s="219"/>
      <c r="LOP242" s="219"/>
      <c r="LOQ242" s="219"/>
      <c r="LOR242" s="219"/>
      <c r="LOS242" s="219"/>
      <c r="LOT242" s="219"/>
      <c r="LOU242" s="219"/>
      <c r="LOV242" s="219"/>
      <c r="LOW242" s="219"/>
      <c r="LOX242" s="219"/>
      <c r="LOY242" s="219"/>
      <c r="LOZ242" s="219"/>
      <c r="LPA242" s="219"/>
      <c r="LPB242" s="219"/>
      <c r="LPC242" s="219"/>
      <c r="LPD242" s="219"/>
      <c r="LPE242" s="219"/>
      <c r="LPF242" s="219"/>
      <c r="LPG242" s="219"/>
      <c r="LPH242" s="219"/>
      <c r="LPI242" s="219"/>
      <c r="LPJ242" s="219"/>
      <c r="LPK242" s="219"/>
      <c r="LPL242" s="219"/>
      <c r="LPM242" s="219"/>
      <c r="LPN242" s="219"/>
      <c r="LPO242" s="219"/>
      <c r="LPP242" s="219"/>
      <c r="LPQ242" s="219"/>
      <c r="LPR242" s="219"/>
      <c r="LPS242" s="219"/>
      <c r="LPT242" s="219"/>
      <c r="LPU242" s="219"/>
      <c r="LPV242" s="219"/>
      <c r="LPW242" s="219"/>
      <c r="LPX242" s="219"/>
      <c r="LPY242" s="219"/>
      <c r="LPZ242" s="219"/>
      <c r="LQA242" s="219"/>
      <c r="LQB242" s="219"/>
      <c r="LQC242" s="219"/>
      <c r="LQD242" s="219"/>
      <c r="LQE242" s="219"/>
      <c r="LQF242" s="219"/>
      <c r="LQG242" s="219"/>
      <c r="LQH242" s="219"/>
      <c r="LQI242" s="219"/>
      <c r="LQJ242" s="219"/>
      <c r="LQK242" s="219"/>
      <c r="LQL242" s="219"/>
      <c r="LQM242" s="219"/>
      <c r="LQN242" s="219"/>
      <c r="LQO242" s="219"/>
      <c r="LQP242" s="219"/>
      <c r="LQQ242" s="219"/>
      <c r="LQR242" s="219"/>
      <c r="LQS242" s="219"/>
      <c r="LQT242" s="219"/>
      <c r="LQU242" s="219"/>
      <c r="LQV242" s="219"/>
      <c r="LQW242" s="219"/>
      <c r="LQX242" s="219"/>
      <c r="LQY242" s="219"/>
      <c r="LQZ242" s="219"/>
      <c r="LRA242" s="219"/>
      <c r="LRB242" s="219"/>
      <c r="LRC242" s="219"/>
      <c r="LRD242" s="219"/>
      <c r="LRE242" s="219"/>
      <c r="LRF242" s="219"/>
      <c r="LRG242" s="219"/>
      <c r="LRH242" s="219"/>
      <c r="LRI242" s="219"/>
      <c r="LRJ242" s="219"/>
      <c r="LRK242" s="219"/>
      <c r="LRL242" s="219"/>
      <c r="LRM242" s="219"/>
      <c r="LRN242" s="219"/>
      <c r="LRO242" s="219"/>
      <c r="LRP242" s="219"/>
      <c r="LRQ242" s="219"/>
      <c r="LRR242" s="219"/>
      <c r="LRS242" s="219"/>
      <c r="LRT242" s="219"/>
      <c r="LRU242" s="219"/>
      <c r="LRV242" s="219"/>
      <c r="LRW242" s="219"/>
      <c r="LRX242" s="219"/>
      <c r="LRY242" s="219"/>
      <c r="LRZ242" s="219"/>
      <c r="LSA242" s="219"/>
      <c r="LSB242" s="219"/>
      <c r="LSC242" s="219"/>
      <c r="LSD242" s="219"/>
      <c r="LSE242" s="219"/>
      <c r="LSF242" s="219"/>
      <c r="LSG242" s="219"/>
      <c r="LSH242" s="219"/>
      <c r="LSI242" s="219"/>
      <c r="LSJ242" s="219"/>
      <c r="LSK242" s="219"/>
      <c r="LSL242" s="219"/>
      <c r="LSM242" s="219"/>
      <c r="LSN242" s="219"/>
      <c r="LSO242" s="219"/>
      <c r="LSP242" s="219"/>
      <c r="LSQ242" s="219"/>
      <c r="LSR242" s="219"/>
      <c r="LSS242" s="219"/>
      <c r="LST242" s="219"/>
      <c r="LSU242" s="219"/>
      <c r="LSV242" s="219"/>
      <c r="LSW242" s="219"/>
      <c r="LSX242" s="219"/>
      <c r="LSY242" s="219"/>
      <c r="LSZ242" s="219"/>
      <c r="LTA242" s="219"/>
      <c r="LTB242" s="219"/>
      <c r="LTC242" s="219"/>
      <c r="LTD242" s="219"/>
      <c r="LTE242" s="219"/>
      <c r="LTF242" s="219"/>
      <c r="LTG242" s="219"/>
      <c r="LTH242" s="219"/>
      <c r="LTI242" s="219"/>
      <c r="LTJ242" s="219"/>
      <c r="LTK242" s="219"/>
      <c r="LTL242" s="219"/>
      <c r="LTM242" s="219"/>
      <c r="LTN242" s="219"/>
      <c r="LTO242" s="219"/>
      <c r="LTP242" s="219"/>
      <c r="LTQ242" s="219"/>
      <c r="LTR242" s="219"/>
      <c r="LTS242" s="219"/>
      <c r="LTT242" s="219"/>
      <c r="LTU242" s="219"/>
      <c r="LTV242" s="219"/>
      <c r="LTW242" s="219"/>
      <c r="LTX242" s="219"/>
      <c r="LTY242" s="219"/>
      <c r="LTZ242" s="219"/>
      <c r="LUA242" s="219"/>
      <c r="LUB242" s="219"/>
      <c r="LUC242" s="219"/>
      <c r="LUD242" s="219"/>
      <c r="LUE242" s="219"/>
      <c r="LUF242" s="219"/>
      <c r="LUG242" s="219"/>
      <c r="LUH242" s="219"/>
      <c r="LUI242" s="219"/>
      <c r="LUJ242" s="219"/>
      <c r="LUK242" s="219"/>
      <c r="LUL242" s="219"/>
      <c r="LUM242" s="219"/>
      <c r="LUN242" s="219"/>
      <c r="LUO242" s="219"/>
      <c r="LUP242" s="219"/>
      <c r="LUQ242" s="219"/>
      <c r="LUR242" s="219"/>
      <c r="LUS242" s="219"/>
      <c r="LUT242" s="219"/>
      <c r="LUU242" s="219"/>
      <c r="LUV242" s="219"/>
      <c r="LUW242" s="219"/>
      <c r="LUX242" s="219"/>
      <c r="LUY242" s="219"/>
      <c r="LUZ242" s="219"/>
      <c r="LVA242" s="219"/>
      <c r="LVB242" s="219"/>
      <c r="LVC242" s="219"/>
      <c r="LVD242" s="219"/>
      <c r="LVE242" s="219"/>
      <c r="LVF242" s="219"/>
      <c r="LVG242" s="219"/>
      <c r="LVH242" s="219"/>
      <c r="LVI242" s="219"/>
      <c r="LVJ242" s="219"/>
      <c r="LVK242" s="219"/>
      <c r="LVL242" s="219"/>
      <c r="LVM242" s="219"/>
      <c r="LVN242" s="219"/>
      <c r="LVO242" s="219"/>
      <c r="LVP242" s="219"/>
      <c r="LVQ242" s="219"/>
      <c r="LVR242" s="219"/>
      <c r="LVS242" s="219"/>
      <c r="LVT242" s="219"/>
      <c r="LVU242" s="219"/>
      <c r="LVV242" s="219"/>
      <c r="LVW242" s="219"/>
      <c r="LVX242" s="219"/>
      <c r="LVY242" s="219"/>
      <c r="LVZ242" s="219"/>
      <c r="LWA242" s="219"/>
      <c r="LWB242" s="219"/>
      <c r="LWC242" s="219"/>
      <c r="LWD242" s="219"/>
      <c r="LWE242" s="219"/>
      <c r="LWF242" s="219"/>
      <c r="LWG242" s="219"/>
      <c r="LWH242" s="219"/>
      <c r="LWI242" s="219"/>
      <c r="LWJ242" s="219"/>
      <c r="LWK242" s="219"/>
      <c r="LWL242" s="219"/>
      <c r="LWM242" s="219"/>
      <c r="LWN242" s="219"/>
      <c r="LWO242" s="219"/>
      <c r="LWP242" s="219"/>
      <c r="LWQ242" s="219"/>
      <c r="LWR242" s="219"/>
      <c r="LWS242" s="219"/>
      <c r="LWT242" s="219"/>
      <c r="LWU242" s="219"/>
      <c r="LWV242" s="219"/>
      <c r="LWW242" s="219"/>
      <c r="LWX242" s="219"/>
      <c r="LWY242" s="219"/>
      <c r="LWZ242" s="219"/>
      <c r="LXA242" s="219"/>
      <c r="LXB242" s="219"/>
      <c r="LXC242" s="219"/>
      <c r="LXD242" s="219"/>
      <c r="LXE242" s="219"/>
      <c r="LXF242" s="219"/>
      <c r="LXG242" s="219"/>
      <c r="LXH242" s="219"/>
      <c r="LXI242" s="219"/>
      <c r="LXJ242" s="219"/>
      <c r="LXK242" s="219"/>
      <c r="LXL242" s="219"/>
      <c r="LXM242" s="219"/>
      <c r="LXN242" s="219"/>
      <c r="LXO242" s="219"/>
      <c r="LXP242" s="219"/>
      <c r="LXQ242" s="219"/>
      <c r="LXR242" s="219"/>
      <c r="LXS242" s="219"/>
      <c r="LXT242" s="219"/>
      <c r="LXU242" s="219"/>
      <c r="LXV242" s="219"/>
      <c r="LXW242" s="219"/>
      <c r="LXX242" s="219"/>
      <c r="LXY242" s="219"/>
      <c r="LXZ242" s="219"/>
      <c r="LYA242" s="219"/>
      <c r="LYB242" s="219"/>
      <c r="LYC242" s="219"/>
      <c r="LYD242" s="219"/>
      <c r="LYE242" s="219"/>
      <c r="LYF242" s="219"/>
      <c r="LYG242" s="219"/>
      <c r="LYH242" s="219"/>
      <c r="LYI242" s="219"/>
      <c r="LYJ242" s="219"/>
      <c r="LYK242" s="219"/>
      <c r="LYL242" s="219"/>
      <c r="LYM242" s="219"/>
      <c r="LYN242" s="219"/>
      <c r="LYO242" s="219"/>
      <c r="LYP242" s="219"/>
      <c r="LYQ242" s="219"/>
      <c r="LYR242" s="219"/>
      <c r="LYS242" s="219"/>
      <c r="LYT242" s="219"/>
      <c r="LYU242" s="219"/>
      <c r="LYV242" s="219"/>
      <c r="LYW242" s="219"/>
      <c r="LYX242" s="219"/>
      <c r="LYY242" s="219"/>
      <c r="LYZ242" s="219"/>
      <c r="LZA242" s="219"/>
      <c r="LZB242" s="219"/>
      <c r="LZC242" s="219"/>
      <c r="LZD242" s="219"/>
      <c r="LZE242" s="219"/>
      <c r="LZF242" s="219"/>
      <c r="LZG242" s="219"/>
      <c r="LZH242" s="219"/>
      <c r="LZI242" s="219"/>
      <c r="LZJ242" s="219"/>
      <c r="LZK242" s="219"/>
      <c r="LZL242" s="219"/>
      <c r="LZM242" s="219"/>
      <c r="LZN242" s="219"/>
      <c r="LZO242" s="219"/>
      <c r="LZP242" s="219"/>
      <c r="LZQ242" s="219"/>
      <c r="LZR242" s="219"/>
      <c r="LZS242" s="219"/>
      <c r="LZT242" s="219"/>
      <c r="LZU242" s="219"/>
      <c r="LZV242" s="219"/>
      <c r="LZW242" s="219"/>
      <c r="LZX242" s="219"/>
      <c r="LZY242" s="219"/>
      <c r="LZZ242" s="219"/>
      <c r="MAA242" s="219"/>
      <c r="MAB242" s="219"/>
      <c r="MAC242" s="219"/>
      <c r="MAD242" s="219"/>
      <c r="MAE242" s="219"/>
      <c r="MAF242" s="219"/>
      <c r="MAG242" s="219"/>
      <c r="MAH242" s="219"/>
      <c r="MAI242" s="219"/>
      <c r="MAJ242" s="219"/>
      <c r="MAK242" s="219"/>
      <c r="MAL242" s="219"/>
      <c r="MAM242" s="219"/>
      <c r="MAN242" s="219"/>
      <c r="MAO242" s="219"/>
      <c r="MAP242" s="219"/>
      <c r="MAQ242" s="219"/>
      <c r="MAR242" s="219"/>
      <c r="MAS242" s="219"/>
      <c r="MAT242" s="219"/>
      <c r="MAU242" s="219"/>
      <c r="MAV242" s="219"/>
      <c r="MAW242" s="219"/>
      <c r="MAX242" s="219"/>
      <c r="MAY242" s="219"/>
      <c r="MAZ242" s="219"/>
      <c r="MBA242" s="219"/>
      <c r="MBB242" s="219"/>
      <c r="MBC242" s="219"/>
      <c r="MBD242" s="219"/>
      <c r="MBE242" s="219"/>
      <c r="MBF242" s="219"/>
      <c r="MBG242" s="219"/>
      <c r="MBH242" s="219"/>
      <c r="MBI242" s="219"/>
      <c r="MBJ242" s="219"/>
      <c r="MBK242" s="219"/>
      <c r="MBL242" s="219"/>
      <c r="MBM242" s="219"/>
      <c r="MBN242" s="219"/>
      <c r="MBO242" s="219"/>
      <c r="MBP242" s="219"/>
      <c r="MBQ242" s="219"/>
      <c r="MBR242" s="219"/>
      <c r="MBS242" s="219"/>
      <c r="MBT242" s="219"/>
      <c r="MBU242" s="219"/>
      <c r="MBV242" s="219"/>
      <c r="MBW242" s="219"/>
      <c r="MBX242" s="219"/>
      <c r="MBY242" s="219"/>
      <c r="MBZ242" s="219"/>
      <c r="MCA242" s="219"/>
      <c r="MCB242" s="219"/>
      <c r="MCC242" s="219"/>
      <c r="MCD242" s="219"/>
      <c r="MCE242" s="219"/>
      <c r="MCF242" s="219"/>
      <c r="MCG242" s="219"/>
      <c r="MCH242" s="219"/>
      <c r="MCI242" s="219"/>
      <c r="MCJ242" s="219"/>
      <c r="MCK242" s="219"/>
      <c r="MCL242" s="219"/>
      <c r="MCM242" s="219"/>
      <c r="MCN242" s="219"/>
      <c r="MCO242" s="219"/>
      <c r="MCP242" s="219"/>
      <c r="MCQ242" s="219"/>
      <c r="MCR242" s="219"/>
      <c r="MCS242" s="219"/>
      <c r="MCT242" s="219"/>
      <c r="MCU242" s="219"/>
      <c r="MCV242" s="219"/>
      <c r="MCW242" s="219"/>
      <c r="MCX242" s="219"/>
      <c r="MCY242" s="219"/>
      <c r="MCZ242" s="219"/>
      <c r="MDA242" s="219"/>
      <c r="MDB242" s="219"/>
      <c r="MDC242" s="219"/>
      <c r="MDD242" s="219"/>
      <c r="MDE242" s="219"/>
      <c r="MDF242" s="219"/>
      <c r="MDG242" s="219"/>
      <c r="MDH242" s="219"/>
      <c r="MDI242" s="219"/>
      <c r="MDJ242" s="219"/>
      <c r="MDK242" s="219"/>
      <c r="MDL242" s="219"/>
      <c r="MDM242" s="219"/>
      <c r="MDN242" s="219"/>
      <c r="MDO242" s="219"/>
      <c r="MDP242" s="219"/>
      <c r="MDQ242" s="219"/>
      <c r="MDR242" s="219"/>
      <c r="MDS242" s="219"/>
      <c r="MDT242" s="219"/>
      <c r="MDU242" s="219"/>
      <c r="MDV242" s="219"/>
      <c r="MDW242" s="219"/>
      <c r="MDX242" s="219"/>
      <c r="MDY242" s="219"/>
      <c r="MDZ242" s="219"/>
      <c r="MEA242" s="219"/>
      <c r="MEB242" s="219"/>
      <c r="MEC242" s="219"/>
      <c r="MED242" s="219"/>
      <c r="MEE242" s="219"/>
      <c r="MEF242" s="219"/>
      <c r="MEG242" s="219"/>
      <c r="MEH242" s="219"/>
      <c r="MEI242" s="219"/>
      <c r="MEJ242" s="219"/>
      <c r="MEK242" s="219"/>
      <c r="MEL242" s="219"/>
      <c r="MEM242" s="219"/>
      <c r="MEN242" s="219"/>
      <c r="MEO242" s="219"/>
      <c r="MEP242" s="219"/>
      <c r="MEQ242" s="219"/>
      <c r="MER242" s="219"/>
      <c r="MES242" s="219"/>
      <c r="MET242" s="219"/>
      <c r="MEU242" s="219"/>
      <c r="MEV242" s="219"/>
      <c r="MEW242" s="219"/>
      <c r="MEX242" s="219"/>
      <c r="MEY242" s="219"/>
      <c r="MEZ242" s="219"/>
      <c r="MFA242" s="219"/>
      <c r="MFB242" s="219"/>
      <c r="MFC242" s="219"/>
      <c r="MFD242" s="219"/>
      <c r="MFE242" s="219"/>
      <c r="MFF242" s="219"/>
      <c r="MFG242" s="219"/>
      <c r="MFH242" s="219"/>
      <c r="MFI242" s="219"/>
      <c r="MFJ242" s="219"/>
      <c r="MFK242" s="219"/>
      <c r="MFL242" s="219"/>
      <c r="MFM242" s="219"/>
      <c r="MFN242" s="219"/>
      <c r="MFO242" s="219"/>
      <c r="MFP242" s="219"/>
      <c r="MFQ242" s="219"/>
      <c r="MFR242" s="219"/>
      <c r="MFS242" s="219"/>
      <c r="MFT242" s="219"/>
      <c r="MFU242" s="219"/>
      <c r="MFV242" s="219"/>
      <c r="MFW242" s="219"/>
      <c r="MFX242" s="219"/>
      <c r="MFY242" s="219"/>
      <c r="MFZ242" s="219"/>
      <c r="MGA242" s="219"/>
      <c r="MGB242" s="219"/>
      <c r="MGC242" s="219"/>
      <c r="MGD242" s="219"/>
      <c r="MGE242" s="219"/>
      <c r="MGF242" s="219"/>
      <c r="MGG242" s="219"/>
      <c r="MGH242" s="219"/>
      <c r="MGI242" s="219"/>
      <c r="MGJ242" s="219"/>
      <c r="MGK242" s="219"/>
      <c r="MGL242" s="219"/>
      <c r="MGM242" s="219"/>
      <c r="MGN242" s="219"/>
      <c r="MGO242" s="219"/>
      <c r="MGP242" s="219"/>
      <c r="MGQ242" s="219"/>
      <c r="MGR242" s="219"/>
      <c r="MGS242" s="219"/>
      <c r="MGT242" s="219"/>
      <c r="MGU242" s="219"/>
      <c r="MGV242" s="219"/>
      <c r="MGW242" s="219"/>
      <c r="MGX242" s="219"/>
      <c r="MGY242" s="219"/>
      <c r="MGZ242" s="219"/>
      <c r="MHA242" s="219"/>
      <c r="MHB242" s="219"/>
      <c r="MHC242" s="219"/>
      <c r="MHD242" s="219"/>
      <c r="MHE242" s="219"/>
      <c r="MHF242" s="219"/>
      <c r="MHG242" s="219"/>
      <c r="MHH242" s="219"/>
      <c r="MHI242" s="219"/>
      <c r="MHJ242" s="219"/>
      <c r="MHK242" s="219"/>
      <c r="MHL242" s="219"/>
      <c r="MHM242" s="219"/>
      <c r="MHN242" s="219"/>
      <c r="MHO242" s="219"/>
      <c r="MHP242" s="219"/>
      <c r="MHQ242" s="219"/>
      <c r="MHR242" s="219"/>
      <c r="MHS242" s="219"/>
      <c r="MHT242" s="219"/>
      <c r="MHU242" s="219"/>
      <c r="MHV242" s="219"/>
      <c r="MHW242" s="219"/>
      <c r="MHX242" s="219"/>
      <c r="MHY242" s="219"/>
      <c r="MHZ242" s="219"/>
      <c r="MIA242" s="219"/>
      <c r="MIB242" s="219"/>
      <c r="MIC242" s="219"/>
      <c r="MID242" s="219"/>
      <c r="MIE242" s="219"/>
      <c r="MIF242" s="219"/>
      <c r="MIG242" s="219"/>
      <c r="MIH242" s="219"/>
      <c r="MII242" s="219"/>
      <c r="MIJ242" s="219"/>
      <c r="MIK242" s="219"/>
      <c r="MIL242" s="219"/>
      <c r="MIM242" s="219"/>
      <c r="MIN242" s="219"/>
      <c r="MIO242" s="219"/>
      <c r="MIP242" s="219"/>
      <c r="MIQ242" s="219"/>
      <c r="MIR242" s="219"/>
      <c r="MIS242" s="219"/>
      <c r="MIT242" s="219"/>
      <c r="MIU242" s="219"/>
      <c r="MIV242" s="219"/>
      <c r="MIW242" s="219"/>
      <c r="MIX242" s="219"/>
      <c r="MIY242" s="219"/>
      <c r="MIZ242" s="219"/>
      <c r="MJA242" s="219"/>
      <c r="MJB242" s="219"/>
      <c r="MJC242" s="219"/>
      <c r="MJD242" s="219"/>
      <c r="MJE242" s="219"/>
      <c r="MJF242" s="219"/>
      <c r="MJG242" s="219"/>
      <c r="MJH242" s="219"/>
      <c r="MJI242" s="219"/>
      <c r="MJJ242" s="219"/>
      <c r="MJK242" s="219"/>
      <c r="MJL242" s="219"/>
      <c r="MJM242" s="219"/>
      <c r="MJN242" s="219"/>
      <c r="MJO242" s="219"/>
      <c r="MJP242" s="219"/>
      <c r="MJQ242" s="219"/>
      <c r="MJR242" s="219"/>
      <c r="MJS242" s="219"/>
      <c r="MJT242" s="219"/>
      <c r="MJU242" s="219"/>
      <c r="MJV242" s="219"/>
      <c r="MJW242" s="219"/>
      <c r="MJX242" s="219"/>
      <c r="MJY242" s="219"/>
      <c r="MJZ242" s="219"/>
      <c r="MKA242" s="219"/>
      <c r="MKB242" s="219"/>
      <c r="MKC242" s="219"/>
      <c r="MKD242" s="219"/>
      <c r="MKE242" s="219"/>
      <c r="MKF242" s="219"/>
      <c r="MKG242" s="219"/>
      <c r="MKH242" s="219"/>
      <c r="MKI242" s="219"/>
      <c r="MKJ242" s="219"/>
      <c r="MKK242" s="219"/>
      <c r="MKL242" s="219"/>
      <c r="MKM242" s="219"/>
      <c r="MKN242" s="219"/>
      <c r="MKO242" s="219"/>
      <c r="MKP242" s="219"/>
      <c r="MKQ242" s="219"/>
      <c r="MKR242" s="219"/>
      <c r="MKS242" s="219"/>
      <c r="MKT242" s="219"/>
      <c r="MKU242" s="219"/>
      <c r="MKV242" s="219"/>
      <c r="MKW242" s="219"/>
      <c r="MKX242" s="219"/>
      <c r="MKY242" s="219"/>
      <c r="MKZ242" s="219"/>
      <c r="MLA242" s="219"/>
      <c r="MLB242" s="219"/>
      <c r="MLC242" s="219"/>
      <c r="MLD242" s="219"/>
      <c r="MLE242" s="219"/>
      <c r="MLF242" s="219"/>
      <c r="MLG242" s="219"/>
      <c r="MLH242" s="219"/>
      <c r="MLI242" s="219"/>
      <c r="MLJ242" s="219"/>
      <c r="MLK242" s="219"/>
      <c r="MLL242" s="219"/>
      <c r="MLM242" s="219"/>
      <c r="MLN242" s="219"/>
      <c r="MLO242" s="219"/>
      <c r="MLP242" s="219"/>
      <c r="MLQ242" s="219"/>
      <c r="MLR242" s="219"/>
      <c r="MLS242" s="219"/>
      <c r="MLT242" s="219"/>
      <c r="MLU242" s="219"/>
      <c r="MLV242" s="219"/>
      <c r="MLW242" s="219"/>
      <c r="MLX242" s="219"/>
      <c r="MLY242" s="219"/>
      <c r="MLZ242" s="219"/>
      <c r="MMA242" s="219"/>
      <c r="MMB242" s="219"/>
      <c r="MMC242" s="219"/>
      <c r="MMD242" s="219"/>
      <c r="MME242" s="219"/>
      <c r="MMF242" s="219"/>
      <c r="MMG242" s="219"/>
      <c r="MMH242" s="219"/>
      <c r="MMI242" s="219"/>
      <c r="MMJ242" s="219"/>
      <c r="MMK242" s="219"/>
      <c r="MML242" s="219"/>
      <c r="MMM242" s="219"/>
      <c r="MMN242" s="219"/>
      <c r="MMO242" s="219"/>
      <c r="MMP242" s="219"/>
      <c r="MMQ242" s="219"/>
      <c r="MMR242" s="219"/>
      <c r="MMS242" s="219"/>
      <c r="MMT242" s="219"/>
      <c r="MMU242" s="219"/>
      <c r="MMV242" s="219"/>
      <c r="MMW242" s="219"/>
      <c r="MMX242" s="219"/>
      <c r="MMY242" s="219"/>
      <c r="MMZ242" s="219"/>
      <c r="MNA242" s="219"/>
      <c r="MNB242" s="219"/>
      <c r="MNC242" s="219"/>
      <c r="MND242" s="219"/>
      <c r="MNE242" s="219"/>
      <c r="MNF242" s="219"/>
      <c r="MNG242" s="219"/>
      <c r="MNH242" s="219"/>
      <c r="MNI242" s="219"/>
      <c r="MNJ242" s="219"/>
      <c r="MNK242" s="219"/>
      <c r="MNL242" s="219"/>
      <c r="MNM242" s="219"/>
      <c r="MNN242" s="219"/>
      <c r="MNO242" s="219"/>
      <c r="MNP242" s="219"/>
      <c r="MNQ242" s="219"/>
      <c r="MNR242" s="219"/>
      <c r="MNS242" s="219"/>
      <c r="MNT242" s="219"/>
      <c r="MNU242" s="219"/>
      <c r="MNV242" s="219"/>
      <c r="MNW242" s="219"/>
      <c r="MNX242" s="219"/>
      <c r="MNY242" s="219"/>
      <c r="MNZ242" s="219"/>
      <c r="MOA242" s="219"/>
      <c r="MOB242" s="219"/>
      <c r="MOC242" s="219"/>
      <c r="MOD242" s="219"/>
      <c r="MOE242" s="219"/>
      <c r="MOF242" s="219"/>
      <c r="MOG242" s="219"/>
      <c r="MOH242" s="219"/>
      <c r="MOI242" s="219"/>
      <c r="MOJ242" s="219"/>
      <c r="MOK242" s="219"/>
      <c r="MOL242" s="219"/>
      <c r="MOM242" s="219"/>
      <c r="MON242" s="219"/>
      <c r="MOO242" s="219"/>
      <c r="MOP242" s="219"/>
      <c r="MOQ242" s="219"/>
      <c r="MOR242" s="219"/>
      <c r="MOS242" s="219"/>
      <c r="MOT242" s="219"/>
      <c r="MOU242" s="219"/>
      <c r="MOV242" s="219"/>
      <c r="MOW242" s="219"/>
      <c r="MOX242" s="219"/>
      <c r="MOY242" s="219"/>
      <c r="MOZ242" s="219"/>
      <c r="MPA242" s="219"/>
      <c r="MPB242" s="219"/>
      <c r="MPC242" s="219"/>
      <c r="MPD242" s="219"/>
      <c r="MPE242" s="219"/>
      <c r="MPF242" s="219"/>
      <c r="MPG242" s="219"/>
      <c r="MPH242" s="219"/>
      <c r="MPI242" s="219"/>
      <c r="MPJ242" s="219"/>
      <c r="MPK242" s="219"/>
      <c r="MPL242" s="219"/>
      <c r="MPM242" s="219"/>
      <c r="MPN242" s="219"/>
      <c r="MPO242" s="219"/>
      <c r="MPP242" s="219"/>
      <c r="MPQ242" s="219"/>
      <c r="MPR242" s="219"/>
      <c r="MPS242" s="219"/>
      <c r="MPT242" s="219"/>
      <c r="MPU242" s="219"/>
      <c r="MPV242" s="219"/>
      <c r="MPW242" s="219"/>
      <c r="MPX242" s="219"/>
      <c r="MPY242" s="219"/>
      <c r="MPZ242" s="219"/>
      <c r="MQA242" s="219"/>
      <c r="MQB242" s="219"/>
      <c r="MQC242" s="219"/>
      <c r="MQD242" s="219"/>
      <c r="MQE242" s="219"/>
      <c r="MQF242" s="219"/>
      <c r="MQG242" s="219"/>
      <c r="MQH242" s="219"/>
      <c r="MQI242" s="219"/>
      <c r="MQJ242" s="219"/>
      <c r="MQK242" s="219"/>
      <c r="MQL242" s="219"/>
      <c r="MQM242" s="219"/>
      <c r="MQN242" s="219"/>
      <c r="MQO242" s="219"/>
      <c r="MQP242" s="219"/>
      <c r="MQQ242" s="219"/>
      <c r="MQR242" s="219"/>
      <c r="MQS242" s="219"/>
      <c r="MQT242" s="219"/>
      <c r="MQU242" s="219"/>
      <c r="MQV242" s="219"/>
      <c r="MQW242" s="219"/>
      <c r="MQX242" s="219"/>
      <c r="MQY242" s="219"/>
      <c r="MQZ242" s="219"/>
      <c r="MRA242" s="219"/>
      <c r="MRB242" s="219"/>
      <c r="MRC242" s="219"/>
      <c r="MRD242" s="219"/>
      <c r="MRE242" s="219"/>
      <c r="MRF242" s="219"/>
      <c r="MRG242" s="219"/>
      <c r="MRH242" s="219"/>
      <c r="MRI242" s="219"/>
      <c r="MRJ242" s="219"/>
      <c r="MRK242" s="219"/>
      <c r="MRL242" s="219"/>
      <c r="MRM242" s="219"/>
      <c r="MRN242" s="219"/>
      <c r="MRO242" s="219"/>
      <c r="MRP242" s="219"/>
      <c r="MRQ242" s="219"/>
      <c r="MRR242" s="219"/>
      <c r="MRS242" s="219"/>
      <c r="MRT242" s="219"/>
      <c r="MRU242" s="219"/>
      <c r="MRV242" s="219"/>
      <c r="MRW242" s="219"/>
      <c r="MRX242" s="219"/>
      <c r="MRY242" s="219"/>
      <c r="MRZ242" s="219"/>
      <c r="MSA242" s="219"/>
      <c r="MSB242" s="219"/>
      <c r="MSC242" s="219"/>
      <c r="MSD242" s="219"/>
      <c r="MSE242" s="219"/>
      <c r="MSF242" s="219"/>
      <c r="MSG242" s="219"/>
      <c r="MSH242" s="219"/>
      <c r="MSI242" s="219"/>
      <c r="MSJ242" s="219"/>
      <c r="MSK242" s="219"/>
      <c r="MSL242" s="219"/>
      <c r="MSM242" s="219"/>
      <c r="MSN242" s="219"/>
      <c r="MSO242" s="219"/>
      <c r="MSP242" s="219"/>
      <c r="MSQ242" s="219"/>
      <c r="MSR242" s="219"/>
      <c r="MSS242" s="219"/>
      <c r="MST242" s="219"/>
      <c r="MSU242" s="219"/>
      <c r="MSV242" s="219"/>
      <c r="MSW242" s="219"/>
      <c r="MSX242" s="219"/>
      <c r="MSY242" s="219"/>
      <c r="MSZ242" s="219"/>
      <c r="MTA242" s="219"/>
      <c r="MTB242" s="219"/>
      <c r="MTC242" s="219"/>
      <c r="MTD242" s="219"/>
      <c r="MTE242" s="219"/>
      <c r="MTF242" s="219"/>
      <c r="MTG242" s="219"/>
      <c r="MTH242" s="219"/>
      <c r="MTI242" s="219"/>
      <c r="MTJ242" s="219"/>
      <c r="MTK242" s="219"/>
      <c r="MTL242" s="219"/>
      <c r="MTM242" s="219"/>
      <c r="MTN242" s="219"/>
      <c r="MTO242" s="219"/>
      <c r="MTP242" s="219"/>
      <c r="MTQ242" s="219"/>
      <c r="MTR242" s="219"/>
      <c r="MTS242" s="219"/>
      <c r="MTT242" s="219"/>
      <c r="MTU242" s="219"/>
      <c r="MTV242" s="219"/>
      <c r="MTW242" s="219"/>
      <c r="MTX242" s="219"/>
      <c r="MTY242" s="219"/>
      <c r="MTZ242" s="219"/>
      <c r="MUA242" s="219"/>
      <c r="MUB242" s="219"/>
      <c r="MUC242" s="219"/>
      <c r="MUD242" s="219"/>
      <c r="MUE242" s="219"/>
      <c r="MUF242" s="219"/>
      <c r="MUG242" s="219"/>
      <c r="MUH242" s="219"/>
      <c r="MUI242" s="219"/>
      <c r="MUJ242" s="219"/>
      <c r="MUK242" s="219"/>
      <c r="MUL242" s="219"/>
      <c r="MUM242" s="219"/>
      <c r="MUN242" s="219"/>
      <c r="MUO242" s="219"/>
      <c r="MUP242" s="219"/>
      <c r="MUQ242" s="219"/>
      <c r="MUR242" s="219"/>
      <c r="MUS242" s="219"/>
      <c r="MUT242" s="219"/>
      <c r="MUU242" s="219"/>
      <c r="MUV242" s="219"/>
      <c r="MUW242" s="219"/>
      <c r="MUX242" s="219"/>
      <c r="MUY242" s="219"/>
      <c r="MUZ242" s="219"/>
      <c r="MVA242" s="219"/>
      <c r="MVB242" s="219"/>
      <c r="MVC242" s="219"/>
      <c r="MVD242" s="219"/>
      <c r="MVE242" s="219"/>
      <c r="MVF242" s="219"/>
      <c r="MVG242" s="219"/>
      <c r="MVH242" s="219"/>
      <c r="MVI242" s="219"/>
      <c r="MVJ242" s="219"/>
      <c r="MVK242" s="219"/>
      <c r="MVL242" s="219"/>
      <c r="MVM242" s="219"/>
      <c r="MVN242" s="219"/>
      <c r="MVO242" s="219"/>
      <c r="MVP242" s="219"/>
      <c r="MVQ242" s="219"/>
      <c r="MVR242" s="219"/>
      <c r="MVS242" s="219"/>
      <c r="MVT242" s="219"/>
      <c r="MVU242" s="219"/>
      <c r="MVV242" s="219"/>
      <c r="MVW242" s="219"/>
      <c r="MVX242" s="219"/>
      <c r="MVY242" s="219"/>
      <c r="MVZ242" s="219"/>
      <c r="MWA242" s="219"/>
      <c r="MWB242" s="219"/>
      <c r="MWC242" s="219"/>
      <c r="MWD242" s="219"/>
      <c r="MWE242" s="219"/>
      <c r="MWF242" s="219"/>
      <c r="MWG242" s="219"/>
      <c r="MWH242" s="219"/>
      <c r="MWI242" s="219"/>
      <c r="MWJ242" s="219"/>
      <c r="MWK242" s="219"/>
      <c r="MWL242" s="219"/>
      <c r="MWM242" s="219"/>
      <c r="MWN242" s="219"/>
      <c r="MWO242" s="219"/>
      <c r="MWP242" s="219"/>
      <c r="MWQ242" s="219"/>
      <c r="MWR242" s="219"/>
      <c r="MWS242" s="219"/>
      <c r="MWT242" s="219"/>
      <c r="MWU242" s="219"/>
      <c r="MWV242" s="219"/>
      <c r="MWW242" s="219"/>
      <c r="MWX242" s="219"/>
      <c r="MWY242" s="219"/>
      <c r="MWZ242" s="219"/>
      <c r="MXA242" s="219"/>
      <c r="MXB242" s="219"/>
      <c r="MXC242" s="219"/>
      <c r="MXD242" s="219"/>
      <c r="MXE242" s="219"/>
      <c r="MXF242" s="219"/>
      <c r="MXG242" s="219"/>
      <c r="MXH242" s="219"/>
      <c r="MXI242" s="219"/>
      <c r="MXJ242" s="219"/>
      <c r="MXK242" s="219"/>
      <c r="MXL242" s="219"/>
      <c r="MXM242" s="219"/>
      <c r="MXN242" s="219"/>
      <c r="MXO242" s="219"/>
      <c r="MXP242" s="219"/>
      <c r="MXQ242" s="219"/>
      <c r="MXR242" s="219"/>
      <c r="MXS242" s="219"/>
      <c r="MXT242" s="219"/>
      <c r="MXU242" s="219"/>
      <c r="MXV242" s="219"/>
      <c r="MXW242" s="219"/>
      <c r="MXX242" s="219"/>
      <c r="MXY242" s="219"/>
      <c r="MXZ242" s="219"/>
      <c r="MYA242" s="219"/>
      <c r="MYB242" s="219"/>
      <c r="MYC242" s="219"/>
      <c r="MYD242" s="219"/>
      <c r="MYE242" s="219"/>
      <c r="MYF242" s="219"/>
      <c r="MYG242" s="219"/>
      <c r="MYH242" s="219"/>
      <c r="MYI242" s="219"/>
      <c r="MYJ242" s="219"/>
      <c r="MYK242" s="219"/>
      <c r="MYL242" s="219"/>
      <c r="MYM242" s="219"/>
      <c r="MYN242" s="219"/>
      <c r="MYO242" s="219"/>
      <c r="MYP242" s="219"/>
      <c r="MYQ242" s="219"/>
      <c r="MYR242" s="219"/>
      <c r="MYS242" s="219"/>
      <c r="MYT242" s="219"/>
      <c r="MYU242" s="219"/>
      <c r="MYV242" s="219"/>
      <c r="MYW242" s="219"/>
      <c r="MYX242" s="219"/>
      <c r="MYY242" s="219"/>
      <c r="MYZ242" s="219"/>
      <c r="MZA242" s="219"/>
      <c r="MZB242" s="219"/>
      <c r="MZC242" s="219"/>
      <c r="MZD242" s="219"/>
      <c r="MZE242" s="219"/>
      <c r="MZF242" s="219"/>
      <c r="MZG242" s="219"/>
      <c r="MZH242" s="219"/>
      <c r="MZI242" s="219"/>
      <c r="MZJ242" s="219"/>
      <c r="MZK242" s="219"/>
      <c r="MZL242" s="219"/>
      <c r="MZM242" s="219"/>
      <c r="MZN242" s="219"/>
      <c r="MZO242" s="219"/>
      <c r="MZP242" s="219"/>
      <c r="MZQ242" s="219"/>
      <c r="MZR242" s="219"/>
      <c r="MZS242" s="219"/>
      <c r="MZT242" s="219"/>
      <c r="MZU242" s="219"/>
      <c r="MZV242" s="219"/>
      <c r="MZW242" s="219"/>
      <c r="MZX242" s="219"/>
      <c r="MZY242" s="219"/>
      <c r="MZZ242" s="219"/>
      <c r="NAA242" s="219"/>
      <c r="NAB242" s="219"/>
      <c r="NAC242" s="219"/>
      <c r="NAD242" s="219"/>
      <c r="NAE242" s="219"/>
      <c r="NAF242" s="219"/>
      <c r="NAG242" s="219"/>
      <c r="NAH242" s="219"/>
      <c r="NAI242" s="219"/>
      <c r="NAJ242" s="219"/>
      <c r="NAK242" s="219"/>
      <c r="NAL242" s="219"/>
      <c r="NAM242" s="219"/>
      <c r="NAN242" s="219"/>
      <c r="NAO242" s="219"/>
      <c r="NAP242" s="219"/>
      <c r="NAQ242" s="219"/>
      <c r="NAR242" s="219"/>
      <c r="NAS242" s="219"/>
      <c r="NAT242" s="219"/>
      <c r="NAU242" s="219"/>
      <c r="NAV242" s="219"/>
      <c r="NAW242" s="219"/>
      <c r="NAX242" s="219"/>
      <c r="NAY242" s="219"/>
      <c r="NAZ242" s="219"/>
      <c r="NBA242" s="219"/>
      <c r="NBB242" s="219"/>
      <c r="NBC242" s="219"/>
      <c r="NBD242" s="219"/>
      <c r="NBE242" s="219"/>
      <c r="NBF242" s="219"/>
      <c r="NBG242" s="219"/>
      <c r="NBH242" s="219"/>
      <c r="NBI242" s="219"/>
      <c r="NBJ242" s="219"/>
      <c r="NBK242" s="219"/>
      <c r="NBL242" s="219"/>
      <c r="NBM242" s="219"/>
      <c r="NBN242" s="219"/>
      <c r="NBO242" s="219"/>
      <c r="NBP242" s="219"/>
      <c r="NBQ242" s="219"/>
      <c r="NBR242" s="219"/>
      <c r="NBS242" s="219"/>
      <c r="NBT242" s="219"/>
      <c r="NBU242" s="219"/>
      <c r="NBV242" s="219"/>
      <c r="NBW242" s="219"/>
      <c r="NBX242" s="219"/>
      <c r="NBY242" s="219"/>
      <c r="NBZ242" s="219"/>
      <c r="NCA242" s="219"/>
      <c r="NCB242" s="219"/>
      <c r="NCC242" s="219"/>
      <c r="NCD242" s="219"/>
      <c r="NCE242" s="219"/>
      <c r="NCF242" s="219"/>
      <c r="NCG242" s="219"/>
      <c r="NCH242" s="219"/>
      <c r="NCI242" s="219"/>
      <c r="NCJ242" s="219"/>
      <c r="NCK242" s="219"/>
      <c r="NCL242" s="219"/>
      <c r="NCM242" s="219"/>
      <c r="NCN242" s="219"/>
      <c r="NCO242" s="219"/>
      <c r="NCP242" s="219"/>
      <c r="NCQ242" s="219"/>
      <c r="NCR242" s="219"/>
      <c r="NCS242" s="219"/>
      <c r="NCT242" s="219"/>
      <c r="NCU242" s="219"/>
      <c r="NCV242" s="219"/>
      <c r="NCW242" s="219"/>
      <c r="NCX242" s="219"/>
      <c r="NCY242" s="219"/>
      <c r="NCZ242" s="219"/>
      <c r="NDA242" s="219"/>
      <c r="NDB242" s="219"/>
      <c r="NDC242" s="219"/>
      <c r="NDD242" s="219"/>
      <c r="NDE242" s="219"/>
      <c r="NDF242" s="219"/>
      <c r="NDG242" s="219"/>
      <c r="NDH242" s="219"/>
      <c r="NDI242" s="219"/>
      <c r="NDJ242" s="219"/>
      <c r="NDK242" s="219"/>
      <c r="NDL242" s="219"/>
      <c r="NDM242" s="219"/>
      <c r="NDN242" s="219"/>
      <c r="NDO242" s="219"/>
      <c r="NDP242" s="219"/>
      <c r="NDQ242" s="219"/>
      <c r="NDR242" s="219"/>
      <c r="NDS242" s="219"/>
      <c r="NDT242" s="219"/>
      <c r="NDU242" s="219"/>
      <c r="NDV242" s="219"/>
      <c r="NDW242" s="219"/>
      <c r="NDX242" s="219"/>
      <c r="NDY242" s="219"/>
      <c r="NDZ242" s="219"/>
      <c r="NEA242" s="219"/>
      <c r="NEB242" s="219"/>
      <c r="NEC242" s="219"/>
      <c r="NED242" s="219"/>
      <c r="NEE242" s="219"/>
      <c r="NEF242" s="219"/>
      <c r="NEG242" s="219"/>
      <c r="NEH242" s="219"/>
      <c r="NEI242" s="219"/>
      <c r="NEJ242" s="219"/>
      <c r="NEK242" s="219"/>
      <c r="NEL242" s="219"/>
      <c r="NEM242" s="219"/>
      <c r="NEN242" s="219"/>
      <c r="NEO242" s="219"/>
      <c r="NEP242" s="219"/>
      <c r="NEQ242" s="219"/>
      <c r="NER242" s="219"/>
      <c r="NES242" s="219"/>
      <c r="NET242" s="219"/>
      <c r="NEU242" s="219"/>
      <c r="NEV242" s="219"/>
      <c r="NEW242" s="219"/>
      <c r="NEX242" s="219"/>
      <c r="NEY242" s="219"/>
      <c r="NEZ242" s="219"/>
      <c r="NFA242" s="219"/>
      <c r="NFB242" s="219"/>
      <c r="NFC242" s="219"/>
      <c r="NFD242" s="219"/>
      <c r="NFE242" s="219"/>
      <c r="NFF242" s="219"/>
      <c r="NFG242" s="219"/>
      <c r="NFH242" s="219"/>
      <c r="NFI242" s="219"/>
      <c r="NFJ242" s="219"/>
      <c r="NFK242" s="219"/>
      <c r="NFL242" s="219"/>
      <c r="NFM242" s="219"/>
      <c r="NFN242" s="219"/>
      <c r="NFO242" s="219"/>
      <c r="NFP242" s="219"/>
      <c r="NFQ242" s="219"/>
      <c r="NFR242" s="219"/>
      <c r="NFS242" s="219"/>
      <c r="NFT242" s="219"/>
      <c r="NFU242" s="219"/>
      <c r="NFV242" s="219"/>
      <c r="NFW242" s="219"/>
      <c r="NFX242" s="219"/>
      <c r="NFY242" s="219"/>
      <c r="NFZ242" s="219"/>
      <c r="NGA242" s="219"/>
      <c r="NGB242" s="219"/>
      <c r="NGC242" s="219"/>
      <c r="NGD242" s="219"/>
      <c r="NGE242" s="219"/>
      <c r="NGF242" s="219"/>
      <c r="NGG242" s="219"/>
      <c r="NGH242" s="219"/>
      <c r="NGI242" s="219"/>
      <c r="NGJ242" s="219"/>
      <c r="NGK242" s="219"/>
      <c r="NGL242" s="219"/>
      <c r="NGM242" s="219"/>
      <c r="NGN242" s="219"/>
      <c r="NGO242" s="219"/>
      <c r="NGP242" s="219"/>
      <c r="NGQ242" s="219"/>
      <c r="NGR242" s="219"/>
      <c r="NGS242" s="219"/>
      <c r="NGT242" s="219"/>
      <c r="NGU242" s="219"/>
      <c r="NGV242" s="219"/>
      <c r="NGW242" s="219"/>
      <c r="NGX242" s="219"/>
      <c r="NGY242" s="219"/>
      <c r="NGZ242" s="219"/>
      <c r="NHA242" s="219"/>
      <c r="NHB242" s="219"/>
      <c r="NHC242" s="219"/>
      <c r="NHD242" s="219"/>
      <c r="NHE242" s="219"/>
      <c r="NHF242" s="219"/>
      <c r="NHG242" s="219"/>
      <c r="NHH242" s="219"/>
      <c r="NHI242" s="219"/>
      <c r="NHJ242" s="219"/>
      <c r="NHK242" s="219"/>
      <c r="NHL242" s="219"/>
      <c r="NHM242" s="219"/>
      <c r="NHN242" s="219"/>
      <c r="NHO242" s="219"/>
      <c r="NHP242" s="219"/>
      <c r="NHQ242" s="219"/>
      <c r="NHR242" s="219"/>
      <c r="NHS242" s="219"/>
      <c r="NHT242" s="219"/>
      <c r="NHU242" s="219"/>
      <c r="NHV242" s="219"/>
      <c r="NHW242" s="219"/>
      <c r="NHX242" s="219"/>
      <c r="NHY242" s="219"/>
      <c r="NHZ242" s="219"/>
      <c r="NIA242" s="219"/>
      <c r="NIB242" s="219"/>
      <c r="NIC242" s="219"/>
      <c r="NID242" s="219"/>
      <c r="NIE242" s="219"/>
      <c r="NIF242" s="219"/>
      <c r="NIG242" s="219"/>
      <c r="NIH242" s="219"/>
      <c r="NII242" s="219"/>
      <c r="NIJ242" s="219"/>
      <c r="NIK242" s="219"/>
      <c r="NIL242" s="219"/>
      <c r="NIM242" s="219"/>
      <c r="NIN242" s="219"/>
      <c r="NIO242" s="219"/>
      <c r="NIP242" s="219"/>
      <c r="NIQ242" s="219"/>
      <c r="NIR242" s="219"/>
      <c r="NIS242" s="219"/>
      <c r="NIT242" s="219"/>
      <c r="NIU242" s="219"/>
      <c r="NIV242" s="219"/>
      <c r="NIW242" s="219"/>
      <c r="NIX242" s="219"/>
      <c r="NIY242" s="219"/>
      <c r="NIZ242" s="219"/>
      <c r="NJA242" s="219"/>
      <c r="NJB242" s="219"/>
      <c r="NJC242" s="219"/>
      <c r="NJD242" s="219"/>
      <c r="NJE242" s="219"/>
      <c r="NJF242" s="219"/>
      <c r="NJG242" s="219"/>
      <c r="NJH242" s="219"/>
      <c r="NJI242" s="219"/>
      <c r="NJJ242" s="219"/>
      <c r="NJK242" s="219"/>
      <c r="NJL242" s="219"/>
      <c r="NJM242" s="219"/>
      <c r="NJN242" s="219"/>
      <c r="NJO242" s="219"/>
      <c r="NJP242" s="219"/>
      <c r="NJQ242" s="219"/>
      <c r="NJR242" s="219"/>
      <c r="NJS242" s="219"/>
      <c r="NJT242" s="219"/>
      <c r="NJU242" s="219"/>
      <c r="NJV242" s="219"/>
      <c r="NJW242" s="219"/>
      <c r="NJX242" s="219"/>
      <c r="NJY242" s="219"/>
      <c r="NJZ242" s="219"/>
      <c r="NKA242" s="219"/>
      <c r="NKB242" s="219"/>
      <c r="NKC242" s="219"/>
      <c r="NKD242" s="219"/>
      <c r="NKE242" s="219"/>
      <c r="NKF242" s="219"/>
      <c r="NKG242" s="219"/>
      <c r="NKH242" s="219"/>
      <c r="NKI242" s="219"/>
      <c r="NKJ242" s="219"/>
      <c r="NKK242" s="219"/>
      <c r="NKL242" s="219"/>
      <c r="NKM242" s="219"/>
      <c r="NKN242" s="219"/>
      <c r="NKO242" s="219"/>
      <c r="NKP242" s="219"/>
      <c r="NKQ242" s="219"/>
      <c r="NKR242" s="219"/>
      <c r="NKS242" s="219"/>
      <c r="NKT242" s="219"/>
      <c r="NKU242" s="219"/>
      <c r="NKV242" s="219"/>
      <c r="NKW242" s="219"/>
      <c r="NKX242" s="219"/>
      <c r="NKY242" s="219"/>
      <c r="NKZ242" s="219"/>
      <c r="NLA242" s="219"/>
      <c r="NLB242" s="219"/>
      <c r="NLC242" s="219"/>
      <c r="NLD242" s="219"/>
      <c r="NLE242" s="219"/>
      <c r="NLF242" s="219"/>
      <c r="NLG242" s="219"/>
      <c r="NLH242" s="219"/>
      <c r="NLI242" s="219"/>
      <c r="NLJ242" s="219"/>
      <c r="NLK242" s="219"/>
      <c r="NLL242" s="219"/>
      <c r="NLM242" s="219"/>
      <c r="NLN242" s="219"/>
      <c r="NLO242" s="219"/>
      <c r="NLP242" s="219"/>
      <c r="NLQ242" s="219"/>
      <c r="NLR242" s="219"/>
      <c r="NLS242" s="219"/>
      <c r="NLT242" s="219"/>
      <c r="NLU242" s="219"/>
      <c r="NLV242" s="219"/>
      <c r="NLW242" s="219"/>
      <c r="NLX242" s="219"/>
      <c r="NLY242" s="219"/>
      <c r="NLZ242" s="219"/>
      <c r="NMA242" s="219"/>
      <c r="NMB242" s="219"/>
      <c r="NMC242" s="219"/>
      <c r="NMD242" s="219"/>
      <c r="NME242" s="219"/>
      <c r="NMF242" s="219"/>
      <c r="NMG242" s="219"/>
      <c r="NMH242" s="219"/>
      <c r="NMI242" s="219"/>
      <c r="NMJ242" s="219"/>
      <c r="NMK242" s="219"/>
      <c r="NML242" s="219"/>
      <c r="NMM242" s="219"/>
      <c r="NMN242" s="219"/>
      <c r="NMO242" s="219"/>
      <c r="NMP242" s="219"/>
      <c r="NMQ242" s="219"/>
      <c r="NMR242" s="219"/>
      <c r="NMS242" s="219"/>
      <c r="NMT242" s="219"/>
      <c r="NMU242" s="219"/>
      <c r="NMV242" s="219"/>
      <c r="NMW242" s="219"/>
      <c r="NMX242" s="219"/>
      <c r="NMY242" s="219"/>
      <c r="NMZ242" s="219"/>
      <c r="NNA242" s="219"/>
      <c r="NNB242" s="219"/>
      <c r="NNC242" s="219"/>
      <c r="NND242" s="219"/>
      <c r="NNE242" s="219"/>
      <c r="NNF242" s="219"/>
      <c r="NNG242" s="219"/>
      <c r="NNH242" s="219"/>
      <c r="NNI242" s="219"/>
      <c r="NNJ242" s="219"/>
      <c r="NNK242" s="219"/>
      <c r="NNL242" s="219"/>
      <c r="NNM242" s="219"/>
      <c r="NNN242" s="219"/>
      <c r="NNO242" s="219"/>
      <c r="NNP242" s="219"/>
      <c r="NNQ242" s="219"/>
      <c r="NNR242" s="219"/>
      <c r="NNS242" s="219"/>
      <c r="NNT242" s="219"/>
      <c r="NNU242" s="219"/>
      <c r="NNV242" s="219"/>
      <c r="NNW242" s="219"/>
      <c r="NNX242" s="219"/>
      <c r="NNY242" s="219"/>
      <c r="NNZ242" s="219"/>
      <c r="NOA242" s="219"/>
      <c r="NOB242" s="219"/>
      <c r="NOC242" s="219"/>
      <c r="NOD242" s="219"/>
      <c r="NOE242" s="219"/>
      <c r="NOF242" s="219"/>
      <c r="NOG242" s="219"/>
      <c r="NOH242" s="219"/>
      <c r="NOI242" s="219"/>
      <c r="NOJ242" s="219"/>
      <c r="NOK242" s="219"/>
      <c r="NOL242" s="219"/>
      <c r="NOM242" s="219"/>
      <c r="NON242" s="219"/>
      <c r="NOO242" s="219"/>
      <c r="NOP242" s="219"/>
      <c r="NOQ242" s="219"/>
      <c r="NOR242" s="219"/>
      <c r="NOS242" s="219"/>
      <c r="NOT242" s="219"/>
      <c r="NOU242" s="219"/>
      <c r="NOV242" s="219"/>
      <c r="NOW242" s="219"/>
      <c r="NOX242" s="219"/>
      <c r="NOY242" s="219"/>
      <c r="NOZ242" s="219"/>
      <c r="NPA242" s="219"/>
      <c r="NPB242" s="219"/>
      <c r="NPC242" s="219"/>
      <c r="NPD242" s="219"/>
      <c r="NPE242" s="219"/>
      <c r="NPF242" s="219"/>
      <c r="NPG242" s="219"/>
      <c r="NPH242" s="219"/>
      <c r="NPI242" s="219"/>
      <c r="NPJ242" s="219"/>
      <c r="NPK242" s="219"/>
      <c r="NPL242" s="219"/>
      <c r="NPM242" s="219"/>
      <c r="NPN242" s="219"/>
      <c r="NPO242" s="219"/>
      <c r="NPP242" s="219"/>
      <c r="NPQ242" s="219"/>
      <c r="NPR242" s="219"/>
      <c r="NPS242" s="219"/>
      <c r="NPT242" s="219"/>
      <c r="NPU242" s="219"/>
      <c r="NPV242" s="219"/>
      <c r="NPW242" s="219"/>
      <c r="NPX242" s="219"/>
      <c r="NPY242" s="219"/>
      <c r="NPZ242" s="219"/>
      <c r="NQA242" s="219"/>
      <c r="NQB242" s="219"/>
      <c r="NQC242" s="219"/>
      <c r="NQD242" s="219"/>
      <c r="NQE242" s="219"/>
      <c r="NQF242" s="219"/>
      <c r="NQG242" s="219"/>
      <c r="NQH242" s="219"/>
      <c r="NQI242" s="219"/>
      <c r="NQJ242" s="219"/>
      <c r="NQK242" s="219"/>
      <c r="NQL242" s="219"/>
      <c r="NQM242" s="219"/>
      <c r="NQN242" s="219"/>
      <c r="NQO242" s="219"/>
      <c r="NQP242" s="219"/>
      <c r="NQQ242" s="219"/>
      <c r="NQR242" s="219"/>
      <c r="NQS242" s="219"/>
      <c r="NQT242" s="219"/>
      <c r="NQU242" s="219"/>
      <c r="NQV242" s="219"/>
      <c r="NQW242" s="219"/>
      <c r="NQX242" s="219"/>
      <c r="NQY242" s="219"/>
      <c r="NQZ242" s="219"/>
      <c r="NRA242" s="219"/>
      <c r="NRB242" s="219"/>
      <c r="NRC242" s="219"/>
      <c r="NRD242" s="219"/>
      <c r="NRE242" s="219"/>
      <c r="NRF242" s="219"/>
      <c r="NRG242" s="219"/>
      <c r="NRH242" s="219"/>
      <c r="NRI242" s="219"/>
      <c r="NRJ242" s="219"/>
      <c r="NRK242" s="219"/>
      <c r="NRL242" s="219"/>
      <c r="NRM242" s="219"/>
      <c r="NRN242" s="219"/>
      <c r="NRO242" s="219"/>
      <c r="NRP242" s="219"/>
      <c r="NRQ242" s="219"/>
      <c r="NRR242" s="219"/>
      <c r="NRS242" s="219"/>
      <c r="NRT242" s="219"/>
      <c r="NRU242" s="219"/>
      <c r="NRV242" s="219"/>
      <c r="NRW242" s="219"/>
      <c r="NRX242" s="219"/>
      <c r="NRY242" s="219"/>
      <c r="NRZ242" s="219"/>
      <c r="NSA242" s="219"/>
      <c r="NSB242" s="219"/>
      <c r="NSC242" s="219"/>
      <c r="NSD242" s="219"/>
      <c r="NSE242" s="219"/>
      <c r="NSF242" s="219"/>
      <c r="NSG242" s="219"/>
      <c r="NSH242" s="219"/>
      <c r="NSI242" s="219"/>
      <c r="NSJ242" s="219"/>
      <c r="NSK242" s="219"/>
      <c r="NSL242" s="219"/>
      <c r="NSM242" s="219"/>
      <c r="NSN242" s="219"/>
      <c r="NSO242" s="219"/>
      <c r="NSP242" s="219"/>
      <c r="NSQ242" s="219"/>
      <c r="NSR242" s="219"/>
      <c r="NSS242" s="219"/>
      <c r="NST242" s="219"/>
      <c r="NSU242" s="219"/>
      <c r="NSV242" s="219"/>
      <c r="NSW242" s="219"/>
      <c r="NSX242" s="219"/>
      <c r="NSY242" s="219"/>
      <c r="NSZ242" s="219"/>
      <c r="NTA242" s="219"/>
      <c r="NTB242" s="219"/>
      <c r="NTC242" s="219"/>
      <c r="NTD242" s="219"/>
      <c r="NTE242" s="219"/>
      <c r="NTF242" s="219"/>
      <c r="NTG242" s="219"/>
      <c r="NTH242" s="219"/>
      <c r="NTI242" s="219"/>
      <c r="NTJ242" s="219"/>
      <c r="NTK242" s="219"/>
      <c r="NTL242" s="219"/>
      <c r="NTM242" s="219"/>
      <c r="NTN242" s="219"/>
      <c r="NTO242" s="219"/>
      <c r="NTP242" s="219"/>
      <c r="NTQ242" s="219"/>
      <c r="NTR242" s="219"/>
      <c r="NTS242" s="219"/>
      <c r="NTT242" s="219"/>
      <c r="NTU242" s="219"/>
      <c r="NTV242" s="219"/>
      <c r="NTW242" s="219"/>
      <c r="NTX242" s="219"/>
      <c r="NTY242" s="219"/>
      <c r="NTZ242" s="219"/>
      <c r="NUA242" s="219"/>
      <c r="NUB242" s="219"/>
      <c r="NUC242" s="219"/>
      <c r="NUD242" s="219"/>
      <c r="NUE242" s="219"/>
      <c r="NUF242" s="219"/>
      <c r="NUG242" s="219"/>
      <c r="NUH242" s="219"/>
      <c r="NUI242" s="219"/>
      <c r="NUJ242" s="219"/>
      <c r="NUK242" s="219"/>
      <c r="NUL242" s="219"/>
      <c r="NUM242" s="219"/>
      <c r="NUN242" s="219"/>
      <c r="NUO242" s="219"/>
      <c r="NUP242" s="219"/>
      <c r="NUQ242" s="219"/>
      <c r="NUR242" s="219"/>
      <c r="NUS242" s="219"/>
      <c r="NUT242" s="219"/>
      <c r="NUU242" s="219"/>
      <c r="NUV242" s="219"/>
      <c r="NUW242" s="219"/>
      <c r="NUX242" s="219"/>
      <c r="NUY242" s="219"/>
      <c r="NUZ242" s="219"/>
      <c r="NVA242" s="219"/>
      <c r="NVB242" s="219"/>
      <c r="NVC242" s="219"/>
      <c r="NVD242" s="219"/>
      <c r="NVE242" s="219"/>
      <c r="NVF242" s="219"/>
      <c r="NVG242" s="219"/>
      <c r="NVH242" s="219"/>
      <c r="NVI242" s="219"/>
      <c r="NVJ242" s="219"/>
      <c r="NVK242" s="219"/>
      <c r="NVL242" s="219"/>
      <c r="NVM242" s="219"/>
      <c r="NVN242" s="219"/>
      <c r="NVO242" s="219"/>
      <c r="NVP242" s="219"/>
      <c r="NVQ242" s="219"/>
      <c r="NVR242" s="219"/>
      <c r="NVS242" s="219"/>
      <c r="NVT242" s="219"/>
      <c r="NVU242" s="219"/>
      <c r="NVV242" s="219"/>
      <c r="NVW242" s="219"/>
      <c r="NVX242" s="219"/>
      <c r="NVY242" s="219"/>
      <c r="NVZ242" s="219"/>
      <c r="NWA242" s="219"/>
      <c r="NWB242" s="219"/>
      <c r="NWC242" s="219"/>
      <c r="NWD242" s="219"/>
      <c r="NWE242" s="219"/>
      <c r="NWF242" s="219"/>
      <c r="NWG242" s="219"/>
      <c r="NWH242" s="219"/>
      <c r="NWI242" s="219"/>
      <c r="NWJ242" s="219"/>
      <c r="NWK242" s="219"/>
      <c r="NWL242" s="219"/>
      <c r="NWM242" s="219"/>
      <c r="NWN242" s="219"/>
      <c r="NWO242" s="219"/>
      <c r="NWP242" s="219"/>
      <c r="NWQ242" s="219"/>
      <c r="NWR242" s="219"/>
      <c r="NWS242" s="219"/>
      <c r="NWT242" s="219"/>
      <c r="NWU242" s="219"/>
      <c r="NWV242" s="219"/>
      <c r="NWW242" s="219"/>
      <c r="NWX242" s="219"/>
      <c r="NWY242" s="219"/>
      <c r="NWZ242" s="219"/>
      <c r="NXA242" s="219"/>
      <c r="NXB242" s="219"/>
      <c r="NXC242" s="219"/>
      <c r="NXD242" s="219"/>
      <c r="NXE242" s="219"/>
      <c r="NXF242" s="219"/>
      <c r="NXG242" s="219"/>
      <c r="NXH242" s="219"/>
      <c r="NXI242" s="219"/>
      <c r="NXJ242" s="219"/>
      <c r="NXK242" s="219"/>
      <c r="NXL242" s="219"/>
      <c r="NXM242" s="219"/>
      <c r="NXN242" s="219"/>
      <c r="NXO242" s="219"/>
      <c r="NXP242" s="219"/>
      <c r="NXQ242" s="219"/>
      <c r="NXR242" s="219"/>
      <c r="NXS242" s="219"/>
      <c r="NXT242" s="219"/>
      <c r="NXU242" s="219"/>
      <c r="NXV242" s="219"/>
      <c r="NXW242" s="219"/>
      <c r="NXX242" s="219"/>
      <c r="NXY242" s="219"/>
      <c r="NXZ242" s="219"/>
      <c r="NYA242" s="219"/>
      <c r="NYB242" s="219"/>
      <c r="NYC242" s="219"/>
      <c r="NYD242" s="219"/>
      <c r="NYE242" s="219"/>
      <c r="NYF242" s="219"/>
      <c r="NYG242" s="219"/>
      <c r="NYH242" s="219"/>
      <c r="NYI242" s="219"/>
      <c r="NYJ242" s="219"/>
      <c r="NYK242" s="219"/>
      <c r="NYL242" s="219"/>
      <c r="NYM242" s="219"/>
      <c r="NYN242" s="219"/>
      <c r="NYO242" s="219"/>
      <c r="NYP242" s="219"/>
      <c r="NYQ242" s="219"/>
      <c r="NYR242" s="219"/>
      <c r="NYS242" s="219"/>
      <c r="NYT242" s="219"/>
      <c r="NYU242" s="219"/>
      <c r="NYV242" s="219"/>
      <c r="NYW242" s="219"/>
      <c r="NYX242" s="219"/>
      <c r="NYY242" s="219"/>
      <c r="NYZ242" s="219"/>
      <c r="NZA242" s="219"/>
      <c r="NZB242" s="219"/>
      <c r="NZC242" s="219"/>
      <c r="NZD242" s="219"/>
      <c r="NZE242" s="219"/>
      <c r="NZF242" s="219"/>
      <c r="NZG242" s="219"/>
      <c r="NZH242" s="219"/>
      <c r="NZI242" s="219"/>
      <c r="NZJ242" s="219"/>
      <c r="NZK242" s="219"/>
      <c r="NZL242" s="219"/>
      <c r="NZM242" s="219"/>
      <c r="NZN242" s="219"/>
      <c r="NZO242" s="219"/>
      <c r="NZP242" s="219"/>
      <c r="NZQ242" s="219"/>
      <c r="NZR242" s="219"/>
      <c r="NZS242" s="219"/>
      <c r="NZT242" s="219"/>
      <c r="NZU242" s="219"/>
      <c r="NZV242" s="219"/>
      <c r="NZW242" s="219"/>
      <c r="NZX242" s="219"/>
      <c r="NZY242" s="219"/>
      <c r="NZZ242" s="219"/>
      <c r="OAA242" s="219"/>
      <c r="OAB242" s="219"/>
      <c r="OAC242" s="219"/>
      <c r="OAD242" s="219"/>
      <c r="OAE242" s="219"/>
      <c r="OAF242" s="219"/>
      <c r="OAG242" s="219"/>
      <c r="OAH242" s="219"/>
      <c r="OAI242" s="219"/>
      <c r="OAJ242" s="219"/>
      <c r="OAK242" s="219"/>
      <c r="OAL242" s="219"/>
      <c r="OAM242" s="219"/>
      <c r="OAN242" s="219"/>
      <c r="OAO242" s="219"/>
      <c r="OAP242" s="219"/>
      <c r="OAQ242" s="219"/>
      <c r="OAR242" s="219"/>
      <c r="OAS242" s="219"/>
      <c r="OAT242" s="219"/>
      <c r="OAU242" s="219"/>
      <c r="OAV242" s="219"/>
      <c r="OAW242" s="219"/>
      <c r="OAX242" s="219"/>
      <c r="OAY242" s="219"/>
      <c r="OAZ242" s="219"/>
      <c r="OBA242" s="219"/>
      <c r="OBB242" s="219"/>
      <c r="OBC242" s="219"/>
      <c r="OBD242" s="219"/>
      <c r="OBE242" s="219"/>
      <c r="OBF242" s="219"/>
      <c r="OBG242" s="219"/>
      <c r="OBH242" s="219"/>
      <c r="OBI242" s="219"/>
      <c r="OBJ242" s="219"/>
      <c r="OBK242" s="219"/>
      <c r="OBL242" s="219"/>
      <c r="OBM242" s="219"/>
      <c r="OBN242" s="219"/>
      <c r="OBO242" s="219"/>
      <c r="OBP242" s="219"/>
      <c r="OBQ242" s="219"/>
      <c r="OBR242" s="219"/>
      <c r="OBS242" s="219"/>
      <c r="OBT242" s="219"/>
      <c r="OBU242" s="219"/>
      <c r="OBV242" s="219"/>
      <c r="OBW242" s="219"/>
      <c r="OBX242" s="219"/>
      <c r="OBY242" s="219"/>
      <c r="OBZ242" s="219"/>
      <c r="OCA242" s="219"/>
      <c r="OCB242" s="219"/>
      <c r="OCC242" s="219"/>
      <c r="OCD242" s="219"/>
      <c r="OCE242" s="219"/>
      <c r="OCF242" s="219"/>
      <c r="OCG242" s="219"/>
      <c r="OCH242" s="219"/>
      <c r="OCI242" s="219"/>
      <c r="OCJ242" s="219"/>
      <c r="OCK242" s="219"/>
      <c r="OCL242" s="219"/>
      <c r="OCM242" s="219"/>
      <c r="OCN242" s="219"/>
      <c r="OCO242" s="219"/>
      <c r="OCP242" s="219"/>
      <c r="OCQ242" s="219"/>
      <c r="OCR242" s="219"/>
      <c r="OCS242" s="219"/>
      <c r="OCT242" s="219"/>
      <c r="OCU242" s="219"/>
      <c r="OCV242" s="219"/>
      <c r="OCW242" s="219"/>
      <c r="OCX242" s="219"/>
      <c r="OCY242" s="219"/>
      <c r="OCZ242" s="219"/>
      <c r="ODA242" s="219"/>
      <c r="ODB242" s="219"/>
      <c r="ODC242" s="219"/>
      <c r="ODD242" s="219"/>
      <c r="ODE242" s="219"/>
      <c r="ODF242" s="219"/>
      <c r="ODG242" s="219"/>
      <c r="ODH242" s="219"/>
      <c r="ODI242" s="219"/>
      <c r="ODJ242" s="219"/>
      <c r="ODK242" s="219"/>
      <c r="ODL242" s="219"/>
      <c r="ODM242" s="219"/>
      <c r="ODN242" s="219"/>
      <c r="ODO242" s="219"/>
      <c r="ODP242" s="219"/>
      <c r="ODQ242" s="219"/>
      <c r="ODR242" s="219"/>
      <c r="ODS242" s="219"/>
      <c r="ODT242" s="219"/>
      <c r="ODU242" s="219"/>
      <c r="ODV242" s="219"/>
      <c r="ODW242" s="219"/>
      <c r="ODX242" s="219"/>
      <c r="ODY242" s="219"/>
      <c r="ODZ242" s="219"/>
      <c r="OEA242" s="219"/>
      <c r="OEB242" s="219"/>
      <c r="OEC242" s="219"/>
      <c r="OED242" s="219"/>
      <c r="OEE242" s="219"/>
      <c r="OEF242" s="219"/>
      <c r="OEG242" s="219"/>
      <c r="OEH242" s="219"/>
      <c r="OEI242" s="219"/>
      <c r="OEJ242" s="219"/>
      <c r="OEK242" s="219"/>
      <c r="OEL242" s="219"/>
      <c r="OEM242" s="219"/>
      <c r="OEN242" s="219"/>
      <c r="OEO242" s="219"/>
      <c r="OEP242" s="219"/>
      <c r="OEQ242" s="219"/>
      <c r="OER242" s="219"/>
      <c r="OES242" s="219"/>
      <c r="OET242" s="219"/>
      <c r="OEU242" s="219"/>
      <c r="OEV242" s="219"/>
      <c r="OEW242" s="219"/>
      <c r="OEX242" s="219"/>
      <c r="OEY242" s="219"/>
      <c r="OEZ242" s="219"/>
      <c r="OFA242" s="219"/>
      <c r="OFB242" s="219"/>
      <c r="OFC242" s="219"/>
      <c r="OFD242" s="219"/>
      <c r="OFE242" s="219"/>
      <c r="OFF242" s="219"/>
      <c r="OFG242" s="219"/>
      <c r="OFH242" s="219"/>
      <c r="OFI242" s="219"/>
      <c r="OFJ242" s="219"/>
      <c r="OFK242" s="219"/>
      <c r="OFL242" s="219"/>
      <c r="OFM242" s="219"/>
      <c r="OFN242" s="219"/>
      <c r="OFO242" s="219"/>
      <c r="OFP242" s="219"/>
      <c r="OFQ242" s="219"/>
      <c r="OFR242" s="219"/>
      <c r="OFS242" s="219"/>
      <c r="OFT242" s="219"/>
      <c r="OFU242" s="219"/>
      <c r="OFV242" s="219"/>
      <c r="OFW242" s="219"/>
      <c r="OFX242" s="219"/>
      <c r="OFY242" s="219"/>
      <c r="OFZ242" s="219"/>
      <c r="OGA242" s="219"/>
      <c r="OGB242" s="219"/>
      <c r="OGC242" s="219"/>
      <c r="OGD242" s="219"/>
      <c r="OGE242" s="219"/>
      <c r="OGF242" s="219"/>
      <c r="OGG242" s="219"/>
      <c r="OGH242" s="219"/>
      <c r="OGI242" s="219"/>
      <c r="OGJ242" s="219"/>
      <c r="OGK242" s="219"/>
      <c r="OGL242" s="219"/>
      <c r="OGM242" s="219"/>
      <c r="OGN242" s="219"/>
      <c r="OGO242" s="219"/>
      <c r="OGP242" s="219"/>
      <c r="OGQ242" s="219"/>
      <c r="OGR242" s="219"/>
      <c r="OGS242" s="219"/>
      <c r="OGT242" s="219"/>
      <c r="OGU242" s="219"/>
      <c r="OGV242" s="219"/>
      <c r="OGW242" s="219"/>
      <c r="OGX242" s="219"/>
      <c r="OGY242" s="219"/>
      <c r="OGZ242" s="219"/>
      <c r="OHA242" s="219"/>
      <c r="OHB242" s="219"/>
      <c r="OHC242" s="219"/>
      <c r="OHD242" s="219"/>
      <c r="OHE242" s="219"/>
      <c r="OHF242" s="219"/>
      <c r="OHG242" s="219"/>
      <c r="OHH242" s="219"/>
      <c r="OHI242" s="219"/>
      <c r="OHJ242" s="219"/>
      <c r="OHK242" s="219"/>
      <c r="OHL242" s="219"/>
      <c r="OHM242" s="219"/>
      <c r="OHN242" s="219"/>
      <c r="OHO242" s="219"/>
      <c r="OHP242" s="219"/>
      <c r="OHQ242" s="219"/>
      <c r="OHR242" s="219"/>
      <c r="OHS242" s="219"/>
      <c r="OHT242" s="219"/>
      <c r="OHU242" s="219"/>
      <c r="OHV242" s="219"/>
      <c r="OHW242" s="219"/>
      <c r="OHX242" s="219"/>
      <c r="OHY242" s="219"/>
      <c r="OHZ242" s="219"/>
      <c r="OIA242" s="219"/>
      <c r="OIB242" s="219"/>
      <c r="OIC242" s="219"/>
      <c r="OID242" s="219"/>
      <c r="OIE242" s="219"/>
      <c r="OIF242" s="219"/>
      <c r="OIG242" s="219"/>
      <c r="OIH242" s="219"/>
      <c r="OII242" s="219"/>
      <c r="OIJ242" s="219"/>
      <c r="OIK242" s="219"/>
      <c r="OIL242" s="219"/>
      <c r="OIM242" s="219"/>
      <c r="OIN242" s="219"/>
      <c r="OIO242" s="219"/>
      <c r="OIP242" s="219"/>
      <c r="OIQ242" s="219"/>
      <c r="OIR242" s="219"/>
      <c r="OIS242" s="219"/>
      <c r="OIT242" s="219"/>
      <c r="OIU242" s="219"/>
      <c r="OIV242" s="219"/>
      <c r="OIW242" s="219"/>
      <c r="OIX242" s="219"/>
      <c r="OIY242" s="219"/>
      <c r="OIZ242" s="219"/>
      <c r="OJA242" s="219"/>
      <c r="OJB242" s="219"/>
      <c r="OJC242" s="219"/>
      <c r="OJD242" s="219"/>
      <c r="OJE242" s="219"/>
      <c r="OJF242" s="219"/>
      <c r="OJG242" s="219"/>
      <c r="OJH242" s="219"/>
      <c r="OJI242" s="219"/>
      <c r="OJJ242" s="219"/>
      <c r="OJK242" s="219"/>
      <c r="OJL242" s="219"/>
      <c r="OJM242" s="219"/>
      <c r="OJN242" s="219"/>
      <c r="OJO242" s="219"/>
      <c r="OJP242" s="219"/>
      <c r="OJQ242" s="219"/>
      <c r="OJR242" s="219"/>
      <c r="OJS242" s="219"/>
      <c r="OJT242" s="219"/>
      <c r="OJU242" s="219"/>
      <c r="OJV242" s="219"/>
      <c r="OJW242" s="219"/>
      <c r="OJX242" s="219"/>
      <c r="OJY242" s="219"/>
      <c r="OJZ242" s="219"/>
      <c r="OKA242" s="219"/>
      <c r="OKB242" s="219"/>
      <c r="OKC242" s="219"/>
      <c r="OKD242" s="219"/>
      <c r="OKE242" s="219"/>
      <c r="OKF242" s="219"/>
      <c r="OKG242" s="219"/>
      <c r="OKH242" s="219"/>
      <c r="OKI242" s="219"/>
      <c r="OKJ242" s="219"/>
      <c r="OKK242" s="219"/>
      <c r="OKL242" s="219"/>
      <c r="OKM242" s="219"/>
      <c r="OKN242" s="219"/>
      <c r="OKO242" s="219"/>
      <c r="OKP242" s="219"/>
      <c r="OKQ242" s="219"/>
      <c r="OKR242" s="219"/>
      <c r="OKS242" s="219"/>
      <c r="OKT242" s="219"/>
      <c r="OKU242" s="219"/>
      <c r="OKV242" s="219"/>
      <c r="OKW242" s="219"/>
      <c r="OKX242" s="219"/>
      <c r="OKY242" s="219"/>
      <c r="OKZ242" s="219"/>
      <c r="OLA242" s="219"/>
      <c r="OLB242" s="219"/>
      <c r="OLC242" s="219"/>
      <c r="OLD242" s="219"/>
      <c r="OLE242" s="219"/>
      <c r="OLF242" s="219"/>
      <c r="OLG242" s="219"/>
      <c r="OLH242" s="219"/>
      <c r="OLI242" s="219"/>
      <c r="OLJ242" s="219"/>
      <c r="OLK242" s="219"/>
      <c r="OLL242" s="219"/>
      <c r="OLM242" s="219"/>
      <c r="OLN242" s="219"/>
      <c r="OLO242" s="219"/>
      <c r="OLP242" s="219"/>
      <c r="OLQ242" s="219"/>
      <c r="OLR242" s="219"/>
      <c r="OLS242" s="219"/>
      <c r="OLT242" s="219"/>
      <c r="OLU242" s="219"/>
      <c r="OLV242" s="219"/>
      <c r="OLW242" s="219"/>
      <c r="OLX242" s="219"/>
      <c r="OLY242" s="219"/>
      <c r="OLZ242" s="219"/>
      <c r="OMA242" s="219"/>
      <c r="OMB242" s="219"/>
      <c r="OMC242" s="219"/>
      <c r="OMD242" s="219"/>
      <c r="OME242" s="219"/>
      <c r="OMF242" s="219"/>
      <c r="OMG242" s="219"/>
      <c r="OMH242" s="219"/>
      <c r="OMI242" s="219"/>
      <c r="OMJ242" s="219"/>
      <c r="OMK242" s="219"/>
      <c r="OML242" s="219"/>
      <c r="OMM242" s="219"/>
      <c r="OMN242" s="219"/>
      <c r="OMO242" s="219"/>
      <c r="OMP242" s="219"/>
      <c r="OMQ242" s="219"/>
      <c r="OMR242" s="219"/>
      <c r="OMS242" s="219"/>
      <c r="OMT242" s="219"/>
      <c r="OMU242" s="219"/>
      <c r="OMV242" s="219"/>
      <c r="OMW242" s="219"/>
      <c r="OMX242" s="219"/>
      <c r="OMY242" s="219"/>
      <c r="OMZ242" s="219"/>
      <c r="ONA242" s="219"/>
      <c r="ONB242" s="219"/>
      <c r="ONC242" s="219"/>
      <c r="OND242" s="219"/>
      <c r="ONE242" s="219"/>
      <c r="ONF242" s="219"/>
      <c r="ONG242" s="219"/>
      <c r="ONH242" s="219"/>
      <c r="ONI242" s="219"/>
      <c r="ONJ242" s="219"/>
      <c r="ONK242" s="219"/>
      <c r="ONL242" s="219"/>
      <c r="ONM242" s="219"/>
      <c r="ONN242" s="219"/>
      <c r="ONO242" s="219"/>
      <c r="ONP242" s="219"/>
      <c r="ONQ242" s="219"/>
      <c r="ONR242" s="219"/>
      <c r="ONS242" s="219"/>
      <c r="ONT242" s="219"/>
      <c r="ONU242" s="219"/>
      <c r="ONV242" s="219"/>
      <c r="ONW242" s="219"/>
      <c r="ONX242" s="219"/>
      <c r="ONY242" s="219"/>
      <c r="ONZ242" s="219"/>
      <c r="OOA242" s="219"/>
      <c r="OOB242" s="219"/>
      <c r="OOC242" s="219"/>
      <c r="OOD242" s="219"/>
      <c r="OOE242" s="219"/>
      <c r="OOF242" s="219"/>
      <c r="OOG242" s="219"/>
      <c r="OOH242" s="219"/>
      <c r="OOI242" s="219"/>
      <c r="OOJ242" s="219"/>
      <c r="OOK242" s="219"/>
      <c r="OOL242" s="219"/>
      <c r="OOM242" s="219"/>
      <c r="OON242" s="219"/>
      <c r="OOO242" s="219"/>
      <c r="OOP242" s="219"/>
      <c r="OOQ242" s="219"/>
      <c r="OOR242" s="219"/>
      <c r="OOS242" s="219"/>
      <c r="OOT242" s="219"/>
      <c r="OOU242" s="219"/>
      <c r="OOV242" s="219"/>
      <c r="OOW242" s="219"/>
      <c r="OOX242" s="219"/>
      <c r="OOY242" s="219"/>
      <c r="OOZ242" s="219"/>
      <c r="OPA242" s="219"/>
      <c r="OPB242" s="219"/>
      <c r="OPC242" s="219"/>
      <c r="OPD242" s="219"/>
      <c r="OPE242" s="219"/>
      <c r="OPF242" s="219"/>
      <c r="OPG242" s="219"/>
      <c r="OPH242" s="219"/>
      <c r="OPI242" s="219"/>
      <c r="OPJ242" s="219"/>
      <c r="OPK242" s="219"/>
      <c r="OPL242" s="219"/>
      <c r="OPM242" s="219"/>
      <c r="OPN242" s="219"/>
      <c r="OPO242" s="219"/>
      <c r="OPP242" s="219"/>
      <c r="OPQ242" s="219"/>
      <c r="OPR242" s="219"/>
      <c r="OPS242" s="219"/>
      <c r="OPT242" s="219"/>
      <c r="OPU242" s="219"/>
      <c r="OPV242" s="219"/>
      <c r="OPW242" s="219"/>
      <c r="OPX242" s="219"/>
      <c r="OPY242" s="219"/>
      <c r="OPZ242" s="219"/>
      <c r="OQA242" s="219"/>
      <c r="OQB242" s="219"/>
      <c r="OQC242" s="219"/>
      <c r="OQD242" s="219"/>
      <c r="OQE242" s="219"/>
      <c r="OQF242" s="219"/>
      <c r="OQG242" s="219"/>
      <c r="OQH242" s="219"/>
      <c r="OQI242" s="219"/>
      <c r="OQJ242" s="219"/>
      <c r="OQK242" s="219"/>
      <c r="OQL242" s="219"/>
      <c r="OQM242" s="219"/>
      <c r="OQN242" s="219"/>
      <c r="OQO242" s="219"/>
      <c r="OQP242" s="219"/>
      <c r="OQQ242" s="219"/>
      <c r="OQR242" s="219"/>
      <c r="OQS242" s="219"/>
      <c r="OQT242" s="219"/>
      <c r="OQU242" s="219"/>
      <c r="OQV242" s="219"/>
      <c r="OQW242" s="219"/>
      <c r="OQX242" s="219"/>
      <c r="OQY242" s="219"/>
      <c r="OQZ242" s="219"/>
      <c r="ORA242" s="219"/>
      <c r="ORB242" s="219"/>
      <c r="ORC242" s="219"/>
      <c r="ORD242" s="219"/>
      <c r="ORE242" s="219"/>
      <c r="ORF242" s="219"/>
      <c r="ORG242" s="219"/>
      <c r="ORH242" s="219"/>
      <c r="ORI242" s="219"/>
      <c r="ORJ242" s="219"/>
      <c r="ORK242" s="219"/>
      <c r="ORL242" s="219"/>
      <c r="ORM242" s="219"/>
      <c r="ORN242" s="219"/>
      <c r="ORO242" s="219"/>
      <c r="ORP242" s="219"/>
      <c r="ORQ242" s="219"/>
      <c r="ORR242" s="219"/>
      <c r="ORS242" s="219"/>
      <c r="ORT242" s="219"/>
      <c r="ORU242" s="219"/>
      <c r="ORV242" s="219"/>
      <c r="ORW242" s="219"/>
      <c r="ORX242" s="219"/>
      <c r="ORY242" s="219"/>
      <c r="ORZ242" s="219"/>
      <c r="OSA242" s="219"/>
      <c r="OSB242" s="219"/>
      <c r="OSC242" s="219"/>
      <c r="OSD242" s="219"/>
      <c r="OSE242" s="219"/>
      <c r="OSF242" s="219"/>
      <c r="OSG242" s="219"/>
      <c r="OSH242" s="219"/>
      <c r="OSI242" s="219"/>
      <c r="OSJ242" s="219"/>
      <c r="OSK242" s="219"/>
      <c r="OSL242" s="219"/>
      <c r="OSM242" s="219"/>
      <c r="OSN242" s="219"/>
      <c r="OSO242" s="219"/>
      <c r="OSP242" s="219"/>
      <c r="OSQ242" s="219"/>
      <c r="OSR242" s="219"/>
      <c r="OSS242" s="219"/>
      <c r="OST242" s="219"/>
      <c r="OSU242" s="219"/>
      <c r="OSV242" s="219"/>
      <c r="OSW242" s="219"/>
      <c r="OSX242" s="219"/>
      <c r="OSY242" s="219"/>
      <c r="OSZ242" s="219"/>
      <c r="OTA242" s="219"/>
      <c r="OTB242" s="219"/>
      <c r="OTC242" s="219"/>
      <c r="OTD242" s="219"/>
      <c r="OTE242" s="219"/>
      <c r="OTF242" s="219"/>
      <c r="OTG242" s="219"/>
      <c r="OTH242" s="219"/>
      <c r="OTI242" s="219"/>
      <c r="OTJ242" s="219"/>
      <c r="OTK242" s="219"/>
      <c r="OTL242" s="219"/>
      <c r="OTM242" s="219"/>
      <c r="OTN242" s="219"/>
      <c r="OTO242" s="219"/>
      <c r="OTP242" s="219"/>
      <c r="OTQ242" s="219"/>
      <c r="OTR242" s="219"/>
      <c r="OTS242" s="219"/>
      <c r="OTT242" s="219"/>
      <c r="OTU242" s="219"/>
      <c r="OTV242" s="219"/>
      <c r="OTW242" s="219"/>
      <c r="OTX242" s="219"/>
      <c r="OTY242" s="219"/>
      <c r="OTZ242" s="219"/>
      <c r="OUA242" s="219"/>
      <c r="OUB242" s="219"/>
      <c r="OUC242" s="219"/>
      <c r="OUD242" s="219"/>
      <c r="OUE242" s="219"/>
      <c r="OUF242" s="219"/>
      <c r="OUG242" s="219"/>
      <c r="OUH242" s="219"/>
      <c r="OUI242" s="219"/>
      <c r="OUJ242" s="219"/>
      <c r="OUK242" s="219"/>
      <c r="OUL242" s="219"/>
      <c r="OUM242" s="219"/>
      <c r="OUN242" s="219"/>
      <c r="OUO242" s="219"/>
      <c r="OUP242" s="219"/>
      <c r="OUQ242" s="219"/>
      <c r="OUR242" s="219"/>
      <c r="OUS242" s="219"/>
      <c r="OUT242" s="219"/>
      <c r="OUU242" s="219"/>
      <c r="OUV242" s="219"/>
      <c r="OUW242" s="219"/>
      <c r="OUX242" s="219"/>
      <c r="OUY242" s="219"/>
      <c r="OUZ242" s="219"/>
      <c r="OVA242" s="219"/>
      <c r="OVB242" s="219"/>
      <c r="OVC242" s="219"/>
      <c r="OVD242" s="219"/>
      <c r="OVE242" s="219"/>
      <c r="OVF242" s="219"/>
      <c r="OVG242" s="219"/>
      <c r="OVH242" s="219"/>
      <c r="OVI242" s="219"/>
      <c r="OVJ242" s="219"/>
      <c r="OVK242" s="219"/>
      <c r="OVL242" s="219"/>
      <c r="OVM242" s="219"/>
      <c r="OVN242" s="219"/>
      <c r="OVO242" s="219"/>
      <c r="OVP242" s="219"/>
      <c r="OVQ242" s="219"/>
      <c r="OVR242" s="219"/>
      <c r="OVS242" s="219"/>
      <c r="OVT242" s="219"/>
      <c r="OVU242" s="219"/>
      <c r="OVV242" s="219"/>
      <c r="OVW242" s="219"/>
      <c r="OVX242" s="219"/>
      <c r="OVY242" s="219"/>
      <c r="OVZ242" s="219"/>
      <c r="OWA242" s="219"/>
      <c r="OWB242" s="219"/>
      <c r="OWC242" s="219"/>
      <c r="OWD242" s="219"/>
      <c r="OWE242" s="219"/>
      <c r="OWF242" s="219"/>
      <c r="OWG242" s="219"/>
      <c r="OWH242" s="219"/>
      <c r="OWI242" s="219"/>
      <c r="OWJ242" s="219"/>
      <c r="OWK242" s="219"/>
      <c r="OWL242" s="219"/>
      <c r="OWM242" s="219"/>
      <c r="OWN242" s="219"/>
      <c r="OWO242" s="219"/>
      <c r="OWP242" s="219"/>
      <c r="OWQ242" s="219"/>
      <c r="OWR242" s="219"/>
      <c r="OWS242" s="219"/>
      <c r="OWT242" s="219"/>
      <c r="OWU242" s="219"/>
      <c r="OWV242" s="219"/>
      <c r="OWW242" s="219"/>
      <c r="OWX242" s="219"/>
      <c r="OWY242" s="219"/>
      <c r="OWZ242" s="219"/>
      <c r="OXA242" s="219"/>
      <c r="OXB242" s="219"/>
      <c r="OXC242" s="219"/>
      <c r="OXD242" s="219"/>
      <c r="OXE242" s="219"/>
      <c r="OXF242" s="219"/>
      <c r="OXG242" s="219"/>
      <c r="OXH242" s="219"/>
      <c r="OXI242" s="219"/>
      <c r="OXJ242" s="219"/>
      <c r="OXK242" s="219"/>
      <c r="OXL242" s="219"/>
      <c r="OXM242" s="219"/>
      <c r="OXN242" s="219"/>
      <c r="OXO242" s="219"/>
      <c r="OXP242" s="219"/>
      <c r="OXQ242" s="219"/>
      <c r="OXR242" s="219"/>
      <c r="OXS242" s="219"/>
      <c r="OXT242" s="219"/>
      <c r="OXU242" s="219"/>
      <c r="OXV242" s="219"/>
      <c r="OXW242" s="219"/>
      <c r="OXX242" s="219"/>
      <c r="OXY242" s="219"/>
      <c r="OXZ242" s="219"/>
      <c r="OYA242" s="219"/>
      <c r="OYB242" s="219"/>
      <c r="OYC242" s="219"/>
      <c r="OYD242" s="219"/>
      <c r="OYE242" s="219"/>
      <c r="OYF242" s="219"/>
      <c r="OYG242" s="219"/>
      <c r="OYH242" s="219"/>
      <c r="OYI242" s="219"/>
      <c r="OYJ242" s="219"/>
      <c r="OYK242" s="219"/>
      <c r="OYL242" s="219"/>
      <c r="OYM242" s="219"/>
      <c r="OYN242" s="219"/>
      <c r="OYO242" s="219"/>
      <c r="OYP242" s="219"/>
      <c r="OYQ242" s="219"/>
      <c r="OYR242" s="219"/>
      <c r="OYS242" s="219"/>
      <c r="OYT242" s="219"/>
      <c r="OYU242" s="219"/>
      <c r="OYV242" s="219"/>
      <c r="OYW242" s="219"/>
      <c r="OYX242" s="219"/>
      <c r="OYY242" s="219"/>
      <c r="OYZ242" s="219"/>
      <c r="OZA242" s="219"/>
      <c r="OZB242" s="219"/>
      <c r="OZC242" s="219"/>
      <c r="OZD242" s="219"/>
      <c r="OZE242" s="219"/>
      <c r="OZF242" s="219"/>
      <c r="OZG242" s="219"/>
      <c r="OZH242" s="219"/>
      <c r="OZI242" s="219"/>
      <c r="OZJ242" s="219"/>
      <c r="OZK242" s="219"/>
      <c r="OZL242" s="219"/>
      <c r="OZM242" s="219"/>
      <c r="OZN242" s="219"/>
      <c r="OZO242" s="219"/>
      <c r="OZP242" s="219"/>
      <c r="OZQ242" s="219"/>
      <c r="OZR242" s="219"/>
      <c r="OZS242" s="219"/>
      <c r="OZT242" s="219"/>
      <c r="OZU242" s="219"/>
      <c r="OZV242" s="219"/>
      <c r="OZW242" s="219"/>
      <c r="OZX242" s="219"/>
      <c r="OZY242" s="219"/>
      <c r="OZZ242" s="219"/>
      <c r="PAA242" s="219"/>
      <c r="PAB242" s="219"/>
      <c r="PAC242" s="219"/>
      <c r="PAD242" s="219"/>
      <c r="PAE242" s="219"/>
      <c r="PAF242" s="219"/>
      <c r="PAG242" s="219"/>
      <c r="PAH242" s="219"/>
      <c r="PAI242" s="219"/>
      <c r="PAJ242" s="219"/>
      <c r="PAK242" s="219"/>
      <c r="PAL242" s="219"/>
      <c r="PAM242" s="219"/>
      <c r="PAN242" s="219"/>
      <c r="PAO242" s="219"/>
      <c r="PAP242" s="219"/>
      <c r="PAQ242" s="219"/>
      <c r="PAR242" s="219"/>
      <c r="PAS242" s="219"/>
      <c r="PAT242" s="219"/>
      <c r="PAU242" s="219"/>
      <c r="PAV242" s="219"/>
      <c r="PAW242" s="219"/>
      <c r="PAX242" s="219"/>
      <c r="PAY242" s="219"/>
      <c r="PAZ242" s="219"/>
      <c r="PBA242" s="219"/>
      <c r="PBB242" s="219"/>
      <c r="PBC242" s="219"/>
      <c r="PBD242" s="219"/>
      <c r="PBE242" s="219"/>
      <c r="PBF242" s="219"/>
      <c r="PBG242" s="219"/>
      <c r="PBH242" s="219"/>
      <c r="PBI242" s="219"/>
      <c r="PBJ242" s="219"/>
      <c r="PBK242" s="219"/>
      <c r="PBL242" s="219"/>
      <c r="PBM242" s="219"/>
      <c r="PBN242" s="219"/>
      <c r="PBO242" s="219"/>
      <c r="PBP242" s="219"/>
      <c r="PBQ242" s="219"/>
      <c r="PBR242" s="219"/>
      <c r="PBS242" s="219"/>
      <c r="PBT242" s="219"/>
      <c r="PBU242" s="219"/>
      <c r="PBV242" s="219"/>
      <c r="PBW242" s="219"/>
      <c r="PBX242" s="219"/>
      <c r="PBY242" s="219"/>
      <c r="PBZ242" s="219"/>
      <c r="PCA242" s="219"/>
      <c r="PCB242" s="219"/>
      <c r="PCC242" s="219"/>
      <c r="PCD242" s="219"/>
      <c r="PCE242" s="219"/>
      <c r="PCF242" s="219"/>
      <c r="PCG242" s="219"/>
      <c r="PCH242" s="219"/>
      <c r="PCI242" s="219"/>
      <c r="PCJ242" s="219"/>
      <c r="PCK242" s="219"/>
      <c r="PCL242" s="219"/>
      <c r="PCM242" s="219"/>
      <c r="PCN242" s="219"/>
      <c r="PCO242" s="219"/>
      <c r="PCP242" s="219"/>
      <c r="PCQ242" s="219"/>
      <c r="PCR242" s="219"/>
      <c r="PCS242" s="219"/>
      <c r="PCT242" s="219"/>
      <c r="PCU242" s="219"/>
      <c r="PCV242" s="219"/>
      <c r="PCW242" s="219"/>
      <c r="PCX242" s="219"/>
      <c r="PCY242" s="219"/>
      <c r="PCZ242" s="219"/>
      <c r="PDA242" s="219"/>
      <c r="PDB242" s="219"/>
      <c r="PDC242" s="219"/>
      <c r="PDD242" s="219"/>
      <c r="PDE242" s="219"/>
      <c r="PDF242" s="219"/>
      <c r="PDG242" s="219"/>
      <c r="PDH242" s="219"/>
      <c r="PDI242" s="219"/>
      <c r="PDJ242" s="219"/>
      <c r="PDK242" s="219"/>
      <c r="PDL242" s="219"/>
      <c r="PDM242" s="219"/>
      <c r="PDN242" s="219"/>
      <c r="PDO242" s="219"/>
      <c r="PDP242" s="219"/>
      <c r="PDQ242" s="219"/>
      <c r="PDR242" s="219"/>
      <c r="PDS242" s="219"/>
      <c r="PDT242" s="219"/>
      <c r="PDU242" s="219"/>
      <c r="PDV242" s="219"/>
      <c r="PDW242" s="219"/>
      <c r="PDX242" s="219"/>
      <c r="PDY242" s="219"/>
      <c r="PDZ242" s="219"/>
      <c r="PEA242" s="219"/>
      <c r="PEB242" s="219"/>
      <c r="PEC242" s="219"/>
      <c r="PED242" s="219"/>
      <c r="PEE242" s="219"/>
      <c r="PEF242" s="219"/>
      <c r="PEG242" s="219"/>
      <c r="PEH242" s="219"/>
      <c r="PEI242" s="219"/>
      <c r="PEJ242" s="219"/>
      <c r="PEK242" s="219"/>
      <c r="PEL242" s="219"/>
      <c r="PEM242" s="219"/>
      <c r="PEN242" s="219"/>
      <c r="PEO242" s="219"/>
      <c r="PEP242" s="219"/>
      <c r="PEQ242" s="219"/>
      <c r="PER242" s="219"/>
      <c r="PES242" s="219"/>
      <c r="PET242" s="219"/>
      <c r="PEU242" s="219"/>
      <c r="PEV242" s="219"/>
      <c r="PEW242" s="219"/>
      <c r="PEX242" s="219"/>
      <c r="PEY242" s="219"/>
      <c r="PEZ242" s="219"/>
      <c r="PFA242" s="219"/>
      <c r="PFB242" s="219"/>
      <c r="PFC242" s="219"/>
      <c r="PFD242" s="219"/>
      <c r="PFE242" s="219"/>
      <c r="PFF242" s="219"/>
      <c r="PFG242" s="219"/>
      <c r="PFH242" s="219"/>
      <c r="PFI242" s="219"/>
      <c r="PFJ242" s="219"/>
      <c r="PFK242" s="219"/>
      <c r="PFL242" s="219"/>
      <c r="PFM242" s="219"/>
      <c r="PFN242" s="219"/>
      <c r="PFO242" s="219"/>
      <c r="PFP242" s="219"/>
      <c r="PFQ242" s="219"/>
      <c r="PFR242" s="219"/>
      <c r="PFS242" s="219"/>
      <c r="PFT242" s="219"/>
      <c r="PFU242" s="219"/>
      <c r="PFV242" s="219"/>
      <c r="PFW242" s="219"/>
      <c r="PFX242" s="219"/>
      <c r="PFY242" s="219"/>
      <c r="PFZ242" s="219"/>
      <c r="PGA242" s="219"/>
      <c r="PGB242" s="219"/>
      <c r="PGC242" s="219"/>
      <c r="PGD242" s="219"/>
      <c r="PGE242" s="219"/>
      <c r="PGF242" s="219"/>
      <c r="PGG242" s="219"/>
      <c r="PGH242" s="219"/>
      <c r="PGI242" s="219"/>
      <c r="PGJ242" s="219"/>
      <c r="PGK242" s="219"/>
      <c r="PGL242" s="219"/>
      <c r="PGM242" s="219"/>
      <c r="PGN242" s="219"/>
      <c r="PGO242" s="219"/>
      <c r="PGP242" s="219"/>
      <c r="PGQ242" s="219"/>
      <c r="PGR242" s="219"/>
      <c r="PGS242" s="219"/>
      <c r="PGT242" s="219"/>
      <c r="PGU242" s="219"/>
      <c r="PGV242" s="219"/>
      <c r="PGW242" s="219"/>
      <c r="PGX242" s="219"/>
      <c r="PGY242" s="219"/>
      <c r="PGZ242" s="219"/>
      <c r="PHA242" s="219"/>
      <c r="PHB242" s="219"/>
      <c r="PHC242" s="219"/>
      <c r="PHD242" s="219"/>
      <c r="PHE242" s="219"/>
      <c r="PHF242" s="219"/>
      <c r="PHG242" s="219"/>
      <c r="PHH242" s="219"/>
      <c r="PHI242" s="219"/>
      <c r="PHJ242" s="219"/>
      <c r="PHK242" s="219"/>
      <c r="PHL242" s="219"/>
      <c r="PHM242" s="219"/>
      <c r="PHN242" s="219"/>
      <c r="PHO242" s="219"/>
      <c r="PHP242" s="219"/>
      <c r="PHQ242" s="219"/>
      <c r="PHR242" s="219"/>
      <c r="PHS242" s="219"/>
      <c r="PHT242" s="219"/>
      <c r="PHU242" s="219"/>
      <c r="PHV242" s="219"/>
      <c r="PHW242" s="219"/>
      <c r="PHX242" s="219"/>
      <c r="PHY242" s="219"/>
      <c r="PHZ242" s="219"/>
      <c r="PIA242" s="219"/>
      <c r="PIB242" s="219"/>
      <c r="PIC242" s="219"/>
      <c r="PID242" s="219"/>
      <c r="PIE242" s="219"/>
      <c r="PIF242" s="219"/>
      <c r="PIG242" s="219"/>
      <c r="PIH242" s="219"/>
      <c r="PII242" s="219"/>
      <c r="PIJ242" s="219"/>
      <c r="PIK242" s="219"/>
      <c r="PIL242" s="219"/>
      <c r="PIM242" s="219"/>
      <c r="PIN242" s="219"/>
      <c r="PIO242" s="219"/>
      <c r="PIP242" s="219"/>
      <c r="PIQ242" s="219"/>
      <c r="PIR242" s="219"/>
      <c r="PIS242" s="219"/>
      <c r="PIT242" s="219"/>
      <c r="PIU242" s="219"/>
      <c r="PIV242" s="219"/>
      <c r="PIW242" s="219"/>
      <c r="PIX242" s="219"/>
      <c r="PIY242" s="219"/>
      <c r="PIZ242" s="219"/>
      <c r="PJA242" s="219"/>
      <c r="PJB242" s="219"/>
      <c r="PJC242" s="219"/>
      <c r="PJD242" s="219"/>
      <c r="PJE242" s="219"/>
      <c r="PJF242" s="219"/>
      <c r="PJG242" s="219"/>
      <c r="PJH242" s="219"/>
      <c r="PJI242" s="219"/>
      <c r="PJJ242" s="219"/>
      <c r="PJK242" s="219"/>
      <c r="PJL242" s="219"/>
      <c r="PJM242" s="219"/>
      <c r="PJN242" s="219"/>
      <c r="PJO242" s="219"/>
      <c r="PJP242" s="219"/>
      <c r="PJQ242" s="219"/>
      <c r="PJR242" s="219"/>
      <c r="PJS242" s="219"/>
      <c r="PJT242" s="219"/>
      <c r="PJU242" s="219"/>
      <c r="PJV242" s="219"/>
      <c r="PJW242" s="219"/>
      <c r="PJX242" s="219"/>
      <c r="PJY242" s="219"/>
      <c r="PJZ242" s="219"/>
      <c r="PKA242" s="219"/>
      <c r="PKB242" s="219"/>
      <c r="PKC242" s="219"/>
      <c r="PKD242" s="219"/>
      <c r="PKE242" s="219"/>
      <c r="PKF242" s="219"/>
      <c r="PKG242" s="219"/>
      <c r="PKH242" s="219"/>
      <c r="PKI242" s="219"/>
      <c r="PKJ242" s="219"/>
      <c r="PKK242" s="219"/>
      <c r="PKL242" s="219"/>
      <c r="PKM242" s="219"/>
      <c r="PKN242" s="219"/>
      <c r="PKO242" s="219"/>
      <c r="PKP242" s="219"/>
      <c r="PKQ242" s="219"/>
      <c r="PKR242" s="219"/>
      <c r="PKS242" s="219"/>
      <c r="PKT242" s="219"/>
      <c r="PKU242" s="219"/>
      <c r="PKV242" s="219"/>
      <c r="PKW242" s="219"/>
      <c r="PKX242" s="219"/>
      <c r="PKY242" s="219"/>
      <c r="PKZ242" s="219"/>
      <c r="PLA242" s="219"/>
      <c r="PLB242" s="219"/>
      <c r="PLC242" s="219"/>
      <c r="PLD242" s="219"/>
      <c r="PLE242" s="219"/>
      <c r="PLF242" s="219"/>
      <c r="PLG242" s="219"/>
      <c r="PLH242" s="219"/>
      <c r="PLI242" s="219"/>
      <c r="PLJ242" s="219"/>
      <c r="PLK242" s="219"/>
      <c r="PLL242" s="219"/>
      <c r="PLM242" s="219"/>
      <c r="PLN242" s="219"/>
      <c r="PLO242" s="219"/>
      <c r="PLP242" s="219"/>
      <c r="PLQ242" s="219"/>
      <c r="PLR242" s="219"/>
      <c r="PLS242" s="219"/>
      <c r="PLT242" s="219"/>
      <c r="PLU242" s="219"/>
      <c r="PLV242" s="219"/>
      <c r="PLW242" s="219"/>
      <c r="PLX242" s="219"/>
      <c r="PLY242" s="219"/>
      <c r="PLZ242" s="219"/>
      <c r="PMA242" s="219"/>
      <c r="PMB242" s="219"/>
      <c r="PMC242" s="219"/>
      <c r="PMD242" s="219"/>
      <c r="PME242" s="219"/>
      <c r="PMF242" s="219"/>
      <c r="PMG242" s="219"/>
      <c r="PMH242" s="219"/>
      <c r="PMI242" s="219"/>
      <c r="PMJ242" s="219"/>
      <c r="PMK242" s="219"/>
      <c r="PML242" s="219"/>
      <c r="PMM242" s="219"/>
      <c r="PMN242" s="219"/>
      <c r="PMO242" s="219"/>
      <c r="PMP242" s="219"/>
      <c r="PMQ242" s="219"/>
      <c r="PMR242" s="219"/>
      <c r="PMS242" s="219"/>
      <c r="PMT242" s="219"/>
      <c r="PMU242" s="219"/>
      <c r="PMV242" s="219"/>
      <c r="PMW242" s="219"/>
      <c r="PMX242" s="219"/>
      <c r="PMY242" s="219"/>
      <c r="PMZ242" s="219"/>
      <c r="PNA242" s="219"/>
      <c r="PNB242" s="219"/>
      <c r="PNC242" s="219"/>
      <c r="PND242" s="219"/>
      <c r="PNE242" s="219"/>
      <c r="PNF242" s="219"/>
      <c r="PNG242" s="219"/>
      <c r="PNH242" s="219"/>
      <c r="PNI242" s="219"/>
      <c r="PNJ242" s="219"/>
      <c r="PNK242" s="219"/>
      <c r="PNL242" s="219"/>
      <c r="PNM242" s="219"/>
      <c r="PNN242" s="219"/>
      <c r="PNO242" s="219"/>
      <c r="PNP242" s="219"/>
      <c r="PNQ242" s="219"/>
      <c r="PNR242" s="219"/>
      <c r="PNS242" s="219"/>
      <c r="PNT242" s="219"/>
      <c r="PNU242" s="219"/>
      <c r="PNV242" s="219"/>
      <c r="PNW242" s="219"/>
      <c r="PNX242" s="219"/>
      <c r="PNY242" s="219"/>
      <c r="PNZ242" s="219"/>
      <c r="POA242" s="219"/>
      <c r="POB242" s="219"/>
      <c r="POC242" s="219"/>
      <c r="POD242" s="219"/>
      <c r="POE242" s="219"/>
      <c r="POF242" s="219"/>
      <c r="POG242" s="219"/>
      <c r="POH242" s="219"/>
      <c r="POI242" s="219"/>
      <c r="POJ242" s="219"/>
      <c r="POK242" s="219"/>
      <c r="POL242" s="219"/>
      <c r="POM242" s="219"/>
      <c r="PON242" s="219"/>
      <c r="POO242" s="219"/>
      <c r="POP242" s="219"/>
      <c r="POQ242" s="219"/>
      <c r="POR242" s="219"/>
      <c r="POS242" s="219"/>
      <c r="POT242" s="219"/>
      <c r="POU242" s="219"/>
      <c r="POV242" s="219"/>
      <c r="POW242" s="219"/>
      <c r="POX242" s="219"/>
      <c r="POY242" s="219"/>
      <c r="POZ242" s="219"/>
      <c r="PPA242" s="219"/>
      <c r="PPB242" s="219"/>
      <c r="PPC242" s="219"/>
      <c r="PPD242" s="219"/>
      <c r="PPE242" s="219"/>
      <c r="PPF242" s="219"/>
      <c r="PPG242" s="219"/>
      <c r="PPH242" s="219"/>
      <c r="PPI242" s="219"/>
      <c r="PPJ242" s="219"/>
      <c r="PPK242" s="219"/>
      <c r="PPL242" s="219"/>
      <c r="PPM242" s="219"/>
      <c r="PPN242" s="219"/>
      <c r="PPO242" s="219"/>
      <c r="PPP242" s="219"/>
      <c r="PPQ242" s="219"/>
      <c r="PPR242" s="219"/>
      <c r="PPS242" s="219"/>
      <c r="PPT242" s="219"/>
      <c r="PPU242" s="219"/>
      <c r="PPV242" s="219"/>
      <c r="PPW242" s="219"/>
      <c r="PPX242" s="219"/>
      <c r="PPY242" s="219"/>
      <c r="PPZ242" s="219"/>
      <c r="PQA242" s="219"/>
      <c r="PQB242" s="219"/>
      <c r="PQC242" s="219"/>
      <c r="PQD242" s="219"/>
      <c r="PQE242" s="219"/>
      <c r="PQF242" s="219"/>
      <c r="PQG242" s="219"/>
      <c r="PQH242" s="219"/>
      <c r="PQI242" s="219"/>
      <c r="PQJ242" s="219"/>
      <c r="PQK242" s="219"/>
      <c r="PQL242" s="219"/>
      <c r="PQM242" s="219"/>
      <c r="PQN242" s="219"/>
      <c r="PQO242" s="219"/>
      <c r="PQP242" s="219"/>
      <c r="PQQ242" s="219"/>
      <c r="PQR242" s="219"/>
      <c r="PQS242" s="219"/>
      <c r="PQT242" s="219"/>
      <c r="PQU242" s="219"/>
      <c r="PQV242" s="219"/>
      <c r="PQW242" s="219"/>
      <c r="PQX242" s="219"/>
      <c r="PQY242" s="219"/>
      <c r="PQZ242" s="219"/>
      <c r="PRA242" s="219"/>
      <c r="PRB242" s="219"/>
      <c r="PRC242" s="219"/>
      <c r="PRD242" s="219"/>
      <c r="PRE242" s="219"/>
      <c r="PRF242" s="219"/>
      <c r="PRG242" s="219"/>
      <c r="PRH242" s="219"/>
      <c r="PRI242" s="219"/>
      <c r="PRJ242" s="219"/>
      <c r="PRK242" s="219"/>
      <c r="PRL242" s="219"/>
      <c r="PRM242" s="219"/>
      <c r="PRN242" s="219"/>
      <c r="PRO242" s="219"/>
      <c r="PRP242" s="219"/>
      <c r="PRQ242" s="219"/>
      <c r="PRR242" s="219"/>
      <c r="PRS242" s="219"/>
      <c r="PRT242" s="219"/>
      <c r="PRU242" s="219"/>
      <c r="PRV242" s="219"/>
      <c r="PRW242" s="219"/>
      <c r="PRX242" s="219"/>
      <c r="PRY242" s="219"/>
      <c r="PRZ242" s="219"/>
      <c r="PSA242" s="219"/>
      <c r="PSB242" s="219"/>
      <c r="PSC242" s="219"/>
      <c r="PSD242" s="219"/>
      <c r="PSE242" s="219"/>
      <c r="PSF242" s="219"/>
      <c r="PSG242" s="219"/>
      <c r="PSH242" s="219"/>
      <c r="PSI242" s="219"/>
      <c r="PSJ242" s="219"/>
      <c r="PSK242" s="219"/>
      <c r="PSL242" s="219"/>
      <c r="PSM242" s="219"/>
      <c r="PSN242" s="219"/>
      <c r="PSO242" s="219"/>
      <c r="PSP242" s="219"/>
      <c r="PSQ242" s="219"/>
      <c r="PSR242" s="219"/>
      <c r="PSS242" s="219"/>
      <c r="PST242" s="219"/>
      <c r="PSU242" s="219"/>
      <c r="PSV242" s="219"/>
      <c r="PSW242" s="219"/>
      <c r="PSX242" s="219"/>
      <c r="PSY242" s="219"/>
      <c r="PSZ242" s="219"/>
      <c r="PTA242" s="219"/>
      <c r="PTB242" s="219"/>
      <c r="PTC242" s="219"/>
      <c r="PTD242" s="219"/>
      <c r="PTE242" s="219"/>
      <c r="PTF242" s="219"/>
      <c r="PTG242" s="219"/>
      <c r="PTH242" s="219"/>
      <c r="PTI242" s="219"/>
      <c r="PTJ242" s="219"/>
      <c r="PTK242" s="219"/>
      <c r="PTL242" s="219"/>
      <c r="PTM242" s="219"/>
      <c r="PTN242" s="219"/>
      <c r="PTO242" s="219"/>
      <c r="PTP242" s="219"/>
      <c r="PTQ242" s="219"/>
      <c r="PTR242" s="219"/>
      <c r="PTS242" s="219"/>
      <c r="PTT242" s="219"/>
      <c r="PTU242" s="219"/>
      <c r="PTV242" s="219"/>
      <c r="PTW242" s="219"/>
      <c r="PTX242" s="219"/>
      <c r="PTY242" s="219"/>
      <c r="PTZ242" s="219"/>
      <c r="PUA242" s="219"/>
      <c r="PUB242" s="219"/>
      <c r="PUC242" s="219"/>
      <c r="PUD242" s="219"/>
      <c r="PUE242" s="219"/>
      <c r="PUF242" s="219"/>
      <c r="PUG242" s="219"/>
      <c r="PUH242" s="219"/>
      <c r="PUI242" s="219"/>
      <c r="PUJ242" s="219"/>
      <c r="PUK242" s="219"/>
      <c r="PUL242" s="219"/>
      <c r="PUM242" s="219"/>
      <c r="PUN242" s="219"/>
      <c r="PUO242" s="219"/>
      <c r="PUP242" s="219"/>
      <c r="PUQ242" s="219"/>
      <c r="PUR242" s="219"/>
      <c r="PUS242" s="219"/>
      <c r="PUT242" s="219"/>
      <c r="PUU242" s="219"/>
      <c r="PUV242" s="219"/>
      <c r="PUW242" s="219"/>
      <c r="PUX242" s="219"/>
      <c r="PUY242" s="219"/>
      <c r="PUZ242" s="219"/>
      <c r="PVA242" s="219"/>
      <c r="PVB242" s="219"/>
      <c r="PVC242" s="219"/>
      <c r="PVD242" s="219"/>
      <c r="PVE242" s="219"/>
      <c r="PVF242" s="219"/>
      <c r="PVG242" s="219"/>
      <c r="PVH242" s="219"/>
      <c r="PVI242" s="219"/>
      <c r="PVJ242" s="219"/>
      <c r="PVK242" s="219"/>
      <c r="PVL242" s="219"/>
      <c r="PVM242" s="219"/>
      <c r="PVN242" s="219"/>
      <c r="PVO242" s="219"/>
      <c r="PVP242" s="219"/>
      <c r="PVQ242" s="219"/>
      <c r="PVR242" s="219"/>
      <c r="PVS242" s="219"/>
      <c r="PVT242" s="219"/>
      <c r="PVU242" s="219"/>
      <c r="PVV242" s="219"/>
      <c r="PVW242" s="219"/>
      <c r="PVX242" s="219"/>
      <c r="PVY242" s="219"/>
      <c r="PVZ242" s="219"/>
      <c r="PWA242" s="219"/>
      <c r="PWB242" s="219"/>
      <c r="PWC242" s="219"/>
      <c r="PWD242" s="219"/>
      <c r="PWE242" s="219"/>
      <c r="PWF242" s="219"/>
      <c r="PWG242" s="219"/>
      <c r="PWH242" s="219"/>
      <c r="PWI242" s="219"/>
      <c r="PWJ242" s="219"/>
      <c r="PWK242" s="219"/>
      <c r="PWL242" s="219"/>
      <c r="PWM242" s="219"/>
      <c r="PWN242" s="219"/>
      <c r="PWO242" s="219"/>
      <c r="PWP242" s="219"/>
      <c r="PWQ242" s="219"/>
      <c r="PWR242" s="219"/>
      <c r="PWS242" s="219"/>
      <c r="PWT242" s="219"/>
      <c r="PWU242" s="219"/>
      <c r="PWV242" s="219"/>
      <c r="PWW242" s="219"/>
      <c r="PWX242" s="219"/>
      <c r="PWY242" s="219"/>
      <c r="PWZ242" s="219"/>
      <c r="PXA242" s="219"/>
      <c r="PXB242" s="219"/>
      <c r="PXC242" s="219"/>
      <c r="PXD242" s="219"/>
      <c r="PXE242" s="219"/>
      <c r="PXF242" s="219"/>
      <c r="PXG242" s="219"/>
      <c r="PXH242" s="219"/>
      <c r="PXI242" s="219"/>
      <c r="PXJ242" s="219"/>
      <c r="PXK242" s="219"/>
      <c r="PXL242" s="219"/>
      <c r="PXM242" s="219"/>
      <c r="PXN242" s="219"/>
      <c r="PXO242" s="219"/>
      <c r="PXP242" s="219"/>
      <c r="PXQ242" s="219"/>
      <c r="PXR242" s="219"/>
      <c r="PXS242" s="219"/>
      <c r="PXT242" s="219"/>
      <c r="PXU242" s="219"/>
      <c r="PXV242" s="219"/>
      <c r="PXW242" s="219"/>
      <c r="PXX242" s="219"/>
      <c r="PXY242" s="219"/>
      <c r="PXZ242" s="219"/>
      <c r="PYA242" s="219"/>
      <c r="PYB242" s="219"/>
      <c r="PYC242" s="219"/>
      <c r="PYD242" s="219"/>
      <c r="PYE242" s="219"/>
      <c r="PYF242" s="219"/>
      <c r="PYG242" s="219"/>
      <c r="PYH242" s="219"/>
      <c r="PYI242" s="219"/>
      <c r="PYJ242" s="219"/>
      <c r="PYK242" s="219"/>
      <c r="PYL242" s="219"/>
      <c r="PYM242" s="219"/>
      <c r="PYN242" s="219"/>
      <c r="PYO242" s="219"/>
      <c r="PYP242" s="219"/>
      <c r="PYQ242" s="219"/>
      <c r="PYR242" s="219"/>
      <c r="PYS242" s="219"/>
      <c r="PYT242" s="219"/>
      <c r="PYU242" s="219"/>
      <c r="PYV242" s="219"/>
      <c r="PYW242" s="219"/>
      <c r="PYX242" s="219"/>
      <c r="PYY242" s="219"/>
      <c r="PYZ242" s="219"/>
      <c r="PZA242" s="219"/>
      <c r="PZB242" s="219"/>
      <c r="PZC242" s="219"/>
      <c r="PZD242" s="219"/>
      <c r="PZE242" s="219"/>
      <c r="PZF242" s="219"/>
      <c r="PZG242" s="219"/>
      <c r="PZH242" s="219"/>
      <c r="PZI242" s="219"/>
      <c r="PZJ242" s="219"/>
      <c r="PZK242" s="219"/>
      <c r="PZL242" s="219"/>
      <c r="PZM242" s="219"/>
      <c r="PZN242" s="219"/>
      <c r="PZO242" s="219"/>
      <c r="PZP242" s="219"/>
      <c r="PZQ242" s="219"/>
      <c r="PZR242" s="219"/>
      <c r="PZS242" s="219"/>
      <c r="PZT242" s="219"/>
      <c r="PZU242" s="219"/>
      <c r="PZV242" s="219"/>
      <c r="PZW242" s="219"/>
      <c r="PZX242" s="219"/>
      <c r="PZY242" s="219"/>
      <c r="PZZ242" s="219"/>
      <c r="QAA242" s="219"/>
      <c r="QAB242" s="219"/>
      <c r="QAC242" s="219"/>
      <c r="QAD242" s="219"/>
      <c r="QAE242" s="219"/>
      <c r="QAF242" s="219"/>
      <c r="QAG242" s="219"/>
      <c r="QAH242" s="219"/>
      <c r="QAI242" s="219"/>
      <c r="QAJ242" s="219"/>
      <c r="QAK242" s="219"/>
      <c r="QAL242" s="219"/>
      <c r="QAM242" s="219"/>
      <c r="QAN242" s="219"/>
      <c r="QAO242" s="219"/>
      <c r="QAP242" s="219"/>
      <c r="QAQ242" s="219"/>
      <c r="QAR242" s="219"/>
      <c r="QAS242" s="219"/>
      <c r="QAT242" s="219"/>
      <c r="QAU242" s="219"/>
      <c r="QAV242" s="219"/>
      <c r="QAW242" s="219"/>
      <c r="QAX242" s="219"/>
      <c r="QAY242" s="219"/>
      <c r="QAZ242" s="219"/>
      <c r="QBA242" s="219"/>
      <c r="QBB242" s="219"/>
      <c r="QBC242" s="219"/>
      <c r="QBD242" s="219"/>
      <c r="QBE242" s="219"/>
      <c r="QBF242" s="219"/>
      <c r="QBG242" s="219"/>
      <c r="QBH242" s="219"/>
      <c r="QBI242" s="219"/>
      <c r="QBJ242" s="219"/>
      <c r="QBK242" s="219"/>
      <c r="QBL242" s="219"/>
      <c r="QBM242" s="219"/>
      <c r="QBN242" s="219"/>
      <c r="QBO242" s="219"/>
      <c r="QBP242" s="219"/>
      <c r="QBQ242" s="219"/>
      <c r="QBR242" s="219"/>
      <c r="QBS242" s="219"/>
      <c r="QBT242" s="219"/>
      <c r="QBU242" s="219"/>
      <c r="QBV242" s="219"/>
      <c r="QBW242" s="219"/>
      <c r="QBX242" s="219"/>
      <c r="QBY242" s="219"/>
      <c r="QBZ242" s="219"/>
      <c r="QCA242" s="219"/>
      <c r="QCB242" s="219"/>
      <c r="QCC242" s="219"/>
      <c r="QCD242" s="219"/>
      <c r="QCE242" s="219"/>
      <c r="QCF242" s="219"/>
      <c r="QCG242" s="219"/>
      <c r="QCH242" s="219"/>
      <c r="QCI242" s="219"/>
      <c r="QCJ242" s="219"/>
      <c r="QCK242" s="219"/>
      <c r="QCL242" s="219"/>
      <c r="QCM242" s="219"/>
      <c r="QCN242" s="219"/>
      <c r="QCO242" s="219"/>
      <c r="QCP242" s="219"/>
      <c r="QCQ242" s="219"/>
      <c r="QCR242" s="219"/>
      <c r="QCS242" s="219"/>
      <c r="QCT242" s="219"/>
      <c r="QCU242" s="219"/>
      <c r="QCV242" s="219"/>
      <c r="QCW242" s="219"/>
      <c r="QCX242" s="219"/>
      <c r="QCY242" s="219"/>
      <c r="QCZ242" s="219"/>
      <c r="QDA242" s="219"/>
      <c r="QDB242" s="219"/>
      <c r="QDC242" s="219"/>
      <c r="QDD242" s="219"/>
      <c r="QDE242" s="219"/>
      <c r="QDF242" s="219"/>
      <c r="QDG242" s="219"/>
      <c r="QDH242" s="219"/>
      <c r="QDI242" s="219"/>
      <c r="QDJ242" s="219"/>
      <c r="QDK242" s="219"/>
      <c r="QDL242" s="219"/>
      <c r="QDM242" s="219"/>
      <c r="QDN242" s="219"/>
      <c r="QDO242" s="219"/>
      <c r="QDP242" s="219"/>
      <c r="QDQ242" s="219"/>
      <c r="QDR242" s="219"/>
      <c r="QDS242" s="219"/>
      <c r="QDT242" s="219"/>
      <c r="QDU242" s="219"/>
      <c r="QDV242" s="219"/>
      <c r="QDW242" s="219"/>
      <c r="QDX242" s="219"/>
      <c r="QDY242" s="219"/>
      <c r="QDZ242" s="219"/>
      <c r="QEA242" s="219"/>
      <c r="QEB242" s="219"/>
      <c r="QEC242" s="219"/>
      <c r="QED242" s="219"/>
      <c r="QEE242" s="219"/>
      <c r="QEF242" s="219"/>
      <c r="QEG242" s="219"/>
      <c r="QEH242" s="219"/>
      <c r="QEI242" s="219"/>
      <c r="QEJ242" s="219"/>
      <c r="QEK242" s="219"/>
      <c r="QEL242" s="219"/>
      <c r="QEM242" s="219"/>
      <c r="QEN242" s="219"/>
      <c r="QEO242" s="219"/>
      <c r="QEP242" s="219"/>
      <c r="QEQ242" s="219"/>
      <c r="QER242" s="219"/>
      <c r="QES242" s="219"/>
      <c r="QET242" s="219"/>
      <c r="QEU242" s="219"/>
      <c r="QEV242" s="219"/>
      <c r="QEW242" s="219"/>
      <c r="QEX242" s="219"/>
      <c r="QEY242" s="219"/>
      <c r="QEZ242" s="219"/>
      <c r="QFA242" s="219"/>
      <c r="QFB242" s="219"/>
      <c r="QFC242" s="219"/>
      <c r="QFD242" s="219"/>
      <c r="QFE242" s="219"/>
      <c r="QFF242" s="219"/>
      <c r="QFG242" s="219"/>
      <c r="QFH242" s="219"/>
      <c r="QFI242" s="219"/>
      <c r="QFJ242" s="219"/>
      <c r="QFK242" s="219"/>
      <c r="QFL242" s="219"/>
      <c r="QFM242" s="219"/>
      <c r="QFN242" s="219"/>
      <c r="QFO242" s="219"/>
      <c r="QFP242" s="219"/>
      <c r="QFQ242" s="219"/>
      <c r="QFR242" s="219"/>
      <c r="QFS242" s="219"/>
      <c r="QFT242" s="219"/>
      <c r="QFU242" s="219"/>
      <c r="QFV242" s="219"/>
      <c r="QFW242" s="219"/>
      <c r="QFX242" s="219"/>
      <c r="QFY242" s="219"/>
      <c r="QFZ242" s="219"/>
      <c r="QGA242" s="219"/>
      <c r="QGB242" s="219"/>
      <c r="QGC242" s="219"/>
      <c r="QGD242" s="219"/>
      <c r="QGE242" s="219"/>
      <c r="QGF242" s="219"/>
      <c r="QGG242" s="219"/>
      <c r="QGH242" s="219"/>
      <c r="QGI242" s="219"/>
      <c r="QGJ242" s="219"/>
      <c r="QGK242" s="219"/>
      <c r="QGL242" s="219"/>
      <c r="QGM242" s="219"/>
      <c r="QGN242" s="219"/>
      <c r="QGO242" s="219"/>
      <c r="QGP242" s="219"/>
      <c r="QGQ242" s="219"/>
      <c r="QGR242" s="219"/>
      <c r="QGS242" s="219"/>
      <c r="QGT242" s="219"/>
      <c r="QGU242" s="219"/>
      <c r="QGV242" s="219"/>
      <c r="QGW242" s="219"/>
      <c r="QGX242" s="219"/>
      <c r="QGY242" s="219"/>
      <c r="QGZ242" s="219"/>
      <c r="QHA242" s="219"/>
      <c r="QHB242" s="219"/>
      <c r="QHC242" s="219"/>
      <c r="QHD242" s="219"/>
      <c r="QHE242" s="219"/>
      <c r="QHF242" s="219"/>
      <c r="QHG242" s="219"/>
      <c r="QHH242" s="219"/>
      <c r="QHI242" s="219"/>
      <c r="QHJ242" s="219"/>
      <c r="QHK242" s="219"/>
      <c r="QHL242" s="219"/>
      <c r="QHM242" s="219"/>
      <c r="QHN242" s="219"/>
      <c r="QHO242" s="219"/>
      <c r="QHP242" s="219"/>
      <c r="QHQ242" s="219"/>
      <c r="QHR242" s="219"/>
      <c r="QHS242" s="219"/>
      <c r="QHT242" s="219"/>
      <c r="QHU242" s="219"/>
      <c r="QHV242" s="219"/>
      <c r="QHW242" s="219"/>
      <c r="QHX242" s="219"/>
      <c r="QHY242" s="219"/>
      <c r="QHZ242" s="219"/>
      <c r="QIA242" s="219"/>
      <c r="QIB242" s="219"/>
      <c r="QIC242" s="219"/>
      <c r="QID242" s="219"/>
      <c r="QIE242" s="219"/>
      <c r="QIF242" s="219"/>
      <c r="QIG242" s="219"/>
      <c r="QIH242" s="219"/>
      <c r="QII242" s="219"/>
      <c r="QIJ242" s="219"/>
      <c r="QIK242" s="219"/>
      <c r="QIL242" s="219"/>
      <c r="QIM242" s="219"/>
      <c r="QIN242" s="219"/>
      <c r="QIO242" s="219"/>
      <c r="QIP242" s="219"/>
      <c r="QIQ242" s="219"/>
      <c r="QIR242" s="219"/>
      <c r="QIS242" s="219"/>
      <c r="QIT242" s="219"/>
      <c r="QIU242" s="219"/>
      <c r="QIV242" s="219"/>
      <c r="QIW242" s="219"/>
      <c r="QIX242" s="219"/>
      <c r="QIY242" s="219"/>
      <c r="QIZ242" s="219"/>
      <c r="QJA242" s="219"/>
      <c r="QJB242" s="219"/>
      <c r="QJC242" s="219"/>
      <c r="QJD242" s="219"/>
      <c r="QJE242" s="219"/>
      <c r="QJF242" s="219"/>
      <c r="QJG242" s="219"/>
      <c r="QJH242" s="219"/>
      <c r="QJI242" s="219"/>
      <c r="QJJ242" s="219"/>
      <c r="QJK242" s="219"/>
      <c r="QJL242" s="219"/>
      <c r="QJM242" s="219"/>
      <c r="QJN242" s="219"/>
      <c r="QJO242" s="219"/>
      <c r="QJP242" s="219"/>
      <c r="QJQ242" s="219"/>
      <c r="QJR242" s="219"/>
      <c r="QJS242" s="219"/>
      <c r="QJT242" s="219"/>
      <c r="QJU242" s="219"/>
      <c r="QJV242" s="219"/>
      <c r="QJW242" s="219"/>
      <c r="QJX242" s="219"/>
      <c r="QJY242" s="219"/>
      <c r="QJZ242" s="219"/>
      <c r="QKA242" s="219"/>
      <c r="QKB242" s="219"/>
      <c r="QKC242" s="219"/>
      <c r="QKD242" s="219"/>
      <c r="QKE242" s="219"/>
      <c r="QKF242" s="219"/>
      <c r="QKG242" s="219"/>
      <c r="QKH242" s="219"/>
      <c r="QKI242" s="219"/>
      <c r="QKJ242" s="219"/>
      <c r="QKK242" s="219"/>
      <c r="QKL242" s="219"/>
      <c r="QKM242" s="219"/>
      <c r="QKN242" s="219"/>
      <c r="QKO242" s="219"/>
      <c r="QKP242" s="219"/>
      <c r="QKQ242" s="219"/>
      <c r="QKR242" s="219"/>
      <c r="QKS242" s="219"/>
      <c r="QKT242" s="219"/>
      <c r="QKU242" s="219"/>
      <c r="QKV242" s="219"/>
      <c r="QKW242" s="219"/>
      <c r="QKX242" s="219"/>
      <c r="QKY242" s="219"/>
      <c r="QKZ242" s="219"/>
      <c r="QLA242" s="219"/>
      <c r="QLB242" s="219"/>
      <c r="QLC242" s="219"/>
      <c r="QLD242" s="219"/>
      <c r="QLE242" s="219"/>
      <c r="QLF242" s="219"/>
      <c r="QLG242" s="219"/>
      <c r="QLH242" s="219"/>
      <c r="QLI242" s="219"/>
      <c r="QLJ242" s="219"/>
      <c r="QLK242" s="219"/>
      <c r="QLL242" s="219"/>
      <c r="QLM242" s="219"/>
      <c r="QLN242" s="219"/>
      <c r="QLO242" s="219"/>
      <c r="QLP242" s="219"/>
      <c r="QLQ242" s="219"/>
      <c r="QLR242" s="219"/>
      <c r="QLS242" s="219"/>
      <c r="QLT242" s="219"/>
      <c r="QLU242" s="219"/>
      <c r="QLV242" s="219"/>
      <c r="QLW242" s="219"/>
      <c r="QLX242" s="219"/>
      <c r="QLY242" s="219"/>
      <c r="QLZ242" s="219"/>
      <c r="QMA242" s="219"/>
      <c r="QMB242" s="219"/>
      <c r="QMC242" s="219"/>
      <c r="QMD242" s="219"/>
      <c r="QME242" s="219"/>
      <c r="QMF242" s="219"/>
      <c r="QMG242" s="219"/>
      <c r="QMH242" s="219"/>
      <c r="QMI242" s="219"/>
      <c r="QMJ242" s="219"/>
      <c r="QMK242" s="219"/>
      <c r="QML242" s="219"/>
      <c r="QMM242" s="219"/>
      <c r="QMN242" s="219"/>
      <c r="QMO242" s="219"/>
      <c r="QMP242" s="219"/>
      <c r="QMQ242" s="219"/>
      <c r="QMR242" s="219"/>
      <c r="QMS242" s="219"/>
      <c r="QMT242" s="219"/>
      <c r="QMU242" s="219"/>
      <c r="QMV242" s="219"/>
      <c r="QMW242" s="219"/>
      <c r="QMX242" s="219"/>
      <c r="QMY242" s="219"/>
      <c r="QMZ242" s="219"/>
      <c r="QNA242" s="219"/>
      <c r="QNB242" s="219"/>
      <c r="QNC242" s="219"/>
      <c r="QND242" s="219"/>
      <c r="QNE242" s="219"/>
      <c r="QNF242" s="219"/>
      <c r="QNG242" s="219"/>
      <c r="QNH242" s="219"/>
      <c r="QNI242" s="219"/>
      <c r="QNJ242" s="219"/>
      <c r="QNK242" s="219"/>
      <c r="QNL242" s="219"/>
      <c r="QNM242" s="219"/>
      <c r="QNN242" s="219"/>
      <c r="QNO242" s="219"/>
      <c r="QNP242" s="219"/>
      <c r="QNQ242" s="219"/>
      <c r="QNR242" s="219"/>
      <c r="QNS242" s="219"/>
      <c r="QNT242" s="219"/>
      <c r="QNU242" s="219"/>
      <c r="QNV242" s="219"/>
      <c r="QNW242" s="219"/>
      <c r="QNX242" s="219"/>
      <c r="QNY242" s="219"/>
      <c r="QNZ242" s="219"/>
      <c r="QOA242" s="219"/>
      <c r="QOB242" s="219"/>
      <c r="QOC242" s="219"/>
      <c r="QOD242" s="219"/>
      <c r="QOE242" s="219"/>
      <c r="QOF242" s="219"/>
      <c r="QOG242" s="219"/>
      <c r="QOH242" s="219"/>
      <c r="QOI242" s="219"/>
      <c r="QOJ242" s="219"/>
      <c r="QOK242" s="219"/>
      <c r="QOL242" s="219"/>
      <c r="QOM242" s="219"/>
      <c r="QON242" s="219"/>
      <c r="QOO242" s="219"/>
      <c r="QOP242" s="219"/>
      <c r="QOQ242" s="219"/>
      <c r="QOR242" s="219"/>
      <c r="QOS242" s="219"/>
      <c r="QOT242" s="219"/>
      <c r="QOU242" s="219"/>
      <c r="QOV242" s="219"/>
      <c r="QOW242" s="219"/>
      <c r="QOX242" s="219"/>
      <c r="QOY242" s="219"/>
      <c r="QOZ242" s="219"/>
      <c r="QPA242" s="219"/>
      <c r="QPB242" s="219"/>
      <c r="QPC242" s="219"/>
      <c r="QPD242" s="219"/>
      <c r="QPE242" s="219"/>
      <c r="QPF242" s="219"/>
      <c r="QPG242" s="219"/>
      <c r="QPH242" s="219"/>
      <c r="QPI242" s="219"/>
      <c r="QPJ242" s="219"/>
      <c r="QPK242" s="219"/>
      <c r="QPL242" s="219"/>
      <c r="QPM242" s="219"/>
      <c r="QPN242" s="219"/>
      <c r="QPO242" s="219"/>
      <c r="QPP242" s="219"/>
      <c r="QPQ242" s="219"/>
      <c r="QPR242" s="219"/>
      <c r="QPS242" s="219"/>
      <c r="QPT242" s="219"/>
      <c r="QPU242" s="219"/>
      <c r="QPV242" s="219"/>
      <c r="QPW242" s="219"/>
      <c r="QPX242" s="219"/>
      <c r="QPY242" s="219"/>
      <c r="QPZ242" s="219"/>
      <c r="QQA242" s="219"/>
      <c r="QQB242" s="219"/>
      <c r="QQC242" s="219"/>
      <c r="QQD242" s="219"/>
      <c r="QQE242" s="219"/>
      <c r="QQF242" s="219"/>
      <c r="QQG242" s="219"/>
      <c r="QQH242" s="219"/>
      <c r="QQI242" s="219"/>
      <c r="QQJ242" s="219"/>
      <c r="QQK242" s="219"/>
      <c r="QQL242" s="219"/>
      <c r="QQM242" s="219"/>
      <c r="QQN242" s="219"/>
      <c r="QQO242" s="219"/>
      <c r="QQP242" s="219"/>
      <c r="QQQ242" s="219"/>
      <c r="QQR242" s="219"/>
      <c r="QQS242" s="219"/>
      <c r="QQT242" s="219"/>
      <c r="QQU242" s="219"/>
      <c r="QQV242" s="219"/>
      <c r="QQW242" s="219"/>
      <c r="QQX242" s="219"/>
      <c r="QQY242" s="219"/>
      <c r="QQZ242" s="219"/>
      <c r="QRA242" s="219"/>
      <c r="QRB242" s="219"/>
      <c r="QRC242" s="219"/>
      <c r="QRD242" s="219"/>
      <c r="QRE242" s="219"/>
      <c r="QRF242" s="219"/>
      <c r="QRG242" s="219"/>
      <c r="QRH242" s="219"/>
      <c r="QRI242" s="219"/>
      <c r="QRJ242" s="219"/>
      <c r="QRK242" s="219"/>
      <c r="QRL242" s="219"/>
      <c r="QRM242" s="219"/>
      <c r="QRN242" s="219"/>
      <c r="QRO242" s="219"/>
      <c r="QRP242" s="219"/>
      <c r="QRQ242" s="219"/>
      <c r="QRR242" s="219"/>
      <c r="QRS242" s="219"/>
      <c r="QRT242" s="219"/>
      <c r="QRU242" s="219"/>
      <c r="QRV242" s="219"/>
      <c r="QRW242" s="219"/>
      <c r="QRX242" s="219"/>
      <c r="QRY242" s="219"/>
      <c r="QRZ242" s="219"/>
      <c r="QSA242" s="219"/>
      <c r="QSB242" s="219"/>
      <c r="QSC242" s="219"/>
      <c r="QSD242" s="219"/>
      <c r="QSE242" s="219"/>
      <c r="QSF242" s="219"/>
      <c r="QSG242" s="219"/>
      <c r="QSH242" s="219"/>
      <c r="QSI242" s="219"/>
      <c r="QSJ242" s="219"/>
      <c r="QSK242" s="219"/>
      <c r="QSL242" s="219"/>
      <c r="QSM242" s="219"/>
      <c r="QSN242" s="219"/>
      <c r="QSO242" s="219"/>
      <c r="QSP242" s="219"/>
      <c r="QSQ242" s="219"/>
      <c r="QSR242" s="219"/>
      <c r="QSS242" s="219"/>
      <c r="QST242" s="219"/>
      <c r="QSU242" s="219"/>
      <c r="QSV242" s="219"/>
      <c r="QSW242" s="219"/>
      <c r="QSX242" s="219"/>
      <c r="QSY242" s="219"/>
      <c r="QSZ242" s="219"/>
      <c r="QTA242" s="219"/>
      <c r="QTB242" s="219"/>
      <c r="QTC242" s="219"/>
      <c r="QTD242" s="219"/>
      <c r="QTE242" s="219"/>
      <c r="QTF242" s="219"/>
      <c r="QTG242" s="219"/>
      <c r="QTH242" s="219"/>
      <c r="QTI242" s="219"/>
      <c r="QTJ242" s="219"/>
      <c r="QTK242" s="219"/>
      <c r="QTL242" s="219"/>
      <c r="QTM242" s="219"/>
      <c r="QTN242" s="219"/>
      <c r="QTO242" s="219"/>
      <c r="QTP242" s="219"/>
      <c r="QTQ242" s="219"/>
      <c r="QTR242" s="219"/>
      <c r="QTS242" s="219"/>
      <c r="QTT242" s="219"/>
      <c r="QTU242" s="219"/>
      <c r="QTV242" s="219"/>
      <c r="QTW242" s="219"/>
      <c r="QTX242" s="219"/>
      <c r="QTY242" s="219"/>
      <c r="QTZ242" s="219"/>
      <c r="QUA242" s="219"/>
      <c r="QUB242" s="219"/>
      <c r="QUC242" s="219"/>
      <c r="QUD242" s="219"/>
      <c r="QUE242" s="219"/>
      <c r="QUF242" s="219"/>
      <c r="QUG242" s="219"/>
      <c r="QUH242" s="219"/>
      <c r="QUI242" s="219"/>
      <c r="QUJ242" s="219"/>
      <c r="QUK242" s="219"/>
      <c r="QUL242" s="219"/>
      <c r="QUM242" s="219"/>
      <c r="QUN242" s="219"/>
      <c r="QUO242" s="219"/>
      <c r="QUP242" s="219"/>
      <c r="QUQ242" s="219"/>
      <c r="QUR242" s="219"/>
      <c r="QUS242" s="219"/>
      <c r="QUT242" s="219"/>
      <c r="QUU242" s="219"/>
      <c r="QUV242" s="219"/>
      <c r="QUW242" s="219"/>
      <c r="QUX242" s="219"/>
      <c r="QUY242" s="219"/>
      <c r="QUZ242" s="219"/>
      <c r="QVA242" s="219"/>
      <c r="QVB242" s="219"/>
      <c r="QVC242" s="219"/>
      <c r="QVD242" s="219"/>
      <c r="QVE242" s="219"/>
      <c r="QVF242" s="219"/>
      <c r="QVG242" s="219"/>
      <c r="QVH242" s="219"/>
      <c r="QVI242" s="219"/>
      <c r="QVJ242" s="219"/>
      <c r="QVK242" s="219"/>
      <c r="QVL242" s="219"/>
      <c r="QVM242" s="219"/>
      <c r="QVN242" s="219"/>
      <c r="QVO242" s="219"/>
      <c r="QVP242" s="219"/>
      <c r="QVQ242" s="219"/>
      <c r="QVR242" s="219"/>
      <c r="QVS242" s="219"/>
      <c r="QVT242" s="219"/>
      <c r="QVU242" s="219"/>
      <c r="QVV242" s="219"/>
      <c r="QVW242" s="219"/>
      <c r="QVX242" s="219"/>
      <c r="QVY242" s="219"/>
      <c r="QVZ242" s="219"/>
      <c r="QWA242" s="219"/>
      <c r="QWB242" s="219"/>
      <c r="QWC242" s="219"/>
      <c r="QWD242" s="219"/>
      <c r="QWE242" s="219"/>
      <c r="QWF242" s="219"/>
      <c r="QWG242" s="219"/>
      <c r="QWH242" s="219"/>
      <c r="QWI242" s="219"/>
      <c r="QWJ242" s="219"/>
      <c r="QWK242" s="219"/>
      <c r="QWL242" s="219"/>
      <c r="QWM242" s="219"/>
      <c r="QWN242" s="219"/>
      <c r="QWO242" s="219"/>
      <c r="QWP242" s="219"/>
      <c r="QWQ242" s="219"/>
      <c r="QWR242" s="219"/>
      <c r="QWS242" s="219"/>
      <c r="QWT242" s="219"/>
      <c r="QWU242" s="219"/>
      <c r="QWV242" s="219"/>
      <c r="QWW242" s="219"/>
      <c r="QWX242" s="219"/>
      <c r="QWY242" s="219"/>
      <c r="QWZ242" s="219"/>
      <c r="QXA242" s="219"/>
      <c r="QXB242" s="219"/>
      <c r="QXC242" s="219"/>
      <c r="QXD242" s="219"/>
      <c r="QXE242" s="219"/>
      <c r="QXF242" s="219"/>
      <c r="QXG242" s="219"/>
      <c r="QXH242" s="219"/>
      <c r="QXI242" s="219"/>
      <c r="QXJ242" s="219"/>
      <c r="QXK242" s="219"/>
      <c r="QXL242" s="219"/>
      <c r="QXM242" s="219"/>
      <c r="QXN242" s="219"/>
      <c r="QXO242" s="219"/>
      <c r="QXP242" s="219"/>
      <c r="QXQ242" s="219"/>
      <c r="QXR242" s="219"/>
      <c r="QXS242" s="219"/>
      <c r="QXT242" s="219"/>
      <c r="QXU242" s="219"/>
      <c r="QXV242" s="219"/>
      <c r="QXW242" s="219"/>
      <c r="QXX242" s="219"/>
      <c r="QXY242" s="219"/>
      <c r="QXZ242" s="219"/>
      <c r="QYA242" s="219"/>
      <c r="QYB242" s="219"/>
      <c r="QYC242" s="219"/>
      <c r="QYD242" s="219"/>
      <c r="QYE242" s="219"/>
      <c r="QYF242" s="219"/>
      <c r="QYG242" s="219"/>
      <c r="QYH242" s="219"/>
      <c r="QYI242" s="219"/>
      <c r="QYJ242" s="219"/>
      <c r="QYK242" s="219"/>
      <c r="QYL242" s="219"/>
      <c r="QYM242" s="219"/>
      <c r="QYN242" s="219"/>
      <c r="QYO242" s="219"/>
      <c r="QYP242" s="219"/>
      <c r="QYQ242" s="219"/>
      <c r="QYR242" s="219"/>
      <c r="QYS242" s="219"/>
      <c r="QYT242" s="219"/>
      <c r="QYU242" s="219"/>
      <c r="QYV242" s="219"/>
      <c r="QYW242" s="219"/>
      <c r="QYX242" s="219"/>
      <c r="QYY242" s="219"/>
      <c r="QYZ242" s="219"/>
      <c r="QZA242" s="219"/>
      <c r="QZB242" s="219"/>
      <c r="QZC242" s="219"/>
      <c r="QZD242" s="219"/>
      <c r="QZE242" s="219"/>
      <c r="QZF242" s="219"/>
      <c r="QZG242" s="219"/>
      <c r="QZH242" s="219"/>
      <c r="QZI242" s="219"/>
      <c r="QZJ242" s="219"/>
      <c r="QZK242" s="219"/>
      <c r="QZL242" s="219"/>
      <c r="QZM242" s="219"/>
      <c r="QZN242" s="219"/>
      <c r="QZO242" s="219"/>
      <c r="QZP242" s="219"/>
      <c r="QZQ242" s="219"/>
      <c r="QZR242" s="219"/>
      <c r="QZS242" s="219"/>
      <c r="QZT242" s="219"/>
      <c r="QZU242" s="219"/>
      <c r="QZV242" s="219"/>
      <c r="QZW242" s="219"/>
      <c r="QZX242" s="219"/>
      <c r="QZY242" s="219"/>
      <c r="QZZ242" s="219"/>
      <c r="RAA242" s="219"/>
      <c r="RAB242" s="219"/>
      <c r="RAC242" s="219"/>
      <c r="RAD242" s="219"/>
      <c r="RAE242" s="219"/>
      <c r="RAF242" s="219"/>
      <c r="RAG242" s="219"/>
      <c r="RAH242" s="219"/>
      <c r="RAI242" s="219"/>
      <c r="RAJ242" s="219"/>
      <c r="RAK242" s="219"/>
      <c r="RAL242" s="219"/>
      <c r="RAM242" s="219"/>
      <c r="RAN242" s="219"/>
      <c r="RAO242" s="219"/>
      <c r="RAP242" s="219"/>
      <c r="RAQ242" s="219"/>
      <c r="RAR242" s="219"/>
      <c r="RAS242" s="219"/>
      <c r="RAT242" s="219"/>
      <c r="RAU242" s="219"/>
      <c r="RAV242" s="219"/>
      <c r="RAW242" s="219"/>
      <c r="RAX242" s="219"/>
      <c r="RAY242" s="219"/>
      <c r="RAZ242" s="219"/>
      <c r="RBA242" s="219"/>
      <c r="RBB242" s="219"/>
      <c r="RBC242" s="219"/>
      <c r="RBD242" s="219"/>
      <c r="RBE242" s="219"/>
      <c r="RBF242" s="219"/>
      <c r="RBG242" s="219"/>
      <c r="RBH242" s="219"/>
      <c r="RBI242" s="219"/>
      <c r="RBJ242" s="219"/>
      <c r="RBK242" s="219"/>
      <c r="RBL242" s="219"/>
      <c r="RBM242" s="219"/>
      <c r="RBN242" s="219"/>
      <c r="RBO242" s="219"/>
      <c r="RBP242" s="219"/>
      <c r="RBQ242" s="219"/>
      <c r="RBR242" s="219"/>
      <c r="RBS242" s="219"/>
      <c r="RBT242" s="219"/>
      <c r="RBU242" s="219"/>
      <c r="RBV242" s="219"/>
      <c r="RBW242" s="219"/>
      <c r="RBX242" s="219"/>
      <c r="RBY242" s="219"/>
      <c r="RBZ242" s="219"/>
      <c r="RCA242" s="219"/>
      <c r="RCB242" s="219"/>
      <c r="RCC242" s="219"/>
      <c r="RCD242" s="219"/>
      <c r="RCE242" s="219"/>
      <c r="RCF242" s="219"/>
      <c r="RCG242" s="219"/>
      <c r="RCH242" s="219"/>
      <c r="RCI242" s="219"/>
      <c r="RCJ242" s="219"/>
      <c r="RCK242" s="219"/>
      <c r="RCL242" s="219"/>
      <c r="RCM242" s="219"/>
      <c r="RCN242" s="219"/>
      <c r="RCO242" s="219"/>
      <c r="RCP242" s="219"/>
      <c r="RCQ242" s="219"/>
      <c r="RCR242" s="219"/>
      <c r="RCS242" s="219"/>
      <c r="RCT242" s="219"/>
      <c r="RCU242" s="219"/>
      <c r="RCV242" s="219"/>
      <c r="RCW242" s="219"/>
      <c r="RCX242" s="219"/>
      <c r="RCY242" s="219"/>
      <c r="RCZ242" s="219"/>
      <c r="RDA242" s="219"/>
      <c r="RDB242" s="219"/>
      <c r="RDC242" s="219"/>
      <c r="RDD242" s="219"/>
      <c r="RDE242" s="219"/>
      <c r="RDF242" s="219"/>
      <c r="RDG242" s="219"/>
      <c r="RDH242" s="219"/>
      <c r="RDI242" s="219"/>
      <c r="RDJ242" s="219"/>
      <c r="RDK242" s="219"/>
      <c r="RDL242" s="219"/>
      <c r="RDM242" s="219"/>
      <c r="RDN242" s="219"/>
      <c r="RDO242" s="219"/>
      <c r="RDP242" s="219"/>
      <c r="RDQ242" s="219"/>
      <c r="RDR242" s="219"/>
      <c r="RDS242" s="219"/>
      <c r="RDT242" s="219"/>
      <c r="RDU242" s="219"/>
      <c r="RDV242" s="219"/>
      <c r="RDW242" s="219"/>
      <c r="RDX242" s="219"/>
      <c r="RDY242" s="219"/>
      <c r="RDZ242" s="219"/>
      <c r="REA242" s="219"/>
      <c r="REB242" s="219"/>
      <c r="REC242" s="219"/>
      <c r="RED242" s="219"/>
      <c r="REE242" s="219"/>
      <c r="REF242" s="219"/>
      <c r="REG242" s="219"/>
      <c r="REH242" s="219"/>
      <c r="REI242" s="219"/>
      <c r="REJ242" s="219"/>
      <c r="REK242" s="219"/>
      <c r="REL242" s="219"/>
      <c r="REM242" s="219"/>
      <c r="REN242" s="219"/>
      <c r="REO242" s="219"/>
      <c r="REP242" s="219"/>
      <c r="REQ242" s="219"/>
      <c r="RER242" s="219"/>
      <c r="RES242" s="219"/>
      <c r="RET242" s="219"/>
      <c r="REU242" s="219"/>
      <c r="REV242" s="219"/>
      <c r="REW242" s="219"/>
      <c r="REX242" s="219"/>
      <c r="REY242" s="219"/>
      <c r="REZ242" s="219"/>
      <c r="RFA242" s="219"/>
      <c r="RFB242" s="219"/>
      <c r="RFC242" s="219"/>
      <c r="RFD242" s="219"/>
      <c r="RFE242" s="219"/>
      <c r="RFF242" s="219"/>
      <c r="RFG242" s="219"/>
      <c r="RFH242" s="219"/>
      <c r="RFI242" s="219"/>
      <c r="RFJ242" s="219"/>
      <c r="RFK242" s="219"/>
      <c r="RFL242" s="219"/>
      <c r="RFM242" s="219"/>
      <c r="RFN242" s="219"/>
      <c r="RFO242" s="219"/>
      <c r="RFP242" s="219"/>
      <c r="RFQ242" s="219"/>
      <c r="RFR242" s="219"/>
      <c r="RFS242" s="219"/>
      <c r="RFT242" s="219"/>
      <c r="RFU242" s="219"/>
      <c r="RFV242" s="219"/>
      <c r="RFW242" s="219"/>
      <c r="RFX242" s="219"/>
      <c r="RFY242" s="219"/>
      <c r="RFZ242" s="219"/>
      <c r="RGA242" s="219"/>
      <c r="RGB242" s="219"/>
      <c r="RGC242" s="219"/>
      <c r="RGD242" s="219"/>
      <c r="RGE242" s="219"/>
      <c r="RGF242" s="219"/>
      <c r="RGG242" s="219"/>
      <c r="RGH242" s="219"/>
      <c r="RGI242" s="219"/>
      <c r="RGJ242" s="219"/>
      <c r="RGK242" s="219"/>
      <c r="RGL242" s="219"/>
      <c r="RGM242" s="219"/>
      <c r="RGN242" s="219"/>
      <c r="RGO242" s="219"/>
      <c r="RGP242" s="219"/>
      <c r="RGQ242" s="219"/>
      <c r="RGR242" s="219"/>
      <c r="RGS242" s="219"/>
      <c r="RGT242" s="219"/>
      <c r="RGU242" s="219"/>
      <c r="RGV242" s="219"/>
      <c r="RGW242" s="219"/>
      <c r="RGX242" s="219"/>
      <c r="RGY242" s="219"/>
      <c r="RGZ242" s="219"/>
      <c r="RHA242" s="219"/>
      <c r="RHB242" s="219"/>
      <c r="RHC242" s="219"/>
      <c r="RHD242" s="219"/>
      <c r="RHE242" s="219"/>
      <c r="RHF242" s="219"/>
      <c r="RHG242" s="219"/>
      <c r="RHH242" s="219"/>
      <c r="RHI242" s="219"/>
      <c r="RHJ242" s="219"/>
      <c r="RHK242" s="219"/>
      <c r="RHL242" s="219"/>
      <c r="RHM242" s="219"/>
      <c r="RHN242" s="219"/>
      <c r="RHO242" s="219"/>
      <c r="RHP242" s="219"/>
      <c r="RHQ242" s="219"/>
      <c r="RHR242" s="219"/>
      <c r="RHS242" s="219"/>
      <c r="RHT242" s="219"/>
      <c r="RHU242" s="219"/>
      <c r="RHV242" s="219"/>
      <c r="RHW242" s="219"/>
      <c r="RHX242" s="219"/>
      <c r="RHY242" s="219"/>
      <c r="RHZ242" s="219"/>
      <c r="RIA242" s="219"/>
      <c r="RIB242" s="219"/>
      <c r="RIC242" s="219"/>
      <c r="RID242" s="219"/>
      <c r="RIE242" s="219"/>
      <c r="RIF242" s="219"/>
      <c r="RIG242" s="219"/>
      <c r="RIH242" s="219"/>
      <c r="RII242" s="219"/>
      <c r="RIJ242" s="219"/>
      <c r="RIK242" s="219"/>
      <c r="RIL242" s="219"/>
      <c r="RIM242" s="219"/>
      <c r="RIN242" s="219"/>
      <c r="RIO242" s="219"/>
      <c r="RIP242" s="219"/>
      <c r="RIQ242" s="219"/>
      <c r="RIR242" s="219"/>
      <c r="RIS242" s="219"/>
      <c r="RIT242" s="219"/>
      <c r="RIU242" s="219"/>
      <c r="RIV242" s="219"/>
      <c r="RIW242" s="219"/>
      <c r="RIX242" s="219"/>
      <c r="RIY242" s="219"/>
      <c r="RIZ242" s="219"/>
      <c r="RJA242" s="219"/>
      <c r="RJB242" s="219"/>
      <c r="RJC242" s="219"/>
      <c r="RJD242" s="219"/>
      <c r="RJE242" s="219"/>
      <c r="RJF242" s="219"/>
      <c r="RJG242" s="219"/>
      <c r="RJH242" s="219"/>
      <c r="RJI242" s="219"/>
      <c r="RJJ242" s="219"/>
      <c r="RJK242" s="219"/>
      <c r="RJL242" s="219"/>
      <c r="RJM242" s="219"/>
      <c r="RJN242" s="219"/>
      <c r="RJO242" s="219"/>
      <c r="RJP242" s="219"/>
      <c r="RJQ242" s="219"/>
      <c r="RJR242" s="219"/>
      <c r="RJS242" s="219"/>
      <c r="RJT242" s="219"/>
      <c r="RJU242" s="219"/>
      <c r="RJV242" s="219"/>
      <c r="RJW242" s="219"/>
      <c r="RJX242" s="219"/>
      <c r="RJY242" s="219"/>
      <c r="RJZ242" s="219"/>
      <c r="RKA242" s="219"/>
      <c r="RKB242" s="219"/>
      <c r="RKC242" s="219"/>
      <c r="RKD242" s="219"/>
      <c r="RKE242" s="219"/>
      <c r="RKF242" s="219"/>
      <c r="RKG242" s="219"/>
      <c r="RKH242" s="219"/>
      <c r="RKI242" s="219"/>
      <c r="RKJ242" s="219"/>
      <c r="RKK242" s="219"/>
      <c r="RKL242" s="219"/>
      <c r="RKM242" s="219"/>
      <c r="RKN242" s="219"/>
      <c r="RKO242" s="219"/>
      <c r="RKP242" s="219"/>
      <c r="RKQ242" s="219"/>
      <c r="RKR242" s="219"/>
      <c r="RKS242" s="219"/>
      <c r="RKT242" s="219"/>
      <c r="RKU242" s="219"/>
      <c r="RKV242" s="219"/>
      <c r="RKW242" s="219"/>
      <c r="RKX242" s="219"/>
      <c r="RKY242" s="219"/>
      <c r="RKZ242" s="219"/>
      <c r="RLA242" s="219"/>
      <c r="RLB242" s="219"/>
      <c r="RLC242" s="219"/>
      <c r="RLD242" s="219"/>
      <c r="RLE242" s="219"/>
      <c r="RLF242" s="219"/>
      <c r="RLG242" s="219"/>
      <c r="RLH242" s="219"/>
      <c r="RLI242" s="219"/>
      <c r="RLJ242" s="219"/>
      <c r="RLK242" s="219"/>
      <c r="RLL242" s="219"/>
      <c r="RLM242" s="219"/>
      <c r="RLN242" s="219"/>
      <c r="RLO242" s="219"/>
      <c r="RLP242" s="219"/>
      <c r="RLQ242" s="219"/>
      <c r="RLR242" s="219"/>
      <c r="RLS242" s="219"/>
      <c r="RLT242" s="219"/>
      <c r="RLU242" s="219"/>
      <c r="RLV242" s="219"/>
      <c r="RLW242" s="219"/>
      <c r="RLX242" s="219"/>
      <c r="RLY242" s="219"/>
      <c r="RLZ242" s="219"/>
      <c r="RMA242" s="219"/>
      <c r="RMB242" s="219"/>
      <c r="RMC242" s="219"/>
      <c r="RMD242" s="219"/>
      <c r="RME242" s="219"/>
      <c r="RMF242" s="219"/>
      <c r="RMG242" s="219"/>
      <c r="RMH242" s="219"/>
      <c r="RMI242" s="219"/>
      <c r="RMJ242" s="219"/>
      <c r="RMK242" s="219"/>
      <c r="RML242" s="219"/>
      <c r="RMM242" s="219"/>
      <c r="RMN242" s="219"/>
      <c r="RMO242" s="219"/>
      <c r="RMP242" s="219"/>
      <c r="RMQ242" s="219"/>
      <c r="RMR242" s="219"/>
      <c r="RMS242" s="219"/>
      <c r="RMT242" s="219"/>
      <c r="RMU242" s="219"/>
      <c r="RMV242" s="219"/>
      <c r="RMW242" s="219"/>
      <c r="RMX242" s="219"/>
      <c r="RMY242" s="219"/>
      <c r="RMZ242" s="219"/>
      <c r="RNA242" s="219"/>
      <c r="RNB242" s="219"/>
      <c r="RNC242" s="219"/>
      <c r="RND242" s="219"/>
      <c r="RNE242" s="219"/>
      <c r="RNF242" s="219"/>
      <c r="RNG242" s="219"/>
      <c r="RNH242" s="219"/>
      <c r="RNI242" s="219"/>
      <c r="RNJ242" s="219"/>
      <c r="RNK242" s="219"/>
      <c r="RNL242" s="219"/>
      <c r="RNM242" s="219"/>
      <c r="RNN242" s="219"/>
      <c r="RNO242" s="219"/>
      <c r="RNP242" s="219"/>
      <c r="RNQ242" s="219"/>
      <c r="RNR242" s="219"/>
      <c r="RNS242" s="219"/>
      <c r="RNT242" s="219"/>
      <c r="RNU242" s="219"/>
      <c r="RNV242" s="219"/>
      <c r="RNW242" s="219"/>
      <c r="RNX242" s="219"/>
      <c r="RNY242" s="219"/>
      <c r="RNZ242" s="219"/>
      <c r="ROA242" s="219"/>
      <c r="ROB242" s="219"/>
      <c r="ROC242" s="219"/>
      <c r="ROD242" s="219"/>
      <c r="ROE242" s="219"/>
      <c r="ROF242" s="219"/>
      <c r="ROG242" s="219"/>
      <c r="ROH242" s="219"/>
      <c r="ROI242" s="219"/>
      <c r="ROJ242" s="219"/>
      <c r="ROK242" s="219"/>
      <c r="ROL242" s="219"/>
      <c r="ROM242" s="219"/>
      <c r="RON242" s="219"/>
      <c r="ROO242" s="219"/>
      <c r="ROP242" s="219"/>
      <c r="ROQ242" s="219"/>
      <c r="ROR242" s="219"/>
      <c r="ROS242" s="219"/>
      <c r="ROT242" s="219"/>
      <c r="ROU242" s="219"/>
      <c r="ROV242" s="219"/>
      <c r="ROW242" s="219"/>
      <c r="ROX242" s="219"/>
      <c r="ROY242" s="219"/>
      <c r="ROZ242" s="219"/>
      <c r="RPA242" s="219"/>
      <c r="RPB242" s="219"/>
      <c r="RPC242" s="219"/>
      <c r="RPD242" s="219"/>
      <c r="RPE242" s="219"/>
      <c r="RPF242" s="219"/>
      <c r="RPG242" s="219"/>
      <c r="RPH242" s="219"/>
      <c r="RPI242" s="219"/>
      <c r="RPJ242" s="219"/>
      <c r="RPK242" s="219"/>
      <c r="RPL242" s="219"/>
      <c r="RPM242" s="219"/>
      <c r="RPN242" s="219"/>
      <c r="RPO242" s="219"/>
      <c r="RPP242" s="219"/>
      <c r="RPQ242" s="219"/>
      <c r="RPR242" s="219"/>
      <c r="RPS242" s="219"/>
      <c r="RPT242" s="219"/>
      <c r="RPU242" s="219"/>
      <c r="RPV242" s="219"/>
      <c r="RPW242" s="219"/>
      <c r="RPX242" s="219"/>
      <c r="RPY242" s="219"/>
      <c r="RPZ242" s="219"/>
      <c r="RQA242" s="219"/>
      <c r="RQB242" s="219"/>
      <c r="RQC242" s="219"/>
      <c r="RQD242" s="219"/>
      <c r="RQE242" s="219"/>
      <c r="RQF242" s="219"/>
      <c r="RQG242" s="219"/>
      <c r="RQH242" s="219"/>
      <c r="RQI242" s="219"/>
      <c r="RQJ242" s="219"/>
      <c r="RQK242" s="219"/>
      <c r="RQL242" s="219"/>
      <c r="RQM242" s="219"/>
      <c r="RQN242" s="219"/>
      <c r="RQO242" s="219"/>
      <c r="RQP242" s="219"/>
      <c r="RQQ242" s="219"/>
      <c r="RQR242" s="219"/>
      <c r="RQS242" s="219"/>
      <c r="RQT242" s="219"/>
      <c r="RQU242" s="219"/>
      <c r="RQV242" s="219"/>
      <c r="RQW242" s="219"/>
      <c r="RQX242" s="219"/>
      <c r="RQY242" s="219"/>
      <c r="RQZ242" s="219"/>
      <c r="RRA242" s="219"/>
      <c r="RRB242" s="219"/>
      <c r="RRC242" s="219"/>
      <c r="RRD242" s="219"/>
      <c r="RRE242" s="219"/>
      <c r="RRF242" s="219"/>
      <c r="RRG242" s="219"/>
      <c r="RRH242" s="219"/>
      <c r="RRI242" s="219"/>
      <c r="RRJ242" s="219"/>
      <c r="RRK242" s="219"/>
      <c r="RRL242" s="219"/>
      <c r="RRM242" s="219"/>
      <c r="RRN242" s="219"/>
      <c r="RRO242" s="219"/>
      <c r="RRP242" s="219"/>
      <c r="RRQ242" s="219"/>
      <c r="RRR242" s="219"/>
      <c r="RRS242" s="219"/>
      <c r="RRT242" s="219"/>
      <c r="RRU242" s="219"/>
      <c r="RRV242" s="219"/>
      <c r="RRW242" s="219"/>
      <c r="RRX242" s="219"/>
      <c r="RRY242" s="219"/>
      <c r="RRZ242" s="219"/>
      <c r="RSA242" s="219"/>
      <c r="RSB242" s="219"/>
      <c r="RSC242" s="219"/>
      <c r="RSD242" s="219"/>
      <c r="RSE242" s="219"/>
      <c r="RSF242" s="219"/>
      <c r="RSG242" s="219"/>
      <c r="RSH242" s="219"/>
      <c r="RSI242" s="219"/>
      <c r="RSJ242" s="219"/>
      <c r="RSK242" s="219"/>
      <c r="RSL242" s="219"/>
      <c r="RSM242" s="219"/>
      <c r="RSN242" s="219"/>
      <c r="RSO242" s="219"/>
      <c r="RSP242" s="219"/>
      <c r="RSQ242" s="219"/>
      <c r="RSR242" s="219"/>
      <c r="RSS242" s="219"/>
      <c r="RST242" s="219"/>
      <c r="RSU242" s="219"/>
      <c r="RSV242" s="219"/>
      <c r="RSW242" s="219"/>
      <c r="RSX242" s="219"/>
      <c r="RSY242" s="219"/>
      <c r="RSZ242" s="219"/>
      <c r="RTA242" s="219"/>
      <c r="RTB242" s="219"/>
      <c r="RTC242" s="219"/>
      <c r="RTD242" s="219"/>
      <c r="RTE242" s="219"/>
      <c r="RTF242" s="219"/>
      <c r="RTG242" s="219"/>
      <c r="RTH242" s="219"/>
      <c r="RTI242" s="219"/>
      <c r="RTJ242" s="219"/>
      <c r="RTK242" s="219"/>
      <c r="RTL242" s="219"/>
      <c r="RTM242" s="219"/>
      <c r="RTN242" s="219"/>
      <c r="RTO242" s="219"/>
      <c r="RTP242" s="219"/>
      <c r="RTQ242" s="219"/>
      <c r="RTR242" s="219"/>
      <c r="RTS242" s="219"/>
      <c r="RTT242" s="219"/>
      <c r="RTU242" s="219"/>
      <c r="RTV242" s="219"/>
      <c r="RTW242" s="219"/>
      <c r="RTX242" s="219"/>
      <c r="RTY242" s="219"/>
      <c r="RTZ242" s="219"/>
      <c r="RUA242" s="219"/>
      <c r="RUB242" s="219"/>
      <c r="RUC242" s="219"/>
      <c r="RUD242" s="219"/>
      <c r="RUE242" s="219"/>
      <c r="RUF242" s="219"/>
      <c r="RUG242" s="219"/>
      <c r="RUH242" s="219"/>
      <c r="RUI242" s="219"/>
      <c r="RUJ242" s="219"/>
      <c r="RUK242" s="219"/>
      <c r="RUL242" s="219"/>
      <c r="RUM242" s="219"/>
      <c r="RUN242" s="219"/>
      <c r="RUO242" s="219"/>
      <c r="RUP242" s="219"/>
      <c r="RUQ242" s="219"/>
      <c r="RUR242" s="219"/>
      <c r="RUS242" s="219"/>
      <c r="RUT242" s="219"/>
      <c r="RUU242" s="219"/>
      <c r="RUV242" s="219"/>
      <c r="RUW242" s="219"/>
      <c r="RUX242" s="219"/>
      <c r="RUY242" s="219"/>
      <c r="RUZ242" s="219"/>
      <c r="RVA242" s="219"/>
      <c r="RVB242" s="219"/>
      <c r="RVC242" s="219"/>
      <c r="RVD242" s="219"/>
      <c r="RVE242" s="219"/>
      <c r="RVF242" s="219"/>
      <c r="RVG242" s="219"/>
      <c r="RVH242" s="219"/>
      <c r="RVI242" s="219"/>
      <c r="RVJ242" s="219"/>
      <c r="RVK242" s="219"/>
      <c r="RVL242" s="219"/>
      <c r="RVM242" s="219"/>
      <c r="RVN242" s="219"/>
      <c r="RVO242" s="219"/>
      <c r="RVP242" s="219"/>
      <c r="RVQ242" s="219"/>
      <c r="RVR242" s="219"/>
      <c r="RVS242" s="219"/>
      <c r="RVT242" s="219"/>
      <c r="RVU242" s="219"/>
      <c r="RVV242" s="219"/>
      <c r="RVW242" s="219"/>
      <c r="RVX242" s="219"/>
      <c r="RVY242" s="219"/>
      <c r="RVZ242" s="219"/>
      <c r="RWA242" s="219"/>
      <c r="RWB242" s="219"/>
      <c r="RWC242" s="219"/>
      <c r="RWD242" s="219"/>
      <c r="RWE242" s="219"/>
      <c r="RWF242" s="219"/>
      <c r="RWG242" s="219"/>
      <c r="RWH242" s="219"/>
      <c r="RWI242" s="219"/>
      <c r="RWJ242" s="219"/>
      <c r="RWK242" s="219"/>
      <c r="RWL242" s="219"/>
      <c r="RWM242" s="219"/>
      <c r="RWN242" s="219"/>
      <c r="RWO242" s="219"/>
      <c r="RWP242" s="219"/>
      <c r="RWQ242" s="219"/>
      <c r="RWR242" s="219"/>
      <c r="RWS242" s="219"/>
      <c r="RWT242" s="219"/>
      <c r="RWU242" s="219"/>
      <c r="RWV242" s="219"/>
      <c r="RWW242" s="219"/>
      <c r="RWX242" s="219"/>
      <c r="RWY242" s="219"/>
      <c r="RWZ242" s="219"/>
      <c r="RXA242" s="219"/>
      <c r="RXB242" s="219"/>
      <c r="RXC242" s="219"/>
      <c r="RXD242" s="219"/>
      <c r="RXE242" s="219"/>
      <c r="RXF242" s="219"/>
      <c r="RXG242" s="219"/>
      <c r="RXH242" s="219"/>
      <c r="RXI242" s="219"/>
      <c r="RXJ242" s="219"/>
      <c r="RXK242" s="219"/>
      <c r="RXL242" s="219"/>
      <c r="RXM242" s="219"/>
      <c r="RXN242" s="219"/>
      <c r="RXO242" s="219"/>
      <c r="RXP242" s="219"/>
      <c r="RXQ242" s="219"/>
      <c r="RXR242" s="219"/>
      <c r="RXS242" s="219"/>
      <c r="RXT242" s="219"/>
      <c r="RXU242" s="219"/>
      <c r="RXV242" s="219"/>
      <c r="RXW242" s="219"/>
      <c r="RXX242" s="219"/>
      <c r="RXY242" s="219"/>
      <c r="RXZ242" s="219"/>
      <c r="RYA242" s="219"/>
      <c r="RYB242" s="219"/>
      <c r="RYC242" s="219"/>
      <c r="RYD242" s="219"/>
      <c r="RYE242" s="219"/>
      <c r="RYF242" s="219"/>
      <c r="RYG242" s="219"/>
      <c r="RYH242" s="219"/>
      <c r="RYI242" s="219"/>
      <c r="RYJ242" s="219"/>
      <c r="RYK242" s="219"/>
      <c r="RYL242" s="219"/>
      <c r="RYM242" s="219"/>
      <c r="RYN242" s="219"/>
      <c r="RYO242" s="219"/>
      <c r="RYP242" s="219"/>
      <c r="RYQ242" s="219"/>
      <c r="RYR242" s="219"/>
      <c r="RYS242" s="219"/>
      <c r="RYT242" s="219"/>
      <c r="RYU242" s="219"/>
      <c r="RYV242" s="219"/>
      <c r="RYW242" s="219"/>
      <c r="RYX242" s="219"/>
      <c r="RYY242" s="219"/>
      <c r="RYZ242" s="219"/>
      <c r="RZA242" s="219"/>
      <c r="RZB242" s="219"/>
      <c r="RZC242" s="219"/>
      <c r="RZD242" s="219"/>
      <c r="RZE242" s="219"/>
      <c r="RZF242" s="219"/>
      <c r="RZG242" s="219"/>
      <c r="RZH242" s="219"/>
      <c r="RZI242" s="219"/>
      <c r="RZJ242" s="219"/>
      <c r="RZK242" s="219"/>
      <c r="RZL242" s="219"/>
      <c r="RZM242" s="219"/>
      <c r="RZN242" s="219"/>
      <c r="RZO242" s="219"/>
      <c r="RZP242" s="219"/>
      <c r="RZQ242" s="219"/>
      <c r="RZR242" s="219"/>
      <c r="RZS242" s="219"/>
      <c r="RZT242" s="219"/>
      <c r="RZU242" s="219"/>
      <c r="RZV242" s="219"/>
      <c r="RZW242" s="219"/>
      <c r="RZX242" s="219"/>
      <c r="RZY242" s="219"/>
      <c r="RZZ242" s="219"/>
      <c r="SAA242" s="219"/>
      <c r="SAB242" s="219"/>
      <c r="SAC242" s="219"/>
      <c r="SAD242" s="219"/>
      <c r="SAE242" s="219"/>
      <c r="SAF242" s="219"/>
      <c r="SAG242" s="219"/>
      <c r="SAH242" s="219"/>
      <c r="SAI242" s="219"/>
      <c r="SAJ242" s="219"/>
      <c r="SAK242" s="219"/>
      <c r="SAL242" s="219"/>
      <c r="SAM242" s="219"/>
      <c r="SAN242" s="219"/>
      <c r="SAO242" s="219"/>
      <c r="SAP242" s="219"/>
      <c r="SAQ242" s="219"/>
      <c r="SAR242" s="219"/>
      <c r="SAS242" s="219"/>
      <c r="SAT242" s="219"/>
      <c r="SAU242" s="219"/>
      <c r="SAV242" s="219"/>
      <c r="SAW242" s="219"/>
      <c r="SAX242" s="219"/>
      <c r="SAY242" s="219"/>
      <c r="SAZ242" s="219"/>
      <c r="SBA242" s="219"/>
      <c r="SBB242" s="219"/>
      <c r="SBC242" s="219"/>
      <c r="SBD242" s="219"/>
      <c r="SBE242" s="219"/>
      <c r="SBF242" s="219"/>
      <c r="SBG242" s="219"/>
      <c r="SBH242" s="219"/>
      <c r="SBI242" s="219"/>
      <c r="SBJ242" s="219"/>
      <c r="SBK242" s="219"/>
      <c r="SBL242" s="219"/>
      <c r="SBM242" s="219"/>
      <c r="SBN242" s="219"/>
      <c r="SBO242" s="219"/>
      <c r="SBP242" s="219"/>
      <c r="SBQ242" s="219"/>
      <c r="SBR242" s="219"/>
      <c r="SBS242" s="219"/>
      <c r="SBT242" s="219"/>
      <c r="SBU242" s="219"/>
      <c r="SBV242" s="219"/>
      <c r="SBW242" s="219"/>
      <c r="SBX242" s="219"/>
      <c r="SBY242" s="219"/>
      <c r="SBZ242" s="219"/>
      <c r="SCA242" s="219"/>
      <c r="SCB242" s="219"/>
      <c r="SCC242" s="219"/>
      <c r="SCD242" s="219"/>
      <c r="SCE242" s="219"/>
      <c r="SCF242" s="219"/>
      <c r="SCG242" s="219"/>
      <c r="SCH242" s="219"/>
      <c r="SCI242" s="219"/>
      <c r="SCJ242" s="219"/>
      <c r="SCK242" s="219"/>
      <c r="SCL242" s="219"/>
      <c r="SCM242" s="219"/>
      <c r="SCN242" s="219"/>
      <c r="SCO242" s="219"/>
      <c r="SCP242" s="219"/>
      <c r="SCQ242" s="219"/>
      <c r="SCR242" s="219"/>
      <c r="SCS242" s="219"/>
      <c r="SCT242" s="219"/>
      <c r="SCU242" s="219"/>
      <c r="SCV242" s="219"/>
      <c r="SCW242" s="219"/>
      <c r="SCX242" s="219"/>
      <c r="SCY242" s="219"/>
      <c r="SCZ242" s="219"/>
      <c r="SDA242" s="219"/>
      <c r="SDB242" s="219"/>
      <c r="SDC242" s="219"/>
      <c r="SDD242" s="219"/>
      <c r="SDE242" s="219"/>
      <c r="SDF242" s="219"/>
      <c r="SDG242" s="219"/>
      <c r="SDH242" s="219"/>
      <c r="SDI242" s="219"/>
      <c r="SDJ242" s="219"/>
      <c r="SDK242" s="219"/>
      <c r="SDL242" s="219"/>
      <c r="SDM242" s="219"/>
      <c r="SDN242" s="219"/>
      <c r="SDO242" s="219"/>
      <c r="SDP242" s="219"/>
      <c r="SDQ242" s="219"/>
      <c r="SDR242" s="219"/>
      <c r="SDS242" s="219"/>
      <c r="SDT242" s="219"/>
      <c r="SDU242" s="219"/>
      <c r="SDV242" s="219"/>
      <c r="SDW242" s="219"/>
      <c r="SDX242" s="219"/>
      <c r="SDY242" s="219"/>
      <c r="SDZ242" s="219"/>
      <c r="SEA242" s="219"/>
      <c r="SEB242" s="219"/>
      <c r="SEC242" s="219"/>
      <c r="SED242" s="219"/>
      <c r="SEE242" s="219"/>
      <c r="SEF242" s="219"/>
      <c r="SEG242" s="219"/>
      <c r="SEH242" s="219"/>
      <c r="SEI242" s="219"/>
      <c r="SEJ242" s="219"/>
      <c r="SEK242" s="219"/>
      <c r="SEL242" s="219"/>
      <c r="SEM242" s="219"/>
      <c r="SEN242" s="219"/>
      <c r="SEO242" s="219"/>
      <c r="SEP242" s="219"/>
      <c r="SEQ242" s="219"/>
      <c r="SER242" s="219"/>
      <c r="SES242" s="219"/>
      <c r="SET242" s="219"/>
      <c r="SEU242" s="219"/>
      <c r="SEV242" s="219"/>
      <c r="SEW242" s="219"/>
      <c r="SEX242" s="219"/>
      <c r="SEY242" s="219"/>
      <c r="SEZ242" s="219"/>
      <c r="SFA242" s="219"/>
      <c r="SFB242" s="219"/>
      <c r="SFC242" s="219"/>
      <c r="SFD242" s="219"/>
      <c r="SFE242" s="219"/>
      <c r="SFF242" s="219"/>
      <c r="SFG242" s="219"/>
      <c r="SFH242" s="219"/>
      <c r="SFI242" s="219"/>
      <c r="SFJ242" s="219"/>
      <c r="SFK242" s="219"/>
      <c r="SFL242" s="219"/>
      <c r="SFM242" s="219"/>
      <c r="SFN242" s="219"/>
      <c r="SFO242" s="219"/>
      <c r="SFP242" s="219"/>
      <c r="SFQ242" s="219"/>
      <c r="SFR242" s="219"/>
      <c r="SFS242" s="219"/>
      <c r="SFT242" s="219"/>
      <c r="SFU242" s="219"/>
      <c r="SFV242" s="219"/>
      <c r="SFW242" s="219"/>
      <c r="SFX242" s="219"/>
      <c r="SFY242" s="219"/>
      <c r="SFZ242" s="219"/>
      <c r="SGA242" s="219"/>
      <c r="SGB242" s="219"/>
      <c r="SGC242" s="219"/>
      <c r="SGD242" s="219"/>
      <c r="SGE242" s="219"/>
      <c r="SGF242" s="219"/>
      <c r="SGG242" s="219"/>
      <c r="SGH242" s="219"/>
      <c r="SGI242" s="219"/>
      <c r="SGJ242" s="219"/>
      <c r="SGK242" s="219"/>
      <c r="SGL242" s="219"/>
      <c r="SGM242" s="219"/>
      <c r="SGN242" s="219"/>
      <c r="SGO242" s="219"/>
      <c r="SGP242" s="219"/>
      <c r="SGQ242" s="219"/>
      <c r="SGR242" s="219"/>
      <c r="SGS242" s="219"/>
      <c r="SGT242" s="219"/>
      <c r="SGU242" s="219"/>
      <c r="SGV242" s="219"/>
      <c r="SGW242" s="219"/>
      <c r="SGX242" s="219"/>
      <c r="SGY242" s="219"/>
      <c r="SGZ242" s="219"/>
      <c r="SHA242" s="219"/>
      <c r="SHB242" s="219"/>
      <c r="SHC242" s="219"/>
      <c r="SHD242" s="219"/>
      <c r="SHE242" s="219"/>
      <c r="SHF242" s="219"/>
      <c r="SHG242" s="219"/>
      <c r="SHH242" s="219"/>
      <c r="SHI242" s="219"/>
      <c r="SHJ242" s="219"/>
      <c r="SHK242" s="219"/>
      <c r="SHL242" s="219"/>
      <c r="SHM242" s="219"/>
      <c r="SHN242" s="219"/>
      <c r="SHO242" s="219"/>
      <c r="SHP242" s="219"/>
      <c r="SHQ242" s="219"/>
      <c r="SHR242" s="219"/>
      <c r="SHS242" s="219"/>
      <c r="SHT242" s="219"/>
      <c r="SHU242" s="219"/>
      <c r="SHV242" s="219"/>
      <c r="SHW242" s="219"/>
      <c r="SHX242" s="219"/>
      <c r="SHY242" s="219"/>
      <c r="SHZ242" s="219"/>
      <c r="SIA242" s="219"/>
      <c r="SIB242" s="219"/>
      <c r="SIC242" s="219"/>
      <c r="SID242" s="219"/>
      <c r="SIE242" s="219"/>
      <c r="SIF242" s="219"/>
      <c r="SIG242" s="219"/>
      <c r="SIH242" s="219"/>
      <c r="SII242" s="219"/>
      <c r="SIJ242" s="219"/>
      <c r="SIK242" s="219"/>
      <c r="SIL242" s="219"/>
      <c r="SIM242" s="219"/>
      <c r="SIN242" s="219"/>
      <c r="SIO242" s="219"/>
      <c r="SIP242" s="219"/>
      <c r="SIQ242" s="219"/>
      <c r="SIR242" s="219"/>
      <c r="SIS242" s="219"/>
      <c r="SIT242" s="219"/>
      <c r="SIU242" s="219"/>
      <c r="SIV242" s="219"/>
      <c r="SIW242" s="219"/>
      <c r="SIX242" s="219"/>
      <c r="SIY242" s="219"/>
      <c r="SIZ242" s="219"/>
      <c r="SJA242" s="219"/>
      <c r="SJB242" s="219"/>
      <c r="SJC242" s="219"/>
      <c r="SJD242" s="219"/>
      <c r="SJE242" s="219"/>
      <c r="SJF242" s="219"/>
      <c r="SJG242" s="219"/>
      <c r="SJH242" s="219"/>
      <c r="SJI242" s="219"/>
      <c r="SJJ242" s="219"/>
      <c r="SJK242" s="219"/>
      <c r="SJL242" s="219"/>
      <c r="SJM242" s="219"/>
      <c r="SJN242" s="219"/>
      <c r="SJO242" s="219"/>
      <c r="SJP242" s="219"/>
      <c r="SJQ242" s="219"/>
      <c r="SJR242" s="219"/>
      <c r="SJS242" s="219"/>
      <c r="SJT242" s="219"/>
      <c r="SJU242" s="219"/>
      <c r="SJV242" s="219"/>
      <c r="SJW242" s="219"/>
      <c r="SJX242" s="219"/>
      <c r="SJY242" s="219"/>
      <c r="SJZ242" s="219"/>
      <c r="SKA242" s="219"/>
      <c r="SKB242" s="219"/>
      <c r="SKC242" s="219"/>
      <c r="SKD242" s="219"/>
      <c r="SKE242" s="219"/>
      <c r="SKF242" s="219"/>
      <c r="SKG242" s="219"/>
      <c r="SKH242" s="219"/>
      <c r="SKI242" s="219"/>
      <c r="SKJ242" s="219"/>
      <c r="SKK242" s="219"/>
      <c r="SKL242" s="219"/>
      <c r="SKM242" s="219"/>
      <c r="SKN242" s="219"/>
      <c r="SKO242" s="219"/>
      <c r="SKP242" s="219"/>
      <c r="SKQ242" s="219"/>
      <c r="SKR242" s="219"/>
      <c r="SKS242" s="219"/>
      <c r="SKT242" s="219"/>
      <c r="SKU242" s="219"/>
      <c r="SKV242" s="219"/>
      <c r="SKW242" s="219"/>
      <c r="SKX242" s="219"/>
      <c r="SKY242" s="219"/>
      <c r="SKZ242" s="219"/>
      <c r="SLA242" s="219"/>
      <c r="SLB242" s="219"/>
      <c r="SLC242" s="219"/>
      <c r="SLD242" s="219"/>
      <c r="SLE242" s="219"/>
      <c r="SLF242" s="219"/>
      <c r="SLG242" s="219"/>
      <c r="SLH242" s="219"/>
      <c r="SLI242" s="219"/>
      <c r="SLJ242" s="219"/>
      <c r="SLK242" s="219"/>
      <c r="SLL242" s="219"/>
      <c r="SLM242" s="219"/>
      <c r="SLN242" s="219"/>
      <c r="SLO242" s="219"/>
      <c r="SLP242" s="219"/>
      <c r="SLQ242" s="219"/>
      <c r="SLR242" s="219"/>
      <c r="SLS242" s="219"/>
      <c r="SLT242" s="219"/>
      <c r="SLU242" s="219"/>
      <c r="SLV242" s="219"/>
      <c r="SLW242" s="219"/>
      <c r="SLX242" s="219"/>
      <c r="SLY242" s="219"/>
      <c r="SLZ242" s="219"/>
      <c r="SMA242" s="219"/>
      <c r="SMB242" s="219"/>
      <c r="SMC242" s="219"/>
      <c r="SMD242" s="219"/>
      <c r="SME242" s="219"/>
      <c r="SMF242" s="219"/>
      <c r="SMG242" s="219"/>
      <c r="SMH242" s="219"/>
      <c r="SMI242" s="219"/>
      <c r="SMJ242" s="219"/>
      <c r="SMK242" s="219"/>
      <c r="SML242" s="219"/>
      <c r="SMM242" s="219"/>
      <c r="SMN242" s="219"/>
      <c r="SMO242" s="219"/>
      <c r="SMP242" s="219"/>
      <c r="SMQ242" s="219"/>
      <c r="SMR242" s="219"/>
      <c r="SMS242" s="219"/>
      <c r="SMT242" s="219"/>
      <c r="SMU242" s="219"/>
      <c r="SMV242" s="219"/>
      <c r="SMW242" s="219"/>
      <c r="SMX242" s="219"/>
      <c r="SMY242" s="219"/>
      <c r="SMZ242" s="219"/>
      <c r="SNA242" s="219"/>
      <c r="SNB242" s="219"/>
      <c r="SNC242" s="219"/>
      <c r="SND242" s="219"/>
      <c r="SNE242" s="219"/>
      <c r="SNF242" s="219"/>
      <c r="SNG242" s="219"/>
      <c r="SNH242" s="219"/>
      <c r="SNI242" s="219"/>
      <c r="SNJ242" s="219"/>
      <c r="SNK242" s="219"/>
      <c r="SNL242" s="219"/>
      <c r="SNM242" s="219"/>
      <c r="SNN242" s="219"/>
      <c r="SNO242" s="219"/>
      <c r="SNP242" s="219"/>
      <c r="SNQ242" s="219"/>
      <c r="SNR242" s="219"/>
      <c r="SNS242" s="219"/>
      <c r="SNT242" s="219"/>
      <c r="SNU242" s="219"/>
      <c r="SNV242" s="219"/>
      <c r="SNW242" s="219"/>
      <c r="SNX242" s="219"/>
      <c r="SNY242" s="219"/>
      <c r="SNZ242" s="219"/>
      <c r="SOA242" s="219"/>
      <c r="SOB242" s="219"/>
      <c r="SOC242" s="219"/>
      <c r="SOD242" s="219"/>
      <c r="SOE242" s="219"/>
      <c r="SOF242" s="219"/>
      <c r="SOG242" s="219"/>
      <c r="SOH242" s="219"/>
      <c r="SOI242" s="219"/>
      <c r="SOJ242" s="219"/>
      <c r="SOK242" s="219"/>
      <c r="SOL242" s="219"/>
      <c r="SOM242" s="219"/>
      <c r="SON242" s="219"/>
      <c r="SOO242" s="219"/>
      <c r="SOP242" s="219"/>
      <c r="SOQ242" s="219"/>
      <c r="SOR242" s="219"/>
      <c r="SOS242" s="219"/>
      <c r="SOT242" s="219"/>
      <c r="SOU242" s="219"/>
      <c r="SOV242" s="219"/>
      <c r="SOW242" s="219"/>
      <c r="SOX242" s="219"/>
      <c r="SOY242" s="219"/>
      <c r="SOZ242" s="219"/>
      <c r="SPA242" s="219"/>
      <c r="SPB242" s="219"/>
      <c r="SPC242" s="219"/>
      <c r="SPD242" s="219"/>
      <c r="SPE242" s="219"/>
      <c r="SPF242" s="219"/>
      <c r="SPG242" s="219"/>
      <c r="SPH242" s="219"/>
      <c r="SPI242" s="219"/>
      <c r="SPJ242" s="219"/>
      <c r="SPK242" s="219"/>
      <c r="SPL242" s="219"/>
      <c r="SPM242" s="219"/>
      <c r="SPN242" s="219"/>
      <c r="SPO242" s="219"/>
      <c r="SPP242" s="219"/>
      <c r="SPQ242" s="219"/>
      <c r="SPR242" s="219"/>
      <c r="SPS242" s="219"/>
      <c r="SPT242" s="219"/>
      <c r="SPU242" s="219"/>
      <c r="SPV242" s="219"/>
      <c r="SPW242" s="219"/>
      <c r="SPX242" s="219"/>
      <c r="SPY242" s="219"/>
      <c r="SPZ242" s="219"/>
      <c r="SQA242" s="219"/>
      <c r="SQB242" s="219"/>
      <c r="SQC242" s="219"/>
      <c r="SQD242" s="219"/>
      <c r="SQE242" s="219"/>
      <c r="SQF242" s="219"/>
      <c r="SQG242" s="219"/>
      <c r="SQH242" s="219"/>
      <c r="SQI242" s="219"/>
      <c r="SQJ242" s="219"/>
      <c r="SQK242" s="219"/>
      <c r="SQL242" s="219"/>
      <c r="SQM242" s="219"/>
      <c r="SQN242" s="219"/>
      <c r="SQO242" s="219"/>
      <c r="SQP242" s="219"/>
      <c r="SQQ242" s="219"/>
      <c r="SQR242" s="219"/>
      <c r="SQS242" s="219"/>
      <c r="SQT242" s="219"/>
      <c r="SQU242" s="219"/>
      <c r="SQV242" s="219"/>
      <c r="SQW242" s="219"/>
      <c r="SQX242" s="219"/>
      <c r="SQY242" s="219"/>
      <c r="SQZ242" s="219"/>
      <c r="SRA242" s="219"/>
      <c r="SRB242" s="219"/>
      <c r="SRC242" s="219"/>
      <c r="SRD242" s="219"/>
      <c r="SRE242" s="219"/>
      <c r="SRF242" s="219"/>
      <c r="SRG242" s="219"/>
      <c r="SRH242" s="219"/>
      <c r="SRI242" s="219"/>
      <c r="SRJ242" s="219"/>
      <c r="SRK242" s="219"/>
      <c r="SRL242" s="219"/>
      <c r="SRM242" s="219"/>
      <c r="SRN242" s="219"/>
      <c r="SRO242" s="219"/>
      <c r="SRP242" s="219"/>
      <c r="SRQ242" s="219"/>
      <c r="SRR242" s="219"/>
      <c r="SRS242" s="219"/>
      <c r="SRT242" s="219"/>
      <c r="SRU242" s="219"/>
      <c r="SRV242" s="219"/>
      <c r="SRW242" s="219"/>
      <c r="SRX242" s="219"/>
      <c r="SRY242" s="219"/>
      <c r="SRZ242" s="219"/>
      <c r="SSA242" s="219"/>
      <c r="SSB242" s="219"/>
      <c r="SSC242" s="219"/>
      <c r="SSD242" s="219"/>
      <c r="SSE242" s="219"/>
      <c r="SSF242" s="219"/>
      <c r="SSG242" s="219"/>
      <c r="SSH242" s="219"/>
      <c r="SSI242" s="219"/>
      <c r="SSJ242" s="219"/>
      <c r="SSK242" s="219"/>
      <c r="SSL242" s="219"/>
      <c r="SSM242" s="219"/>
      <c r="SSN242" s="219"/>
      <c r="SSO242" s="219"/>
      <c r="SSP242" s="219"/>
      <c r="SSQ242" s="219"/>
      <c r="SSR242" s="219"/>
      <c r="SSS242" s="219"/>
      <c r="SST242" s="219"/>
      <c r="SSU242" s="219"/>
      <c r="SSV242" s="219"/>
      <c r="SSW242" s="219"/>
      <c r="SSX242" s="219"/>
      <c r="SSY242" s="219"/>
      <c r="SSZ242" s="219"/>
      <c r="STA242" s="219"/>
      <c r="STB242" s="219"/>
      <c r="STC242" s="219"/>
      <c r="STD242" s="219"/>
      <c r="STE242" s="219"/>
      <c r="STF242" s="219"/>
      <c r="STG242" s="219"/>
      <c r="STH242" s="219"/>
      <c r="STI242" s="219"/>
      <c r="STJ242" s="219"/>
      <c r="STK242" s="219"/>
      <c r="STL242" s="219"/>
      <c r="STM242" s="219"/>
      <c r="STN242" s="219"/>
      <c r="STO242" s="219"/>
      <c r="STP242" s="219"/>
      <c r="STQ242" s="219"/>
      <c r="STR242" s="219"/>
      <c r="STS242" s="219"/>
      <c r="STT242" s="219"/>
      <c r="STU242" s="219"/>
      <c r="STV242" s="219"/>
      <c r="STW242" s="219"/>
      <c r="STX242" s="219"/>
      <c r="STY242" s="219"/>
      <c r="STZ242" s="219"/>
      <c r="SUA242" s="219"/>
      <c r="SUB242" s="219"/>
      <c r="SUC242" s="219"/>
      <c r="SUD242" s="219"/>
      <c r="SUE242" s="219"/>
      <c r="SUF242" s="219"/>
      <c r="SUG242" s="219"/>
      <c r="SUH242" s="219"/>
      <c r="SUI242" s="219"/>
      <c r="SUJ242" s="219"/>
      <c r="SUK242" s="219"/>
      <c r="SUL242" s="219"/>
      <c r="SUM242" s="219"/>
      <c r="SUN242" s="219"/>
      <c r="SUO242" s="219"/>
      <c r="SUP242" s="219"/>
      <c r="SUQ242" s="219"/>
      <c r="SUR242" s="219"/>
      <c r="SUS242" s="219"/>
      <c r="SUT242" s="219"/>
      <c r="SUU242" s="219"/>
      <c r="SUV242" s="219"/>
      <c r="SUW242" s="219"/>
      <c r="SUX242" s="219"/>
      <c r="SUY242" s="219"/>
      <c r="SUZ242" s="219"/>
      <c r="SVA242" s="219"/>
      <c r="SVB242" s="219"/>
      <c r="SVC242" s="219"/>
      <c r="SVD242" s="219"/>
      <c r="SVE242" s="219"/>
      <c r="SVF242" s="219"/>
      <c r="SVG242" s="219"/>
      <c r="SVH242" s="219"/>
      <c r="SVI242" s="219"/>
      <c r="SVJ242" s="219"/>
      <c r="SVK242" s="219"/>
      <c r="SVL242" s="219"/>
      <c r="SVM242" s="219"/>
      <c r="SVN242" s="219"/>
      <c r="SVO242" s="219"/>
      <c r="SVP242" s="219"/>
      <c r="SVQ242" s="219"/>
      <c r="SVR242" s="219"/>
      <c r="SVS242" s="219"/>
      <c r="SVT242" s="219"/>
      <c r="SVU242" s="219"/>
      <c r="SVV242" s="219"/>
      <c r="SVW242" s="219"/>
      <c r="SVX242" s="219"/>
      <c r="SVY242" s="219"/>
      <c r="SVZ242" s="219"/>
      <c r="SWA242" s="219"/>
      <c r="SWB242" s="219"/>
      <c r="SWC242" s="219"/>
      <c r="SWD242" s="219"/>
      <c r="SWE242" s="219"/>
      <c r="SWF242" s="219"/>
      <c r="SWG242" s="219"/>
      <c r="SWH242" s="219"/>
      <c r="SWI242" s="219"/>
      <c r="SWJ242" s="219"/>
      <c r="SWK242" s="219"/>
      <c r="SWL242" s="219"/>
      <c r="SWM242" s="219"/>
      <c r="SWN242" s="219"/>
      <c r="SWO242" s="219"/>
      <c r="SWP242" s="219"/>
      <c r="SWQ242" s="219"/>
      <c r="SWR242" s="219"/>
      <c r="SWS242" s="219"/>
      <c r="SWT242" s="219"/>
      <c r="SWU242" s="219"/>
      <c r="SWV242" s="219"/>
      <c r="SWW242" s="219"/>
      <c r="SWX242" s="219"/>
      <c r="SWY242" s="219"/>
      <c r="SWZ242" s="219"/>
      <c r="SXA242" s="219"/>
      <c r="SXB242" s="219"/>
      <c r="SXC242" s="219"/>
      <c r="SXD242" s="219"/>
      <c r="SXE242" s="219"/>
      <c r="SXF242" s="219"/>
      <c r="SXG242" s="219"/>
      <c r="SXH242" s="219"/>
      <c r="SXI242" s="219"/>
      <c r="SXJ242" s="219"/>
      <c r="SXK242" s="219"/>
      <c r="SXL242" s="219"/>
      <c r="SXM242" s="219"/>
      <c r="SXN242" s="219"/>
      <c r="SXO242" s="219"/>
      <c r="SXP242" s="219"/>
      <c r="SXQ242" s="219"/>
      <c r="SXR242" s="219"/>
      <c r="SXS242" s="219"/>
      <c r="SXT242" s="219"/>
      <c r="SXU242" s="219"/>
      <c r="SXV242" s="219"/>
      <c r="SXW242" s="219"/>
      <c r="SXX242" s="219"/>
      <c r="SXY242" s="219"/>
      <c r="SXZ242" s="219"/>
      <c r="SYA242" s="219"/>
      <c r="SYB242" s="219"/>
      <c r="SYC242" s="219"/>
      <c r="SYD242" s="219"/>
      <c r="SYE242" s="219"/>
      <c r="SYF242" s="219"/>
      <c r="SYG242" s="219"/>
      <c r="SYH242" s="219"/>
      <c r="SYI242" s="219"/>
      <c r="SYJ242" s="219"/>
      <c r="SYK242" s="219"/>
      <c r="SYL242" s="219"/>
      <c r="SYM242" s="219"/>
      <c r="SYN242" s="219"/>
      <c r="SYO242" s="219"/>
      <c r="SYP242" s="219"/>
      <c r="SYQ242" s="219"/>
      <c r="SYR242" s="219"/>
      <c r="SYS242" s="219"/>
      <c r="SYT242" s="219"/>
      <c r="SYU242" s="219"/>
      <c r="SYV242" s="219"/>
      <c r="SYW242" s="219"/>
      <c r="SYX242" s="219"/>
      <c r="SYY242" s="219"/>
      <c r="SYZ242" s="219"/>
      <c r="SZA242" s="219"/>
      <c r="SZB242" s="219"/>
      <c r="SZC242" s="219"/>
      <c r="SZD242" s="219"/>
      <c r="SZE242" s="219"/>
      <c r="SZF242" s="219"/>
      <c r="SZG242" s="219"/>
      <c r="SZH242" s="219"/>
      <c r="SZI242" s="219"/>
      <c r="SZJ242" s="219"/>
      <c r="SZK242" s="219"/>
      <c r="SZL242" s="219"/>
      <c r="SZM242" s="219"/>
      <c r="SZN242" s="219"/>
      <c r="SZO242" s="219"/>
      <c r="SZP242" s="219"/>
      <c r="SZQ242" s="219"/>
      <c r="SZR242" s="219"/>
      <c r="SZS242" s="219"/>
      <c r="SZT242" s="219"/>
      <c r="SZU242" s="219"/>
      <c r="SZV242" s="219"/>
      <c r="SZW242" s="219"/>
      <c r="SZX242" s="219"/>
      <c r="SZY242" s="219"/>
      <c r="SZZ242" s="219"/>
      <c r="TAA242" s="219"/>
      <c r="TAB242" s="219"/>
      <c r="TAC242" s="219"/>
      <c r="TAD242" s="219"/>
      <c r="TAE242" s="219"/>
      <c r="TAF242" s="219"/>
      <c r="TAG242" s="219"/>
      <c r="TAH242" s="219"/>
      <c r="TAI242" s="219"/>
      <c r="TAJ242" s="219"/>
      <c r="TAK242" s="219"/>
      <c r="TAL242" s="219"/>
      <c r="TAM242" s="219"/>
      <c r="TAN242" s="219"/>
      <c r="TAO242" s="219"/>
      <c r="TAP242" s="219"/>
      <c r="TAQ242" s="219"/>
      <c r="TAR242" s="219"/>
      <c r="TAS242" s="219"/>
      <c r="TAT242" s="219"/>
      <c r="TAU242" s="219"/>
      <c r="TAV242" s="219"/>
      <c r="TAW242" s="219"/>
      <c r="TAX242" s="219"/>
      <c r="TAY242" s="219"/>
      <c r="TAZ242" s="219"/>
      <c r="TBA242" s="219"/>
      <c r="TBB242" s="219"/>
      <c r="TBC242" s="219"/>
      <c r="TBD242" s="219"/>
      <c r="TBE242" s="219"/>
      <c r="TBF242" s="219"/>
      <c r="TBG242" s="219"/>
      <c r="TBH242" s="219"/>
      <c r="TBI242" s="219"/>
      <c r="TBJ242" s="219"/>
      <c r="TBK242" s="219"/>
      <c r="TBL242" s="219"/>
      <c r="TBM242" s="219"/>
      <c r="TBN242" s="219"/>
      <c r="TBO242" s="219"/>
      <c r="TBP242" s="219"/>
      <c r="TBQ242" s="219"/>
      <c r="TBR242" s="219"/>
      <c r="TBS242" s="219"/>
      <c r="TBT242" s="219"/>
      <c r="TBU242" s="219"/>
      <c r="TBV242" s="219"/>
      <c r="TBW242" s="219"/>
      <c r="TBX242" s="219"/>
      <c r="TBY242" s="219"/>
      <c r="TBZ242" s="219"/>
      <c r="TCA242" s="219"/>
      <c r="TCB242" s="219"/>
      <c r="TCC242" s="219"/>
      <c r="TCD242" s="219"/>
      <c r="TCE242" s="219"/>
      <c r="TCF242" s="219"/>
      <c r="TCG242" s="219"/>
      <c r="TCH242" s="219"/>
      <c r="TCI242" s="219"/>
      <c r="TCJ242" s="219"/>
      <c r="TCK242" s="219"/>
      <c r="TCL242" s="219"/>
      <c r="TCM242" s="219"/>
      <c r="TCN242" s="219"/>
      <c r="TCO242" s="219"/>
      <c r="TCP242" s="219"/>
      <c r="TCQ242" s="219"/>
      <c r="TCR242" s="219"/>
      <c r="TCS242" s="219"/>
      <c r="TCT242" s="219"/>
      <c r="TCU242" s="219"/>
      <c r="TCV242" s="219"/>
      <c r="TCW242" s="219"/>
      <c r="TCX242" s="219"/>
      <c r="TCY242" s="219"/>
      <c r="TCZ242" s="219"/>
      <c r="TDA242" s="219"/>
      <c r="TDB242" s="219"/>
      <c r="TDC242" s="219"/>
      <c r="TDD242" s="219"/>
      <c r="TDE242" s="219"/>
      <c r="TDF242" s="219"/>
      <c r="TDG242" s="219"/>
      <c r="TDH242" s="219"/>
      <c r="TDI242" s="219"/>
      <c r="TDJ242" s="219"/>
      <c r="TDK242" s="219"/>
      <c r="TDL242" s="219"/>
      <c r="TDM242" s="219"/>
      <c r="TDN242" s="219"/>
      <c r="TDO242" s="219"/>
      <c r="TDP242" s="219"/>
      <c r="TDQ242" s="219"/>
      <c r="TDR242" s="219"/>
      <c r="TDS242" s="219"/>
      <c r="TDT242" s="219"/>
      <c r="TDU242" s="219"/>
      <c r="TDV242" s="219"/>
      <c r="TDW242" s="219"/>
      <c r="TDX242" s="219"/>
      <c r="TDY242" s="219"/>
      <c r="TDZ242" s="219"/>
      <c r="TEA242" s="219"/>
      <c r="TEB242" s="219"/>
      <c r="TEC242" s="219"/>
      <c r="TED242" s="219"/>
      <c r="TEE242" s="219"/>
      <c r="TEF242" s="219"/>
      <c r="TEG242" s="219"/>
      <c r="TEH242" s="219"/>
      <c r="TEI242" s="219"/>
      <c r="TEJ242" s="219"/>
      <c r="TEK242" s="219"/>
      <c r="TEL242" s="219"/>
      <c r="TEM242" s="219"/>
      <c r="TEN242" s="219"/>
      <c r="TEO242" s="219"/>
      <c r="TEP242" s="219"/>
      <c r="TEQ242" s="219"/>
      <c r="TER242" s="219"/>
      <c r="TES242" s="219"/>
      <c r="TET242" s="219"/>
      <c r="TEU242" s="219"/>
      <c r="TEV242" s="219"/>
      <c r="TEW242" s="219"/>
      <c r="TEX242" s="219"/>
      <c r="TEY242" s="219"/>
      <c r="TEZ242" s="219"/>
      <c r="TFA242" s="219"/>
      <c r="TFB242" s="219"/>
      <c r="TFC242" s="219"/>
      <c r="TFD242" s="219"/>
      <c r="TFE242" s="219"/>
      <c r="TFF242" s="219"/>
      <c r="TFG242" s="219"/>
      <c r="TFH242" s="219"/>
      <c r="TFI242" s="219"/>
      <c r="TFJ242" s="219"/>
      <c r="TFK242" s="219"/>
      <c r="TFL242" s="219"/>
      <c r="TFM242" s="219"/>
      <c r="TFN242" s="219"/>
      <c r="TFO242" s="219"/>
      <c r="TFP242" s="219"/>
      <c r="TFQ242" s="219"/>
      <c r="TFR242" s="219"/>
      <c r="TFS242" s="219"/>
      <c r="TFT242" s="219"/>
      <c r="TFU242" s="219"/>
      <c r="TFV242" s="219"/>
      <c r="TFW242" s="219"/>
      <c r="TFX242" s="219"/>
      <c r="TFY242" s="219"/>
      <c r="TFZ242" s="219"/>
      <c r="TGA242" s="219"/>
      <c r="TGB242" s="219"/>
      <c r="TGC242" s="219"/>
      <c r="TGD242" s="219"/>
      <c r="TGE242" s="219"/>
      <c r="TGF242" s="219"/>
      <c r="TGG242" s="219"/>
      <c r="TGH242" s="219"/>
      <c r="TGI242" s="219"/>
      <c r="TGJ242" s="219"/>
      <c r="TGK242" s="219"/>
      <c r="TGL242" s="219"/>
      <c r="TGM242" s="219"/>
      <c r="TGN242" s="219"/>
      <c r="TGO242" s="219"/>
      <c r="TGP242" s="219"/>
      <c r="TGQ242" s="219"/>
      <c r="TGR242" s="219"/>
      <c r="TGS242" s="219"/>
      <c r="TGT242" s="219"/>
      <c r="TGU242" s="219"/>
      <c r="TGV242" s="219"/>
      <c r="TGW242" s="219"/>
      <c r="TGX242" s="219"/>
      <c r="TGY242" s="219"/>
      <c r="TGZ242" s="219"/>
      <c r="THA242" s="219"/>
      <c r="THB242" s="219"/>
      <c r="THC242" s="219"/>
      <c r="THD242" s="219"/>
      <c r="THE242" s="219"/>
      <c r="THF242" s="219"/>
      <c r="THG242" s="219"/>
      <c r="THH242" s="219"/>
      <c r="THI242" s="219"/>
      <c r="THJ242" s="219"/>
      <c r="THK242" s="219"/>
      <c r="THL242" s="219"/>
      <c r="THM242" s="219"/>
      <c r="THN242" s="219"/>
      <c r="THO242" s="219"/>
      <c r="THP242" s="219"/>
      <c r="THQ242" s="219"/>
      <c r="THR242" s="219"/>
      <c r="THS242" s="219"/>
      <c r="THT242" s="219"/>
      <c r="THU242" s="219"/>
      <c r="THV242" s="219"/>
      <c r="THW242" s="219"/>
      <c r="THX242" s="219"/>
      <c r="THY242" s="219"/>
      <c r="THZ242" s="219"/>
      <c r="TIA242" s="219"/>
      <c r="TIB242" s="219"/>
      <c r="TIC242" s="219"/>
      <c r="TID242" s="219"/>
      <c r="TIE242" s="219"/>
      <c r="TIF242" s="219"/>
      <c r="TIG242" s="219"/>
      <c r="TIH242" s="219"/>
      <c r="TII242" s="219"/>
      <c r="TIJ242" s="219"/>
      <c r="TIK242" s="219"/>
      <c r="TIL242" s="219"/>
      <c r="TIM242" s="219"/>
      <c r="TIN242" s="219"/>
      <c r="TIO242" s="219"/>
      <c r="TIP242" s="219"/>
      <c r="TIQ242" s="219"/>
      <c r="TIR242" s="219"/>
      <c r="TIS242" s="219"/>
      <c r="TIT242" s="219"/>
      <c r="TIU242" s="219"/>
      <c r="TIV242" s="219"/>
      <c r="TIW242" s="219"/>
      <c r="TIX242" s="219"/>
      <c r="TIY242" s="219"/>
      <c r="TIZ242" s="219"/>
      <c r="TJA242" s="219"/>
      <c r="TJB242" s="219"/>
      <c r="TJC242" s="219"/>
      <c r="TJD242" s="219"/>
      <c r="TJE242" s="219"/>
      <c r="TJF242" s="219"/>
      <c r="TJG242" s="219"/>
      <c r="TJH242" s="219"/>
      <c r="TJI242" s="219"/>
      <c r="TJJ242" s="219"/>
      <c r="TJK242" s="219"/>
      <c r="TJL242" s="219"/>
      <c r="TJM242" s="219"/>
      <c r="TJN242" s="219"/>
      <c r="TJO242" s="219"/>
      <c r="TJP242" s="219"/>
      <c r="TJQ242" s="219"/>
      <c r="TJR242" s="219"/>
      <c r="TJS242" s="219"/>
      <c r="TJT242" s="219"/>
      <c r="TJU242" s="219"/>
      <c r="TJV242" s="219"/>
      <c r="TJW242" s="219"/>
      <c r="TJX242" s="219"/>
      <c r="TJY242" s="219"/>
      <c r="TJZ242" s="219"/>
      <c r="TKA242" s="219"/>
      <c r="TKB242" s="219"/>
      <c r="TKC242" s="219"/>
      <c r="TKD242" s="219"/>
      <c r="TKE242" s="219"/>
      <c r="TKF242" s="219"/>
      <c r="TKG242" s="219"/>
      <c r="TKH242" s="219"/>
      <c r="TKI242" s="219"/>
      <c r="TKJ242" s="219"/>
      <c r="TKK242" s="219"/>
      <c r="TKL242" s="219"/>
      <c r="TKM242" s="219"/>
      <c r="TKN242" s="219"/>
      <c r="TKO242" s="219"/>
      <c r="TKP242" s="219"/>
      <c r="TKQ242" s="219"/>
      <c r="TKR242" s="219"/>
      <c r="TKS242" s="219"/>
      <c r="TKT242" s="219"/>
      <c r="TKU242" s="219"/>
      <c r="TKV242" s="219"/>
      <c r="TKW242" s="219"/>
      <c r="TKX242" s="219"/>
      <c r="TKY242" s="219"/>
      <c r="TKZ242" s="219"/>
      <c r="TLA242" s="219"/>
      <c r="TLB242" s="219"/>
      <c r="TLC242" s="219"/>
      <c r="TLD242" s="219"/>
      <c r="TLE242" s="219"/>
      <c r="TLF242" s="219"/>
      <c r="TLG242" s="219"/>
      <c r="TLH242" s="219"/>
      <c r="TLI242" s="219"/>
      <c r="TLJ242" s="219"/>
      <c r="TLK242" s="219"/>
      <c r="TLL242" s="219"/>
      <c r="TLM242" s="219"/>
      <c r="TLN242" s="219"/>
      <c r="TLO242" s="219"/>
      <c r="TLP242" s="219"/>
      <c r="TLQ242" s="219"/>
      <c r="TLR242" s="219"/>
      <c r="TLS242" s="219"/>
      <c r="TLT242" s="219"/>
      <c r="TLU242" s="219"/>
      <c r="TLV242" s="219"/>
      <c r="TLW242" s="219"/>
      <c r="TLX242" s="219"/>
      <c r="TLY242" s="219"/>
      <c r="TLZ242" s="219"/>
      <c r="TMA242" s="219"/>
      <c r="TMB242" s="219"/>
      <c r="TMC242" s="219"/>
      <c r="TMD242" s="219"/>
      <c r="TME242" s="219"/>
      <c r="TMF242" s="219"/>
      <c r="TMG242" s="219"/>
      <c r="TMH242" s="219"/>
      <c r="TMI242" s="219"/>
      <c r="TMJ242" s="219"/>
      <c r="TMK242" s="219"/>
      <c r="TML242" s="219"/>
      <c r="TMM242" s="219"/>
      <c r="TMN242" s="219"/>
      <c r="TMO242" s="219"/>
      <c r="TMP242" s="219"/>
      <c r="TMQ242" s="219"/>
      <c r="TMR242" s="219"/>
      <c r="TMS242" s="219"/>
      <c r="TMT242" s="219"/>
      <c r="TMU242" s="219"/>
      <c r="TMV242" s="219"/>
      <c r="TMW242" s="219"/>
      <c r="TMX242" s="219"/>
      <c r="TMY242" s="219"/>
      <c r="TMZ242" s="219"/>
      <c r="TNA242" s="219"/>
      <c r="TNB242" s="219"/>
      <c r="TNC242" s="219"/>
      <c r="TND242" s="219"/>
      <c r="TNE242" s="219"/>
      <c r="TNF242" s="219"/>
      <c r="TNG242" s="219"/>
      <c r="TNH242" s="219"/>
      <c r="TNI242" s="219"/>
      <c r="TNJ242" s="219"/>
      <c r="TNK242" s="219"/>
      <c r="TNL242" s="219"/>
      <c r="TNM242" s="219"/>
      <c r="TNN242" s="219"/>
      <c r="TNO242" s="219"/>
      <c r="TNP242" s="219"/>
      <c r="TNQ242" s="219"/>
      <c r="TNR242" s="219"/>
      <c r="TNS242" s="219"/>
      <c r="TNT242" s="219"/>
      <c r="TNU242" s="219"/>
      <c r="TNV242" s="219"/>
      <c r="TNW242" s="219"/>
      <c r="TNX242" s="219"/>
      <c r="TNY242" s="219"/>
      <c r="TNZ242" s="219"/>
      <c r="TOA242" s="219"/>
      <c r="TOB242" s="219"/>
      <c r="TOC242" s="219"/>
      <c r="TOD242" s="219"/>
      <c r="TOE242" s="219"/>
      <c r="TOF242" s="219"/>
      <c r="TOG242" s="219"/>
      <c r="TOH242" s="219"/>
      <c r="TOI242" s="219"/>
      <c r="TOJ242" s="219"/>
      <c r="TOK242" s="219"/>
      <c r="TOL242" s="219"/>
      <c r="TOM242" s="219"/>
      <c r="TON242" s="219"/>
      <c r="TOO242" s="219"/>
      <c r="TOP242" s="219"/>
      <c r="TOQ242" s="219"/>
      <c r="TOR242" s="219"/>
      <c r="TOS242" s="219"/>
      <c r="TOT242" s="219"/>
      <c r="TOU242" s="219"/>
      <c r="TOV242" s="219"/>
      <c r="TOW242" s="219"/>
      <c r="TOX242" s="219"/>
      <c r="TOY242" s="219"/>
      <c r="TOZ242" s="219"/>
      <c r="TPA242" s="219"/>
      <c r="TPB242" s="219"/>
      <c r="TPC242" s="219"/>
      <c r="TPD242" s="219"/>
      <c r="TPE242" s="219"/>
      <c r="TPF242" s="219"/>
      <c r="TPG242" s="219"/>
      <c r="TPH242" s="219"/>
      <c r="TPI242" s="219"/>
      <c r="TPJ242" s="219"/>
      <c r="TPK242" s="219"/>
      <c r="TPL242" s="219"/>
      <c r="TPM242" s="219"/>
      <c r="TPN242" s="219"/>
      <c r="TPO242" s="219"/>
      <c r="TPP242" s="219"/>
      <c r="TPQ242" s="219"/>
      <c r="TPR242" s="219"/>
      <c r="TPS242" s="219"/>
      <c r="TPT242" s="219"/>
      <c r="TPU242" s="219"/>
      <c r="TPV242" s="219"/>
      <c r="TPW242" s="219"/>
      <c r="TPX242" s="219"/>
      <c r="TPY242" s="219"/>
      <c r="TPZ242" s="219"/>
      <c r="TQA242" s="219"/>
      <c r="TQB242" s="219"/>
      <c r="TQC242" s="219"/>
      <c r="TQD242" s="219"/>
      <c r="TQE242" s="219"/>
      <c r="TQF242" s="219"/>
      <c r="TQG242" s="219"/>
      <c r="TQH242" s="219"/>
      <c r="TQI242" s="219"/>
      <c r="TQJ242" s="219"/>
      <c r="TQK242" s="219"/>
      <c r="TQL242" s="219"/>
      <c r="TQM242" s="219"/>
      <c r="TQN242" s="219"/>
      <c r="TQO242" s="219"/>
      <c r="TQP242" s="219"/>
      <c r="TQQ242" s="219"/>
      <c r="TQR242" s="219"/>
      <c r="TQS242" s="219"/>
      <c r="TQT242" s="219"/>
      <c r="TQU242" s="219"/>
      <c r="TQV242" s="219"/>
      <c r="TQW242" s="219"/>
      <c r="TQX242" s="219"/>
      <c r="TQY242" s="219"/>
      <c r="TQZ242" s="219"/>
      <c r="TRA242" s="219"/>
      <c r="TRB242" s="219"/>
      <c r="TRC242" s="219"/>
      <c r="TRD242" s="219"/>
      <c r="TRE242" s="219"/>
      <c r="TRF242" s="219"/>
      <c r="TRG242" s="219"/>
      <c r="TRH242" s="219"/>
      <c r="TRI242" s="219"/>
      <c r="TRJ242" s="219"/>
      <c r="TRK242" s="219"/>
      <c r="TRL242" s="219"/>
      <c r="TRM242" s="219"/>
      <c r="TRN242" s="219"/>
      <c r="TRO242" s="219"/>
      <c r="TRP242" s="219"/>
      <c r="TRQ242" s="219"/>
      <c r="TRR242" s="219"/>
      <c r="TRS242" s="219"/>
      <c r="TRT242" s="219"/>
      <c r="TRU242" s="219"/>
      <c r="TRV242" s="219"/>
      <c r="TRW242" s="219"/>
      <c r="TRX242" s="219"/>
      <c r="TRY242" s="219"/>
      <c r="TRZ242" s="219"/>
      <c r="TSA242" s="219"/>
      <c r="TSB242" s="219"/>
      <c r="TSC242" s="219"/>
      <c r="TSD242" s="219"/>
      <c r="TSE242" s="219"/>
      <c r="TSF242" s="219"/>
      <c r="TSG242" s="219"/>
      <c r="TSH242" s="219"/>
      <c r="TSI242" s="219"/>
      <c r="TSJ242" s="219"/>
      <c r="TSK242" s="219"/>
      <c r="TSL242" s="219"/>
      <c r="TSM242" s="219"/>
      <c r="TSN242" s="219"/>
      <c r="TSO242" s="219"/>
      <c r="TSP242" s="219"/>
      <c r="TSQ242" s="219"/>
      <c r="TSR242" s="219"/>
      <c r="TSS242" s="219"/>
      <c r="TST242" s="219"/>
      <c r="TSU242" s="219"/>
      <c r="TSV242" s="219"/>
      <c r="TSW242" s="219"/>
      <c r="TSX242" s="219"/>
      <c r="TSY242" s="219"/>
      <c r="TSZ242" s="219"/>
      <c r="TTA242" s="219"/>
      <c r="TTB242" s="219"/>
      <c r="TTC242" s="219"/>
      <c r="TTD242" s="219"/>
      <c r="TTE242" s="219"/>
      <c r="TTF242" s="219"/>
      <c r="TTG242" s="219"/>
      <c r="TTH242" s="219"/>
      <c r="TTI242" s="219"/>
      <c r="TTJ242" s="219"/>
      <c r="TTK242" s="219"/>
      <c r="TTL242" s="219"/>
      <c r="TTM242" s="219"/>
      <c r="TTN242" s="219"/>
      <c r="TTO242" s="219"/>
      <c r="TTP242" s="219"/>
      <c r="TTQ242" s="219"/>
      <c r="TTR242" s="219"/>
      <c r="TTS242" s="219"/>
      <c r="TTT242" s="219"/>
      <c r="TTU242" s="219"/>
      <c r="TTV242" s="219"/>
      <c r="TTW242" s="219"/>
      <c r="TTX242" s="219"/>
      <c r="TTY242" s="219"/>
      <c r="TTZ242" s="219"/>
      <c r="TUA242" s="219"/>
      <c r="TUB242" s="219"/>
      <c r="TUC242" s="219"/>
      <c r="TUD242" s="219"/>
      <c r="TUE242" s="219"/>
      <c r="TUF242" s="219"/>
      <c r="TUG242" s="219"/>
      <c r="TUH242" s="219"/>
      <c r="TUI242" s="219"/>
      <c r="TUJ242" s="219"/>
      <c r="TUK242" s="219"/>
      <c r="TUL242" s="219"/>
      <c r="TUM242" s="219"/>
      <c r="TUN242" s="219"/>
      <c r="TUO242" s="219"/>
      <c r="TUP242" s="219"/>
      <c r="TUQ242" s="219"/>
      <c r="TUR242" s="219"/>
      <c r="TUS242" s="219"/>
      <c r="TUT242" s="219"/>
      <c r="TUU242" s="219"/>
      <c r="TUV242" s="219"/>
      <c r="TUW242" s="219"/>
      <c r="TUX242" s="219"/>
      <c r="TUY242" s="219"/>
      <c r="TUZ242" s="219"/>
      <c r="TVA242" s="219"/>
      <c r="TVB242" s="219"/>
      <c r="TVC242" s="219"/>
      <c r="TVD242" s="219"/>
      <c r="TVE242" s="219"/>
      <c r="TVF242" s="219"/>
      <c r="TVG242" s="219"/>
      <c r="TVH242" s="219"/>
      <c r="TVI242" s="219"/>
      <c r="TVJ242" s="219"/>
      <c r="TVK242" s="219"/>
      <c r="TVL242" s="219"/>
      <c r="TVM242" s="219"/>
      <c r="TVN242" s="219"/>
      <c r="TVO242" s="219"/>
      <c r="TVP242" s="219"/>
      <c r="TVQ242" s="219"/>
      <c r="TVR242" s="219"/>
      <c r="TVS242" s="219"/>
      <c r="TVT242" s="219"/>
      <c r="TVU242" s="219"/>
      <c r="TVV242" s="219"/>
      <c r="TVW242" s="219"/>
      <c r="TVX242" s="219"/>
      <c r="TVY242" s="219"/>
      <c r="TVZ242" s="219"/>
      <c r="TWA242" s="219"/>
      <c r="TWB242" s="219"/>
      <c r="TWC242" s="219"/>
      <c r="TWD242" s="219"/>
      <c r="TWE242" s="219"/>
      <c r="TWF242" s="219"/>
      <c r="TWG242" s="219"/>
      <c r="TWH242" s="219"/>
      <c r="TWI242" s="219"/>
      <c r="TWJ242" s="219"/>
      <c r="TWK242" s="219"/>
      <c r="TWL242" s="219"/>
      <c r="TWM242" s="219"/>
      <c r="TWN242" s="219"/>
      <c r="TWO242" s="219"/>
      <c r="TWP242" s="219"/>
      <c r="TWQ242" s="219"/>
      <c r="TWR242" s="219"/>
      <c r="TWS242" s="219"/>
      <c r="TWT242" s="219"/>
      <c r="TWU242" s="219"/>
      <c r="TWV242" s="219"/>
      <c r="TWW242" s="219"/>
      <c r="TWX242" s="219"/>
      <c r="TWY242" s="219"/>
      <c r="TWZ242" s="219"/>
      <c r="TXA242" s="219"/>
      <c r="TXB242" s="219"/>
      <c r="TXC242" s="219"/>
      <c r="TXD242" s="219"/>
      <c r="TXE242" s="219"/>
      <c r="TXF242" s="219"/>
      <c r="TXG242" s="219"/>
      <c r="TXH242" s="219"/>
      <c r="TXI242" s="219"/>
      <c r="TXJ242" s="219"/>
      <c r="TXK242" s="219"/>
      <c r="TXL242" s="219"/>
      <c r="TXM242" s="219"/>
      <c r="TXN242" s="219"/>
      <c r="TXO242" s="219"/>
      <c r="TXP242" s="219"/>
      <c r="TXQ242" s="219"/>
      <c r="TXR242" s="219"/>
      <c r="TXS242" s="219"/>
      <c r="TXT242" s="219"/>
      <c r="TXU242" s="219"/>
      <c r="TXV242" s="219"/>
      <c r="TXW242" s="219"/>
      <c r="TXX242" s="219"/>
      <c r="TXY242" s="219"/>
      <c r="TXZ242" s="219"/>
      <c r="TYA242" s="219"/>
      <c r="TYB242" s="219"/>
      <c r="TYC242" s="219"/>
      <c r="TYD242" s="219"/>
      <c r="TYE242" s="219"/>
      <c r="TYF242" s="219"/>
      <c r="TYG242" s="219"/>
      <c r="TYH242" s="219"/>
      <c r="TYI242" s="219"/>
      <c r="TYJ242" s="219"/>
      <c r="TYK242" s="219"/>
      <c r="TYL242" s="219"/>
      <c r="TYM242" s="219"/>
      <c r="TYN242" s="219"/>
      <c r="TYO242" s="219"/>
      <c r="TYP242" s="219"/>
      <c r="TYQ242" s="219"/>
      <c r="TYR242" s="219"/>
      <c r="TYS242" s="219"/>
      <c r="TYT242" s="219"/>
      <c r="TYU242" s="219"/>
      <c r="TYV242" s="219"/>
      <c r="TYW242" s="219"/>
      <c r="TYX242" s="219"/>
      <c r="TYY242" s="219"/>
      <c r="TYZ242" s="219"/>
      <c r="TZA242" s="219"/>
      <c r="TZB242" s="219"/>
      <c r="TZC242" s="219"/>
      <c r="TZD242" s="219"/>
      <c r="TZE242" s="219"/>
      <c r="TZF242" s="219"/>
      <c r="TZG242" s="219"/>
      <c r="TZH242" s="219"/>
      <c r="TZI242" s="219"/>
      <c r="TZJ242" s="219"/>
      <c r="TZK242" s="219"/>
      <c r="TZL242" s="219"/>
      <c r="TZM242" s="219"/>
      <c r="TZN242" s="219"/>
      <c r="TZO242" s="219"/>
      <c r="TZP242" s="219"/>
      <c r="TZQ242" s="219"/>
      <c r="TZR242" s="219"/>
      <c r="TZS242" s="219"/>
      <c r="TZT242" s="219"/>
      <c r="TZU242" s="219"/>
      <c r="TZV242" s="219"/>
      <c r="TZW242" s="219"/>
      <c r="TZX242" s="219"/>
      <c r="TZY242" s="219"/>
      <c r="TZZ242" s="219"/>
      <c r="UAA242" s="219"/>
      <c r="UAB242" s="219"/>
      <c r="UAC242" s="219"/>
      <c r="UAD242" s="219"/>
      <c r="UAE242" s="219"/>
      <c r="UAF242" s="219"/>
      <c r="UAG242" s="219"/>
      <c r="UAH242" s="219"/>
      <c r="UAI242" s="219"/>
      <c r="UAJ242" s="219"/>
      <c r="UAK242" s="219"/>
      <c r="UAL242" s="219"/>
      <c r="UAM242" s="219"/>
      <c r="UAN242" s="219"/>
      <c r="UAO242" s="219"/>
      <c r="UAP242" s="219"/>
      <c r="UAQ242" s="219"/>
      <c r="UAR242" s="219"/>
      <c r="UAS242" s="219"/>
      <c r="UAT242" s="219"/>
      <c r="UAU242" s="219"/>
      <c r="UAV242" s="219"/>
      <c r="UAW242" s="219"/>
      <c r="UAX242" s="219"/>
      <c r="UAY242" s="219"/>
      <c r="UAZ242" s="219"/>
      <c r="UBA242" s="219"/>
      <c r="UBB242" s="219"/>
      <c r="UBC242" s="219"/>
      <c r="UBD242" s="219"/>
      <c r="UBE242" s="219"/>
      <c r="UBF242" s="219"/>
      <c r="UBG242" s="219"/>
      <c r="UBH242" s="219"/>
      <c r="UBI242" s="219"/>
      <c r="UBJ242" s="219"/>
      <c r="UBK242" s="219"/>
      <c r="UBL242" s="219"/>
      <c r="UBM242" s="219"/>
      <c r="UBN242" s="219"/>
      <c r="UBO242" s="219"/>
      <c r="UBP242" s="219"/>
      <c r="UBQ242" s="219"/>
      <c r="UBR242" s="219"/>
      <c r="UBS242" s="219"/>
      <c r="UBT242" s="219"/>
      <c r="UBU242" s="219"/>
      <c r="UBV242" s="219"/>
      <c r="UBW242" s="219"/>
      <c r="UBX242" s="219"/>
      <c r="UBY242" s="219"/>
      <c r="UBZ242" s="219"/>
      <c r="UCA242" s="219"/>
      <c r="UCB242" s="219"/>
      <c r="UCC242" s="219"/>
      <c r="UCD242" s="219"/>
      <c r="UCE242" s="219"/>
      <c r="UCF242" s="219"/>
      <c r="UCG242" s="219"/>
      <c r="UCH242" s="219"/>
      <c r="UCI242" s="219"/>
      <c r="UCJ242" s="219"/>
      <c r="UCK242" s="219"/>
      <c r="UCL242" s="219"/>
      <c r="UCM242" s="219"/>
      <c r="UCN242" s="219"/>
      <c r="UCO242" s="219"/>
      <c r="UCP242" s="219"/>
      <c r="UCQ242" s="219"/>
      <c r="UCR242" s="219"/>
      <c r="UCS242" s="219"/>
      <c r="UCT242" s="219"/>
      <c r="UCU242" s="219"/>
      <c r="UCV242" s="219"/>
      <c r="UCW242" s="219"/>
      <c r="UCX242" s="219"/>
      <c r="UCY242" s="219"/>
      <c r="UCZ242" s="219"/>
      <c r="UDA242" s="219"/>
      <c r="UDB242" s="219"/>
      <c r="UDC242" s="219"/>
      <c r="UDD242" s="219"/>
      <c r="UDE242" s="219"/>
      <c r="UDF242" s="219"/>
      <c r="UDG242" s="219"/>
      <c r="UDH242" s="219"/>
      <c r="UDI242" s="219"/>
      <c r="UDJ242" s="219"/>
      <c r="UDK242" s="219"/>
      <c r="UDL242" s="219"/>
      <c r="UDM242" s="219"/>
      <c r="UDN242" s="219"/>
      <c r="UDO242" s="219"/>
      <c r="UDP242" s="219"/>
      <c r="UDQ242" s="219"/>
      <c r="UDR242" s="219"/>
      <c r="UDS242" s="219"/>
      <c r="UDT242" s="219"/>
      <c r="UDU242" s="219"/>
      <c r="UDV242" s="219"/>
      <c r="UDW242" s="219"/>
      <c r="UDX242" s="219"/>
      <c r="UDY242" s="219"/>
      <c r="UDZ242" s="219"/>
      <c r="UEA242" s="219"/>
      <c r="UEB242" s="219"/>
      <c r="UEC242" s="219"/>
      <c r="UED242" s="219"/>
      <c r="UEE242" s="219"/>
      <c r="UEF242" s="219"/>
      <c r="UEG242" s="219"/>
      <c r="UEH242" s="219"/>
      <c r="UEI242" s="219"/>
      <c r="UEJ242" s="219"/>
      <c r="UEK242" s="219"/>
      <c r="UEL242" s="219"/>
      <c r="UEM242" s="219"/>
      <c r="UEN242" s="219"/>
      <c r="UEO242" s="219"/>
      <c r="UEP242" s="219"/>
      <c r="UEQ242" s="219"/>
      <c r="UER242" s="219"/>
      <c r="UES242" s="219"/>
      <c r="UET242" s="219"/>
      <c r="UEU242" s="219"/>
      <c r="UEV242" s="219"/>
      <c r="UEW242" s="219"/>
      <c r="UEX242" s="219"/>
      <c r="UEY242" s="219"/>
      <c r="UEZ242" s="219"/>
      <c r="UFA242" s="219"/>
      <c r="UFB242" s="219"/>
      <c r="UFC242" s="219"/>
      <c r="UFD242" s="219"/>
      <c r="UFE242" s="219"/>
      <c r="UFF242" s="219"/>
      <c r="UFG242" s="219"/>
      <c r="UFH242" s="219"/>
      <c r="UFI242" s="219"/>
      <c r="UFJ242" s="219"/>
      <c r="UFK242" s="219"/>
      <c r="UFL242" s="219"/>
      <c r="UFM242" s="219"/>
      <c r="UFN242" s="219"/>
      <c r="UFO242" s="219"/>
      <c r="UFP242" s="219"/>
      <c r="UFQ242" s="219"/>
      <c r="UFR242" s="219"/>
      <c r="UFS242" s="219"/>
      <c r="UFT242" s="219"/>
      <c r="UFU242" s="219"/>
      <c r="UFV242" s="219"/>
      <c r="UFW242" s="219"/>
      <c r="UFX242" s="219"/>
      <c r="UFY242" s="219"/>
      <c r="UFZ242" s="219"/>
      <c r="UGA242" s="219"/>
      <c r="UGB242" s="219"/>
      <c r="UGC242" s="219"/>
      <c r="UGD242" s="219"/>
      <c r="UGE242" s="219"/>
      <c r="UGF242" s="219"/>
      <c r="UGG242" s="219"/>
      <c r="UGH242" s="219"/>
      <c r="UGI242" s="219"/>
      <c r="UGJ242" s="219"/>
      <c r="UGK242" s="219"/>
      <c r="UGL242" s="219"/>
      <c r="UGM242" s="219"/>
      <c r="UGN242" s="219"/>
      <c r="UGO242" s="219"/>
      <c r="UGP242" s="219"/>
      <c r="UGQ242" s="219"/>
      <c r="UGR242" s="219"/>
      <c r="UGS242" s="219"/>
      <c r="UGT242" s="219"/>
      <c r="UGU242" s="219"/>
      <c r="UGV242" s="219"/>
      <c r="UGW242" s="219"/>
      <c r="UGX242" s="219"/>
      <c r="UGY242" s="219"/>
      <c r="UGZ242" s="219"/>
      <c r="UHA242" s="219"/>
      <c r="UHB242" s="219"/>
      <c r="UHC242" s="219"/>
      <c r="UHD242" s="219"/>
      <c r="UHE242" s="219"/>
      <c r="UHF242" s="219"/>
      <c r="UHG242" s="219"/>
      <c r="UHH242" s="219"/>
      <c r="UHI242" s="219"/>
      <c r="UHJ242" s="219"/>
      <c r="UHK242" s="219"/>
      <c r="UHL242" s="219"/>
      <c r="UHM242" s="219"/>
      <c r="UHN242" s="219"/>
      <c r="UHO242" s="219"/>
      <c r="UHP242" s="219"/>
      <c r="UHQ242" s="219"/>
      <c r="UHR242" s="219"/>
      <c r="UHS242" s="219"/>
      <c r="UHT242" s="219"/>
      <c r="UHU242" s="219"/>
      <c r="UHV242" s="219"/>
      <c r="UHW242" s="219"/>
      <c r="UHX242" s="219"/>
      <c r="UHY242" s="219"/>
      <c r="UHZ242" s="219"/>
      <c r="UIA242" s="219"/>
      <c r="UIB242" s="219"/>
      <c r="UIC242" s="219"/>
      <c r="UID242" s="219"/>
      <c r="UIE242" s="219"/>
      <c r="UIF242" s="219"/>
      <c r="UIG242" s="219"/>
      <c r="UIH242" s="219"/>
      <c r="UII242" s="219"/>
      <c r="UIJ242" s="219"/>
      <c r="UIK242" s="219"/>
      <c r="UIL242" s="219"/>
      <c r="UIM242" s="219"/>
      <c r="UIN242" s="219"/>
      <c r="UIO242" s="219"/>
      <c r="UIP242" s="219"/>
      <c r="UIQ242" s="219"/>
      <c r="UIR242" s="219"/>
      <c r="UIS242" s="219"/>
      <c r="UIT242" s="219"/>
      <c r="UIU242" s="219"/>
      <c r="UIV242" s="219"/>
      <c r="UIW242" s="219"/>
      <c r="UIX242" s="219"/>
      <c r="UIY242" s="219"/>
      <c r="UIZ242" s="219"/>
      <c r="UJA242" s="219"/>
      <c r="UJB242" s="219"/>
      <c r="UJC242" s="219"/>
      <c r="UJD242" s="219"/>
      <c r="UJE242" s="219"/>
      <c r="UJF242" s="219"/>
      <c r="UJG242" s="219"/>
      <c r="UJH242" s="219"/>
      <c r="UJI242" s="219"/>
      <c r="UJJ242" s="219"/>
      <c r="UJK242" s="219"/>
      <c r="UJL242" s="219"/>
      <c r="UJM242" s="219"/>
      <c r="UJN242" s="219"/>
      <c r="UJO242" s="219"/>
      <c r="UJP242" s="219"/>
      <c r="UJQ242" s="219"/>
      <c r="UJR242" s="219"/>
      <c r="UJS242" s="219"/>
      <c r="UJT242" s="219"/>
      <c r="UJU242" s="219"/>
      <c r="UJV242" s="219"/>
      <c r="UJW242" s="219"/>
      <c r="UJX242" s="219"/>
      <c r="UJY242" s="219"/>
      <c r="UJZ242" s="219"/>
      <c r="UKA242" s="219"/>
      <c r="UKB242" s="219"/>
      <c r="UKC242" s="219"/>
      <c r="UKD242" s="219"/>
      <c r="UKE242" s="219"/>
      <c r="UKF242" s="219"/>
      <c r="UKG242" s="219"/>
      <c r="UKH242" s="219"/>
      <c r="UKI242" s="219"/>
      <c r="UKJ242" s="219"/>
      <c r="UKK242" s="219"/>
      <c r="UKL242" s="219"/>
      <c r="UKM242" s="219"/>
      <c r="UKN242" s="219"/>
      <c r="UKO242" s="219"/>
      <c r="UKP242" s="219"/>
      <c r="UKQ242" s="219"/>
      <c r="UKR242" s="219"/>
      <c r="UKS242" s="219"/>
      <c r="UKT242" s="219"/>
      <c r="UKU242" s="219"/>
      <c r="UKV242" s="219"/>
      <c r="UKW242" s="219"/>
      <c r="UKX242" s="219"/>
      <c r="UKY242" s="219"/>
      <c r="UKZ242" s="219"/>
      <c r="ULA242" s="219"/>
      <c r="ULB242" s="219"/>
      <c r="ULC242" s="219"/>
      <c r="ULD242" s="219"/>
      <c r="ULE242" s="219"/>
      <c r="ULF242" s="219"/>
      <c r="ULG242" s="219"/>
      <c r="ULH242" s="219"/>
      <c r="ULI242" s="219"/>
      <c r="ULJ242" s="219"/>
      <c r="ULK242" s="219"/>
      <c r="ULL242" s="219"/>
      <c r="ULM242" s="219"/>
      <c r="ULN242" s="219"/>
      <c r="ULO242" s="219"/>
      <c r="ULP242" s="219"/>
      <c r="ULQ242" s="219"/>
      <c r="ULR242" s="219"/>
      <c r="ULS242" s="219"/>
      <c r="ULT242" s="219"/>
      <c r="ULU242" s="219"/>
      <c r="ULV242" s="219"/>
      <c r="ULW242" s="219"/>
      <c r="ULX242" s="219"/>
      <c r="ULY242" s="219"/>
      <c r="ULZ242" s="219"/>
      <c r="UMA242" s="219"/>
      <c r="UMB242" s="219"/>
      <c r="UMC242" s="219"/>
      <c r="UMD242" s="219"/>
      <c r="UME242" s="219"/>
      <c r="UMF242" s="219"/>
      <c r="UMG242" s="219"/>
      <c r="UMH242" s="219"/>
      <c r="UMI242" s="219"/>
      <c r="UMJ242" s="219"/>
      <c r="UMK242" s="219"/>
      <c r="UML242" s="219"/>
      <c r="UMM242" s="219"/>
      <c r="UMN242" s="219"/>
      <c r="UMO242" s="219"/>
      <c r="UMP242" s="219"/>
      <c r="UMQ242" s="219"/>
      <c r="UMR242" s="219"/>
      <c r="UMS242" s="219"/>
      <c r="UMT242" s="219"/>
      <c r="UMU242" s="219"/>
      <c r="UMV242" s="219"/>
      <c r="UMW242" s="219"/>
      <c r="UMX242" s="219"/>
      <c r="UMY242" s="219"/>
      <c r="UMZ242" s="219"/>
      <c r="UNA242" s="219"/>
      <c r="UNB242" s="219"/>
      <c r="UNC242" s="219"/>
      <c r="UND242" s="219"/>
      <c r="UNE242" s="219"/>
      <c r="UNF242" s="219"/>
      <c r="UNG242" s="219"/>
      <c r="UNH242" s="219"/>
      <c r="UNI242" s="219"/>
      <c r="UNJ242" s="219"/>
      <c r="UNK242" s="219"/>
      <c r="UNL242" s="219"/>
      <c r="UNM242" s="219"/>
      <c r="UNN242" s="219"/>
      <c r="UNO242" s="219"/>
      <c r="UNP242" s="219"/>
      <c r="UNQ242" s="219"/>
      <c r="UNR242" s="219"/>
      <c r="UNS242" s="219"/>
      <c r="UNT242" s="219"/>
      <c r="UNU242" s="219"/>
      <c r="UNV242" s="219"/>
      <c r="UNW242" s="219"/>
      <c r="UNX242" s="219"/>
      <c r="UNY242" s="219"/>
      <c r="UNZ242" s="219"/>
      <c r="UOA242" s="219"/>
      <c r="UOB242" s="219"/>
      <c r="UOC242" s="219"/>
      <c r="UOD242" s="219"/>
      <c r="UOE242" s="219"/>
      <c r="UOF242" s="219"/>
      <c r="UOG242" s="219"/>
      <c r="UOH242" s="219"/>
      <c r="UOI242" s="219"/>
      <c r="UOJ242" s="219"/>
      <c r="UOK242" s="219"/>
      <c r="UOL242" s="219"/>
      <c r="UOM242" s="219"/>
      <c r="UON242" s="219"/>
      <c r="UOO242" s="219"/>
      <c r="UOP242" s="219"/>
      <c r="UOQ242" s="219"/>
      <c r="UOR242" s="219"/>
      <c r="UOS242" s="219"/>
      <c r="UOT242" s="219"/>
      <c r="UOU242" s="219"/>
      <c r="UOV242" s="219"/>
      <c r="UOW242" s="219"/>
      <c r="UOX242" s="219"/>
      <c r="UOY242" s="219"/>
      <c r="UOZ242" s="219"/>
      <c r="UPA242" s="219"/>
      <c r="UPB242" s="219"/>
      <c r="UPC242" s="219"/>
      <c r="UPD242" s="219"/>
      <c r="UPE242" s="219"/>
      <c r="UPF242" s="219"/>
      <c r="UPG242" s="219"/>
      <c r="UPH242" s="219"/>
      <c r="UPI242" s="219"/>
      <c r="UPJ242" s="219"/>
      <c r="UPK242" s="219"/>
      <c r="UPL242" s="219"/>
      <c r="UPM242" s="219"/>
      <c r="UPN242" s="219"/>
      <c r="UPO242" s="219"/>
      <c r="UPP242" s="219"/>
      <c r="UPQ242" s="219"/>
      <c r="UPR242" s="219"/>
      <c r="UPS242" s="219"/>
      <c r="UPT242" s="219"/>
      <c r="UPU242" s="219"/>
      <c r="UPV242" s="219"/>
      <c r="UPW242" s="219"/>
      <c r="UPX242" s="219"/>
      <c r="UPY242" s="219"/>
      <c r="UPZ242" s="219"/>
      <c r="UQA242" s="219"/>
      <c r="UQB242" s="219"/>
      <c r="UQC242" s="219"/>
      <c r="UQD242" s="219"/>
      <c r="UQE242" s="219"/>
      <c r="UQF242" s="219"/>
      <c r="UQG242" s="219"/>
      <c r="UQH242" s="219"/>
      <c r="UQI242" s="219"/>
      <c r="UQJ242" s="219"/>
      <c r="UQK242" s="219"/>
      <c r="UQL242" s="219"/>
      <c r="UQM242" s="219"/>
      <c r="UQN242" s="219"/>
      <c r="UQO242" s="219"/>
      <c r="UQP242" s="219"/>
      <c r="UQQ242" s="219"/>
      <c r="UQR242" s="219"/>
      <c r="UQS242" s="219"/>
      <c r="UQT242" s="219"/>
      <c r="UQU242" s="219"/>
      <c r="UQV242" s="219"/>
      <c r="UQW242" s="219"/>
      <c r="UQX242" s="219"/>
      <c r="UQY242" s="219"/>
      <c r="UQZ242" s="219"/>
      <c r="URA242" s="219"/>
      <c r="URB242" s="219"/>
      <c r="URC242" s="219"/>
      <c r="URD242" s="219"/>
      <c r="URE242" s="219"/>
      <c r="URF242" s="219"/>
      <c r="URG242" s="219"/>
      <c r="URH242" s="219"/>
      <c r="URI242" s="219"/>
      <c r="URJ242" s="219"/>
      <c r="URK242" s="219"/>
      <c r="URL242" s="219"/>
      <c r="URM242" s="219"/>
      <c r="URN242" s="219"/>
      <c r="URO242" s="219"/>
      <c r="URP242" s="219"/>
      <c r="URQ242" s="219"/>
      <c r="URR242" s="219"/>
      <c r="URS242" s="219"/>
      <c r="URT242" s="219"/>
      <c r="URU242" s="219"/>
      <c r="URV242" s="219"/>
      <c r="URW242" s="219"/>
      <c r="URX242" s="219"/>
      <c r="URY242" s="219"/>
      <c r="URZ242" s="219"/>
      <c r="USA242" s="219"/>
      <c r="USB242" s="219"/>
      <c r="USC242" s="219"/>
      <c r="USD242" s="219"/>
      <c r="USE242" s="219"/>
      <c r="USF242" s="219"/>
      <c r="USG242" s="219"/>
      <c r="USH242" s="219"/>
      <c r="USI242" s="219"/>
      <c r="USJ242" s="219"/>
      <c r="USK242" s="219"/>
      <c r="USL242" s="219"/>
      <c r="USM242" s="219"/>
      <c r="USN242" s="219"/>
      <c r="USO242" s="219"/>
      <c r="USP242" s="219"/>
      <c r="USQ242" s="219"/>
      <c r="USR242" s="219"/>
      <c r="USS242" s="219"/>
      <c r="UST242" s="219"/>
      <c r="USU242" s="219"/>
      <c r="USV242" s="219"/>
      <c r="USW242" s="219"/>
      <c r="USX242" s="219"/>
      <c r="USY242" s="219"/>
      <c r="USZ242" s="219"/>
      <c r="UTA242" s="219"/>
      <c r="UTB242" s="219"/>
      <c r="UTC242" s="219"/>
      <c r="UTD242" s="219"/>
      <c r="UTE242" s="219"/>
      <c r="UTF242" s="219"/>
      <c r="UTG242" s="219"/>
      <c r="UTH242" s="219"/>
      <c r="UTI242" s="219"/>
      <c r="UTJ242" s="219"/>
      <c r="UTK242" s="219"/>
      <c r="UTL242" s="219"/>
      <c r="UTM242" s="219"/>
      <c r="UTN242" s="219"/>
      <c r="UTO242" s="219"/>
      <c r="UTP242" s="219"/>
      <c r="UTQ242" s="219"/>
      <c r="UTR242" s="219"/>
      <c r="UTS242" s="219"/>
      <c r="UTT242" s="219"/>
      <c r="UTU242" s="219"/>
      <c r="UTV242" s="219"/>
      <c r="UTW242" s="219"/>
      <c r="UTX242" s="219"/>
      <c r="UTY242" s="219"/>
      <c r="UTZ242" s="219"/>
      <c r="UUA242" s="219"/>
      <c r="UUB242" s="219"/>
      <c r="UUC242" s="219"/>
      <c r="UUD242" s="219"/>
      <c r="UUE242" s="219"/>
      <c r="UUF242" s="219"/>
      <c r="UUG242" s="219"/>
      <c r="UUH242" s="219"/>
      <c r="UUI242" s="219"/>
      <c r="UUJ242" s="219"/>
      <c r="UUK242" s="219"/>
      <c r="UUL242" s="219"/>
      <c r="UUM242" s="219"/>
      <c r="UUN242" s="219"/>
      <c r="UUO242" s="219"/>
      <c r="UUP242" s="219"/>
      <c r="UUQ242" s="219"/>
      <c r="UUR242" s="219"/>
      <c r="UUS242" s="219"/>
      <c r="UUT242" s="219"/>
      <c r="UUU242" s="219"/>
      <c r="UUV242" s="219"/>
      <c r="UUW242" s="219"/>
      <c r="UUX242" s="219"/>
      <c r="UUY242" s="219"/>
      <c r="UUZ242" s="219"/>
      <c r="UVA242" s="219"/>
      <c r="UVB242" s="219"/>
      <c r="UVC242" s="219"/>
      <c r="UVD242" s="219"/>
      <c r="UVE242" s="219"/>
      <c r="UVF242" s="219"/>
      <c r="UVG242" s="219"/>
      <c r="UVH242" s="219"/>
      <c r="UVI242" s="219"/>
      <c r="UVJ242" s="219"/>
      <c r="UVK242" s="219"/>
      <c r="UVL242" s="219"/>
      <c r="UVM242" s="219"/>
      <c r="UVN242" s="219"/>
      <c r="UVO242" s="219"/>
      <c r="UVP242" s="219"/>
      <c r="UVQ242" s="219"/>
      <c r="UVR242" s="219"/>
      <c r="UVS242" s="219"/>
      <c r="UVT242" s="219"/>
      <c r="UVU242" s="219"/>
      <c r="UVV242" s="219"/>
      <c r="UVW242" s="219"/>
      <c r="UVX242" s="219"/>
      <c r="UVY242" s="219"/>
      <c r="UVZ242" s="219"/>
      <c r="UWA242" s="219"/>
      <c r="UWB242" s="219"/>
      <c r="UWC242" s="219"/>
      <c r="UWD242" s="219"/>
      <c r="UWE242" s="219"/>
      <c r="UWF242" s="219"/>
      <c r="UWG242" s="219"/>
      <c r="UWH242" s="219"/>
      <c r="UWI242" s="219"/>
      <c r="UWJ242" s="219"/>
      <c r="UWK242" s="219"/>
      <c r="UWL242" s="219"/>
      <c r="UWM242" s="219"/>
      <c r="UWN242" s="219"/>
      <c r="UWO242" s="219"/>
      <c r="UWP242" s="219"/>
      <c r="UWQ242" s="219"/>
      <c r="UWR242" s="219"/>
      <c r="UWS242" s="219"/>
      <c r="UWT242" s="219"/>
      <c r="UWU242" s="219"/>
      <c r="UWV242" s="219"/>
      <c r="UWW242" s="219"/>
      <c r="UWX242" s="219"/>
      <c r="UWY242" s="219"/>
      <c r="UWZ242" s="219"/>
      <c r="UXA242" s="219"/>
      <c r="UXB242" s="219"/>
      <c r="UXC242" s="219"/>
      <c r="UXD242" s="219"/>
      <c r="UXE242" s="219"/>
      <c r="UXF242" s="219"/>
      <c r="UXG242" s="219"/>
      <c r="UXH242" s="219"/>
      <c r="UXI242" s="219"/>
      <c r="UXJ242" s="219"/>
      <c r="UXK242" s="219"/>
      <c r="UXL242" s="219"/>
      <c r="UXM242" s="219"/>
      <c r="UXN242" s="219"/>
      <c r="UXO242" s="219"/>
      <c r="UXP242" s="219"/>
      <c r="UXQ242" s="219"/>
      <c r="UXR242" s="219"/>
      <c r="UXS242" s="219"/>
      <c r="UXT242" s="219"/>
      <c r="UXU242" s="219"/>
      <c r="UXV242" s="219"/>
      <c r="UXW242" s="219"/>
      <c r="UXX242" s="219"/>
      <c r="UXY242" s="219"/>
      <c r="UXZ242" s="219"/>
      <c r="UYA242" s="219"/>
      <c r="UYB242" s="219"/>
      <c r="UYC242" s="219"/>
      <c r="UYD242" s="219"/>
      <c r="UYE242" s="219"/>
      <c r="UYF242" s="219"/>
      <c r="UYG242" s="219"/>
      <c r="UYH242" s="219"/>
      <c r="UYI242" s="219"/>
      <c r="UYJ242" s="219"/>
      <c r="UYK242" s="219"/>
      <c r="UYL242" s="219"/>
      <c r="UYM242" s="219"/>
      <c r="UYN242" s="219"/>
      <c r="UYO242" s="219"/>
      <c r="UYP242" s="219"/>
      <c r="UYQ242" s="219"/>
      <c r="UYR242" s="219"/>
      <c r="UYS242" s="219"/>
      <c r="UYT242" s="219"/>
      <c r="UYU242" s="219"/>
      <c r="UYV242" s="219"/>
      <c r="UYW242" s="219"/>
      <c r="UYX242" s="219"/>
      <c r="UYY242" s="219"/>
      <c r="UYZ242" s="219"/>
      <c r="UZA242" s="219"/>
      <c r="UZB242" s="219"/>
      <c r="UZC242" s="219"/>
      <c r="UZD242" s="219"/>
      <c r="UZE242" s="219"/>
      <c r="UZF242" s="219"/>
      <c r="UZG242" s="219"/>
      <c r="UZH242" s="219"/>
      <c r="UZI242" s="219"/>
      <c r="UZJ242" s="219"/>
      <c r="UZK242" s="219"/>
      <c r="UZL242" s="219"/>
      <c r="UZM242" s="219"/>
      <c r="UZN242" s="219"/>
      <c r="UZO242" s="219"/>
      <c r="UZP242" s="219"/>
      <c r="UZQ242" s="219"/>
      <c r="UZR242" s="219"/>
      <c r="UZS242" s="219"/>
      <c r="UZT242" s="219"/>
      <c r="UZU242" s="219"/>
      <c r="UZV242" s="219"/>
      <c r="UZW242" s="219"/>
      <c r="UZX242" s="219"/>
      <c r="UZY242" s="219"/>
      <c r="UZZ242" s="219"/>
      <c r="VAA242" s="219"/>
      <c r="VAB242" s="219"/>
      <c r="VAC242" s="219"/>
      <c r="VAD242" s="219"/>
      <c r="VAE242" s="219"/>
      <c r="VAF242" s="219"/>
      <c r="VAG242" s="219"/>
      <c r="VAH242" s="219"/>
      <c r="VAI242" s="219"/>
      <c r="VAJ242" s="219"/>
      <c r="VAK242" s="219"/>
      <c r="VAL242" s="219"/>
      <c r="VAM242" s="219"/>
      <c r="VAN242" s="219"/>
      <c r="VAO242" s="219"/>
      <c r="VAP242" s="219"/>
      <c r="VAQ242" s="219"/>
      <c r="VAR242" s="219"/>
      <c r="VAS242" s="219"/>
      <c r="VAT242" s="219"/>
      <c r="VAU242" s="219"/>
      <c r="VAV242" s="219"/>
      <c r="VAW242" s="219"/>
      <c r="VAX242" s="219"/>
      <c r="VAY242" s="219"/>
      <c r="VAZ242" s="219"/>
      <c r="VBA242" s="219"/>
      <c r="VBB242" s="219"/>
      <c r="VBC242" s="219"/>
      <c r="VBD242" s="219"/>
      <c r="VBE242" s="219"/>
      <c r="VBF242" s="219"/>
      <c r="VBG242" s="219"/>
      <c r="VBH242" s="219"/>
      <c r="VBI242" s="219"/>
      <c r="VBJ242" s="219"/>
      <c r="VBK242" s="219"/>
      <c r="VBL242" s="219"/>
      <c r="VBM242" s="219"/>
      <c r="VBN242" s="219"/>
      <c r="VBO242" s="219"/>
      <c r="VBP242" s="219"/>
      <c r="VBQ242" s="219"/>
      <c r="VBR242" s="219"/>
      <c r="VBS242" s="219"/>
      <c r="VBT242" s="219"/>
      <c r="VBU242" s="219"/>
      <c r="VBV242" s="219"/>
      <c r="VBW242" s="219"/>
      <c r="VBX242" s="219"/>
      <c r="VBY242" s="219"/>
      <c r="VBZ242" s="219"/>
      <c r="VCA242" s="219"/>
      <c r="VCB242" s="219"/>
      <c r="VCC242" s="219"/>
      <c r="VCD242" s="219"/>
      <c r="VCE242" s="219"/>
      <c r="VCF242" s="219"/>
      <c r="VCG242" s="219"/>
      <c r="VCH242" s="219"/>
      <c r="VCI242" s="219"/>
      <c r="VCJ242" s="219"/>
      <c r="VCK242" s="219"/>
      <c r="VCL242" s="219"/>
      <c r="VCM242" s="219"/>
      <c r="VCN242" s="219"/>
      <c r="VCO242" s="219"/>
      <c r="VCP242" s="219"/>
      <c r="VCQ242" s="219"/>
      <c r="VCR242" s="219"/>
      <c r="VCS242" s="219"/>
      <c r="VCT242" s="219"/>
      <c r="VCU242" s="219"/>
      <c r="VCV242" s="219"/>
      <c r="VCW242" s="219"/>
      <c r="VCX242" s="219"/>
      <c r="VCY242" s="219"/>
      <c r="VCZ242" s="219"/>
      <c r="VDA242" s="219"/>
      <c r="VDB242" s="219"/>
      <c r="VDC242" s="219"/>
      <c r="VDD242" s="219"/>
      <c r="VDE242" s="219"/>
      <c r="VDF242" s="219"/>
      <c r="VDG242" s="219"/>
      <c r="VDH242" s="219"/>
      <c r="VDI242" s="219"/>
      <c r="VDJ242" s="219"/>
      <c r="VDK242" s="219"/>
      <c r="VDL242" s="219"/>
      <c r="VDM242" s="219"/>
      <c r="VDN242" s="219"/>
      <c r="VDO242" s="219"/>
      <c r="VDP242" s="219"/>
      <c r="VDQ242" s="219"/>
      <c r="VDR242" s="219"/>
      <c r="VDS242" s="219"/>
      <c r="VDT242" s="219"/>
      <c r="VDU242" s="219"/>
      <c r="VDV242" s="219"/>
      <c r="VDW242" s="219"/>
      <c r="VDX242" s="219"/>
      <c r="VDY242" s="219"/>
      <c r="VDZ242" s="219"/>
      <c r="VEA242" s="219"/>
      <c r="VEB242" s="219"/>
      <c r="VEC242" s="219"/>
      <c r="VED242" s="219"/>
      <c r="VEE242" s="219"/>
      <c r="VEF242" s="219"/>
      <c r="VEG242" s="219"/>
      <c r="VEH242" s="219"/>
      <c r="VEI242" s="219"/>
      <c r="VEJ242" s="219"/>
      <c r="VEK242" s="219"/>
      <c r="VEL242" s="219"/>
      <c r="VEM242" s="219"/>
      <c r="VEN242" s="219"/>
      <c r="VEO242" s="219"/>
      <c r="VEP242" s="219"/>
      <c r="VEQ242" s="219"/>
      <c r="VER242" s="219"/>
      <c r="VES242" s="219"/>
      <c r="VET242" s="219"/>
      <c r="VEU242" s="219"/>
      <c r="VEV242" s="219"/>
      <c r="VEW242" s="219"/>
      <c r="VEX242" s="219"/>
      <c r="VEY242" s="219"/>
      <c r="VEZ242" s="219"/>
      <c r="VFA242" s="219"/>
      <c r="VFB242" s="219"/>
      <c r="VFC242" s="219"/>
      <c r="VFD242" s="219"/>
      <c r="VFE242" s="219"/>
      <c r="VFF242" s="219"/>
      <c r="VFG242" s="219"/>
      <c r="VFH242" s="219"/>
      <c r="VFI242" s="219"/>
      <c r="VFJ242" s="219"/>
      <c r="VFK242" s="219"/>
      <c r="VFL242" s="219"/>
      <c r="VFM242" s="219"/>
      <c r="VFN242" s="219"/>
      <c r="VFO242" s="219"/>
      <c r="VFP242" s="219"/>
      <c r="VFQ242" s="219"/>
      <c r="VFR242" s="219"/>
      <c r="VFS242" s="219"/>
      <c r="VFT242" s="219"/>
      <c r="VFU242" s="219"/>
      <c r="VFV242" s="219"/>
      <c r="VFW242" s="219"/>
      <c r="VFX242" s="219"/>
      <c r="VFY242" s="219"/>
      <c r="VFZ242" s="219"/>
      <c r="VGA242" s="219"/>
      <c r="VGB242" s="219"/>
      <c r="VGC242" s="219"/>
      <c r="VGD242" s="219"/>
      <c r="VGE242" s="219"/>
      <c r="VGF242" s="219"/>
      <c r="VGG242" s="219"/>
      <c r="VGH242" s="219"/>
      <c r="VGI242" s="219"/>
      <c r="VGJ242" s="219"/>
      <c r="VGK242" s="219"/>
      <c r="VGL242" s="219"/>
      <c r="VGM242" s="219"/>
      <c r="VGN242" s="219"/>
      <c r="VGO242" s="219"/>
      <c r="VGP242" s="219"/>
      <c r="VGQ242" s="219"/>
      <c r="VGR242" s="219"/>
      <c r="VGS242" s="219"/>
      <c r="VGT242" s="219"/>
      <c r="VGU242" s="219"/>
      <c r="VGV242" s="219"/>
      <c r="VGW242" s="219"/>
      <c r="VGX242" s="219"/>
      <c r="VGY242" s="219"/>
      <c r="VGZ242" s="219"/>
      <c r="VHA242" s="219"/>
      <c r="VHB242" s="219"/>
      <c r="VHC242" s="219"/>
      <c r="VHD242" s="219"/>
      <c r="VHE242" s="219"/>
      <c r="VHF242" s="219"/>
      <c r="VHG242" s="219"/>
      <c r="VHH242" s="219"/>
      <c r="VHI242" s="219"/>
      <c r="VHJ242" s="219"/>
      <c r="VHK242" s="219"/>
      <c r="VHL242" s="219"/>
      <c r="VHM242" s="219"/>
      <c r="VHN242" s="219"/>
      <c r="VHO242" s="219"/>
      <c r="VHP242" s="219"/>
      <c r="VHQ242" s="219"/>
      <c r="VHR242" s="219"/>
      <c r="VHS242" s="219"/>
      <c r="VHT242" s="219"/>
      <c r="VHU242" s="219"/>
      <c r="VHV242" s="219"/>
      <c r="VHW242" s="219"/>
      <c r="VHX242" s="219"/>
      <c r="VHY242" s="219"/>
      <c r="VHZ242" s="219"/>
      <c r="VIA242" s="219"/>
      <c r="VIB242" s="219"/>
      <c r="VIC242" s="219"/>
      <c r="VID242" s="219"/>
      <c r="VIE242" s="219"/>
      <c r="VIF242" s="219"/>
      <c r="VIG242" s="219"/>
      <c r="VIH242" s="219"/>
      <c r="VII242" s="219"/>
      <c r="VIJ242" s="219"/>
      <c r="VIK242" s="219"/>
      <c r="VIL242" s="219"/>
      <c r="VIM242" s="219"/>
      <c r="VIN242" s="219"/>
      <c r="VIO242" s="219"/>
      <c r="VIP242" s="219"/>
      <c r="VIQ242" s="219"/>
      <c r="VIR242" s="219"/>
      <c r="VIS242" s="219"/>
      <c r="VIT242" s="219"/>
      <c r="VIU242" s="219"/>
      <c r="VIV242" s="219"/>
      <c r="VIW242" s="219"/>
      <c r="VIX242" s="219"/>
      <c r="VIY242" s="219"/>
      <c r="VIZ242" s="219"/>
      <c r="VJA242" s="219"/>
      <c r="VJB242" s="219"/>
      <c r="VJC242" s="219"/>
      <c r="VJD242" s="219"/>
      <c r="VJE242" s="219"/>
      <c r="VJF242" s="219"/>
      <c r="VJG242" s="219"/>
      <c r="VJH242" s="219"/>
      <c r="VJI242" s="219"/>
      <c r="VJJ242" s="219"/>
      <c r="VJK242" s="219"/>
      <c r="VJL242" s="219"/>
      <c r="VJM242" s="219"/>
      <c r="VJN242" s="219"/>
      <c r="VJO242" s="219"/>
      <c r="VJP242" s="219"/>
      <c r="VJQ242" s="219"/>
      <c r="VJR242" s="219"/>
      <c r="VJS242" s="219"/>
      <c r="VJT242" s="219"/>
      <c r="VJU242" s="219"/>
      <c r="VJV242" s="219"/>
      <c r="VJW242" s="219"/>
      <c r="VJX242" s="219"/>
      <c r="VJY242" s="219"/>
      <c r="VJZ242" s="219"/>
      <c r="VKA242" s="219"/>
      <c r="VKB242" s="219"/>
      <c r="VKC242" s="219"/>
      <c r="VKD242" s="219"/>
      <c r="VKE242" s="219"/>
      <c r="VKF242" s="219"/>
      <c r="VKG242" s="219"/>
      <c r="VKH242" s="219"/>
      <c r="VKI242" s="219"/>
      <c r="VKJ242" s="219"/>
      <c r="VKK242" s="219"/>
      <c r="VKL242" s="219"/>
      <c r="VKM242" s="219"/>
      <c r="VKN242" s="219"/>
      <c r="VKO242" s="219"/>
      <c r="VKP242" s="219"/>
      <c r="VKQ242" s="219"/>
      <c r="VKR242" s="219"/>
      <c r="VKS242" s="219"/>
      <c r="VKT242" s="219"/>
      <c r="VKU242" s="219"/>
      <c r="VKV242" s="219"/>
      <c r="VKW242" s="219"/>
      <c r="VKX242" s="219"/>
      <c r="VKY242" s="219"/>
      <c r="VKZ242" s="219"/>
      <c r="VLA242" s="219"/>
      <c r="VLB242" s="219"/>
      <c r="VLC242" s="219"/>
      <c r="VLD242" s="219"/>
      <c r="VLE242" s="219"/>
      <c r="VLF242" s="219"/>
      <c r="VLG242" s="219"/>
      <c r="VLH242" s="219"/>
      <c r="VLI242" s="219"/>
      <c r="VLJ242" s="219"/>
      <c r="VLK242" s="219"/>
      <c r="VLL242" s="219"/>
      <c r="VLM242" s="219"/>
      <c r="VLN242" s="219"/>
      <c r="VLO242" s="219"/>
      <c r="VLP242" s="219"/>
      <c r="VLQ242" s="219"/>
      <c r="VLR242" s="219"/>
      <c r="VLS242" s="219"/>
      <c r="VLT242" s="219"/>
      <c r="VLU242" s="219"/>
      <c r="VLV242" s="219"/>
      <c r="VLW242" s="219"/>
      <c r="VLX242" s="219"/>
      <c r="VLY242" s="219"/>
      <c r="VLZ242" s="219"/>
      <c r="VMA242" s="219"/>
      <c r="VMB242" s="219"/>
      <c r="VMC242" s="219"/>
      <c r="VMD242" s="219"/>
      <c r="VME242" s="219"/>
      <c r="VMF242" s="219"/>
      <c r="VMG242" s="219"/>
      <c r="VMH242" s="219"/>
      <c r="VMI242" s="219"/>
      <c r="VMJ242" s="219"/>
      <c r="VMK242" s="219"/>
      <c r="VML242" s="219"/>
      <c r="VMM242" s="219"/>
      <c r="VMN242" s="219"/>
      <c r="VMO242" s="219"/>
      <c r="VMP242" s="219"/>
      <c r="VMQ242" s="219"/>
      <c r="VMR242" s="219"/>
      <c r="VMS242" s="219"/>
      <c r="VMT242" s="219"/>
      <c r="VMU242" s="219"/>
      <c r="VMV242" s="219"/>
      <c r="VMW242" s="219"/>
      <c r="VMX242" s="219"/>
      <c r="VMY242" s="219"/>
      <c r="VMZ242" s="219"/>
      <c r="VNA242" s="219"/>
      <c r="VNB242" s="219"/>
      <c r="VNC242" s="219"/>
      <c r="VND242" s="219"/>
      <c r="VNE242" s="219"/>
      <c r="VNF242" s="219"/>
      <c r="VNG242" s="219"/>
      <c r="VNH242" s="219"/>
      <c r="VNI242" s="219"/>
      <c r="VNJ242" s="219"/>
      <c r="VNK242" s="219"/>
      <c r="VNL242" s="219"/>
      <c r="VNM242" s="219"/>
      <c r="VNN242" s="219"/>
      <c r="VNO242" s="219"/>
      <c r="VNP242" s="219"/>
      <c r="VNQ242" s="219"/>
      <c r="VNR242" s="219"/>
      <c r="VNS242" s="219"/>
      <c r="VNT242" s="219"/>
      <c r="VNU242" s="219"/>
      <c r="VNV242" s="219"/>
      <c r="VNW242" s="219"/>
      <c r="VNX242" s="219"/>
      <c r="VNY242" s="219"/>
      <c r="VNZ242" s="219"/>
      <c r="VOA242" s="219"/>
      <c r="VOB242" s="219"/>
      <c r="VOC242" s="219"/>
      <c r="VOD242" s="219"/>
      <c r="VOE242" s="219"/>
      <c r="VOF242" s="219"/>
      <c r="VOG242" s="219"/>
      <c r="VOH242" s="219"/>
      <c r="VOI242" s="219"/>
      <c r="VOJ242" s="219"/>
      <c r="VOK242" s="219"/>
      <c r="VOL242" s="219"/>
      <c r="VOM242" s="219"/>
      <c r="VON242" s="219"/>
      <c r="VOO242" s="219"/>
      <c r="VOP242" s="219"/>
      <c r="VOQ242" s="219"/>
      <c r="VOR242" s="219"/>
      <c r="VOS242" s="219"/>
      <c r="VOT242" s="219"/>
      <c r="VOU242" s="219"/>
      <c r="VOV242" s="219"/>
      <c r="VOW242" s="219"/>
      <c r="VOX242" s="219"/>
      <c r="VOY242" s="219"/>
      <c r="VOZ242" s="219"/>
      <c r="VPA242" s="219"/>
      <c r="VPB242" s="219"/>
      <c r="VPC242" s="219"/>
      <c r="VPD242" s="219"/>
      <c r="VPE242" s="219"/>
      <c r="VPF242" s="219"/>
      <c r="VPG242" s="219"/>
      <c r="VPH242" s="219"/>
      <c r="VPI242" s="219"/>
      <c r="VPJ242" s="219"/>
      <c r="VPK242" s="219"/>
      <c r="VPL242" s="219"/>
      <c r="VPM242" s="219"/>
      <c r="VPN242" s="219"/>
      <c r="VPO242" s="219"/>
      <c r="VPP242" s="219"/>
      <c r="VPQ242" s="219"/>
      <c r="VPR242" s="219"/>
      <c r="VPS242" s="219"/>
      <c r="VPT242" s="219"/>
      <c r="VPU242" s="219"/>
      <c r="VPV242" s="219"/>
      <c r="VPW242" s="219"/>
      <c r="VPX242" s="219"/>
      <c r="VPY242" s="219"/>
      <c r="VPZ242" s="219"/>
      <c r="VQA242" s="219"/>
      <c r="VQB242" s="219"/>
      <c r="VQC242" s="219"/>
      <c r="VQD242" s="219"/>
      <c r="VQE242" s="219"/>
      <c r="VQF242" s="219"/>
      <c r="VQG242" s="219"/>
      <c r="VQH242" s="219"/>
      <c r="VQI242" s="219"/>
      <c r="VQJ242" s="219"/>
      <c r="VQK242" s="219"/>
      <c r="VQL242" s="219"/>
      <c r="VQM242" s="219"/>
      <c r="VQN242" s="219"/>
      <c r="VQO242" s="219"/>
      <c r="VQP242" s="219"/>
      <c r="VQQ242" s="219"/>
      <c r="VQR242" s="219"/>
      <c r="VQS242" s="219"/>
      <c r="VQT242" s="219"/>
      <c r="VQU242" s="219"/>
      <c r="VQV242" s="219"/>
      <c r="VQW242" s="219"/>
      <c r="VQX242" s="219"/>
      <c r="VQY242" s="219"/>
      <c r="VQZ242" s="219"/>
      <c r="VRA242" s="219"/>
      <c r="VRB242" s="219"/>
      <c r="VRC242" s="219"/>
      <c r="VRD242" s="219"/>
      <c r="VRE242" s="219"/>
      <c r="VRF242" s="219"/>
      <c r="VRG242" s="219"/>
      <c r="VRH242" s="219"/>
      <c r="VRI242" s="219"/>
      <c r="VRJ242" s="219"/>
      <c r="VRK242" s="219"/>
      <c r="VRL242" s="219"/>
      <c r="VRM242" s="219"/>
      <c r="VRN242" s="219"/>
      <c r="VRO242" s="219"/>
      <c r="VRP242" s="219"/>
      <c r="VRQ242" s="219"/>
      <c r="VRR242" s="219"/>
      <c r="VRS242" s="219"/>
      <c r="VRT242" s="219"/>
      <c r="VRU242" s="219"/>
      <c r="VRV242" s="219"/>
      <c r="VRW242" s="219"/>
      <c r="VRX242" s="219"/>
      <c r="VRY242" s="219"/>
      <c r="VRZ242" s="219"/>
      <c r="VSA242" s="219"/>
      <c r="VSB242" s="219"/>
      <c r="VSC242" s="219"/>
      <c r="VSD242" s="219"/>
      <c r="VSE242" s="219"/>
      <c r="VSF242" s="219"/>
      <c r="VSG242" s="219"/>
      <c r="VSH242" s="219"/>
      <c r="VSI242" s="219"/>
      <c r="VSJ242" s="219"/>
      <c r="VSK242" s="219"/>
      <c r="VSL242" s="219"/>
      <c r="VSM242" s="219"/>
      <c r="VSN242" s="219"/>
      <c r="VSO242" s="219"/>
      <c r="VSP242" s="219"/>
      <c r="VSQ242" s="219"/>
      <c r="VSR242" s="219"/>
      <c r="VSS242" s="219"/>
      <c r="VST242" s="219"/>
      <c r="VSU242" s="219"/>
      <c r="VSV242" s="219"/>
      <c r="VSW242" s="219"/>
      <c r="VSX242" s="219"/>
      <c r="VSY242" s="219"/>
      <c r="VSZ242" s="219"/>
      <c r="VTA242" s="219"/>
      <c r="VTB242" s="219"/>
      <c r="VTC242" s="219"/>
      <c r="VTD242" s="219"/>
      <c r="VTE242" s="219"/>
      <c r="VTF242" s="219"/>
      <c r="VTG242" s="219"/>
      <c r="VTH242" s="219"/>
      <c r="VTI242" s="219"/>
      <c r="VTJ242" s="219"/>
      <c r="VTK242" s="219"/>
      <c r="VTL242" s="219"/>
      <c r="VTM242" s="219"/>
      <c r="VTN242" s="219"/>
      <c r="VTO242" s="219"/>
      <c r="VTP242" s="219"/>
      <c r="VTQ242" s="219"/>
      <c r="VTR242" s="219"/>
      <c r="VTS242" s="219"/>
      <c r="VTT242" s="219"/>
      <c r="VTU242" s="219"/>
      <c r="VTV242" s="219"/>
      <c r="VTW242" s="219"/>
      <c r="VTX242" s="219"/>
      <c r="VTY242" s="219"/>
      <c r="VTZ242" s="219"/>
      <c r="VUA242" s="219"/>
      <c r="VUB242" s="219"/>
      <c r="VUC242" s="219"/>
      <c r="VUD242" s="219"/>
      <c r="VUE242" s="219"/>
      <c r="VUF242" s="219"/>
      <c r="VUG242" s="219"/>
      <c r="VUH242" s="219"/>
      <c r="VUI242" s="219"/>
      <c r="VUJ242" s="219"/>
      <c r="VUK242" s="219"/>
      <c r="VUL242" s="219"/>
      <c r="VUM242" s="219"/>
      <c r="VUN242" s="219"/>
      <c r="VUO242" s="219"/>
      <c r="VUP242" s="219"/>
      <c r="VUQ242" s="219"/>
      <c r="VUR242" s="219"/>
      <c r="VUS242" s="219"/>
      <c r="VUT242" s="219"/>
      <c r="VUU242" s="219"/>
      <c r="VUV242" s="219"/>
      <c r="VUW242" s="219"/>
      <c r="VUX242" s="219"/>
      <c r="VUY242" s="219"/>
      <c r="VUZ242" s="219"/>
      <c r="VVA242" s="219"/>
      <c r="VVB242" s="219"/>
      <c r="VVC242" s="219"/>
      <c r="VVD242" s="219"/>
      <c r="VVE242" s="219"/>
      <c r="VVF242" s="219"/>
      <c r="VVG242" s="219"/>
      <c r="VVH242" s="219"/>
      <c r="VVI242" s="219"/>
      <c r="VVJ242" s="219"/>
      <c r="VVK242" s="219"/>
      <c r="VVL242" s="219"/>
      <c r="VVM242" s="219"/>
      <c r="VVN242" s="219"/>
      <c r="VVO242" s="219"/>
      <c r="VVP242" s="219"/>
      <c r="VVQ242" s="219"/>
      <c r="VVR242" s="219"/>
      <c r="VVS242" s="219"/>
      <c r="VVT242" s="219"/>
      <c r="VVU242" s="219"/>
      <c r="VVV242" s="219"/>
      <c r="VVW242" s="219"/>
      <c r="VVX242" s="219"/>
      <c r="VVY242" s="219"/>
      <c r="VVZ242" s="219"/>
      <c r="VWA242" s="219"/>
      <c r="VWB242" s="219"/>
      <c r="VWC242" s="219"/>
      <c r="VWD242" s="219"/>
      <c r="VWE242" s="219"/>
      <c r="VWF242" s="219"/>
      <c r="VWG242" s="219"/>
      <c r="VWH242" s="219"/>
      <c r="VWI242" s="219"/>
      <c r="VWJ242" s="219"/>
      <c r="VWK242" s="219"/>
      <c r="VWL242" s="219"/>
      <c r="VWM242" s="219"/>
      <c r="VWN242" s="219"/>
      <c r="VWO242" s="219"/>
      <c r="VWP242" s="219"/>
      <c r="VWQ242" s="219"/>
      <c r="VWR242" s="219"/>
      <c r="VWS242" s="219"/>
      <c r="VWT242" s="219"/>
      <c r="VWU242" s="219"/>
      <c r="VWV242" s="219"/>
      <c r="VWW242" s="219"/>
      <c r="VWX242" s="219"/>
      <c r="VWY242" s="219"/>
      <c r="VWZ242" s="219"/>
      <c r="VXA242" s="219"/>
      <c r="VXB242" s="219"/>
      <c r="VXC242" s="219"/>
      <c r="VXD242" s="219"/>
      <c r="VXE242" s="219"/>
      <c r="VXF242" s="219"/>
      <c r="VXG242" s="219"/>
      <c r="VXH242" s="219"/>
      <c r="VXI242" s="219"/>
      <c r="VXJ242" s="219"/>
      <c r="VXK242" s="219"/>
      <c r="VXL242" s="219"/>
      <c r="VXM242" s="219"/>
      <c r="VXN242" s="219"/>
      <c r="VXO242" s="219"/>
      <c r="VXP242" s="219"/>
      <c r="VXQ242" s="219"/>
      <c r="VXR242" s="219"/>
      <c r="VXS242" s="219"/>
      <c r="VXT242" s="219"/>
      <c r="VXU242" s="219"/>
      <c r="VXV242" s="219"/>
      <c r="VXW242" s="219"/>
      <c r="VXX242" s="219"/>
      <c r="VXY242" s="219"/>
      <c r="VXZ242" s="219"/>
      <c r="VYA242" s="219"/>
      <c r="VYB242" s="219"/>
      <c r="VYC242" s="219"/>
      <c r="VYD242" s="219"/>
      <c r="VYE242" s="219"/>
      <c r="VYF242" s="219"/>
      <c r="VYG242" s="219"/>
      <c r="VYH242" s="219"/>
      <c r="VYI242" s="219"/>
      <c r="VYJ242" s="219"/>
      <c r="VYK242" s="219"/>
      <c r="VYL242" s="219"/>
      <c r="VYM242" s="219"/>
      <c r="VYN242" s="219"/>
      <c r="VYO242" s="219"/>
      <c r="VYP242" s="219"/>
      <c r="VYQ242" s="219"/>
      <c r="VYR242" s="219"/>
      <c r="VYS242" s="219"/>
      <c r="VYT242" s="219"/>
      <c r="VYU242" s="219"/>
      <c r="VYV242" s="219"/>
      <c r="VYW242" s="219"/>
      <c r="VYX242" s="219"/>
      <c r="VYY242" s="219"/>
      <c r="VYZ242" s="219"/>
      <c r="VZA242" s="219"/>
      <c r="VZB242" s="219"/>
      <c r="VZC242" s="219"/>
      <c r="VZD242" s="219"/>
      <c r="VZE242" s="219"/>
      <c r="VZF242" s="219"/>
      <c r="VZG242" s="219"/>
      <c r="VZH242" s="219"/>
      <c r="VZI242" s="219"/>
      <c r="VZJ242" s="219"/>
      <c r="VZK242" s="219"/>
      <c r="VZL242" s="219"/>
      <c r="VZM242" s="219"/>
      <c r="VZN242" s="219"/>
      <c r="VZO242" s="219"/>
      <c r="VZP242" s="219"/>
      <c r="VZQ242" s="219"/>
      <c r="VZR242" s="219"/>
      <c r="VZS242" s="219"/>
      <c r="VZT242" s="219"/>
      <c r="VZU242" s="219"/>
      <c r="VZV242" s="219"/>
      <c r="VZW242" s="219"/>
      <c r="VZX242" s="219"/>
      <c r="VZY242" s="219"/>
      <c r="VZZ242" s="219"/>
      <c r="WAA242" s="219"/>
      <c r="WAB242" s="219"/>
      <c r="WAC242" s="219"/>
      <c r="WAD242" s="219"/>
      <c r="WAE242" s="219"/>
      <c r="WAF242" s="219"/>
      <c r="WAG242" s="219"/>
      <c r="WAH242" s="219"/>
      <c r="WAI242" s="219"/>
      <c r="WAJ242" s="219"/>
      <c r="WAK242" s="219"/>
      <c r="WAL242" s="219"/>
      <c r="WAM242" s="219"/>
      <c r="WAN242" s="219"/>
      <c r="WAO242" s="219"/>
      <c r="WAP242" s="219"/>
      <c r="WAQ242" s="219"/>
      <c r="WAR242" s="219"/>
      <c r="WAS242" s="219"/>
      <c r="WAT242" s="219"/>
      <c r="WAU242" s="219"/>
      <c r="WAV242" s="219"/>
      <c r="WAW242" s="219"/>
      <c r="WAX242" s="219"/>
      <c r="WAY242" s="219"/>
      <c r="WAZ242" s="219"/>
      <c r="WBA242" s="219"/>
      <c r="WBB242" s="219"/>
      <c r="WBC242" s="219"/>
      <c r="WBD242" s="219"/>
      <c r="WBE242" s="219"/>
      <c r="WBF242" s="219"/>
      <c r="WBG242" s="219"/>
      <c r="WBH242" s="219"/>
      <c r="WBI242" s="219"/>
      <c r="WBJ242" s="219"/>
      <c r="WBK242" s="219"/>
      <c r="WBL242" s="219"/>
      <c r="WBM242" s="219"/>
      <c r="WBN242" s="219"/>
      <c r="WBO242" s="219"/>
      <c r="WBP242" s="219"/>
      <c r="WBQ242" s="219"/>
      <c r="WBR242" s="219"/>
      <c r="WBS242" s="219"/>
      <c r="WBT242" s="219"/>
      <c r="WBU242" s="219"/>
      <c r="WBV242" s="219"/>
      <c r="WBW242" s="219"/>
      <c r="WBX242" s="219"/>
      <c r="WBY242" s="219"/>
      <c r="WBZ242" s="219"/>
      <c r="WCA242" s="219"/>
      <c r="WCB242" s="219"/>
      <c r="WCC242" s="219"/>
      <c r="WCD242" s="219"/>
      <c r="WCE242" s="219"/>
      <c r="WCF242" s="219"/>
      <c r="WCG242" s="219"/>
      <c r="WCH242" s="219"/>
      <c r="WCI242" s="219"/>
      <c r="WCJ242" s="219"/>
      <c r="WCK242" s="219"/>
      <c r="WCL242" s="219"/>
      <c r="WCM242" s="219"/>
      <c r="WCN242" s="219"/>
      <c r="WCO242" s="219"/>
      <c r="WCP242" s="219"/>
      <c r="WCQ242" s="219"/>
      <c r="WCR242" s="219"/>
      <c r="WCS242" s="219"/>
      <c r="WCT242" s="219"/>
      <c r="WCU242" s="219"/>
      <c r="WCV242" s="219"/>
      <c r="WCW242" s="219"/>
      <c r="WCX242" s="219"/>
      <c r="WCY242" s="219"/>
      <c r="WCZ242" s="219"/>
      <c r="WDA242" s="219"/>
      <c r="WDB242" s="219"/>
      <c r="WDC242" s="219"/>
      <c r="WDD242" s="219"/>
      <c r="WDE242" s="219"/>
      <c r="WDF242" s="219"/>
      <c r="WDG242" s="219"/>
      <c r="WDH242" s="219"/>
      <c r="WDI242" s="219"/>
      <c r="WDJ242" s="219"/>
      <c r="WDK242" s="219"/>
      <c r="WDL242" s="219"/>
      <c r="WDM242" s="219"/>
      <c r="WDN242" s="219"/>
      <c r="WDO242" s="219"/>
      <c r="WDP242" s="219"/>
      <c r="WDQ242" s="219"/>
      <c r="WDR242" s="219"/>
      <c r="WDS242" s="219"/>
      <c r="WDT242" s="219"/>
      <c r="WDU242" s="219"/>
      <c r="WDV242" s="219"/>
      <c r="WDW242" s="219"/>
      <c r="WDX242" s="219"/>
      <c r="WDY242" s="219"/>
      <c r="WDZ242" s="219"/>
      <c r="WEA242" s="219"/>
      <c r="WEB242" s="219"/>
      <c r="WEC242" s="219"/>
      <c r="WED242" s="219"/>
      <c r="WEE242" s="219"/>
      <c r="WEF242" s="219"/>
      <c r="WEG242" s="219"/>
      <c r="WEH242" s="219"/>
      <c r="WEI242" s="219"/>
      <c r="WEJ242" s="219"/>
      <c r="WEK242" s="219"/>
      <c r="WEL242" s="219"/>
      <c r="WEM242" s="219"/>
      <c r="WEN242" s="219"/>
      <c r="WEO242" s="219"/>
      <c r="WEP242" s="219"/>
      <c r="WEQ242" s="219"/>
      <c r="WER242" s="219"/>
      <c r="WES242" s="219"/>
      <c r="WET242" s="219"/>
      <c r="WEU242" s="219"/>
      <c r="WEV242" s="219"/>
      <c r="WEW242" s="219"/>
      <c r="WEX242" s="219"/>
      <c r="WEY242" s="219"/>
      <c r="WEZ242" s="219"/>
      <c r="WFA242" s="219"/>
      <c r="WFB242" s="219"/>
      <c r="WFC242" s="219"/>
      <c r="WFD242" s="219"/>
      <c r="WFE242" s="219"/>
      <c r="WFF242" s="219"/>
      <c r="WFG242" s="219"/>
      <c r="WFH242" s="219"/>
      <c r="WFI242" s="219"/>
      <c r="WFJ242" s="219"/>
      <c r="WFK242" s="219"/>
      <c r="WFL242" s="219"/>
      <c r="WFM242" s="219"/>
      <c r="WFN242" s="219"/>
      <c r="WFO242" s="219"/>
      <c r="WFP242" s="219"/>
      <c r="WFQ242" s="219"/>
      <c r="WFR242" s="219"/>
      <c r="WFS242" s="219"/>
      <c r="WFT242" s="219"/>
      <c r="WFU242" s="219"/>
      <c r="WFV242" s="219"/>
      <c r="WFW242" s="219"/>
      <c r="WFX242" s="219"/>
      <c r="WFY242" s="219"/>
      <c r="WFZ242" s="219"/>
      <c r="WGA242" s="219"/>
      <c r="WGB242" s="219"/>
      <c r="WGC242" s="219"/>
      <c r="WGD242" s="219"/>
      <c r="WGE242" s="219"/>
      <c r="WGF242" s="219"/>
      <c r="WGG242" s="219"/>
      <c r="WGH242" s="219"/>
      <c r="WGI242" s="219"/>
      <c r="WGJ242" s="219"/>
      <c r="WGK242" s="219"/>
      <c r="WGL242" s="219"/>
      <c r="WGM242" s="219"/>
      <c r="WGN242" s="219"/>
      <c r="WGO242" s="219"/>
      <c r="WGP242" s="219"/>
      <c r="WGQ242" s="219"/>
      <c r="WGR242" s="219"/>
      <c r="WGS242" s="219"/>
      <c r="WGT242" s="219"/>
      <c r="WGU242" s="219"/>
      <c r="WGV242" s="219"/>
      <c r="WGW242" s="219"/>
      <c r="WGX242" s="219"/>
      <c r="WGY242" s="219"/>
      <c r="WGZ242" s="219"/>
      <c r="WHA242" s="219"/>
      <c r="WHB242" s="219"/>
      <c r="WHC242" s="219"/>
      <c r="WHD242" s="219"/>
      <c r="WHE242" s="219"/>
      <c r="WHF242" s="219"/>
      <c r="WHG242" s="219"/>
      <c r="WHH242" s="219"/>
      <c r="WHI242" s="219"/>
      <c r="WHJ242" s="219"/>
      <c r="WHK242" s="219"/>
      <c r="WHL242" s="219"/>
      <c r="WHM242" s="219"/>
      <c r="WHN242" s="219"/>
      <c r="WHO242" s="219"/>
      <c r="WHP242" s="219"/>
      <c r="WHQ242" s="219"/>
      <c r="WHR242" s="219"/>
      <c r="WHS242" s="219"/>
      <c r="WHT242" s="219"/>
      <c r="WHU242" s="219"/>
      <c r="WHV242" s="219"/>
      <c r="WHW242" s="219"/>
      <c r="WHX242" s="219"/>
      <c r="WHY242" s="219"/>
      <c r="WHZ242" s="219"/>
      <c r="WIA242" s="219"/>
      <c r="WIB242" s="219"/>
      <c r="WIC242" s="219"/>
      <c r="WID242" s="219"/>
      <c r="WIE242" s="219"/>
      <c r="WIF242" s="219"/>
      <c r="WIG242" s="219"/>
      <c r="WIH242" s="219"/>
      <c r="WII242" s="219"/>
      <c r="WIJ242" s="219"/>
      <c r="WIK242" s="219"/>
      <c r="WIL242" s="219"/>
      <c r="WIM242" s="219"/>
      <c r="WIN242" s="219"/>
      <c r="WIO242" s="219"/>
      <c r="WIP242" s="219"/>
      <c r="WIQ242" s="219"/>
      <c r="WIR242" s="219"/>
      <c r="WIS242" s="219"/>
      <c r="WIT242" s="219"/>
      <c r="WIU242" s="219"/>
      <c r="WIV242" s="219"/>
      <c r="WIW242" s="219"/>
      <c r="WIX242" s="219"/>
      <c r="WIY242" s="219"/>
      <c r="WIZ242" s="219"/>
      <c r="WJA242" s="219"/>
      <c r="WJB242" s="219"/>
      <c r="WJC242" s="219"/>
      <c r="WJD242" s="219"/>
      <c r="WJE242" s="219"/>
      <c r="WJF242" s="219"/>
      <c r="WJG242" s="219"/>
      <c r="WJH242" s="219"/>
      <c r="WJI242" s="219"/>
      <c r="WJJ242" s="219"/>
      <c r="WJK242" s="219"/>
      <c r="WJL242" s="219"/>
      <c r="WJM242" s="219"/>
      <c r="WJN242" s="219"/>
      <c r="WJO242" s="219"/>
      <c r="WJP242" s="219"/>
      <c r="WJQ242" s="219"/>
      <c r="WJR242" s="219"/>
      <c r="WJS242" s="219"/>
      <c r="WJT242" s="219"/>
      <c r="WJU242" s="219"/>
      <c r="WJV242" s="219"/>
      <c r="WJW242" s="219"/>
      <c r="WJX242" s="219"/>
      <c r="WJY242" s="219"/>
      <c r="WJZ242" s="219"/>
      <c r="WKA242" s="219"/>
      <c r="WKB242" s="219"/>
      <c r="WKC242" s="219"/>
      <c r="WKD242" s="219"/>
      <c r="WKE242" s="219"/>
      <c r="WKF242" s="219"/>
      <c r="WKG242" s="219"/>
      <c r="WKH242" s="219"/>
      <c r="WKI242" s="219"/>
      <c r="WKJ242" s="219"/>
      <c r="WKK242" s="219"/>
      <c r="WKL242" s="219"/>
      <c r="WKM242" s="219"/>
      <c r="WKN242" s="219"/>
      <c r="WKO242" s="219"/>
      <c r="WKP242" s="219"/>
      <c r="WKQ242" s="219"/>
      <c r="WKR242" s="219"/>
      <c r="WKS242" s="219"/>
      <c r="WKT242" s="219"/>
      <c r="WKU242" s="219"/>
      <c r="WKV242" s="219"/>
      <c r="WKW242" s="219"/>
      <c r="WKX242" s="219"/>
      <c r="WKY242" s="219"/>
      <c r="WKZ242" s="219"/>
      <c r="WLA242" s="219"/>
      <c r="WLB242" s="219"/>
      <c r="WLC242" s="219"/>
      <c r="WLD242" s="219"/>
      <c r="WLE242" s="219"/>
      <c r="WLF242" s="219"/>
      <c r="WLG242" s="219"/>
      <c r="WLH242" s="219"/>
      <c r="WLI242" s="219"/>
      <c r="WLJ242" s="219"/>
      <c r="WLK242" s="219"/>
      <c r="WLL242" s="219"/>
      <c r="WLM242" s="219"/>
      <c r="WLN242" s="219"/>
      <c r="WLO242" s="219"/>
      <c r="WLP242" s="219"/>
      <c r="WLQ242" s="219"/>
      <c r="WLR242" s="219"/>
      <c r="WLS242" s="219"/>
      <c r="WLT242" s="219"/>
      <c r="WLU242" s="219"/>
      <c r="WLV242" s="219"/>
      <c r="WLW242" s="219"/>
      <c r="WLX242" s="219"/>
      <c r="WLY242" s="219"/>
      <c r="WLZ242" s="219"/>
      <c r="WMA242" s="219"/>
      <c r="WMB242" s="219"/>
      <c r="WMC242" s="219"/>
      <c r="WMD242" s="219"/>
      <c r="WME242" s="219"/>
      <c r="WMF242" s="219"/>
      <c r="WMG242" s="219"/>
      <c r="WMH242" s="219"/>
      <c r="WMI242" s="219"/>
      <c r="WMJ242" s="219"/>
      <c r="WMK242" s="219"/>
      <c r="WML242" s="219"/>
      <c r="WMM242" s="219"/>
      <c r="WMN242" s="219"/>
      <c r="WMO242" s="219"/>
      <c r="WMP242" s="219"/>
      <c r="WMQ242" s="219"/>
      <c r="WMR242" s="219"/>
      <c r="WMS242" s="219"/>
      <c r="WMT242" s="219"/>
      <c r="WMU242" s="219"/>
      <c r="WMV242" s="219"/>
      <c r="WMW242" s="219"/>
      <c r="WMX242" s="219"/>
      <c r="WMY242" s="219"/>
      <c r="WMZ242" s="219"/>
      <c r="WNA242" s="219"/>
      <c r="WNB242" s="219"/>
      <c r="WNC242" s="219"/>
      <c r="WND242" s="219"/>
      <c r="WNE242" s="219"/>
      <c r="WNF242" s="219"/>
      <c r="WNG242" s="219"/>
      <c r="WNH242" s="219"/>
      <c r="WNI242" s="219"/>
      <c r="WNJ242" s="219"/>
      <c r="WNK242" s="219"/>
      <c r="WNL242" s="219"/>
      <c r="WNM242" s="219"/>
      <c r="WNN242" s="219"/>
      <c r="WNO242" s="219"/>
      <c r="WNP242" s="219"/>
      <c r="WNQ242" s="219"/>
      <c r="WNR242" s="219"/>
      <c r="WNS242" s="219"/>
      <c r="WNT242" s="219"/>
      <c r="WNU242" s="219"/>
      <c r="WNV242" s="219"/>
      <c r="WNW242" s="219"/>
      <c r="WNX242" s="219"/>
      <c r="WNY242" s="219"/>
      <c r="WNZ242" s="219"/>
      <c r="WOA242" s="219"/>
      <c r="WOB242" s="219"/>
      <c r="WOC242" s="219"/>
      <c r="WOD242" s="219"/>
      <c r="WOE242" s="219"/>
      <c r="WOF242" s="219"/>
      <c r="WOG242" s="219"/>
      <c r="WOH242" s="219"/>
      <c r="WOI242" s="219"/>
      <c r="WOJ242" s="219"/>
      <c r="WOK242" s="219"/>
      <c r="WOL242" s="219"/>
      <c r="WOM242" s="219"/>
      <c r="WON242" s="219"/>
      <c r="WOO242" s="219"/>
      <c r="WOP242" s="219"/>
      <c r="WOQ242" s="219"/>
      <c r="WOR242" s="219"/>
      <c r="WOS242" s="219"/>
      <c r="WOT242" s="219"/>
      <c r="WOU242" s="219"/>
      <c r="WOV242" s="219"/>
      <c r="WOW242" s="219"/>
      <c r="WOX242" s="219"/>
      <c r="WOY242" s="219"/>
      <c r="WOZ242" s="219"/>
      <c r="WPA242" s="219"/>
      <c r="WPB242" s="219"/>
      <c r="WPC242" s="219"/>
      <c r="WPD242" s="219"/>
      <c r="WPE242" s="219"/>
      <c r="WPF242" s="219"/>
      <c r="WPG242" s="219"/>
      <c r="WPH242" s="219"/>
      <c r="WPI242" s="219"/>
      <c r="WPJ242" s="219"/>
      <c r="WPK242" s="219"/>
      <c r="WPL242" s="219"/>
      <c r="WPM242" s="219"/>
      <c r="WPN242" s="219"/>
      <c r="WPO242" s="219"/>
      <c r="WPP242" s="219"/>
      <c r="WPQ242" s="219"/>
      <c r="WPR242" s="219"/>
      <c r="WPS242" s="219"/>
      <c r="WPT242" s="219"/>
      <c r="WPU242" s="219"/>
      <c r="WPV242" s="219"/>
      <c r="WPW242" s="219"/>
      <c r="WPX242" s="219"/>
      <c r="WPY242" s="219"/>
      <c r="WPZ242" s="219"/>
      <c r="WQA242" s="219"/>
      <c r="WQB242" s="219"/>
      <c r="WQC242" s="219"/>
      <c r="WQD242" s="219"/>
      <c r="WQE242" s="219"/>
      <c r="WQF242" s="219"/>
      <c r="WQG242" s="219"/>
      <c r="WQH242" s="219"/>
      <c r="WQI242" s="219"/>
      <c r="WQJ242" s="219"/>
      <c r="WQK242" s="219"/>
      <c r="WQL242" s="219"/>
      <c r="WQM242" s="219"/>
      <c r="WQN242" s="219"/>
      <c r="WQO242" s="219"/>
      <c r="WQP242" s="219"/>
      <c r="WQQ242" s="219"/>
      <c r="WQR242" s="219"/>
      <c r="WQS242" s="219"/>
      <c r="WQT242" s="219"/>
      <c r="WQU242" s="219"/>
      <c r="WQV242" s="219"/>
      <c r="WQW242" s="219"/>
      <c r="WQX242" s="219"/>
      <c r="WQY242" s="219"/>
      <c r="WQZ242" s="219"/>
      <c r="WRA242" s="219"/>
      <c r="WRB242" s="219"/>
      <c r="WRC242" s="219"/>
      <c r="WRD242" s="219"/>
      <c r="WRE242" s="219"/>
      <c r="WRF242" s="219"/>
      <c r="WRG242" s="219"/>
      <c r="WRH242" s="219"/>
      <c r="WRI242" s="219"/>
      <c r="WRJ242" s="219"/>
      <c r="WRK242" s="219"/>
      <c r="WRL242" s="219"/>
      <c r="WRM242" s="219"/>
      <c r="WRN242" s="219"/>
      <c r="WRO242" s="219"/>
      <c r="WRP242" s="219"/>
      <c r="WRQ242" s="219"/>
      <c r="WRR242" s="219"/>
      <c r="WRS242" s="219"/>
      <c r="WRT242" s="219"/>
      <c r="WRU242" s="219"/>
      <c r="WRV242" s="219"/>
      <c r="WRW242" s="219"/>
      <c r="WRX242" s="219"/>
      <c r="WRY242" s="219"/>
      <c r="WRZ242" s="219"/>
      <c r="WSA242" s="219"/>
      <c r="WSB242" s="219"/>
      <c r="WSC242" s="219"/>
      <c r="WSD242" s="219"/>
      <c r="WSE242" s="219"/>
      <c r="WSF242" s="219"/>
      <c r="WSG242" s="219"/>
      <c r="WSH242" s="219"/>
      <c r="WSI242" s="219"/>
      <c r="WSJ242" s="219"/>
      <c r="WSK242" s="219"/>
      <c r="WSL242" s="219"/>
      <c r="WSM242" s="219"/>
      <c r="WSN242" s="219"/>
      <c r="WSO242" s="219"/>
      <c r="WSP242" s="219"/>
      <c r="WSQ242" s="219"/>
      <c r="WSR242" s="219"/>
      <c r="WSS242" s="219"/>
      <c r="WST242" s="219"/>
      <c r="WSU242" s="219"/>
      <c r="WSV242" s="219"/>
      <c r="WSW242" s="219"/>
      <c r="WSX242" s="219"/>
      <c r="WSY242" s="219"/>
      <c r="WSZ242" s="219"/>
      <c r="WTA242" s="219"/>
      <c r="WTB242" s="219"/>
      <c r="WTC242" s="219"/>
      <c r="WTD242" s="219"/>
      <c r="WTE242" s="219"/>
      <c r="WTF242" s="219"/>
      <c r="WTG242" s="219"/>
      <c r="WTH242" s="219"/>
      <c r="WTI242" s="219"/>
      <c r="WTJ242" s="219"/>
      <c r="WTK242" s="219"/>
      <c r="WTL242" s="219"/>
      <c r="WTM242" s="219"/>
      <c r="WTN242" s="219"/>
      <c r="WTO242" s="219"/>
      <c r="WTP242" s="219"/>
      <c r="WTQ242" s="219"/>
      <c r="WTR242" s="219"/>
      <c r="WTS242" s="219"/>
      <c r="WTT242" s="219"/>
      <c r="WTU242" s="219"/>
      <c r="WTV242" s="219"/>
      <c r="WTW242" s="219"/>
      <c r="WTX242" s="219"/>
      <c r="WTY242" s="219"/>
      <c r="WTZ242" s="219"/>
      <c r="WUA242" s="219"/>
      <c r="WUB242" s="219"/>
      <c r="WUC242" s="219"/>
      <c r="WUD242" s="219"/>
      <c r="WUE242" s="219"/>
      <c r="WUF242" s="219"/>
      <c r="WUG242" s="219"/>
      <c r="WUH242" s="219"/>
      <c r="WUI242" s="219"/>
      <c r="WUJ242" s="219"/>
      <c r="WUK242" s="219"/>
      <c r="WUL242" s="219"/>
      <c r="WUM242" s="219"/>
      <c r="WUN242" s="219"/>
      <c r="WUO242" s="219"/>
      <c r="WUP242" s="219"/>
      <c r="WUQ242" s="219"/>
      <c r="WUR242" s="219"/>
      <c r="WUS242" s="219"/>
      <c r="WUT242" s="219"/>
      <c r="WUU242" s="219"/>
      <c r="WUV242" s="219"/>
      <c r="WUW242" s="219"/>
      <c r="WUX242" s="219"/>
      <c r="WUY242" s="219"/>
      <c r="WUZ242" s="219"/>
      <c r="WVA242" s="219"/>
      <c r="WVB242" s="219"/>
      <c r="WVC242" s="219"/>
      <c r="WVD242" s="219"/>
      <c r="WVE242" s="219"/>
      <c r="WVF242" s="219"/>
      <c r="WVG242" s="219"/>
      <c r="WVH242" s="219"/>
      <c r="WVI242" s="219"/>
      <c r="WVJ242" s="219"/>
      <c r="WVK242" s="219"/>
      <c r="WVL242" s="219"/>
      <c r="WVM242" s="219"/>
      <c r="WVN242" s="219"/>
      <c r="WVO242" s="219"/>
      <c r="WVP242" s="219"/>
      <c r="WVQ242" s="219"/>
      <c r="WVR242" s="219"/>
      <c r="WVS242" s="219"/>
      <c r="WVT242" s="219"/>
      <c r="WVU242" s="219"/>
      <c r="WVV242" s="219"/>
      <c r="WVW242" s="219"/>
      <c r="WVX242" s="219"/>
      <c r="WVY242" s="219"/>
      <c r="WVZ242" s="219"/>
      <c r="WWA242" s="219"/>
      <c r="WWB242" s="219"/>
      <c r="WWC242" s="219"/>
      <c r="WWD242" s="219"/>
      <c r="WWE242" s="219"/>
      <c r="WWF242" s="219"/>
      <c r="WWG242" s="219"/>
      <c r="WWH242" s="219"/>
      <c r="WWI242" s="219"/>
      <c r="WWJ242" s="219"/>
      <c r="WWK242" s="219"/>
      <c r="WWL242" s="219"/>
      <c r="WWM242" s="219"/>
      <c r="WWN242" s="219"/>
      <c r="WWO242" s="219"/>
      <c r="WWP242" s="219"/>
      <c r="WWQ242" s="219"/>
      <c r="WWR242" s="219"/>
      <c r="WWS242" s="219"/>
      <c r="WWT242" s="219"/>
      <c r="WWU242" s="219"/>
      <c r="WWV242" s="219"/>
      <c r="WWW242" s="219"/>
      <c r="WWX242" s="219"/>
      <c r="WWY242" s="219"/>
      <c r="WWZ242" s="219"/>
      <c r="WXA242" s="219"/>
      <c r="WXB242" s="219"/>
      <c r="WXC242" s="219"/>
      <c r="WXD242" s="219"/>
      <c r="WXE242" s="219"/>
      <c r="WXF242" s="219"/>
      <c r="WXG242" s="219"/>
      <c r="WXH242" s="219"/>
      <c r="WXI242" s="219"/>
      <c r="WXJ242" s="219"/>
      <c r="WXK242" s="219"/>
      <c r="WXL242" s="219"/>
      <c r="WXM242" s="219"/>
      <c r="WXN242" s="219"/>
      <c r="WXO242" s="219"/>
      <c r="WXP242" s="219"/>
      <c r="WXQ242" s="219"/>
      <c r="WXR242" s="219"/>
      <c r="WXS242" s="219"/>
      <c r="WXT242" s="219"/>
      <c r="WXU242" s="219"/>
      <c r="WXV242" s="219"/>
      <c r="WXW242" s="219"/>
      <c r="WXX242" s="219"/>
      <c r="WXY242" s="219"/>
      <c r="WXZ242" s="219"/>
      <c r="WYA242" s="219"/>
      <c r="WYB242" s="219"/>
      <c r="WYC242" s="219"/>
      <c r="WYD242" s="219"/>
      <c r="WYE242" s="219"/>
      <c r="WYF242" s="219"/>
      <c r="WYG242" s="219"/>
      <c r="WYH242" s="219"/>
      <c r="WYI242" s="219"/>
      <c r="WYJ242" s="219"/>
      <c r="WYK242" s="219"/>
      <c r="WYL242" s="219"/>
      <c r="WYM242" s="219"/>
      <c r="WYN242" s="219"/>
      <c r="WYO242" s="219"/>
      <c r="WYP242" s="219"/>
      <c r="WYQ242" s="219"/>
      <c r="WYR242" s="219"/>
      <c r="WYS242" s="219"/>
      <c r="WYT242" s="219"/>
      <c r="WYU242" s="219"/>
      <c r="WYV242" s="219"/>
      <c r="WYW242" s="219"/>
      <c r="WYX242" s="219"/>
      <c r="WYY242" s="219"/>
      <c r="WYZ242" s="219"/>
      <c r="WZA242" s="219"/>
      <c r="WZB242" s="219"/>
      <c r="WZC242" s="219"/>
      <c r="WZD242" s="219"/>
      <c r="WZE242" s="219"/>
      <c r="WZF242" s="219"/>
      <c r="WZG242" s="219"/>
      <c r="WZH242" s="219"/>
      <c r="WZI242" s="219"/>
      <c r="WZJ242" s="219"/>
      <c r="WZK242" s="219"/>
      <c r="WZL242" s="219"/>
      <c r="WZM242" s="219"/>
      <c r="WZN242" s="219"/>
      <c r="WZO242" s="219"/>
      <c r="WZP242" s="219"/>
      <c r="WZQ242" s="219"/>
      <c r="WZR242" s="219"/>
      <c r="WZS242" s="219"/>
      <c r="WZT242" s="219"/>
      <c r="WZU242" s="219"/>
      <c r="WZV242" s="219"/>
      <c r="WZW242" s="219"/>
      <c r="WZX242" s="219"/>
      <c r="WZY242" s="219"/>
      <c r="WZZ242" s="219"/>
      <c r="XAA242" s="219"/>
      <c r="XAB242" s="219"/>
      <c r="XAC242" s="219"/>
      <c r="XAD242" s="219"/>
      <c r="XAE242" s="219"/>
      <c r="XAF242" s="219"/>
      <c r="XAG242" s="219"/>
      <c r="XAH242" s="219"/>
      <c r="XAI242" s="219"/>
      <c r="XAJ242" s="219"/>
      <c r="XAK242" s="219"/>
      <c r="XAL242" s="219"/>
      <c r="XAM242" s="219"/>
      <c r="XAN242" s="219"/>
      <c r="XAO242" s="219"/>
      <c r="XAP242" s="219"/>
      <c r="XAQ242" s="219"/>
      <c r="XAR242" s="219"/>
      <c r="XAS242" s="219"/>
      <c r="XAT242" s="219"/>
      <c r="XAU242" s="219"/>
      <c r="XAV242" s="219"/>
      <c r="XAW242" s="219"/>
      <c r="XAX242" s="219"/>
      <c r="XAY242" s="219"/>
      <c r="XAZ242" s="219"/>
      <c r="XBA242" s="219"/>
      <c r="XBB242" s="219"/>
      <c r="XBC242" s="219"/>
      <c r="XBD242" s="219"/>
      <c r="XBE242" s="219"/>
      <c r="XBF242" s="219"/>
      <c r="XBG242" s="219"/>
      <c r="XBH242" s="219"/>
      <c r="XBI242" s="219"/>
      <c r="XBJ242" s="219"/>
      <c r="XBK242" s="219"/>
      <c r="XBL242" s="219"/>
      <c r="XBM242" s="219"/>
      <c r="XBN242" s="219"/>
      <c r="XBO242" s="219"/>
      <c r="XBP242" s="219"/>
      <c r="XBQ242" s="219"/>
      <c r="XBR242" s="219"/>
      <c r="XBS242" s="219"/>
      <c r="XBT242" s="219"/>
      <c r="XBU242" s="219"/>
      <c r="XBV242" s="219"/>
      <c r="XBW242" s="219"/>
      <c r="XBX242" s="219"/>
      <c r="XBY242" s="219"/>
      <c r="XBZ242" s="219"/>
      <c r="XCA242" s="219"/>
      <c r="XCB242" s="219"/>
      <c r="XCC242" s="219"/>
      <c r="XCD242" s="219"/>
      <c r="XCE242" s="219"/>
      <c r="XCF242" s="219"/>
      <c r="XCG242" s="219"/>
      <c r="XCH242" s="219"/>
      <c r="XCI242" s="219"/>
      <c r="XCJ242" s="219"/>
      <c r="XCK242" s="219"/>
      <c r="XCL242" s="219"/>
      <c r="XCM242" s="219"/>
      <c r="XCN242" s="219"/>
      <c r="XCO242" s="219"/>
      <c r="XCP242" s="219"/>
      <c r="XCQ242" s="219"/>
      <c r="XCR242" s="219"/>
      <c r="XCS242" s="219"/>
      <c r="XCT242" s="219"/>
      <c r="XCU242" s="219"/>
      <c r="XCV242" s="219"/>
      <c r="XCW242" s="219"/>
      <c r="XCX242" s="219"/>
      <c r="XCY242" s="219"/>
      <c r="XCZ242" s="219"/>
      <c r="XDA242" s="219"/>
      <c r="XDB242" s="219"/>
      <c r="XDC242" s="219"/>
      <c r="XDD242" s="219"/>
      <c r="XDE242" s="219"/>
      <c r="XDF242" s="219"/>
      <c r="XDG242" s="219"/>
      <c r="XDH242" s="219"/>
      <c r="XDI242" s="219"/>
      <c r="XDJ242" s="219"/>
      <c r="XDK242" s="219"/>
      <c r="XDL242" s="219"/>
      <c r="XDM242" s="219"/>
      <c r="XDN242" s="219"/>
      <c r="XDO242" s="219"/>
      <c r="XDP242" s="219"/>
      <c r="XDQ242" s="219"/>
      <c r="XDR242" s="219"/>
      <c r="XDS242" s="219"/>
      <c r="XDT242" s="219"/>
      <c r="XDU242" s="219"/>
      <c r="XDV242" s="219"/>
      <c r="XDW242" s="219"/>
      <c r="XDX242" s="219"/>
      <c r="XDY242" s="219"/>
      <c r="XDZ242" s="219"/>
      <c r="XEA242" s="219"/>
      <c r="XEB242" s="219"/>
      <c r="XEC242" s="219"/>
      <c r="XED242" s="219"/>
      <c r="XEE242" s="219"/>
      <c r="XEF242" s="219"/>
      <c r="XEG242" s="219"/>
      <c r="XEH242" s="219"/>
      <c r="XEI242" s="219"/>
      <c r="XEJ242" s="219"/>
      <c r="XEK242" s="219"/>
      <c r="XEL242" s="219"/>
      <c r="XEM242" s="219"/>
      <c r="XEN242" s="219"/>
      <c r="XEO242" s="219"/>
      <c r="XEP242" s="219"/>
      <c r="XEQ242" s="219"/>
      <c r="XER242" s="219"/>
      <c r="XES242" s="219"/>
      <c r="XET242" s="219"/>
      <c r="XEU242" s="219"/>
      <c r="XEV242" s="219"/>
      <c r="XEW242" s="219"/>
      <c r="XEX242" s="219"/>
      <c r="XEY242" s="219"/>
    </row>
    <row r="243" spans="1:16379" s="226" customFormat="1" x14ac:dyDescent="0.2">
      <c r="A243" s="86" t="s">
        <v>47</v>
      </c>
      <c r="B243" s="86" t="s">
        <v>816</v>
      </c>
      <c r="C243" s="86"/>
      <c r="D243" s="86" t="s">
        <v>37</v>
      </c>
      <c r="E243" s="86" t="s">
        <v>1280</v>
      </c>
      <c r="F243" s="86"/>
      <c r="G243" s="86"/>
      <c r="H243" s="86"/>
      <c r="I243" s="86" t="s">
        <v>1427</v>
      </c>
      <c r="J243" s="86"/>
      <c r="K243" s="86" t="s">
        <v>42</v>
      </c>
      <c r="L243" s="163">
        <v>2025</v>
      </c>
      <c r="M243" s="163"/>
      <c r="N243" s="164"/>
      <c r="O243" s="165"/>
      <c r="P243" s="163"/>
      <c r="Q243" s="166"/>
      <c r="R243" s="163"/>
      <c r="S243" s="163"/>
      <c r="T243" s="163"/>
      <c r="U243" s="163"/>
      <c r="V243" s="163"/>
      <c r="W243" s="163"/>
      <c r="X243" s="163"/>
      <c r="Y243" s="163"/>
      <c r="Z243" s="86"/>
      <c r="AA243" s="86"/>
      <c r="AB243" s="86"/>
      <c r="AC243" s="168"/>
      <c r="AD243" s="163"/>
      <c r="AE243" s="163"/>
      <c r="AF243" s="163"/>
      <c r="AG243" s="163"/>
      <c r="AH243" s="163"/>
      <c r="AI243" s="163"/>
      <c r="AJ243" s="163"/>
      <c r="AK243" s="86"/>
      <c r="AL243" s="86"/>
    </row>
    <row r="244" spans="1:16379" s="226" customFormat="1" x14ac:dyDescent="0.2">
      <c r="A244" s="86"/>
      <c r="B244" s="86" t="s">
        <v>1430</v>
      </c>
      <c r="C244" s="86"/>
      <c r="D244" s="86" t="s">
        <v>98</v>
      </c>
      <c r="E244" s="86" t="s">
        <v>685</v>
      </c>
      <c r="F244" s="86"/>
      <c r="G244" s="86"/>
      <c r="H244" s="86"/>
      <c r="I244" s="86"/>
      <c r="J244" s="86" t="s">
        <v>1350</v>
      </c>
      <c r="K244" s="86"/>
      <c r="L244" s="163"/>
      <c r="M244" s="163"/>
      <c r="N244" s="164"/>
      <c r="O244" s="165"/>
      <c r="P244" s="163"/>
      <c r="Q244" s="166"/>
      <c r="R244" s="163"/>
      <c r="S244" s="163"/>
      <c r="T244" s="163"/>
      <c r="U244" s="163"/>
      <c r="V244" s="163"/>
      <c r="W244" s="163"/>
      <c r="X244" s="163"/>
      <c r="Y244" s="163"/>
      <c r="Z244" s="86"/>
      <c r="AA244" s="86"/>
      <c r="AB244" s="86"/>
      <c r="AC244" s="168"/>
      <c r="AD244" s="163"/>
      <c r="AE244" s="163"/>
      <c r="AF244" s="163"/>
      <c r="AG244" s="163"/>
      <c r="AH244" s="163"/>
      <c r="AI244" s="163"/>
      <c r="AJ244" s="163"/>
      <c r="AK244" s="86"/>
      <c r="AL244" s="86"/>
    </row>
    <row r="245" spans="1:16379" s="226" customFormat="1" x14ac:dyDescent="0.2">
      <c r="A245" s="86"/>
      <c r="B245" s="86" t="s">
        <v>1431</v>
      </c>
      <c r="C245" s="86"/>
      <c r="D245" s="86" t="s">
        <v>98</v>
      </c>
      <c r="E245" s="86" t="s">
        <v>706</v>
      </c>
      <c r="F245" s="86"/>
      <c r="G245" s="86"/>
      <c r="H245" s="86"/>
      <c r="I245" s="86"/>
      <c r="J245" s="86" t="s">
        <v>1428</v>
      </c>
      <c r="K245" s="86"/>
      <c r="L245" s="163"/>
      <c r="M245" s="163"/>
      <c r="N245" s="164"/>
      <c r="O245" s="165"/>
      <c r="P245" s="163"/>
      <c r="Q245" s="166"/>
      <c r="R245" s="163"/>
      <c r="S245" s="163"/>
      <c r="T245" s="163"/>
      <c r="U245" s="163"/>
      <c r="V245" s="163"/>
      <c r="W245" s="163"/>
      <c r="X245" s="163"/>
      <c r="Y245" s="163"/>
      <c r="Z245" s="86"/>
      <c r="AA245" s="86"/>
      <c r="AB245" s="86"/>
      <c r="AC245" s="168"/>
      <c r="AD245" s="163"/>
      <c r="AE245" s="163"/>
      <c r="AF245" s="163"/>
      <c r="AG245" s="163"/>
      <c r="AH245" s="163"/>
      <c r="AI245" s="163"/>
      <c r="AJ245" s="163"/>
      <c r="AK245" s="86"/>
      <c r="AL245" s="86"/>
    </row>
    <row r="246" spans="1:16379" s="226" customFormat="1" x14ac:dyDescent="0.2">
      <c r="A246" s="86"/>
      <c r="B246" s="86" t="s">
        <v>1432</v>
      </c>
      <c r="C246" s="86"/>
      <c r="D246" s="86" t="s">
        <v>98</v>
      </c>
      <c r="E246" s="86" t="s">
        <v>338</v>
      </c>
      <c r="F246" s="86"/>
      <c r="G246" s="86"/>
      <c r="H246" s="86"/>
      <c r="I246" s="86"/>
      <c r="J246" s="86" t="s">
        <v>1429</v>
      </c>
      <c r="K246" s="86"/>
      <c r="L246" s="163"/>
      <c r="M246" s="163"/>
      <c r="N246" s="164"/>
      <c r="O246" s="165"/>
      <c r="P246" s="163"/>
      <c r="Q246" s="166"/>
      <c r="R246" s="163"/>
      <c r="S246" s="163"/>
      <c r="T246" s="163"/>
      <c r="U246" s="163"/>
      <c r="V246" s="163"/>
      <c r="W246" s="163"/>
      <c r="X246" s="163"/>
      <c r="Y246" s="163"/>
      <c r="Z246" s="86"/>
      <c r="AA246" s="86"/>
      <c r="AB246" s="86"/>
      <c r="AC246" s="168"/>
      <c r="AD246" s="163"/>
      <c r="AE246" s="163"/>
      <c r="AF246" s="163"/>
      <c r="AG246" s="163"/>
      <c r="AH246" s="163"/>
      <c r="AI246" s="163"/>
      <c r="AJ246" s="163"/>
      <c r="AK246" s="86"/>
      <c r="AL246" s="86"/>
    </row>
    <row r="247" spans="1:16379" s="226" customFormat="1" x14ac:dyDescent="0.2">
      <c r="A247" s="86" t="s">
        <v>86</v>
      </c>
      <c r="B247" s="86" t="s">
        <v>1238</v>
      </c>
      <c r="C247" s="86"/>
      <c r="D247" s="86" t="s">
        <v>98</v>
      </c>
      <c r="E247" s="86" t="s">
        <v>1280</v>
      </c>
      <c r="F247" s="86"/>
      <c r="G247" s="86"/>
      <c r="H247" s="86"/>
      <c r="I247" s="86" t="s">
        <v>1466</v>
      </c>
      <c r="J247" s="86"/>
      <c r="K247" s="86" t="s">
        <v>42</v>
      </c>
      <c r="L247" s="163">
        <v>2026</v>
      </c>
      <c r="M247" s="163"/>
      <c r="N247" s="164"/>
      <c r="O247" s="165"/>
      <c r="P247" s="163"/>
      <c r="Q247" s="166"/>
      <c r="R247" s="163"/>
      <c r="S247" s="163"/>
      <c r="T247" s="163"/>
      <c r="U247" s="163"/>
      <c r="V247" s="163"/>
      <c r="W247" s="163"/>
      <c r="X247" s="163"/>
      <c r="Y247" s="163"/>
      <c r="Z247" s="86"/>
      <c r="AA247" s="86"/>
      <c r="AB247" s="86"/>
      <c r="AC247" s="168"/>
      <c r="AD247" s="163"/>
      <c r="AE247" s="163"/>
      <c r="AF247" s="163"/>
      <c r="AG247" s="163"/>
      <c r="AH247" s="163"/>
      <c r="AI247" s="163"/>
      <c r="AJ247" s="163"/>
      <c r="AK247" s="86"/>
      <c r="AL247" s="86"/>
    </row>
    <row r="248" spans="1:16379" s="235" customFormat="1" x14ac:dyDescent="0.2">
      <c r="A248" s="228" t="s">
        <v>47</v>
      </c>
      <c r="B248" s="228" t="s">
        <v>1434</v>
      </c>
      <c r="C248" s="228"/>
      <c r="D248" s="228" t="s">
        <v>37</v>
      </c>
      <c r="E248" s="228" t="s">
        <v>159</v>
      </c>
      <c r="F248" s="228"/>
      <c r="G248" s="228"/>
      <c r="H248" s="228"/>
      <c r="I248" s="228" t="s">
        <v>1435</v>
      </c>
      <c r="J248" s="228"/>
      <c r="K248" s="228" t="s">
        <v>42</v>
      </c>
      <c r="L248" s="229">
        <v>2025</v>
      </c>
      <c r="M248" s="229"/>
      <c r="N248" s="230"/>
      <c r="O248" s="231"/>
      <c r="P248" s="229"/>
      <c r="Q248" s="232">
        <v>300</v>
      </c>
      <c r="R248" s="229"/>
      <c r="S248" s="229"/>
      <c r="T248" s="229"/>
      <c r="U248" s="229"/>
      <c r="V248" s="229"/>
      <c r="W248" s="229"/>
      <c r="X248" s="229"/>
      <c r="Y248" s="229"/>
      <c r="Z248" s="228"/>
      <c r="AA248" s="86"/>
      <c r="AB248" s="86"/>
      <c r="AC248" s="233" t="s">
        <v>1501</v>
      </c>
      <c r="AD248" s="229">
        <v>3</v>
      </c>
      <c r="AE248" s="229">
        <v>3</v>
      </c>
      <c r="AF248" s="229">
        <v>2</v>
      </c>
      <c r="AG248" s="229">
        <v>3</v>
      </c>
      <c r="AH248" s="229">
        <v>1</v>
      </c>
      <c r="AI248" s="229">
        <v>3</v>
      </c>
      <c r="AJ248" s="229">
        <f>AD248*AE248*AF248*AG248*AH248*AI248</f>
        <v>162</v>
      </c>
      <c r="AK248" s="228" t="s">
        <v>45</v>
      </c>
      <c r="AL248" s="234">
        <v>45474</v>
      </c>
    </row>
    <row r="249" spans="1:16379" s="227" customFormat="1" x14ac:dyDescent="0.2">
      <c r="A249" s="179" t="s">
        <v>72</v>
      </c>
      <c r="B249" s="179" t="s">
        <v>1445</v>
      </c>
      <c r="C249" s="179"/>
      <c r="D249" s="179" t="s">
        <v>37</v>
      </c>
      <c r="E249" s="179" t="s">
        <v>1446</v>
      </c>
      <c r="F249" s="179"/>
      <c r="G249" s="179"/>
      <c r="H249" s="179"/>
      <c r="I249" s="179" t="s">
        <v>1447</v>
      </c>
      <c r="J249" s="179" t="s">
        <v>1448</v>
      </c>
      <c r="K249" s="179" t="s">
        <v>1177</v>
      </c>
      <c r="L249" s="191">
        <v>2025</v>
      </c>
      <c r="M249" s="191"/>
      <c r="N249" s="192">
        <v>25</v>
      </c>
      <c r="O249" s="193"/>
      <c r="P249" s="191">
        <v>10</v>
      </c>
      <c r="Q249" s="195">
        <v>8500</v>
      </c>
      <c r="R249" s="191"/>
      <c r="S249" s="191"/>
      <c r="T249" s="191"/>
      <c r="U249" s="191"/>
      <c r="V249" s="191"/>
      <c r="W249" s="191"/>
      <c r="X249" s="191"/>
      <c r="Y249" s="191"/>
      <c r="Z249" s="179"/>
      <c r="AA249" s="86"/>
      <c r="AB249" s="86"/>
      <c r="AC249" s="190"/>
      <c r="AD249" s="191">
        <v>2</v>
      </c>
      <c r="AE249" s="191">
        <v>1</v>
      </c>
      <c r="AF249" s="191">
        <v>1</v>
      </c>
      <c r="AG249" s="191">
        <v>3</v>
      </c>
      <c r="AH249" s="191">
        <v>3</v>
      </c>
      <c r="AI249" s="191">
        <v>2</v>
      </c>
      <c r="AJ249" s="191">
        <f t="shared" ref="AJ249:AJ256" si="29">AI249*AH249*AG249*AF249*AE249*AD249</f>
        <v>36</v>
      </c>
      <c r="AK249" s="179"/>
      <c r="AL249" s="236">
        <v>45474</v>
      </c>
    </row>
    <row r="250" spans="1:16379" s="227" customFormat="1" x14ac:dyDescent="0.2">
      <c r="A250" s="179" t="s">
        <v>58</v>
      </c>
      <c r="B250" s="179" t="s">
        <v>1449</v>
      </c>
      <c r="C250" s="179"/>
      <c r="D250" s="179" t="s">
        <v>60</v>
      </c>
      <c r="E250" s="179" t="s">
        <v>276</v>
      </c>
      <c r="F250" s="179"/>
      <c r="G250" s="179"/>
      <c r="H250" s="179"/>
      <c r="I250" s="179" t="s">
        <v>1451</v>
      </c>
      <c r="J250" s="179" t="s">
        <v>1450</v>
      </c>
      <c r="K250" s="179" t="s">
        <v>1177</v>
      </c>
      <c r="L250" s="191">
        <v>2025</v>
      </c>
      <c r="M250" s="191"/>
      <c r="N250" s="192">
        <v>90</v>
      </c>
      <c r="O250" s="193"/>
      <c r="P250" s="191"/>
      <c r="Q250" s="195">
        <v>15000</v>
      </c>
      <c r="R250" s="191"/>
      <c r="S250" s="191"/>
      <c r="T250" s="191"/>
      <c r="U250" s="191"/>
      <c r="V250" s="191"/>
      <c r="W250" s="191"/>
      <c r="X250" s="191"/>
      <c r="Y250" s="191"/>
      <c r="Z250" s="179"/>
      <c r="AA250" s="86"/>
      <c r="AB250" s="86"/>
      <c r="AC250" s="190"/>
      <c r="AD250" s="191">
        <v>1</v>
      </c>
      <c r="AE250" s="191">
        <v>1</v>
      </c>
      <c r="AF250" s="191">
        <v>3</v>
      </c>
      <c r="AG250" s="191">
        <v>3</v>
      </c>
      <c r="AH250" s="191">
        <v>2</v>
      </c>
      <c r="AI250" s="191">
        <v>2</v>
      </c>
      <c r="AJ250" s="191">
        <f t="shared" si="29"/>
        <v>36</v>
      </c>
      <c r="AK250" s="179"/>
      <c r="AL250" s="236">
        <v>45474</v>
      </c>
    </row>
    <row r="251" spans="1:16379" s="227" customFormat="1" x14ac:dyDescent="0.2">
      <c r="A251" s="179" t="s">
        <v>35</v>
      </c>
      <c r="B251" s="179" t="s">
        <v>526</v>
      </c>
      <c r="C251" s="179"/>
      <c r="D251" s="179" t="s">
        <v>60</v>
      </c>
      <c r="E251" s="179" t="s">
        <v>338</v>
      </c>
      <c r="F251" s="179"/>
      <c r="G251" s="179"/>
      <c r="H251" s="179"/>
      <c r="I251" s="179" t="s">
        <v>1452</v>
      </c>
      <c r="J251" s="179" t="s">
        <v>1453</v>
      </c>
      <c r="K251" s="179" t="s">
        <v>1177</v>
      </c>
      <c r="L251" s="191">
        <v>2025</v>
      </c>
      <c r="M251" s="191"/>
      <c r="N251" s="192"/>
      <c r="O251" s="193"/>
      <c r="P251" s="191"/>
      <c r="Q251" s="195">
        <v>20000</v>
      </c>
      <c r="R251" s="191"/>
      <c r="S251" s="191"/>
      <c r="T251" s="191"/>
      <c r="U251" s="191"/>
      <c r="V251" s="191"/>
      <c r="W251" s="191"/>
      <c r="X251" s="191"/>
      <c r="Y251" s="191"/>
      <c r="Z251" s="179"/>
      <c r="AA251" s="86"/>
      <c r="AB251" s="86"/>
      <c r="AC251" s="190" t="s">
        <v>1502</v>
      </c>
      <c r="AD251" s="191">
        <v>3</v>
      </c>
      <c r="AE251" s="191">
        <v>2</v>
      </c>
      <c r="AF251" s="191">
        <v>3</v>
      </c>
      <c r="AG251" s="191">
        <v>3</v>
      </c>
      <c r="AH251" s="191">
        <v>1</v>
      </c>
      <c r="AI251" s="191">
        <v>2</v>
      </c>
      <c r="AJ251" s="191">
        <f t="shared" si="29"/>
        <v>108</v>
      </c>
      <c r="AK251" s="179"/>
      <c r="AL251" s="236">
        <v>45474</v>
      </c>
    </row>
    <row r="252" spans="1:16379" s="226" customFormat="1" ht="25.5" x14ac:dyDescent="0.2">
      <c r="A252" s="86" t="s">
        <v>86</v>
      </c>
      <c r="B252" s="86" t="s">
        <v>1456</v>
      </c>
      <c r="C252" s="86"/>
      <c r="D252" s="86" t="s">
        <v>60</v>
      </c>
      <c r="E252" s="86" t="s">
        <v>1455</v>
      </c>
      <c r="F252" s="86"/>
      <c r="G252" s="86"/>
      <c r="H252" s="86"/>
      <c r="I252" s="86" t="s">
        <v>1457</v>
      </c>
      <c r="J252" s="86" t="s">
        <v>1458</v>
      </c>
      <c r="K252" s="86" t="s">
        <v>1420</v>
      </c>
      <c r="L252" s="163">
        <v>2027</v>
      </c>
      <c r="M252" s="163"/>
      <c r="N252" s="164"/>
      <c r="O252" s="165"/>
      <c r="P252" s="163"/>
      <c r="Q252" s="166"/>
      <c r="R252" s="163"/>
      <c r="S252" s="163"/>
      <c r="T252" s="163"/>
      <c r="U252" s="163"/>
      <c r="V252" s="163"/>
      <c r="W252" s="163"/>
      <c r="X252" s="163"/>
      <c r="Y252" s="163"/>
      <c r="Z252" s="86"/>
      <c r="AA252" s="86"/>
      <c r="AB252" s="86"/>
      <c r="AC252" s="168" t="s">
        <v>1503</v>
      </c>
      <c r="AD252" s="163">
        <v>2</v>
      </c>
      <c r="AE252" s="163">
        <v>1</v>
      </c>
      <c r="AF252" s="163">
        <v>2</v>
      </c>
      <c r="AG252" s="163">
        <v>1</v>
      </c>
      <c r="AH252" s="163">
        <v>3</v>
      </c>
      <c r="AI252" s="163">
        <v>1</v>
      </c>
      <c r="AJ252" s="163">
        <f t="shared" si="29"/>
        <v>12</v>
      </c>
      <c r="AK252" s="86"/>
      <c r="AL252" s="198">
        <v>45474</v>
      </c>
    </row>
    <row r="253" spans="1:16379" s="227" customFormat="1" x14ac:dyDescent="0.2">
      <c r="A253" s="179" t="s">
        <v>47</v>
      </c>
      <c r="B253" s="179" t="s">
        <v>1459</v>
      </c>
      <c r="C253" s="179"/>
      <c r="D253" s="179" t="s">
        <v>37</v>
      </c>
      <c r="E253" s="179" t="s">
        <v>1185</v>
      </c>
      <c r="F253" s="179"/>
      <c r="G253" s="179"/>
      <c r="H253" s="179"/>
      <c r="I253" s="179" t="s">
        <v>1460</v>
      </c>
      <c r="J253" s="179"/>
      <c r="K253" s="179" t="s">
        <v>42</v>
      </c>
      <c r="L253" s="191">
        <v>2026</v>
      </c>
      <c r="M253" s="191"/>
      <c r="N253" s="192">
        <v>36000</v>
      </c>
      <c r="O253" s="193"/>
      <c r="P253" s="191">
        <v>200</v>
      </c>
      <c r="Q253" s="195">
        <v>500</v>
      </c>
      <c r="R253" s="191"/>
      <c r="S253" s="191"/>
      <c r="T253" s="191"/>
      <c r="U253" s="191"/>
      <c r="V253" s="191"/>
      <c r="W253" s="191"/>
      <c r="X253" s="191"/>
      <c r="Y253" s="191"/>
      <c r="Z253" s="179"/>
      <c r="AA253" s="86"/>
      <c r="AB253" s="86"/>
      <c r="AC253" s="190" t="s">
        <v>1504</v>
      </c>
      <c r="AD253" s="191">
        <v>2</v>
      </c>
      <c r="AE253" s="191">
        <v>3</v>
      </c>
      <c r="AF253" s="191">
        <v>2</v>
      </c>
      <c r="AG253" s="191">
        <v>3</v>
      </c>
      <c r="AH253" s="191">
        <v>1</v>
      </c>
      <c r="AI253" s="191">
        <v>2</v>
      </c>
      <c r="AJ253" s="191">
        <f t="shared" si="29"/>
        <v>72</v>
      </c>
      <c r="AK253" s="179" t="s">
        <v>45</v>
      </c>
      <c r="AL253" s="236">
        <v>45474</v>
      </c>
    </row>
    <row r="254" spans="1:16379" s="235" customFormat="1" ht="25.5" x14ac:dyDescent="0.2">
      <c r="A254" s="228" t="s">
        <v>58</v>
      </c>
      <c r="B254" s="228" t="s">
        <v>849</v>
      </c>
      <c r="C254" s="228"/>
      <c r="D254" s="228" t="s">
        <v>98</v>
      </c>
      <c r="E254" s="228" t="s">
        <v>338</v>
      </c>
      <c r="F254" s="228"/>
      <c r="G254" s="228"/>
      <c r="H254" s="228"/>
      <c r="I254" s="228" t="s">
        <v>1461</v>
      </c>
      <c r="J254" s="228"/>
      <c r="K254" s="228" t="s">
        <v>42</v>
      </c>
      <c r="L254" s="229">
        <v>2025</v>
      </c>
      <c r="M254" s="229"/>
      <c r="N254" s="230"/>
      <c r="O254" s="231"/>
      <c r="P254" s="229"/>
      <c r="Q254" s="232"/>
      <c r="R254" s="229"/>
      <c r="S254" s="229"/>
      <c r="T254" s="229"/>
      <c r="U254" s="229"/>
      <c r="V254" s="229"/>
      <c r="W254" s="229"/>
      <c r="X254" s="229"/>
      <c r="Y254" s="229"/>
      <c r="Z254" s="228"/>
      <c r="AA254" s="86"/>
      <c r="AB254" s="86"/>
      <c r="AC254" s="233" t="s">
        <v>1507</v>
      </c>
      <c r="AD254" s="229">
        <v>3</v>
      </c>
      <c r="AE254" s="229">
        <v>2</v>
      </c>
      <c r="AF254" s="229">
        <v>3</v>
      </c>
      <c r="AG254" s="229">
        <v>1</v>
      </c>
      <c r="AH254" s="229">
        <v>3</v>
      </c>
      <c r="AI254" s="229">
        <v>3</v>
      </c>
      <c r="AJ254" s="229">
        <f t="shared" si="29"/>
        <v>162</v>
      </c>
      <c r="AK254" s="228" t="s">
        <v>45</v>
      </c>
      <c r="AL254" s="234">
        <v>45383</v>
      </c>
    </row>
    <row r="255" spans="1:16379" s="235" customFormat="1" x14ac:dyDescent="0.2">
      <c r="A255" s="228" t="s">
        <v>58</v>
      </c>
      <c r="B255" s="228" t="s">
        <v>1462</v>
      </c>
      <c r="C255" s="228"/>
      <c r="D255" s="228" t="s">
        <v>37</v>
      </c>
      <c r="E255" s="228" t="s">
        <v>66</v>
      </c>
      <c r="F255" s="228"/>
      <c r="G255" s="228"/>
      <c r="H255" s="228"/>
      <c r="I255" s="228" t="s">
        <v>1463</v>
      </c>
      <c r="J255" s="228" t="s">
        <v>1505</v>
      </c>
      <c r="K255" s="228" t="s">
        <v>42</v>
      </c>
      <c r="L255" s="229">
        <v>2025</v>
      </c>
      <c r="M255" s="229"/>
      <c r="N255" s="230">
        <v>650</v>
      </c>
      <c r="O255" s="231"/>
      <c r="P255" s="229">
        <v>350</v>
      </c>
      <c r="Q255" s="232">
        <v>9500</v>
      </c>
      <c r="R255" s="229"/>
      <c r="S255" s="229"/>
      <c r="T255" s="229"/>
      <c r="U255" s="229"/>
      <c r="V255" s="229"/>
      <c r="W255" s="229"/>
      <c r="X255" s="229"/>
      <c r="Y255" s="229"/>
      <c r="Z255" s="228"/>
      <c r="AA255" s="86"/>
      <c r="AB255" s="86"/>
      <c r="AC255" s="233" t="s">
        <v>1464</v>
      </c>
      <c r="AD255" s="229">
        <v>3</v>
      </c>
      <c r="AE255" s="229">
        <v>2</v>
      </c>
      <c r="AF255" s="229">
        <v>2</v>
      </c>
      <c r="AG255" s="229">
        <v>2</v>
      </c>
      <c r="AH255" s="229">
        <v>1</v>
      </c>
      <c r="AI255" s="229">
        <v>3</v>
      </c>
      <c r="AJ255" s="229">
        <f t="shared" si="29"/>
        <v>72</v>
      </c>
      <c r="AK255" s="228" t="s">
        <v>45</v>
      </c>
      <c r="AL255" s="234">
        <v>45413</v>
      </c>
    </row>
    <row r="256" spans="1:16379" s="226" customFormat="1" x14ac:dyDescent="0.2">
      <c r="A256" s="86" t="s">
        <v>35</v>
      </c>
      <c r="B256" s="86" t="s">
        <v>517</v>
      </c>
      <c r="C256" s="86"/>
      <c r="D256" s="86" t="s">
        <v>60</v>
      </c>
      <c r="E256" s="86" t="s">
        <v>251</v>
      </c>
      <c r="F256" s="86"/>
      <c r="G256" s="86"/>
      <c r="H256" s="86"/>
      <c r="I256" s="86" t="s">
        <v>1465</v>
      </c>
      <c r="J256" s="86"/>
      <c r="K256" s="86" t="s">
        <v>42</v>
      </c>
      <c r="L256" s="163">
        <v>2025</v>
      </c>
      <c r="M256" s="163"/>
      <c r="N256" s="164">
        <v>2800</v>
      </c>
      <c r="O256" s="165"/>
      <c r="P256" s="163">
        <v>50</v>
      </c>
      <c r="Q256" s="166">
        <v>2200</v>
      </c>
      <c r="R256" s="163"/>
      <c r="S256" s="163"/>
      <c r="T256" s="163"/>
      <c r="U256" s="163"/>
      <c r="V256" s="163"/>
      <c r="W256" s="163"/>
      <c r="X256" s="163"/>
      <c r="Y256" s="163"/>
      <c r="Z256" s="86"/>
      <c r="AA256" s="86"/>
      <c r="AB256" s="86"/>
      <c r="AC256" s="168" t="s">
        <v>1506</v>
      </c>
      <c r="AD256" s="163">
        <v>1</v>
      </c>
      <c r="AE256" s="163">
        <v>2</v>
      </c>
      <c r="AF256" s="163">
        <v>3</v>
      </c>
      <c r="AG256" s="163">
        <v>3</v>
      </c>
      <c r="AH256" s="163">
        <v>1</v>
      </c>
      <c r="AI256" s="163">
        <v>3</v>
      </c>
      <c r="AJ256" s="163">
        <f t="shared" si="29"/>
        <v>54</v>
      </c>
      <c r="AK256" s="86"/>
      <c r="AL256" s="198">
        <v>45474</v>
      </c>
    </row>
    <row r="257" spans="1:38" s="226" customFormat="1" x14ac:dyDescent="0.2">
      <c r="A257" s="86" t="s">
        <v>86</v>
      </c>
      <c r="B257" s="86" t="s">
        <v>1238</v>
      </c>
      <c r="C257" s="86"/>
      <c r="D257" s="86" t="s">
        <v>60</v>
      </c>
      <c r="E257" s="86" t="s">
        <v>1280</v>
      </c>
      <c r="F257" s="86"/>
      <c r="G257" s="86"/>
      <c r="H257" s="86"/>
      <c r="I257" s="86" t="s">
        <v>1466</v>
      </c>
      <c r="J257" s="86"/>
      <c r="K257" s="86" t="s">
        <v>42</v>
      </c>
      <c r="L257" s="163">
        <v>2026</v>
      </c>
      <c r="M257" s="163"/>
      <c r="N257" s="164"/>
      <c r="O257" s="165"/>
      <c r="P257" s="163"/>
      <c r="Q257" s="166"/>
      <c r="R257" s="163"/>
      <c r="S257" s="163"/>
      <c r="T257" s="163"/>
      <c r="U257" s="163"/>
      <c r="V257" s="163"/>
      <c r="W257" s="163"/>
      <c r="X257" s="163"/>
      <c r="Y257" s="163"/>
      <c r="Z257" s="86"/>
      <c r="AA257" s="86"/>
      <c r="AB257" s="86"/>
      <c r="AC257" s="168" t="s">
        <v>1509</v>
      </c>
      <c r="AD257" s="163"/>
      <c r="AE257" s="163"/>
      <c r="AF257" s="163"/>
      <c r="AG257" s="163"/>
      <c r="AH257" s="163"/>
      <c r="AI257" s="163"/>
      <c r="AJ257" s="163"/>
      <c r="AK257" s="86"/>
      <c r="AL257" s="198"/>
    </row>
    <row r="258" spans="1:38" s="226" customFormat="1" x14ac:dyDescent="0.2">
      <c r="A258" s="86" t="s">
        <v>86</v>
      </c>
      <c r="B258" s="86" t="s">
        <v>105</v>
      </c>
      <c r="C258" s="86"/>
      <c r="D258" s="86" t="s">
        <v>98</v>
      </c>
      <c r="E258" s="86" t="s">
        <v>565</v>
      </c>
      <c r="F258" s="86"/>
      <c r="G258" s="86"/>
      <c r="H258" s="86"/>
      <c r="I258" s="86" t="s">
        <v>1467</v>
      </c>
      <c r="J258" s="86"/>
      <c r="K258" s="86" t="s">
        <v>42</v>
      </c>
      <c r="L258" s="163">
        <v>2026</v>
      </c>
      <c r="M258" s="163"/>
      <c r="N258" s="164"/>
      <c r="O258" s="165"/>
      <c r="P258" s="163"/>
      <c r="Q258" s="166"/>
      <c r="R258" s="163"/>
      <c r="S258" s="163"/>
      <c r="T258" s="163"/>
      <c r="U258" s="163"/>
      <c r="V258" s="163"/>
      <c r="W258" s="163"/>
      <c r="X258" s="163"/>
      <c r="Y258" s="163"/>
      <c r="Z258" s="86"/>
      <c r="AA258" s="86"/>
      <c r="AB258" s="86"/>
      <c r="AC258" s="168" t="s">
        <v>1508</v>
      </c>
      <c r="AD258" s="163"/>
      <c r="AE258" s="163"/>
      <c r="AF258" s="163"/>
      <c r="AG258" s="163"/>
      <c r="AH258" s="163"/>
      <c r="AI258" s="163"/>
      <c r="AJ258" s="163"/>
      <c r="AK258" s="86"/>
      <c r="AL258" s="198"/>
    </row>
    <row r="259" spans="1:38" s="227" customFormat="1" x14ac:dyDescent="0.2">
      <c r="A259" s="179" t="s">
        <v>86</v>
      </c>
      <c r="B259" s="179" t="s">
        <v>509</v>
      </c>
      <c r="C259" s="179"/>
      <c r="D259" s="179" t="s">
        <v>37</v>
      </c>
      <c r="E259" s="179" t="s">
        <v>52</v>
      </c>
      <c r="F259" s="179"/>
      <c r="G259" s="179"/>
      <c r="H259" s="179"/>
      <c r="I259" s="179" t="s">
        <v>1468</v>
      </c>
      <c r="J259" s="179"/>
      <c r="K259" s="179" t="s">
        <v>42</v>
      </c>
      <c r="L259" s="191">
        <v>2026</v>
      </c>
      <c r="M259" s="191"/>
      <c r="N259" s="192"/>
      <c r="O259" s="193"/>
      <c r="P259" s="191"/>
      <c r="Q259" s="195"/>
      <c r="R259" s="191"/>
      <c r="S259" s="191"/>
      <c r="T259" s="191"/>
      <c r="U259" s="191"/>
      <c r="V259" s="191"/>
      <c r="W259" s="191"/>
      <c r="X259" s="191"/>
      <c r="Y259" s="191"/>
      <c r="Z259" s="179"/>
      <c r="AA259" s="86"/>
      <c r="AB259" s="86"/>
      <c r="AC259" s="190" t="s">
        <v>1510</v>
      </c>
      <c r="AD259" s="191">
        <v>1</v>
      </c>
      <c r="AE259" s="191">
        <v>3</v>
      </c>
      <c r="AF259" s="191">
        <v>3</v>
      </c>
      <c r="AG259" s="191">
        <v>2</v>
      </c>
      <c r="AH259" s="191">
        <v>1</v>
      </c>
      <c r="AI259" s="191">
        <v>2</v>
      </c>
      <c r="AJ259" s="191">
        <f>AI259*AH259*AG259*AF259*AE259*AD259</f>
        <v>36</v>
      </c>
      <c r="AK259" s="179"/>
      <c r="AL259" s="236"/>
    </row>
    <row r="260" spans="1:38" s="227" customFormat="1" x14ac:dyDescent="0.2">
      <c r="A260" s="179" t="s">
        <v>58</v>
      </c>
      <c r="B260" s="179" t="s">
        <v>1469</v>
      </c>
      <c r="C260" s="179"/>
      <c r="D260" s="179" t="s">
        <v>98</v>
      </c>
      <c r="E260" s="179" t="s">
        <v>1347</v>
      </c>
      <c r="F260" s="179"/>
      <c r="G260" s="179"/>
      <c r="H260" s="179"/>
      <c r="I260" s="179" t="s">
        <v>1470</v>
      </c>
      <c r="J260" s="179"/>
      <c r="K260" s="179" t="s">
        <v>42</v>
      </c>
      <c r="L260" s="191">
        <v>2026</v>
      </c>
      <c r="M260" s="191"/>
      <c r="N260" s="192">
        <v>50</v>
      </c>
      <c r="O260" s="193"/>
      <c r="P260" s="191"/>
      <c r="Q260" s="195"/>
      <c r="R260" s="191"/>
      <c r="S260" s="191"/>
      <c r="T260" s="191"/>
      <c r="U260" s="191"/>
      <c r="V260" s="191"/>
      <c r="W260" s="191"/>
      <c r="X260" s="191"/>
      <c r="Y260" s="191"/>
      <c r="Z260" s="179"/>
      <c r="AA260" s="86"/>
      <c r="AB260" s="86"/>
      <c r="AC260" s="190" t="s">
        <v>1511</v>
      </c>
      <c r="AD260" s="191">
        <v>1</v>
      </c>
      <c r="AE260" s="191">
        <v>1</v>
      </c>
      <c r="AF260" s="191">
        <v>2</v>
      </c>
      <c r="AG260" s="191">
        <v>2</v>
      </c>
      <c r="AH260" s="191">
        <v>2</v>
      </c>
      <c r="AI260" s="191">
        <v>1</v>
      </c>
      <c r="AJ260" s="191">
        <f>AI260*AH260*AG260*AF260*AE260*AD260</f>
        <v>8</v>
      </c>
      <c r="AK260" s="179"/>
      <c r="AL260" s="236"/>
    </row>
    <row r="261" spans="1:38" s="226" customFormat="1" x14ac:dyDescent="0.2">
      <c r="A261" s="86" t="s">
        <v>47</v>
      </c>
      <c r="B261" s="86" t="s">
        <v>1459</v>
      </c>
      <c r="C261" s="86"/>
      <c r="D261" s="86" t="s">
        <v>37</v>
      </c>
      <c r="E261" s="86" t="s">
        <v>1471</v>
      </c>
      <c r="F261" s="86"/>
      <c r="G261" s="86"/>
      <c r="H261" s="86"/>
      <c r="I261" s="86" t="s">
        <v>1472</v>
      </c>
      <c r="J261" s="86"/>
      <c r="K261" s="86" t="s">
        <v>42</v>
      </c>
      <c r="L261" s="163">
        <v>2026</v>
      </c>
      <c r="M261" s="163"/>
      <c r="N261" s="164"/>
      <c r="O261" s="165"/>
      <c r="P261" s="163"/>
      <c r="Q261" s="166"/>
      <c r="R261" s="163"/>
      <c r="S261" s="163"/>
      <c r="T261" s="163"/>
      <c r="U261" s="163"/>
      <c r="V261" s="163"/>
      <c r="W261" s="163"/>
      <c r="X261" s="163"/>
      <c r="Y261" s="163"/>
      <c r="Z261" s="86"/>
      <c r="AA261" s="86"/>
      <c r="AB261" s="86"/>
      <c r="AC261" s="168" t="s">
        <v>1512</v>
      </c>
      <c r="AD261" s="163"/>
      <c r="AE261" s="163"/>
      <c r="AF261" s="163"/>
      <c r="AG261" s="163"/>
      <c r="AH261" s="163"/>
      <c r="AI261" s="163"/>
      <c r="AJ261" s="163"/>
      <c r="AK261" s="86"/>
      <c r="AL261" s="198"/>
    </row>
    <row r="262" spans="1:38" s="226" customFormat="1" x14ac:dyDescent="0.2">
      <c r="A262" s="86" t="s">
        <v>58</v>
      </c>
      <c r="B262" s="86" t="s">
        <v>1473</v>
      </c>
      <c r="C262" s="86"/>
      <c r="D262" s="86" t="s">
        <v>98</v>
      </c>
      <c r="E262" s="86" t="s">
        <v>685</v>
      </c>
      <c r="F262" s="86"/>
      <c r="G262" s="86"/>
      <c r="H262" s="86"/>
      <c r="I262" s="86" t="s">
        <v>1474</v>
      </c>
      <c r="J262" s="86"/>
      <c r="K262" s="86" t="s">
        <v>42</v>
      </c>
      <c r="L262" s="163">
        <v>2026</v>
      </c>
      <c r="M262" s="163"/>
      <c r="N262" s="164">
        <v>3000</v>
      </c>
      <c r="O262" s="165"/>
      <c r="P262" s="163"/>
      <c r="Q262" s="166"/>
      <c r="R262" s="163"/>
      <c r="S262" s="163"/>
      <c r="T262" s="163"/>
      <c r="U262" s="163"/>
      <c r="V262" s="163"/>
      <c r="W262" s="163"/>
      <c r="X262" s="163"/>
      <c r="Y262" s="163"/>
      <c r="Z262" s="86"/>
      <c r="AA262" s="86"/>
      <c r="AB262" s="86"/>
      <c r="AC262" s="168"/>
      <c r="AD262" s="163"/>
      <c r="AE262" s="163"/>
      <c r="AF262" s="163"/>
      <c r="AG262" s="163"/>
      <c r="AH262" s="163"/>
      <c r="AI262" s="163"/>
      <c r="AJ262" s="163"/>
      <c r="AK262" s="86"/>
      <c r="AL262" s="198"/>
    </row>
    <row r="263" spans="1:38" s="235" customFormat="1" x14ac:dyDescent="0.2">
      <c r="A263" s="228" t="s">
        <v>58</v>
      </c>
      <c r="B263" s="228" t="s">
        <v>97</v>
      </c>
      <c r="C263" s="228"/>
      <c r="D263" s="228" t="s">
        <v>37</v>
      </c>
      <c r="E263" s="228" t="s">
        <v>1475</v>
      </c>
      <c r="F263" s="228"/>
      <c r="G263" s="228"/>
      <c r="H263" s="228"/>
      <c r="I263" s="228" t="s">
        <v>1476</v>
      </c>
      <c r="J263" s="228" t="s">
        <v>1477</v>
      </c>
      <c r="K263" s="228" t="s">
        <v>1420</v>
      </c>
      <c r="L263" s="229">
        <v>2025</v>
      </c>
      <c r="M263" s="229"/>
      <c r="N263" s="230">
        <v>10</v>
      </c>
      <c r="O263" s="231"/>
      <c r="P263" s="229">
        <v>10</v>
      </c>
      <c r="Q263" s="232"/>
      <c r="R263" s="229"/>
      <c r="S263" s="229"/>
      <c r="T263" s="229"/>
      <c r="U263" s="229"/>
      <c r="V263" s="229"/>
      <c r="W263" s="229"/>
      <c r="X263" s="229"/>
      <c r="Y263" s="229"/>
      <c r="Z263" s="228"/>
      <c r="AA263" s="86"/>
      <c r="AB263" s="86"/>
      <c r="AC263" s="233"/>
      <c r="AD263" s="229"/>
      <c r="AE263" s="229"/>
      <c r="AF263" s="229"/>
      <c r="AG263" s="229"/>
      <c r="AH263" s="229"/>
      <c r="AI263" s="229"/>
      <c r="AJ263" s="229"/>
      <c r="AK263" s="228"/>
      <c r="AL263" s="234"/>
    </row>
    <row r="264" spans="1:38" s="226" customFormat="1" x14ac:dyDescent="0.2">
      <c r="A264" s="86" t="s">
        <v>35</v>
      </c>
      <c r="B264" s="86" t="s">
        <v>642</v>
      </c>
      <c r="C264" s="86"/>
      <c r="D264" s="86" t="s">
        <v>60</v>
      </c>
      <c r="E264" s="86" t="s">
        <v>1478</v>
      </c>
      <c r="F264" s="86"/>
      <c r="G264" s="86"/>
      <c r="H264" s="86"/>
      <c r="I264" s="86" t="s">
        <v>1479</v>
      </c>
      <c r="J264" s="86" t="s">
        <v>1480</v>
      </c>
      <c r="K264" s="86" t="s">
        <v>1420</v>
      </c>
      <c r="L264" s="163">
        <v>2026</v>
      </c>
      <c r="M264" s="163"/>
      <c r="N264" s="164"/>
      <c r="O264" s="165"/>
      <c r="P264" s="163"/>
      <c r="Q264" s="166">
        <v>9000</v>
      </c>
      <c r="R264" s="163"/>
      <c r="S264" s="163"/>
      <c r="T264" s="163"/>
      <c r="U264" s="163"/>
      <c r="V264" s="163"/>
      <c r="W264" s="163"/>
      <c r="X264" s="163"/>
      <c r="Y264" s="163"/>
      <c r="Z264" s="86"/>
      <c r="AA264" s="86"/>
      <c r="AB264" s="86"/>
      <c r="AC264" s="168"/>
      <c r="AD264" s="163"/>
      <c r="AE264" s="163"/>
      <c r="AF264" s="163"/>
      <c r="AG264" s="163"/>
      <c r="AH264" s="163"/>
      <c r="AI264" s="163"/>
      <c r="AJ264" s="163"/>
      <c r="AK264" s="86"/>
      <c r="AL264" s="198"/>
    </row>
    <row r="265" spans="1:38" s="226" customFormat="1" x14ac:dyDescent="0.2">
      <c r="A265" s="86" t="s">
        <v>47</v>
      </c>
      <c r="B265" s="86" t="s">
        <v>1481</v>
      </c>
      <c r="C265" s="86"/>
      <c r="D265" s="86" t="s">
        <v>98</v>
      </c>
      <c r="E265" s="86" t="s">
        <v>1482</v>
      </c>
      <c r="F265" s="86"/>
      <c r="G265" s="86"/>
      <c r="H265" s="86"/>
      <c r="I265" s="86" t="s">
        <v>1483</v>
      </c>
      <c r="J265" s="86"/>
      <c r="K265" s="86" t="s">
        <v>42</v>
      </c>
      <c r="L265" s="163">
        <v>2026</v>
      </c>
      <c r="M265" s="163"/>
      <c r="N265" s="164"/>
      <c r="O265" s="165"/>
      <c r="P265" s="163"/>
      <c r="Q265" s="166"/>
      <c r="R265" s="163"/>
      <c r="S265" s="163"/>
      <c r="T265" s="163"/>
      <c r="U265" s="163"/>
      <c r="V265" s="163"/>
      <c r="W265" s="163"/>
      <c r="X265" s="163"/>
      <c r="Y265" s="163"/>
      <c r="Z265" s="86"/>
      <c r="AA265" s="86"/>
      <c r="AB265" s="86"/>
      <c r="AC265" s="168"/>
      <c r="AD265" s="163"/>
      <c r="AE265" s="163"/>
      <c r="AF265" s="163"/>
      <c r="AG265" s="163"/>
      <c r="AH265" s="163"/>
      <c r="AI265" s="163"/>
      <c r="AJ265" s="163"/>
      <c r="AK265" s="86"/>
      <c r="AL265" s="198"/>
    </row>
    <row r="266" spans="1:38" s="226" customFormat="1" x14ac:dyDescent="0.2">
      <c r="A266" s="86" t="s">
        <v>58</v>
      </c>
      <c r="B266" s="86" t="s">
        <v>1260</v>
      </c>
      <c r="C266" s="86"/>
      <c r="D266" s="86" t="s">
        <v>37</v>
      </c>
      <c r="E266" s="86" t="s">
        <v>627</v>
      </c>
      <c r="F266" s="86"/>
      <c r="G266" s="86"/>
      <c r="H266" s="86"/>
      <c r="I266" s="86" t="s">
        <v>1484</v>
      </c>
      <c r="J266" s="86" t="s">
        <v>1485</v>
      </c>
      <c r="K266" s="86" t="s">
        <v>201</v>
      </c>
      <c r="L266" s="163">
        <v>2024</v>
      </c>
      <c r="M266" s="163"/>
      <c r="N266" s="164">
        <v>128</v>
      </c>
      <c r="O266" s="165"/>
      <c r="P266" s="163"/>
      <c r="Q266" s="166">
        <v>8000</v>
      </c>
      <c r="R266" s="163"/>
      <c r="S266" s="163"/>
      <c r="T266" s="163"/>
      <c r="U266" s="163"/>
      <c r="V266" s="163"/>
      <c r="W266" s="163"/>
      <c r="X266" s="163"/>
      <c r="Y266" s="163"/>
      <c r="Z266" s="86"/>
      <c r="AA266" s="86"/>
      <c r="AB266" s="86"/>
      <c r="AC266" s="168"/>
      <c r="AD266" s="163"/>
      <c r="AE266" s="163"/>
      <c r="AF266" s="163"/>
      <c r="AG266" s="163"/>
      <c r="AH266" s="163"/>
      <c r="AI266" s="163"/>
      <c r="AJ266" s="163"/>
      <c r="AK266" s="86"/>
      <c r="AL266" s="198"/>
    </row>
    <row r="267" spans="1:38" s="226" customFormat="1" x14ac:dyDescent="0.2">
      <c r="A267" s="86" t="s">
        <v>58</v>
      </c>
      <c r="B267" s="86" t="s">
        <v>1486</v>
      </c>
      <c r="C267" s="86"/>
      <c r="D267" s="86" t="s">
        <v>37</v>
      </c>
      <c r="E267" s="86" t="s">
        <v>685</v>
      </c>
      <c r="F267" s="86"/>
      <c r="G267" s="86"/>
      <c r="H267" s="86"/>
      <c r="I267" s="86" t="s">
        <v>1487</v>
      </c>
      <c r="J267" s="86"/>
      <c r="K267" s="86" t="s">
        <v>42</v>
      </c>
      <c r="L267" s="163">
        <v>2026</v>
      </c>
      <c r="M267" s="163"/>
      <c r="N267" s="164">
        <v>1000</v>
      </c>
      <c r="O267" s="165"/>
      <c r="P267" s="163"/>
      <c r="Q267" s="166"/>
      <c r="R267" s="163"/>
      <c r="S267" s="163"/>
      <c r="T267" s="163"/>
      <c r="U267" s="163"/>
      <c r="V267" s="163"/>
      <c r="W267" s="163"/>
      <c r="X267" s="163"/>
      <c r="Y267" s="163"/>
      <c r="Z267" s="86"/>
      <c r="AA267" s="86"/>
      <c r="AB267" s="86"/>
      <c r="AC267" s="168"/>
      <c r="AD267" s="163"/>
      <c r="AE267" s="163"/>
      <c r="AF267" s="163"/>
      <c r="AG267" s="163"/>
      <c r="AH267" s="163"/>
      <c r="AI267" s="163"/>
      <c r="AJ267" s="163"/>
      <c r="AK267" s="86"/>
      <c r="AL267" s="198"/>
    </row>
    <row r="268" spans="1:38" s="226" customFormat="1" x14ac:dyDescent="0.2">
      <c r="A268" s="86" t="s">
        <v>58</v>
      </c>
      <c r="B268" s="86" t="s">
        <v>296</v>
      </c>
      <c r="C268" s="86"/>
      <c r="D268" s="86" t="s">
        <v>98</v>
      </c>
      <c r="E268" s="86" t="s">
        <v>297</v>
      </c>
      <c r="F268" s="86"/>
      <c r="G268" s="86"/>
      <c r="H268" s="86"/>
      <c r="I268" s="86" t="s">
        <v>1488</v>
      </c>
      <c r="J268" s="86"/>
      <c r="K268" s="86"/>
      <c r="L268" s="163"/>
      <c r="M268" s="163"/>
      <c r="N268" s="164"/>
      <c r="O268" s="165"/>
      <c r="P268" s="163"/>
      <c r="Q268" s="166"/>
      <c r="R268" s="163"/>
      <c r="S268" s="163"/>
      <c r="T268" s="163"/>
      <c r="U268" s="163"/>
      <c r="V268" s="163"/>
      <c r="W268" s="163"/>
      <c r="X268" s="163"/>
      <c r="Y268" s="163"/>
      <c r="Z268" s="86"/>
      <c r="AA268" s="86"/>
      <c r="AB268" s="86"/>
      <c r="AC268" s="168"/>
      <c r="AD268" s="163"/>
      <c r="AE268" s="163"/>
      <c r="AF268" s="163"/>
      <c r="AG268" s="163"/>
      <c r="AH268" s="163"/>
      <c r="AI268" s="163"/>
      <c r="AJ268" s="163"/>
      <c r="AK268" s="86"/>
      <c r="AL268" s="198"/>
    </row>
    <row r="269" spans="1:38" s="235" customFormat="1" x14ac:dyDescent="0.2">
      <c r="A269" s="228" t="s">
        <v>58</v>
      </c>
      <c r="B269" s="228" t="s">
        <v>1489</v>
      </c>
      <c r="C269" s="228"/>
      <c r="D269" s="228" t="s">
        <v>37</v>
      </c>
      <c r="E269" s="228" t="s">
        <v>1490</v>
      </c>
      <c r="F269" s="228"/>
      <c r="G269" s="228"/>
      <c r="H269" s="228"/>
      <c r="I269" s="228" t="s">
        <v>1491</v>
      </c>
      <c r="J269" s="228" t="s">
        <v>1492</v>
      </c>
      <c r="K269" s="228" t="s">
        <v>834</v>
      </c>
      <c r="L269" s="229">
        <v>2026</v>
      </c>
      <c r="M269" s="229"/>
      <c r="N269" s="230">
        <v>2000</v>
      </c>
      <c r="O269" s="231"/>
      <c r="P269" s="229"/>
      <c r="Q269" s="232">
        <v>8000</v>
      </c>
      <c r="R269" s="229"/>
      <c r="S269" s="229"/>
      <c r="T269" s="229"/>
      <c r="U269" s="229"/>
      <c r="V269" s="229"/>
      <c r="W269" s="229"/>
      <c r="X269" s="229"/>
      <c r="Y269" s="229"/>
      <c r="Z269" s="228"/>
      <c r="AA269" s="86"/>
      <c r="AB269" s="86"/>
      <c r="AC269" s="233"/>
      <c r="AD269" s="229"/>
      <c r="AE269" s="229"/>
      <c r="AF269" s="229"/>
      <c r="AG269" s="229"/>
      <c r="AH269" s="229"/>
      <c r="AI269" s="229"/>
      <c r="AJ269" s="229"/>
      <c r="AK269" s="228"/>
      <c r="AL269" s="234"/>
    </row>
    <row r="270" spans="1:38" s="227" customFormat="1" x14ac:dyDescent="0.2">
      <c r="A270" s="179" t="s">
        <v>58</v>
      </c>
      <c r="B270" s="179" t="s">
        <v>1260</v>
      </c>
      <c r="C270" s="179"/>
      <c r="D270" s="179" t="s">
        <v>98</v>
      </c>
      <c r="E270" s="179" t="s">
        <v>138</v>
      </c>
      <c r="F270" s="179"/>
      <c r="G270" s="179"/>
      <c r="H270" s="179"/>
      <c r="I270" s="179" t="s">
        <v>1282</v>
      </c>
      <c r="J270" s="179" t="s">
        <v>1493</v>
      </c>
      <c r="K270" s="179" t="s">
        <v>1420</v>
      </c>
      <c r="L270" s="191">
        <v>2025</v>
      </c>
      <c r="M270" s="191"/>
      <c r="N270" s="192">
        <v>128</v>
      </c>
      <c r="O270" s="193"/>
      <c r="P270" s="191"/>
      <c r="Q270" s="195"/>
      <c r="R270" s="191"/>
      <c r="S270" s="191"/>
      <c r="T270" s="191"/>
      <c r="U270" s="191"/>
      <c r="V270" s="191"/>
      <c r="W270" s="191"/>
      <c r="X270" s="191"/>
      <c r="Y270" s="191"/>
      <c r="Z270" s="179"/>
      <c r="AA270" s="86"/>
      <c r="AB270" s="86"/>
      <c r="AC270" s="190"/>
      <c r="AD270" s="191"/>
      <c r="AE270" s="191"/>
      <c r="AF270" s="191"/>
      <c r="AG270" s="191"/>
      <c r="AH270" s="191"/>
      <c r="AI270" s="191"/>
      <c r="AJ270" s="191"/>
      <c r="AK270" s="179"/>
      <c r="AL270" s="236"/>
    </row>
    <row r="271" spans="1:38" s="235" customFormat="1" x14ac:dyDescent="0.2">
      <c r="A271" s="228" t="s">
        <v>47</v>
      </c>
      <c r="B271" s="228" t="s">
        <v>1494</v>
      </c>
      <c r="C271" s="228"/>
      <c r="D271" s="228" t="s">
        <v>37</v>
      </c>
      <c r="E271" s="228" t="s">
        <v>1495</v>
      </c>
      <c r="F271" s="228"/>
      <c r="G271" s="228"/>
      <c r="H271" s="228"/>
      <c r="I271" s="228" t="s">
        <v>1496</v>
      </c>
      <c r="J271" s="228"/>
      <c r="K271" s="228" t="s">
        <v>42</v>
      </c>
      <c r="L271" s="229">
        <v>2026</v>
      </c>
      <c r="M271" s="229"/>
      <c r="N271" s="230">
        <v>9000</v>
      </c>
      <c r="O271" s="231"/>
      <c r="P271" s="229"/>
      <c r="Q271" s="232"/>
      <c r="R271" s="229"/>
      <c r="S271" s="229"/>
      <c r="T271" s="229"/>
      <c r="U271" s="229"/>
      <c r="V271" s="229"/>
      <c r="W271" s="229"/>
      <c r="X271" s="229"/>
      <c r="Y271" s="229"/>
      <c r="Z271" s="228"/>
      <c r="AA271" s="86"/>
      <c r="AB271" s="86"/>
      <c r="AC271" s="233" t="s">
        <v>1497</v>
      </c>
      <c r="AD271" s="229"/>
      <c r="AE271" s="229"/>
      <c r="AF271" s="229"/>
      <c r="AG271" s="229"/>
      <c r="AH271" s="229"/>
      <c r="AI271" s="229"/>
      <c r="AJ271" s="229"/>
      <c r="AK271" s="228"/>
      <c r="AL271" s="234"/>
    </row>
    <row r="272" spans="1:38" s="226" customFormat="1" x14ac:dyDescent="0.2">
      <c r="A272" s="86" t="s">
        <v>47</v>
      </c>
      <c r="B272" s="86" t="s">
        <v>737</v>
      </c>
      <c r="C272" s="86"/>
      <c r="D272" s="86" t="s">
        <v>98</v>
      </c>
      <c r="E272" s="86" t="s">
        <v>706</v>
      </c>
      <c r="F272" s="86"/>
      <c r="G272" s="86"/>
      <c r="H272" s="86"/>
      <c r="I272" s="86" t="s">
        <v>1499</v>
      </c>
      <c r="J272" s="86"/>
      <c r="K272" s="86" t="s">
        <v>42</v>
      </c>
      <c r="L272" s="163">
        <v>2026</v>
      </c>
      <c r="M272" s="163"/>
      <c r="N272" s="164"/>
      <c r="O272" s="165"/>
      <c r="P272" s="163"/>
      <c r="Q272" s="166">
        <v>7000</v>
      </c>
      <c r="R272" s="163" t="s">
        <v>1192</v>
      </c>
      <c r="S272" s="163"/>
      <c r="T272" s="163"/>
      <c r="U272" s="163"/>
      <c r="V272" s="163"/>
      <c r="W272" s="163"/>
      <c r="X272" s="163"/>
      <c r="Y272" s="163"/>
      <c r="Z272" s="86"/>
      <c r="AA272" s="86"/>
      <c r="AB272" s="86"/>
      <c r="AC272" s="168" t="s">
        <v>1500</v>
      </c>
      <c r="AD272" s="163"/>
      <c r="AE272" s="163"/>
      <c r="AF272" s="163"/>
      <c r="AG272" s="163"/>
      <c r="AH272" s="163"/>
      <c r="AI272" s="163"/>
      <c r="AJ272" s="163"/>
      <c r="AK272" s="86"/>
      <c r="AL272" s="198"/>
    </row>
    <row r="273" spans="1:38" s="226" customFormat="1" x14ac:dyDescent="0.2">
      <c r="A273" s="86" t="s">
        <v>58</v>
      </c>
      <c r="B273" s="86" t="s">
        <v>158</v>
      </c>
      <c r="C273" s="86"/>
      <c r="D273" s="86" t="s">
        <v>37</v>
      </c>
      <c r="E273" s="86" t="s">
        <v>159</v>
      </c>
      <c r="F273" s="86"/>
      <c r="G273" s="86"/>
      <c r="H273" s="86"/>
      <c r="I273" s="86" t="s">
        <v>1513</v>
      </c>
      <c r="J273" s="86"/>
      <c r="K273" s="86" t="s">
        <v>42</v>
      </c>
      <c r="L273" s="163">
        <v>2025</v>
      </c>
      <c r="M273" s="163"/>
      <c r="N273" s="164">
        <v>300</v>
      </c>
      <c r="O273" s="165"/>
      <c r="P273" s="163"/>
      <c r="Q273" s="166"/>
      <c r="R273" s="163"/>
      <c r="S273" s="163"/>
      <c r="T273" s="163"/>
      <c r="U273" s="163"/>
      <c r="V273" s="163"/>
      <c r="W273" s="163"/>
      <c r="X273" s="163"/>
      <c r="Y273" s="163"/>
      <c r="Z273" s="86"/>
      <c r="AA273" s="86"/>
      <c r="AB273" s="86"/>
      <c r="AC273" s="168"/>
      <c r="AD273" s="163"/>
      <c r="AE273" s="163"/>
      <c r="AF273" s="163"/>
      <c r="AG273" s="163"/>
      <c r="AH273" s="163"/>
      <c r="AI273" s="163"/>
      <c r="AJ273" s="163"/>
      <c r="AK273" s="86"/>
      <c r="AL273" s="198"/>
    </row>
    <row r="274" spans="1:38" s="226" customFormat="1" x14ac:dyDescent="0.2">
      <c r="A274" s="86"/>
      <c r="B274" s="86"/>
      <c r="C274" s="86"/>
      <c r="D274" s="86"/>
      <c r="E274" s="86"/>
      <c r="F274" s="86"/>
      <c r="G274" s="86"/>
      <c r="H274" s="86"/>
      <c r="I274" s="86"/>
      <c r="J274" s="86"/>
      <c r="K274" s="86"/>
      <c r="L274" s="163"/>
      <c r="M274" s="163"/>
      <c r="N274" s="164"/>
      <c r="O274" s="165"/>
      <c r="P274" s="163"/>
      <c r="Q274" s="166"/>
      <c r="R274" s="163"/>
      <c r="S274" s="163"/>
      <c r="T274" s="163"/>
      <c r="U274" s="163"/>
      <c r="V274" s="163"/>
      <c r="W274" s="163"/>
      <c r="X274" s="163"/>
      <c r="Y274" s="163"/>
      <c r="Z274" s="86"/>
      <c r="AA274" s="86"/>
      <c r="AB274" s="86"/>
      <c r="AC274" s="168"/>
      <c r="AD274" s="163"/>
      <c r="AE274" s="163"/>
      <c r="AF274" s="163"/>
      <c r="AG274" s="163"/>
      <c r="AH274" s="163"/>
      <c r="AI274" s="163"/>
      <c r="AJ274" s="163"/>
      <c r="AK274" s="86"/>
      <c r="AL274" s="198"/>
    </row>
    <row r="275" spans="1:38" s="227" customFormat="1" ht="25.5" x14ac:dyDescent="0.2">
      <c r="A275" s="179" t="s">
        <v>86</v>
      </c>
      <c r="B275" s="179" t="s">
        <v>462</v>
      </c>
      <c r="C275" s="179"/>
      <c r="D275" s="179" t="s">
        <v>220</v>
      </c>
      <c r="E275" s="179" t="s">
        <v>394</v>
      </c>
      <c r="F275" s="179"/>
      <c r="G275" s="179"/>
      <c r="H275" s="179"/>
      <c r="I275" s="179" t="s">
        <v>1514</v>
      </c>
      <c r="J275" s="179" t="s">
        <v>1515</v>
      </c>
      <c r="K275" s="179" t="s">
        <v>63</v>
      </c>
      <c r="L275" s="191">
        <v>2026</v>
      </c>
      <c r="M275" s="191"/>
      <c r="N275" s="192">
        <v>425</v>
      </c>
      <c r="O275" s="193"/>
      <c r="P275" s="191"/>
      <c r="Q275" s="195"/>
      <c r="R275" s="191"/>
      <c r="S275" s="191"/>
      <c r="T275" s="191"/>
      <c r="U275" s="191"/>
      <c r="V275" s="191"/>
      <c r="W275" s="191"/>
      <c r="X275" s="191"/>
      <c r="Y275" s="191"/>
      <c r="Z275" s="179" t="s">
        <v>42</v>
      </c>
      <c r="AA275" s="86"/>
      <c r="AB275" s="86"/>
      <c r="AC275" s="190" t="s">
        <v>1516</v>
      </c>
      <c r="AD275" s="191">
        <v>2</v>
      </c>
      <c r="AE275" s="191">
        <v>2</v>
      </c>
      <c r="AF275" s="191">
        <v>1</v>
      </c>
      <c r="AG275" s="191">
        <v>3</v>
      </c>
      <c r="AH275" s="191">
        <v>1</v>
      </c>
      <c r="AI275" s="191">
        <v>2</v>
      </c>
      <c r="AJ275" s="191">
        <f>AI275*AH275*AG275*AF275*AE275*AD275</f>
        <v>24</v>
      </c>
      <c r="AK275" s="179" t="s">
        <v>45</v>
      </c>
      <c r="AL275" s="236">
        <v>45505</v>
      </c>
    </row>
    <row r="276" spans="1:38" s="226" customFormat="1" x14ac:dyDescent="0.2">
      <c r="A276" s="86"/>
      <c r="B276" s="86"/>
      <c r="C276" s="86"/>
      <c r="D276" s="86"/>
      <c r="E276" s="86"/>
      <c r="F276" s="86"/>
      <c r="G276" s="86"/>
      <c r="H276" s="86"/>
      <c r="I276" s="86"/>
      <c r="J276" s="86"/>
      <c r="K276" s="86"/>
      <c r="L276" s="163"/>
      <c r="M276" s="163"/>
      <c r="N276" s="164"/>
      <c r="O276" s="165"/>
      <c r="P276" s="163"/>
      <c r="Q276" s="166"/>
      <c r="R276" s="163"/>
      <c r="S276" s="163"/>
      <c r="T276" s="163"/>
      <c r="U276" s="163"/>
      <c r="V276" s="163"/>
      <c r="W276" s="163"/>
      <c r="X276" s="163"/>
      <c r="Y276" s="163"/>
      <c r="Z276" s="86"/>
      <c r="AA276" s="86"/>
      <c r="AB276" s="86"/>
      <c r="AC276" s="168"/>
      <c r="AD276" s="163"/>
      <c r="AE276" s="163"/>
      <c r="AF276" s="163"/>
      <c r="AG276" s="163"/>
      <c r="AH276" s="163"/>
      <c r="AI276" s="163"/>
      <c r="AJ276" s="163"/>
      <c r="AK276" s="86"/>
      <c r="AL276" s="198"/>
    </row>
    <row r="277" spans="1:38" s="226" customFormat="1" x14ac:dyDescent="0.2">
      <c r="A277" s="86"/>
      <c r="B277" s="86"/>
      <c r="C277" s="86"/>
      <c r="D277" s="86"/>
      <c r="E277" s="86"/>
      <c r="F277" s="86"/>
      <c r="G277" s="86"/>
      <c r="H277" s="86"/>
      <c r="I277" s="86"/>
      <c r="J277" s="86"/>
      <c r="K277" s="86"/>
      <c r="L277" s="163"/>
      <c r="M277" s="163"/>
      <c r="N277" s="164"/>
      <c r="O277" s="165"/>
      <c r="P277" s="163"/>
      <c r="Q277" s="166"/>
      <c r="R277" s="163"/>
      <c r="S277" s="163"/>
      <c r="T277" s="163"/>
      <c r="U277" s="163"/>
      <c r="V277" s="163"/>
      <c r="W277" s="163"/>
      <c r="X277" s="163"/>
      <c r="Y277" s="163"/>
      <c r="Z277" s="86"/>
      <c r="AA277" s="86"/>
      <c r="AB277" s="86"/>
      <c r="AC277" s="168"/>
      <c r="AD277" s="163"/>
      <c r="AE277" s="163"/>
      <c r="AF277" s="163"/>
      <c r="AG277" s="163"/>
      <c r="AH277" s="163"/>
      <c r="AI277" s="163"/>
      <c r="AJ277" s="163"/>
      <c r="AK277" s="86"/>
      <c r="AL277" s="86"/>
    </row>
    <row r="278" spans="1:38" s="226" customFormat="1" x14ac:dyDescent="0.2">
      <c r="A278" s="86"/>
      <c r="B278" s="86"/>
      <c r="C278" s="86"/>
      <c r="D278" s="86"/>
      <c r="E278" s="86"/>
      <c r="F278" s="86"/>
      <c r="G278" s="86"/>
      <c r="H278" s="86"/>
      <c r="I278" s="86"/>
      <c r="J278" s="86"/>
      <c r="K278" s="86"/>
      <c r="L278" s="163"/>
      <c r="M278" s="163"/>
      <c r="N278" s="164"/>
      <c r="O278" s="165"/>
      <c r="P278" s="163"/>
      <c r="Q278" s="166"/>
      <c r="R278" s="163"/>
      <c r="S278" s="163"/>
      <c r="T278" s="163"/>
      <c r="U278" s="163"/>
      <c r="V278" s="163"/>
      <c r="W278" s="163"/>
      <c r="X278" s="163"/>
      <c r="Y278" s="163"/>
      <c r="Z278" s="86"/>
      <c r="AA278" s="86"/>
      <c r="AB278" s="86"/>
      <c r="AC278" s="168"/>
      <c r="AD278" s="163"/>
      <c r="AE278" s="163"/>
      <c r="AF278" s="163"/>
      <c r="AG278" s="163"/>
      <c r="AH278" s="163"/>
      <c r="AI278" s="163"/>
      <c r="AJ278" s="163"/>
      <c r="AK278" s="86"/>
      <c r="AL278" s="86"/>
    </row>
    <row r="279" spans="1:38" s="226" customFormat="1" x14ac:dyDescent="0.2">
      <c r="A279" s="86"/>
      <c r="B279" s="86"/>
      <c r="C279" s="86"/>
      <c r="D279" s="86"/>
      <c r="E279" s="86"/>
      <c r="F279" s="86"/>
      <c r="G279" s="86"/>
      <c r="H279" s="86"/>
      <c r="I279" s="86"/>
      <c r="J279" s="86"/>
      <c r="K279" s="86"/>
      <c r="L279" s="163"/>
      <c r="M279" s="163"/>
      <c r="N279" s="164"/>
      <c r="O279" s="165"/>
      <c r="P279" s="163"/>
      <c r="Q279" s="166"/>
      <c r="R279" s="163"/>
      <c r="S279" s="163"/>
      <c r="T279" s="163"/>
      <c r="U279" s="163"/>
      <c r="V279" s="163"/>
      <c r="W279" s="163"/>
      <c r="X279" s="163"/>
      <c r="Y279" s="163"/>
      <c r="Z279" s="86"/>
      <c r="AA279" s="86"/>
      <c r="AB279" s="86"/>
      <c r="AC279" s="168"/>
      <c r="AD279" s="163"/>
      <c r="AE279" s="163"/>
      <c r="AF279" s="163"/>
      <c r="AG279" s="163"/>
      <c r="AH279" s="163"/>
      <c r="AI279" s="163"/>
      <c r="AJ279" s="163"/>
      <c r="AK279" s="86"/>
      <c r="AL279" s="86"/>
    </row>
  </sheetData>
  <autoFilter ref="A1:AL275"/>
  <conditionalFormatting sqref="M1:M2 M12 M16:M17 M48:M57 M199:M232 M34:M45 M59:M89 M91:M106 M108:M130 M132:M145 M147:M197 M234:M241 M243:M1048576">
    <cfRule type="cellIs" dxfId="92" priority="99" operator="equal">
      <formula>1</formula>
    </cfRule>
  </conditionalFormatting>
  <conditionalFormatting sqref="D1:D2 D12 D16:D17 D48:D57 D199:D232 D34:D45 D59:D89 D91:D106 D108:D130 D132:D145 D147:D197 D234:D241 D243:D1048576">
    <cfRule type="cellIs" dxfId="91" priority="97" operator="equal">
      <formula>"s.c."</formula>
    </cfRule>
    <cfRule type="cellIs" dxfId="90" priority="98" operator="equal">
      <formula>"i.v."</formula>
    </cfRule>
  </conditionalFormatting>
  <conditionalFormatting sqref="M233">
    <cfRule type="cellIs" dxfId="89" priority="96" operator="equal">
      <formula>1</formula>
    </cfRule>
  </conditionalFormatting>
  <conditionalFormatting sqref="D233">
    <cfRule type="cellIs" dxfId="88" priority="94" operator="equal">
      <formula>"s.c."</formula>
    </cfRule>
    <cfRule type="cellIs" dxfId="87" priority="95" operator="equal">
      <formula>"i.v."</formula>
    </cfRule>
  </conditionalFormatting>
  <conditionalFormatting sqref="M32:M33">
    <cfRule type="cellIs" dxfId="86" priority="93" operator="equal">
      <formula>1</formula>
    </cfRule>
  </conditionalFormatting>
  <conditionalFormatting sqref="D32:D33">
    <cfRule type="cellIs" dxfId="85" priority="91" operator="equal">
      <formula>"s.c."</formula>
    </cfRule>
    <cfRule type="cellIs" dxfId="84" priority="92" operator="equal">
      <formula>"i.v."</formula>
    </cfRule>
  </conditionalFormatting>
  <conditionalFormatting sqref="M30:M31">
    <cfRule type="cellIs" dxfId="83" priority="90" operator="equal">
      <formula>1</formula>
    </cfRule>
  </conditionalFormatting>
  <conditionalFormatting sqref="D30:D31">
    <cfRule type="cellIs" dxfId="82" priority="88" operator="equal">
      <formula>"s.c."</formula>
    </cfRule>
    <cfRule type="cellIs" dxfId="81" priority="89" operator="equal">
      <formula>"i.v."</formula>
    </cfRule>
  </conditionalFormatting>
  <conditionalFormatting sqref="M28:M29">
    <cfRule type="cellIs" dxfId="80" priority="87" operator="equal">
      <formula>1</formula>
    </cfRule>
  </conditionalFormatting>
  <conditionalFormatting sqref="D28:D29">
    <cfRule type="cellIs" dxfId="79" priority="85" operator="equal">
      <formula>"s.c."</formula>
    </cfRule>
    <cfRule type="cellIs" dxfId="78" priority="86" operator="equal">
      <formula>"i.v."</formula>
    </cfRule>
  </conditionalFormatting>
  <conditionalFormatting sqref="M25:M26">
    <cfRule type="cellIs" dxfId="77" priority="84" operator="equal">
      <formula>1</formula>
    </cfRule>
  </conditionalFormatting>
  <conditionalFormatting sqref="D25:D26">
    <cfRule type="cellIs" dxfId="76" priority="82" operator="equal">
      <formula>"s.c."</formula>
    </cfRule>
    <cfRule type="cellIs" dxfId="75" priority="83" operator="equal">
      <formula>"i.v."</formula>
    </cfRule>
  </conditionalFormatting>
  <conditionalFormatting sqref="M24">
    <cfRule type="cellIs" dxfId="74" priority="81" operator="equal">
      <formula>1</formula>
    </cfRule>
  </conditionalFormatting>
  <conditionalFormatting sqref="D24">
    <cfRule type="cellIs" dxfId="73" priority="79" operator="equal">
      <formula>"s.c."</formula>
    </cfRule>
    <cfRule type="cellIs" dxfId="72" priority="80" operator="equal">
      <formula>"i.v."</formula>
    </cfRule>
  </conditionalFormatting>
  <conditionalFormatting sqref="M23">
    <cfRule type="cellIs" dxfId="71" priority="78" operator="equal">
      <formula>1</formula>
    </cfRule>
  </conditionalFormatting>
  <conditionalFormatting sqref="D23">
    <cfRule type="cellIs" dxfId="70" priority="76" operator="equal">
      <formula>"s.c."</formula>
    </cfRule>
    <cfRule type="cellIs" dxfId="69" priority="77" operator="equal">
      <formula>"i.v."</formula>
    </cfRule>
  </conditionalFormatting>
  <conditionalFormatting sqref="M22">
    <cfRule type="cellIs" dxfId="68" priority="75" operator="equal">
      <formula>1</formula>
    </cfRule>
  </conditionalFormatting>
  <conditionalFormatting sqref="D22">
    <cfRule type="cellIs" dxfId="67" priority="73" operator="equal">
      <formula>"s.c."</formula>
    </cfRule>
    <cfRule type="cellIs" dxfId="66" priority="74" operator="equal">
      <formula>"i.v."</formula>
    </cfRule>
  </conditionalFormatting>
  <conditionalFormatting sqref="M27">
    <cfRule type="cellIs" dxfId="65" priority="72" operator="equal">
      <formula>1</formula>
    </cfRule>
  </conditionalFormatting>
  <conditionalFormatting sqref="D27">
    <cfRule type="cellIs" dxfId="64" priority="70" operator="equal">
      <formula>"s.c."</formula>
    </cfRule>
    <cfRule type="cellIs" dxfId="63" priority="71" operator="equal">
      <formula>"i.v."</formula>
    </cfRule>
  </conditionalFormatting>
  <conditionalFormatting sqref="M21">
    <cfRule type="cellIs" dxfId="62" priority="69" operator="equal">
      <formula>1</formula>
    </cfRule>
  </conditionalFormatting>
  <conditionalFormatting sqref="D21">
    <cfRule type="cellIs" dxfId="61" priority="67" operator="equal">
      <formula>"s.c."</formula>
    </cfRule>
    <cfRule type="cellIs" dxfId="60" priority="68" operator="equal">
      <formula>"i.v."</formula>
    </cfRule>
  </conditionalFormatting>
  <conditionalFormatting sqref="M20">
    <cfRule type="cellIs" dxfId="59" priority="66" operator="equal">
      <formula>1</formula>
    </cfRule>
  </conditionalFormatting>
  <conditionalFormatting sqref="D20">
    <cfRule type="cellIs" dxfId="58" priority="64" operator="equal">
      <formula>"s.c."</formula>
    </cfRule>
    <cfRule type="cellIs" dxfId="57" priority="65" operator="equal">
      <formula>"i.v."</formula>
    </cfRule>
  </conditionalFormatting>
  <conditionalFormatting sqref="M19">
    <cfRule type="cellIs" dxfId="56" priority="63" operator="equal">
      <formula>1</formula>
    </cfRule>
  </conditionalFormatting>
  <conditionalFormatting sqref="D19">
    <cfRule type="cellIs" dxfId="55" priority="61" operator="equal">
      <formula>"s.c."</formula>
    </cfRule>
    <cfRule type="cellIs" dxfId="54" priority="62" operator="equal">
      <formula>"i.v."</formula>
    </cfRule>
  </conditionalFormatting>
  <conditionalFormatting sqref="M18">
    <cfRule type="cellIs" dxfId="53" priority="60" operator="equal">
      <formula>1</formula>
    </cfRule>
  </conditionalFormatting>
  <conditionalFormatting sqref="D18">
    <cfRule type="cellIs" dxfId="52" priority="58" operator="equal">
      <formula>"s.c."</formula>
    </cfRule>
    <cfRule type="cellIs" dxfId="51" priority="59" operator="equal">
      <formula>"i.v."</formula>
    </cfRule>
  </conditionalFormatting>
  <conditionalFormatting sqref="M15">
    <cfRule type="cellIs" dxfId="50" priority="57" operator="equal">
      <formula>1</formula>
    </cfRule>
  </conditionalFormatting>
  <conditionalFormatting sqref="D15">
    <cfRule type="cellIs" dxfId="49" priority="55" operator="equal">
      <formula>"s.c."</formula>
    </cfRule>
    <cfRule type="cellIs" dxfId="48" priority="56" operator="equal">
      <formula>"i.v."</formula>
    </cfRule>
  </conditionalFormatting>
  <conditionalFormatting sqref="M14">
    <cfRule type="cellIs" dxfId="47" priority="54" operator="equal">
      <formula>1</formula>
    </cfRule>
  </conditionalFormatting>
  <conditionalFormatting sqref="D14">
    <cfRule type="cellIs" dxfId="46" priority="52" operator="equal">
      <formula>"s.c."</formula>
    </cfRule>
    <cfRule type="cellIs" dxfId="45" priority="53" operator="equal">
      <formula>"i.v."</formula>
    </cfRule>
  </conditionalFormatting>
  <conditionalFormatting sqref="M13">
    <cfRule type="cellIs" dxfId="44" priority="51" operator="equal">
      <formula>1</formula>
    </cfRule>
  </conditionalFormatting>
  <conditionalFormatting sqref="D13">
    <cfRule type="cellIs" dxfId="43" priority="49" operator="equal">
      <formula>"s.c."</formula>
    </cfRule>
    <cfRule type="cellIs" dxfId="42" priority="50" operator="equal">
      <formula>"i.v."</formula>
    </cfRule>
  </conditionalFormatting>
  <conditionalFormatting sqref="M10:M11">
    <cfRule type="cellIs" dxfId="41" priority="48" operator="equal">
      <formula>1</formula>
    </cfRule>
  </conditionalFormatting>
  <conditionalFormatting sqref="D10:D11">
    <cfRule type="cellIs" dxfId="40" priority="46" operator="equal">
      <formula>"s.c."</formula>
    </cfRule>
    <cfRule type="cellIs" dxfId="39" priority="47" operator="equal">
      <formula>"i.v."</formula>
    </cfRule>
  </conditionalFormatting>
  <conditionalFormatting sqref="M8:M9">
    <cfRule type="cellIs" dxfId="38" priority="45" operator="equal">
      <formula>1</formula>
    </cfRule>
  </conditionalFormatting>
  <conditionalFormatting sqref="D8:D9">
    <cfRule type="cellIs" dxfId="37" priority="43" operator="equal">
      <formula>"s.c."</formula>
    </cfRule>
    <cfRule type="cellIs" dxfId="36" priority="44" operator="equal">
      <formula>"i.v."</formula>
    </cfRule>
  </conditionalFormatting>
  <conditionalFormatting sqref="M7">
    <cfRule type="cellIs" dxfId="35" priority="39" operator="equal">
      <formula>1</formula>
    </cfRule>
  </conditionalFormatting>
  <conditionalFormatting sqref="D7">
    <cfRule type="cellIs" dxfId="34" priority="37" operator="equal">
      <formula>"s.c."</formula>
    </cfRule>
    <cfRule type="cellIs" dxfId="33" priority="38" operator="equal">
      <formula>"i.v."</formula>
    </cfRule>
  </conditionalFormatting>
  <conditionalFormatting sqref="M6">
    <cfRule type="cellIs" dxfId="32" priority="36" operator="equal">
      <formula>1</formula>
    </cfRule>
  </conditionalFormatting>
  <conditionalFormatting sqref="D6">
    <cfRule type="cellIs" dxfId="31" priority="34" operator="equal">
      <formula>"s.c."</formula>
    </cfRule>
    <cfRule type="cellIs" dxfId="30" priority="35" operator="equal">
      <formula>"i.v."</formula>
    </cfRule>
  </conditionalFormatting>
  <conditionalFormatting sqref="M4:M5">
    <cfRule type="cellIs" dxfId="29" priority="30" operator="equal">
      <formula>1</formula>
    </cfRule>
  </conditionalFormatting>
  <conditionalFormatting sqref="D4:D5">
    <cfRule type="cellIs" dxfId="28" priority="28" operator="equal">
      <formula>"s.c."</formula>
    </cfRule>
    <cfRule type="cellIs" dxfId="27" priority="29" operator="equal">
      <formula>"i.v."</formula>
    </cfRule>
  </conditionalFormatting>
  <conditionalFormatting sqref="M3">
    <cfRule type="cellIs" dxfId="26" priority="27" operator="equal">
      <formula>1</formula>
    </cfRule>
  </conditionalFormatting>
  <conditionalFormatting sqref="D3">
    <cfRule type="cellIs" dxfId="25" priority="25" operator="equal">
      <formula>"s.c."</formula>
    </cfRule>
    <cfRule type="cellIs" dxfId="24" priority="26" operator="equal">
      <formula>"i.v."</formula>
    </cfRule>
  </conditionalFormatting>
  <conditionalFormatting sqref="M131">
    <cfRule type="cellIs" dxfId="23" priority="24" operator="equal">
      <formula>1</formula>
    </cfRule>
  </conditionalFormatting>
  <conditionalFormatting sqref="D131">
    <cfRule type="cellIs" dxfId="22" priority="22" operator="equal">
      <formula>"s.c."</formula>
    </cfRule>
    <cfRule type="cellIs" dxfId="21" priority="23" operator="equal">
      <formula>"i.v."</formula>
    </cfRule>
  </conditionalFormatting>
  <conditionalFormatting sqref="M58">
    <cfRule type="cellIs" dxfId="20" priority="21" operator="equal">
      <formula>1</formula>
    </cfRule>
  </conditionalFormatting>
  <conditionalFormatting sqref="D58">
    <cfRule type="cellIs" dxfId="19" priority="19" operator="equal">
      <formula>"s.c."</formula>
    </cfRule>
    <cfRule type="cellIs" dxfId="18" priority="20" operator="equal">
      <formula>"i.v."</formula>
    </cfRule>
  </conditionalFormatting>
  <conditionalFormatting sqref="M46:M47">
    <cfRule type="cellIs" dxfId="17" priority="18" operator="equal">
      <formula>1</formula>
    </cfRule>
  </conditionalFormatting>
  <conditionalFormatting sqref="D46:D47">
    <cfRule type="cellIs" dxfId="16" priority="16" operator="equal">
      <formula>"s.c."</formula>
    </cfRule>
    <cfRule type="cellIs" dxfId="15" priority="17" operator="equal">
      <formula>"i.v."</formula>
    </cfRule>
  </conditionalFormatting>
  <conditionalFormatting sqref="M242">
    <cfRule type="cellIs" dxfId="14" priority="15" operator="equal">
      <formula>1</formula>
    </cfRule>
  </conditionalFormatting>
  <conditionalFormatting sqref="D242">
    <cfRule type="cellIs" dxfId="13" priority="13" operator="equal">
      <formula>"s.c."</formula>
    </cfRule>
    <cfRule type="cellIs" dxfId="12" priority="14" operator="equal">
      <formula>"i.v."</formula>
    </cfRule>
  </conditionalFormatting>
  <conditionalFormatting sqref="M198">
    <cfRule type="cellIs" dxfId="11" priority="12" operator="equal">
      <formula>1</formula>
    </cfRule>
  </conditionalFormatting>
  <conditionalFormatting sqref="D198">
    <cfRule type="cellIs" dxfId="10" priority="10" operator="equal">
      <formula>"s.c."</formula>
    </cfRule>
    <cfRule type="cellIs" dxfId="9" priority="11" operator="equal">
      <formula>"i.v."</formula>
    </cfRule>
  </conditionalFormatting>
  <conditionalFormatting sqref="M146">
    <cfRule type="cellIs" dxfId="8" priority="9" operator="equal">
      <formula>1</formula>
    </cfRule>
  </conditionalFormatting>
  <conditionalFormatting sqref="D146">
    <cfRule type="cellIs" dxfId="7" priority="7" operator="equal">
      <formula>"s.c."</formula>
    </cfRule>
    <cfRule type="cellIs" dxfId="6" priority="8" operator="equal">
      <formula>"i.v."</formula>
    </cfRule>
  </conditionalFormatting>
  <conditionalFormatting sqref="M90">
    <cfRule type="cellIs" dxfId="5" priority="6" operator="equal">
      <formula>1</formula>
    </cfRule>
  </conditionalFormatting>
  <conditionalFormatting sqref="D90">
    <cfRule type="cellIs" dxfId="4" priority="4" operator="equal">
      <formula>"s.c."</formula>
    </cfRule>
    <cfRule type="cellIs" dxfId="3" priority="5" operator="equal">
      <formula>"i.v."</formula>
    </cfRule>
  </conditionalFormatting>
  <conditionalFormatting sqref="M107">
    <cfRule type="cellIs" dxfId="2" priority="3" operator="equal">
      <formula>1</formula>
    </cfRule>
  </conditionalFormatting>
  <conditionalFormatting sqref="D107">
    <cfRule type="cellIs" dxfId="1" priority="1" operator="equal">
      <formula>"s.c."</formula>
    </cfRule>
    <cfRule type="cellIs" dxfId="0" priority="2" operator="equal">
      <formula>"i.v."</formula>
    </cfRule>
  </conditionalFormatting>
  <hyperlinks>
    <hyperlink ref="Y31" r:id="rId1"/>
    <hyperlink ref="Y32" r:id="rId2"/>
  </hyperlinks>
  <pageMargins left="0.7" right="0.7" top="0.78740157499999996" bottom="0.78740157499999996" header="0.3" footer="0.3"/>
  <pageSetup paperSize="8" scale="23" fitToHeight="0" orientation="landscape" r:id="rId3"/>
  <drawing r:id="rId4"/>
  <legacy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 für LE2 2022</vt:lpstr>
      <vt:lpstr>Tabelle1</vt:lpstr>
      <vt:lpstr>LE1_2024</vt:lpstr>
      <vt:lpstr>Budget 2025</vt:lpstr>
    </vt:vector>
  </TitlesOfParts>
  <Company>MediService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Tairovski Damaris</dc:creator>
  <cp:lastModifiedBy>Githui Moses</cp:lastModifiedBy>
  <cp:lastPrinted>2023-06-16T16:19:16Z</cp:lastPrinted>
  <dcterms:created xsi:type="dcterms:W3CDTF">2021-03-05T09:13:04Z</dcterms:created>
  <dcterms:modified xsi:type="dcterms:W3CDTF">2024-08-26T17:01:35Z</dcterms:modified>
</cp:coreProperties>
</file>