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705" yWindow="-15" windowWidth="9525" windowHeight="11760"/>
  </bookViews>
  <sheets>
    <sheet name="Cover Page" sheetId="55" r:id="rId1"/>
    <sheet name="Contents" sheetId="56" r:id="rId2"/>
    <sheet name="Table IA" sheetId="1" r:id="rId3"/>
    <sheet name="Table IB" sheetId="2" r:id="rId4"/>
    <sheet name="TableIIA" sheetId="3" r:id="rId5"/>
    <sheet name="TableIIB" sheetId="35" r:id="rId6"/>
    <sheet name="TableIIC " sheetId="4" r:id="rId7"/>
    <sheet name="Table IID" sheetId="51" r:id="rId8"/>
    <sheet name="Table IIE" sheetId="5" r:id="rId9"/>
    <sheet name="Table IIF" sheetId="36" r:id="rId10"/>
    <sheet name="Table IIG" sheetId="59" r:id="rId11"/>
    <sheet name="Table III A" sheetId="6" r:id="rId12"/>
    <sheet name="Table IIIB" sheetId="50" r:id="rId13"/>
    <sheet name="Table IV" sheetId="7" r:id="rId14"/>
    <sheet name="Table V" sheetId="8" r:id="rId15"/>
    <sheet name="Table VI" sheetId="10" r:id="rId16"/>
    <sheet name="Table VII" sheetId="11" r:id="rId17"/>
    <sheet name="Table VIII" sheetId="13" r:id="rId18"/>
    <sheet name="TableIXA" sheetId="37" r:id="rId19"/>
    <sheet name="TableIXB" sheetId="38" r:id="rId20"/>
    <sheet name="TableIXC" sheetId="39" r:id="rId21"/>
    <sheet name="TableX" sheetId="40" r:id="rId22"/>
    <sheet name="TableXI" sheetId="41" r:id="rId23"/>
    <sheet name="Table XIIA" sheetId="57" r:id="rId24"/>
    <sheet name="Table XIIB" sheetId="21" r:id="rId25"/>
    <sheet name="TableXIII" sheetId="42" r:id="rId26"/>
    <sheet name="Table XIV" sheetId="53" r:id="rId27"/>
    <sheet name="TableXV" sheetId="43" r:id="rId28"/>
    <sheet name="TableXVI" sheetId="44" r:id="rId29"/>
    <sheet name="Table XVII" sheetId="27" r:id="rId30"/>
    <sheet name="Table XVIII" sheetId="28" r:id="rId31"/>
    <sheet name="TableXIX" sheetId="45" r:id="rId32"/>
    <sheet name="TableXX" sheetId="58" r:id="rId33"/>
    <sheet name="TableXXI" sheetId="47" r:id="rId34"/>
    <sheet name="Table XXII" sheetId="32" r:id="rId35"/>
    <sheet name="Table XXIII" sheetId="33" r:id="rId36"/>
    <sheet name="Appendix- Weights &amp; Measures" sheetId="52" r:id="rId37"/>
  </sheets>
  <definedNames>
    <definedName name="_xlnm._FilterDatabase" localSheetId="2" hidden="1">'Table IA'!#REF!</definedName>
    <definedName name="_xlnm._FilterDatabase" localSheetId="3" hidden="1">'Table IB'!$D$1:$D$69</definedName>
    <definedName name="ReportLinkMenu" localSheetId="27">TableXV!#REF!</definedName>
    <definedName name="SectionElements" localSheetId="27">TableXV!#REF!</definedName>
  </definedNames>
  <calcPr calcId="125725"/>
  <fileRecoveryPr autoRecover="0"/>
</workbook>
</file>

<file path=xl/calcChain.xml><?xml version="1.0" encoding="utf-8"?>
<calcChain xmlns="http://schemas.openxmlformats.org/spreadsheetml/2006/main">
  <c r="R45" i="41"/>
  <c r="Q45"/>
  <c r="E44" i="40"/>
  <c r="D44"/>
  <c r="P8" i="7"/>
  <c r="AO8" s="1"/>
  <c r="L8"/>
  <c r="P7"/>
  <c r="AO7" s="1"/>
  <c r="L7"/>
  <c r="AP8" l="1"/>
  <c r="AP7"/>
  <c r="J12" i="35" l="1"/>
  <c r="G12"/>
  <c r="L12" s="1"/>
  <c r="J11"/>
  <c r="L11" s="1"/>
  <c r="G11"/>
  <c r="L10"/>
  <c r="J10"/>
  <c r="G10"/>
  <c r="J9"/>
  <c r="G9"/>
  <c r="L9" s="1"/>
  <c r="J8"/>
  <c r="G8"/>
  <c r="L8" s="1"/>
  <c r="L7"/>
  <c r="J7"/>
  <c r="G7"/>
  <c r="F36" i="13" l="1"/>
  <c r="U45" i="45"/>
  <c r="M33" i="2"/>
  <c r="AM43" i="7"/>
  <c r="AN43" s="1"/>
  <c r="AO43" s="1"/>
  <c r="P43"/>
  <c r="J40" i="36"/>
  <c r="J28" s="1"/>
  <c r="G40"/>
  <c r="L40" s="1"/>
  <c r="L28" s="1"/>
  <c r="V56" i="6"/>
  <c r="W56" s="1"/>
  <c r="N56"/>
  <c r="O56" s="1"/>
  <c r="K56"/>
  <c r="H56"/>
  <c r="E56"/>
  <c r="L43" i="7"/>
  <c r="K43" s="1"/>
  <c r="J42" i="35"/>
  <c r="J30" s="1"/>
  <c r="G42"/>
  <c r="G30" s="1"/>
  <c r="N42" i="5"/>
  <c r="N30" s="1"/>
  <c r="M42"/>
  <c r="M30" s="1"/>
  <c r="K42"/>
  <c r="K30" s="1"/>
  <c r="G42"/>
  <c r="G30" s="1"/>
  <c r="F42"/>
  <c r="F30" s="1"/>
  <c r="C42"/>
  <c r="CF43" i="1"/>
  <c r="H45" i="51"/>
  <c r="H33" s="1"/>
  <c r="H45" i="4"/>
  <c r="H33" s="1"/>
  <c r="K47" i="3"/>
  <c r="K35" s="1"/>
  <c r="J47"/>
  <c r="J35" s="1"/>
  <c r="G47"/>
  <c r="G35" s="1"/>
  <c r="D47"/>
  <c r="D35" s="1"/>
  <c r="CC43" i="1"/>
  <c r="BI43"/>
  <c r="BD43"/>
  <c r="AW43"/>
  <c r="AY43" s="1"/>
  <c r="AZ43" s="1"/>
  <c r="BA43" s="1"/>
  <c r="AM43"/>
  <c r="AP43"/>
  <c r="AO43"/>
  <c r="AN43"/>
  <c r="AI43"/>
  <c r="AE43"/>
  <c r="T43"/>
  <c r="U43" s="1"/>
  <c r="O43"/>
  <c r="W43" s="1"/>
  <c r="X43" s="1"/>
  <c r="M43"/>
  <c r="AL31" i="7"/>
  <c r="AK31"/>
  <c r="AJ31"/>
  <c r="AI31"/>
  <c r="AH31"/>
  <c r="AG31"/>
  <c r="AF31"/>
  <c r="AE31"/>
  <c r="AD31"/>
  <c r="AC31"/>
  <c r="AB31"/>
  <c r="AA31"/>
  <c r="Z31"/>
  <c r="Y31"/>
  <c r="X31"/>
  <c r="U31"/>
  <c r="T31"/>
  <c r="S31"/>
  <c r="R31"/>
  <c r="Q31"/>
  <c r="O31"/>
  <c r="M31"/>
  <c r="J31"/>
  <c r="I31"/>
  <c r="H31"/>
  <c r="G31"/>
  <c r="F31"/>
  <c r="E31"/>
  <c r="D31"/>
  <c r="C31"/>
  <c r="B31"/>
  <c r="K28" i="36"/>
  <c r="I28"/>
  <c r="H28"/>
  <c r="F28"/>
  <c r="E28"/>
  <c r="D28"/>
  <c r="C28"/>
  <c r="R30" i="5"/>
  <c r="O30"/>
  <c r="L30"/>
  <c r="I30"/>
  <c r="H30"/>
  <c r="E30"/>
  <c r="D30"/>
  <c r="C30"/>
  <c r="I33" i="51"/>
  <c r="G33"/>
  <c r="F33"/>
  <c r="E33"/>
  <c r="D33"/>
  <c r="C33"/>
  <c r="G33" i="4"/>
  <c r="F33"/>
  <c r="E33"/>
  <c r="D33"/>
  <c r="C33"/>
  <c r="K30" i="35"/>
  <c r="I30"/>
  <c r="H30"/>
  <c r="F30"/>
  <c r="E30"/>
  <c r="D30"/>
  <c r="C30"/>
  <c r="M35" i="3"/>
  <c r="I35"/>
  <c r="H35"/>
  <c r="F35"/>
  <c r="E35"/>
  <c r="C35"/>
  <c r="B35"/>
  <c r="L54" i="10"/>
  <c r="U32" i="32"/>
  <c r="T32"/>
  <c r="S32"/>
  <c r="R32"/>
  <c r="Q32"/>
  <c r="P32"/>
  <c r="O32"/>
  <c r="M32"/>
  <c r="K32"/>
  <c r="I32"/>
  <c r="H32"/>
  <c r="G32"/>
  <c r="F32"/>
  <c r="E32"/>
  <c r="D32"/>
  <c r="C32"/>
  <c r="B32"/>
  <c r="P19"/>
  <c r="G28" i="36" l="1"/>
  <c r="J42" i="5"/>
  <c r="J30" s="1"/>
  <c r="P42"/>
  <c r="P30" s="1"/>
  <c r="J45" i="51"/>
  <c r="K45" s="1"/>
  <c r="K33" s="1"/>
  <c r="L42" i="35"/>
  <c r="L30" s="1"/>
  <c r="L47" i="3"/>
  <c r="BY43" i="1"/>
  <c r="BY31" s="1"/>
  <c r="BW43"/>
  <c r="AQ43"/>
  <c r="BX43" s="1"/>
  <c r="BX31" s="1"/>
  <c r="AP43" i="7"/>
  <c r="U19" i="32"/>
  <c r="T19"/>
  <c r="S19"/>
  <c r="R19"/>
  <c r="Q19"/>
  <c r="O19"/>
  <c r="N19"/>
  <c r="M19"/>
  <c r="K19"/>
  <c r="I19"/>
  <c r="H19"/>
  <c r="G19"/>
  <c r="F19"/>
  <c r="E19"/>
  <c r="D19"/>
  <c r="C19"/>
  <c r="B19"/>
  <c r="CF31" i="1"/>
  <c r="CE31"/>
  <c r="CD31"/>
  <c r="CC31"/>
  <c r="CB31"/>
  <c r="CA31"/>
  <c r="BZ31"/>
  <c r="BW31"/>
  <c r="BU31"/>
  <c r="BT31"/>
  <c r="BP31"/>
  <c r="BO31"/>
  <c r="BN31"/>
  <c r="BM31"/>
  <c r="BL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Q31"/>
  <c r="AP31"/>
  <c r="AO31"/>
  <c r="AN31"/>
  <c r="AM31"/>
  <c r="AL31"/>
  <c r="AK31"/>
  <c r="AJ31"/>
  <c r="AI31"/>
  <c r="AH31"/>
  <c r="AG31"/>
  <c r="AF31"/>
  <c r="AE31"/>
  <c r="AD31"/>
  <c r="AC31"/>
  <c r="AB31"/>
  <c r="X31"/>
  <c r="W31"/>
  <c r="V31"/>
  <c r="U31"/>
  <c r="T31"/>
  <c r="S31"/>
  <c r="R31"/>
  <c r="Q31"/>
  <c r="P31"/>
  <c r="O31"/>
  <c r="N31"/>
  <c r="M31"/>
  <c r="L31"/>
  <c r="K31"/>
  <c r="R43" i="41"/>
  <c r="Q43"/>
  <c r="E42" i="40"/>
  <c r="D42"/>
  <c r="V35" i="6"/>
  <c r="V30"/>
  <c r="W15"/>
  <c r="V15"/>
  <c r="W20"/>
  <c r="V20"/>
  <c r="E33" i="2"/>
  <c r="C33"/>
  <c r="AM29" i="43"/>
  <c r="AL29"/>
  <c r="AK29"/>
  <c r="AJ29"/>
  <c r="AI29"/>
  <c r="AH29"/>
  <c r="AG29"/>
  <c r="AF29"/>
  <c r="AE29"/>
  <c r="AD29"/>
  <c r="AC29"/>
  <c r="AB29"/>
  <c r="Z29"/>
  <c r="Y29"/>
  <c r="X29"/>
  <c r="W29"/>
  <c r="V29"/>
  <c r="U29"/>
  <c r="T29"/>
  <c r="S29"/>
  <c r="R29"/>
  <c r="Q29"/>
  <c r="P29"/>
  <c r="O29"/>
  <c r="M29"/>
  <c r="L29"/>
  <c r="K29"/>
  <c r="J29"/>
  <c r="I29"/>
  <c r="H29"/>
  <c r="G29"/>
  <c r="F29"/>
  <c r="E29"/>
  <c r="D29"/>
  <c r="C29"/>
  <c r="B29"/>
  <c r="AM16"/>
  <c r="AL16"/>
  <c r="AK16"/>
  <c r="AJ16"/>
  <c r="AI16"/>
  <c r="AH16"/>
  <c r="AG16"/>
  <c r="AF16"/>
  <c r="AE16"/>
  <c r="AD16"/>
  <c r="AC16"/>
  <c r="AB16"/>
  <c r="Z16"/>
  <c r="Y16"/>
  <c r="X16"/>
  <c r="W16"/>
  <c r="V16"/>
  <c r="U16"/>
  <c r="T16"/>
  <c r="S16"/>
  <c r="R16"/>
  <c r="Q16"/>
  <c r="P16"/>
  <c r="O16"/>
  <c r="M16"/>
  <c r="L16"/>
  <c r="K16"/>
  <c r="J16"/>
  <c r="I16"/>
  <c r="H16"/>
  <c r="G16"/>
  <c r="F16"/>
  <c r="E16"/>
  <c r="D16"/>
  <c r="C16"/>
  <c r="B16"/>
  <c r="Q28" i="11"/>
  <c r="P28"/>
  <c r="O28"/>
  <c r="N28"/>
  <c r="M28"/>
  <c r="L28"/>
  <c r="K28"/>
  <c r="J28"/>
  <c r="I28"/>
  <c r="H28"/>
  <c r="G28"/>
  <c r="F28"/>
  <c r="E28"/>
  <c r="D28"/>
  <c r="C28"/>
  <c r="B28"/>
  <c r="Q15"/>
  <c r="P15"/>
  <c r="O15"/>
  <c r="N15"/>
  <c r="M15"/>
  <c r="L15"/>
  <c r="K15"/>
  <c r="H15"/>
  <c r="E15"/>
  <c r="B15"/>
  <c r="J15"/>
  <c r="I15"/>
  <c r="G15"/>
  <c r="F15"/>
  <c r="D15"/>
  <c r="C15"/>
  <c r="Q42" i="5" l="1"/>
  <c r="J33" i="51"/>
  <c r="L35" i="3"/>
  <c r="N47"/>
  <c r="BV43" i="1"/>
  <c r="BV31" s="1"/>
  <c r="K56" i="33"/>
  <c r="K55"/>
  <c r="U57" i="38"/>
  <c r="L20" i="2"/>
  <c r="I36" i="13"/>
  <c r="H36"/>
  <c r="G36"/>
  <c r="E36"/>
  <c r="D36"/>
  <c r="C36"/>
  <c r="I23"/>
  <c r="H23"/>
  <c r="E23"/>
  <c r="D23"/>
  <c r="C23"/>
  <c r="G23"/>
  <c r="F23"/>
  <c r="C30" i="40"/>
  <c r="I51" i="50"/>
  <c r="I44"/>
  <c r="I61"/>
  <c r="I59"/>
  <c r="I57"/>
  <c r="I55"/>
  <c r="I53"/>
  <c r="I49"/>
  <c r="I47"/>
  <c r="I45"/>
  <c r="I43"/>
  <c r="I41"/>
  <c r="I37"/>
  <c r="I35"/>
  <c r="I31"/>
  <c r="I29"/>
  <c r="I25"/>
  <c r="I23"/>
  <c r="I19"/>
  <c r="I17"/>
  <c r="I13"/>
  <c r="I62"/>
  <c r="I60"/>
  <c r="I56"/>
  <c r="I54"/>
  <c r="I52"/>
  <c r="I50"/>
  <c r="I48"/>
  <c r="I46"/>
  <c r="I42"/>
  <c r="I40"/>
  <c r="I38"/>
  <c r="I34"/>
  <c r="I32"/>
  <c r="I28"/>
  <c r="I26"/>
  <c r="I22"/>
  <c r="I20"/>
  <c r="I16"/>
  <c r="I14"/>
  <c r="I36"/>
  <c r="I30"/>
  <c r="I24"/>
  <c r="I18"/>
  <c r="I12"/>
  <c r="I11"/>
  <c r="I10"/>
  <c r="E43"/>
  <c r="E59"/>
  <c r="E57"/>
  <c r="E55"/>
  <c r="E53"/>
  <c r="E49"/>
  <c r="E47"/>
  <c r="E45"/>
  <c r="E41"/>
  <c r="E37"/>
  <c r="E35"/>
  <c r="I39"/>
  <c r="I33"/>
  <c r="I27"/>
  <c r="I21"/>
  <c r="I15"/>
  <c r="I9"/>
  <c r="E31"/>
  <c r="E29"/>
  <c r="E25"/>
  <c r="E23"/>
  <c r="E19"/>
  <c r="E17"/>
  <c r="E44"/>
  <c r="E36"/>
  <c r="E30"/>
  <c r="E24"/>
  <c r="E18"/>
  <c r="E51"/>
  <c r="E39"/>
  <c r="E33"/>
  <c r="E27"/>
  <c r="E21"/>
  <c r="E15"/>
  <c r="E62"/>
  <c r="E60"/>
  <c r="E56"/>
  <c r="E54"/>
  <c r="E52"/>
  <c r="E50"/>
  <c r="E48"/>
  <c r="E46"/>
  <c r="E42"/>
  <c r="E40"/>
  <c r="E38"/>
  <c r="E34"/>
  <c r="E32"/>
  <c r="E28"/>
  <c r="E26"/>
  <c r="E22"/>
  <c r="E20"/>
  <c r="E16"/>
  <c r="E14"/>
  <c r="E13"/>
  <c r="E61"/>
  <c r="E12"/>
  <c r="E11"/>
  <c r="E10"/>
  <c r="E9"/>
  <c r="CC42" i="1"/>
  <c r="BW34" i="58"/>
  <c r="BV34"/>
  <c r="BU34"/>
  <c r="BT34"/>
  <c r="BS34"/>
  <c r="BR34"/>
  <c r="BQ34"/>
  <c r="BP34"/>
  <c r="BO34"/>
  <c r="BN34"/>
  <c r="BM34"/>
  <c r="BL34"/>
  <c r="BK34"/>
  <c r="BJ34"/>
  <c r="BH34"/>
  <c r="BG34"/>
  <c r="BF34"/>
  <c r="BE34"/>
  <c r="BD34"/>
  <c r="BC34"/>
  <c r="BB34"/>
  <c r="BA34"/>
  <c r="AZ34"/>
  <c r="AY34"/>
  <c r="AX34"/>
  <c r="AW34"/>
  <c r="AV34"/>
  <c r="AU34"/>
  <c r="AS34"/>
  <c r="AR34"/>
  <c r="AQ34"/>
  <c r="AP34"/>
  <c r="AO34"/>
  <c r="AN34"/>
  <c r="AM34"/>
  <c r="AL34"/>
  <c r="AK34"/>
  <c r="AJ34"/>
  <c r="AI34"/>
  <c r="AH34"/>
  <c r="AG34"/>
  <c r="AF34"/>
  <c r="AD34"/>
  <c r="AC34"/>
  <c r="AB34"/>
  <c r="AA34"/>
  <c r="Z34"/>
  <c r="Y34"/>
  <c r="X34"/>
  <c r="W34"/>
  <c r="V34"/>
  <c r="U34"/>
  <c r="T34"/>
  <c r="S34"/>
  <c r="R34"/>
  <c r="Q34"/>
  <c r="O34"/>
  <c r="N34"/>
  <c r="M34"/>
  <c r="L34"/>
  <c r="K34"/>
  <c r="J34"/>
  <c r="I34"/>
  <c r="H34"/>
  <c r="G34"/>
  <c r="F34"/>
  <c r="E34"/>
  <c r="D34"/>
  <c r="C34"/>
  <c r="B34"/>
  <c r="BV21"/>
  <c r="BT21"/>
  <c r="BR21"/>
  <c r="BP21"/>
  <c r="BN21"/>
  <c r="BL21"/>
  <c r="BJ21"/>
  <c r="BG21"/>
  <c r="BE21"/>
  <c r="BC21"/>
  <c r="BA21"/>
  <c r="AY21"/>
  <c r="AW21"/>
  <c r="AU21"/>
  <c r="AR21"/>
  <c r="AP21"/>
  <c r="AN21"/>
  <c r="AL21"/>
  <c r="AJ21"/>
  <c r="AH21"/>
  <c r="AF21"/>
  <c r="AC21"/>
  <c r="AA21"/>
  <c r="Y21"/>
  <c r="W21"/>
  <c r="U21"/>
  <c r="S21"/>
  <c r="Q21"/>
  <c r="N21"/>
  <c r="L21"/>
  <c r="J21"/>
  <c r="H21"/>
  <c r="F21"/>
  <c r="D21"/>
  <c r="B21"/>
  <c r="AM42" i="7"/>
  <c r="AN42" s="1"/>
  <c r="AO42" s="1"/>
  <c r="P42"/>
  <c r="U43" i="45"/>
  <c r="C59" i="39"/>
  <c r="B59"/>
  <c r="D59"/>
  <c r="V59"/>
  <c r="S59"/>
  <c r="K59"/>
  <c r="I59"/>
  <c r="H59"/>
  <c r="F59"/>
  <c r="E59"/>
  <c r="Q58"/>
  <c r="L58"/>
  <c r="J58"/>
  <c r="G58"/>
  <c r="Q57" i="38"/>
  <c r="Q57" i="37"/>
  <c r="S57" s="1"/>
  <c r="AP42" i="7" l="1"/>
  <c r="Q30" i="5"/>
  <c r="S42"/>
  <c r="N35" i="3"/>
  <c r="O47"/>
  <c r="O35" s="1"/>
  <c r="R58" i="37"/>
  <c r="F58"/>
  <c r="S58"/>
  <c r="C58"/>
  <c r="P58"/>
  <c r="L58"/>
  <c r="H58"/>
  <c r="D58"/>
  <c r="J58"/>
  <c r="B58"/>
  <c r="K58"/>
  <c r="M58"/>
  <c r="I58"/>
  <c r="E58"/>
  <c r="U57"/>
  <c r="N58"/>
  <c r="O58"/>
  <c r="G58"/>
  <c r="Q58" i="38"/>
  <c r="Q58" i="37"/>
  <c r="S57" i="38"/>
  <c r="CF42" i="1"/>
  <c r="L42" i="7"/>
  <c r="K42" s="1"/>
  <c r="L41" i="35"/>
  <c r="J41"/>
  <c r="G41"/>
  <c r="J39" i="36"/>
  <c r="G39"/>
  <c r="L39" s="1"/>
  <c r="P41" i="5"/>
  <c r="N41"/>
  <c r="K41"/>
  <c r="M41" s="1"/>
  <c r="J41"/>
  <c r="G41"/>
  <c r="C41"/>
  <c r="F41" s="1"/>
  <c r="H44" i="51"/>
  <c r="J44" s="1"/>
  <c r="K44" s="1"/>
  <c r="AW42" i="1"/>
  <c r="AY42" s="1"/>
  <c r="AZ42" s="1"/>
  <c r="BA42" s="1"/>
  <c r="H44" i="4"/>
  <c r="L46" i="3"/>
  <c r="N46" s="1"/>
  <c r="O46" s="1"/>
  <c r="K46"/>
  <c r="J46"/>
  <c r="G46"/>
  <c r="D46"/>
  <c r="BW42" i="1"/>
  <c r="BI42"/>
  <c r="AM42"/>
  <c r="AP42"/>
  <c r="AO42"/>
  <c r="AN42"/>
  <c r="AI42"/>
  <c r="AE42"/>
  <c r="U42"/>
  <c r="T42"/>
  <c r="M42"/>
  <c r="O42" s="1"/>
  <c r="W42" s="1"/>
  <c r="X42" s="1"/>
  <c r="V55" i="6"/>
  <c r="W55" s="1"/>
  <c r="N55"/>
  <c r="O55" s="1"/>
  <c r="K55"/>
  <c r="H55"/>
  <c r="E55"/>
  <c r="P33" i="2"/>
  <c r="N33"/>
  <c r="L33"/>
  <c r="M20"/>
  <c r="E30" i="40"/>
  <c r="D30"/>
  <c r="B30"/>
  <c r="R31" i="41"/>
  <c r="Q31"/>
  <c r="P31"/>
  <c r="O31"/>
  <c r="N31"/>
  <c r="M31"/>
  <c r="L31"/>
  <c r="K31"/>
  <c r="J31"/>
  <c r="I31"/>
  <c r="H31"/>
  <c r="G31"/>
  <c r="F31"/>
  <c r="E31"/>
  <c r="D31"/>
  <c r="C31"/>
  <c r="G31" i="28"/>
  <c r="E31"/>
  <c r="C31"/>
  <c r="T31" i="45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L53" i="10"/>
  <c r="L56" i="33"/>
  <c r="L55"/>
  <c r="Q42" i="41"/>
  <c r="R42" s="1"/>
  <c r="E41" i="40"/>
  <c r="D41"/>
  <c r="U42" i="45"/>
  <c r="AM41" i="7"/>
  <c r="AN41" s="1"/>
  <c r="P41"/>
  <c r="AO41" s="1"/>
  <c r="AP41" s="1"/>
  <c r="L52" i="10"/>
  <c r="V54" i="6"/>
  <c r="W54" s="1"/>
  <c r="N54"/>
  <c r="O54" s="1"/>
  <c r="K54"/>
  <c r="H54"/>
  <c r="E54"/>
  <c r="L41" i="7"/>
  <c r="K41" s="1"/>
  <c r="CF41" i="1"/>
  <c r="J38" i="36"/>
  <c r="G38"/>
  <c r="N40" i="5"/>
  <c r="P40" s="1"/>
  <c r="K40"/>
  <c r="M40" s="1"/>
  <c r="G40"/>
  <c r="J40" s="1"/>
  <c r="C40"/>
  <c r="F40" s="1"/>
  <c r="H43" i="51"/>
  <c r="J43" s="1"/>
  <c r="K43" s="1"/>
  <c r="H43" i="4"/>
  <c r="J40" i="35"/>
  <c r="G40"/>
  <c r="K45" i="3"/>
  <c r="J45"/>
  <c r="G45"/>
  <c r="D45"/>
  <c r="CC41" i="1"/>
  <c r="AW41"/>
  <c r="BY41" s="1"/>
  <c r="BI41"/>
  <c r="AM41"/>
  <c r="AP41"/>
  <c r="AO41"/>
  <c r="AN41"/>
  <c r="AI41"/>
  <c r="AE41"/>
  <c r="T41"/>
  <c r="U41" s="1"/>
  <c r="M41"/>
  <c r="BD41" s="1"/>
  <c r="Q41" i="41"/>
  <c r="R41" s="1"/>
  <c r="E40" i="40"/>
  <c r="D40"/>
  <c r="U41" i="45"/>
  <c r="AM39" i="7"/>
  <c r="L39"/>
  <c r="AN40"/>
  <c r="AO40" s="1"/>
  <c r="AP40" s="1"/>
  <c r="AM40"/>
  <c r="P40"/>
  <c r="L40"/>
  <c r="K40" s="1"/>
  <c r="V53" i="6"/>
  <c r="W53" s="1"/>
  <c r="N53"/>
  <c r="O53" s="1"/>
  <c r="K53"/>
  <c r="H53"/>
  <c r="E53"/>
  <c r="L37" i="36"/>
  <c r="J37"/>
  <c r="G37"/>
  <c r="N39" i="5"/>
  <c r="P39" s="1"/>
  <c r="K39"/>
  <c r="M39" s="1"/>
  <c r="J39"/>
  <c r="G39"/>
  <c r="C39"/>
  <c r="F39" s="1"/>
  <c r="J39" i="35"/>
  <c r="G39"/>
  <c r="H42" i="51"/>
  <c r="J42" s="1"/>
  <c r="K42" s="1"/>
  <c r="H42" i="4"/>
  <c r="K44" i="3"/>
  <c r="K43"/>
  <c r="J44"/>
  <c r="G44"/>
  <c r="D44"/>
  <c r="CC40" i="1"/>
  <c r="CF40"/>
  <c r="BI40"/>
  <c r="AW40"/>
  <c r="BW40" s="1"/>
  <c r="AM40"/>
  <c r="AP40"/>
  <c r="AO40"/>
  <c r="AN40"/>
  <c r="AI40"/>
  <c r="AE40"/>
  <c r="T40"/>
  <c r="U40" s="1"/>
  <c r="M40"/>
  <c r="BD40" s="1"/>
  <c r="L38" i="36" l="1"/>
  <c r="T42" i="5"/>
  <c r="T30" s="1"/>
  <c r="S30"/>
  <c r="Q41"/>
  <c r="S41" s="1"/>
  <c r="Q40"/>
  <c r="S40" s="1"/>
  <c r="T40" s="1"/>
  <c r="L40" i="35"/>
  <c r="L45" i="3"/>
  <c r="N45" s="1"/>
  <c r="O45" s="1"/>
  <c r="T41" i="5"/>
  <c r="BD42" i="1"/>
  <c r="AY40"/>
  <c r="AZ40" s="1"/>
  <c r="BA40" s="1"/>
  <c r="AQ42"/>
  <c r="BX42" s="1"/>
  <c r="U31" i="45"/>
  <c r="R58" i="38"/>
  <c r="N58"/>
  <c r="F58"/>
  <c r="O58"/>
  <c r="S58"/>
  <c r="P58"/>
  <c r="L58"/>
  <c r="H58"/>
  <c r="D58"/>
  <c r="B58"/>
  <c r="G58"/>
  <c r="C58"/>
  <c r="M58"/>
  <c r="I58"/>
  <c r="E58"/>
  <c r="J58"/>
  <c r="K58"/>
  <c r="BY42" i="1"/>
  <c r="Q39" i="5"/>
  <c r="S39" s="1"/>
  <c r="T39" s="1"/>
  <c r="L44" i="3"/>
  <c r="N44" s="1"/>
  <c r="O44" s="1"/>
  <c r="AQ41" i="1"/>
  <c r="O41"/>
  <c r="W41" s="1"/>
  <c r="X41" s="1"/>
  <c r="BW41"/>
  <c r="AY41"/>
  <c r="AZ41" s="1"/>
  <c r="BA41" s="1"/>
  <c r="L39" i="35"/>
  <c r="O40" i="1"/>
  <c r="W40" s="1"/>
  <c r="X40" s="1"/>
  <c r="AQ40"/>
  <c r="BY40"/>
  <c r="L51" i="10"/>
  <c r="L54" i="33"/>
  <c r="K54"/>
  <c r="L53"/>
  <c r="K53"/>
  <c r="Q40" i="41"/>
  <c r="R40" s="1"/>
  <c r="E39" i="40"/>
  <c r="D39"/>
  <c r="P33" i="33"/>
  <c r="O33"/>
  <c r="N33"/>
  <c r="M33"/>
  <c r="U40" i="45"/>
  <c r="BV42" i="1" l="1"/>
  <c r="BV41"/>
  <c r="BX41"/>
  <c r="BX40"/>
  <c r="BV40"/>
  <c r="D59" i="50"/>
  <c r="C59"/>
  <c r="B59"/>
  <c r="B52"/>
  <c r="L50" i="10"/>
  <c r="B45" i="50"/>
  <c r="AN39" i="7"/>
  <c r="P39"/>
  <c r="V52" i="6"/>
  <c r="W52" s="1"/>
  <c r="N52"/>
  <c r="O52" s="1"/>
  <c r="K52"/>
  <c r="H52"/>
  <c r="E52"/>
  <c r="J36" i="36"/>
  <c r="G36"/>
  <c r="N38" i="5"/>
  <c r="P38" s="1"/>
  <c r="K38"/>
  <c r="M38" s="1"/>
  <c r="J38"/>
  <c r="G38"/>
  <c r="C38"/>
  <c r="F38" s="1"/>
  <c r="H41" i="51"/>
  <c r="J41" s="1"/>
  <c r="K41" s="1"/>
  <c r="H41" i="4"/>
  <c r="J35" i="35"/>
  <c r="G35"/>
  <c r="J38"/>
  <c r="G38"/>
  <c r="J43" i="3"/>
  <c r="G43"/>
  <c r="L43" s="1"/>
  <c r="N43" s="1"/>
  <c r="O43" s="1"/>
  <c r="D43"/>
  <c r="CF39" i="1"/>
  <c r="CC39"/>
  <c r="BI39"/>
  <c r="AW39"/>
  <c r="BY39" s="1"/>
  <c r="AM39"/>
  <c r="AP39"/>
  <c r="AO39"/>
  <c r="AN39"/>
  <c r="AI39"/>
  <c r="AE39"/>
  <c r="T39"/>
  <c r="U39" s="1"/>
  <c r="M39"/>
  <c r="O39" s="1"/>
  <c r="W39" s="1"/>
  <c r="X39" s="1"/>
  <c r="AO39" i="7" l="1"/>
  <c r="AP39" s="1"/>
  <c r="L36" i="36"/>
  <c r="L38" i="35"/>
  <c r="AQ39" i="1"/>
  <c r="BX39" s="1"/>
  <c r="AY39"/>
  <c r="AZ39" s="1"/>
  <c r="BA39" s="1"/>
  <c r="Q38" i="5"/>
  <c r="S38" s="1"/>
  <c r="T38" s="1"/>
  <c r="BD39" i="1"/>
  <c r="BW39"/>
  <c r="K39" i="7"/>
  <c r="J6" i="36"/>
  <c r="G6"/>
  <c r="BV39" i="1" l="1"/>
  <c r="L6" i="36"/>
  <c r="Q39" i="41"/>
  <c r="R39" s="1"/>
  <c r="E38" i="40"/>
  <c r="D38"/>
  <c r="K28" i="33"/>
  <c r="K27"/>
  <c r="K26"/>
  <c r="K25"/>
  <c r="K24"/>
  <c r="K23"/>
  <c r="K22"/>
  <c r="K21"/>
  <c r="K45"/>
  <c r="K43"/>
  <c r="K42"/>
  <c r="K41"/>
  <c r="K40"/>
  <c r="K34"/>
  <c r="K52"/>
  <c r="L52" s="1"/>
  <c r="K51"/>
  <c r="L51" s="1"/>
  <c r="K50"/>
  <c r="L50" s="1"/>
  <c r="K49"/>
  <c r="L49" s="1"/>
  <c r="K48"/>
  <c r="L48" s="1"/>
  <c r="L49" i="10"/>
  <c r="V44" i="6"/>
  <c r="N44"/>
  <c r="K44"/>
  <c r="H44"/>
  <c r="E44"/>
  <c r="V43"/>
  <c r="N43"/>
  <c r="N40" s="1"/>
  <c r="K43"/>
  <c r="H43"/>
  <c r="E43"/>
  <c r="V42"/>
  <c r="N42"/>
  <c r="K42"/>
  <c r="H42"/>
  <c r="E42"/>
  <c r="O42" s="1"/>
  <c r="W42" s="1"/>
  <c r="V41"/>
  <c r="N41"/>
  <c r="K41"/>
  <c r="H41"/>
  <c r="E41"/>
  <c r="U40"/>
  <c r="T40"/>
  <c r="S40"/>
  <c r="R40"/>
  <c r="Q40"/>
  <c r="M40"/>
  <c r="L40"/>
  <c r="J40"/>
  <c r="I40"/>
  <c r="G40"/>
  <c r="F40"/>
  <c r="D40"/>
  <c r="C40"/>
  <c r="V39"/>
  <c r="N39"/>
  <c r="K39"/>
  <c r="H39"/>
  <c r="E39"/>
  <c r="V38"/>
  <c r="N38"/>
  <c r="K38"/>
  <c r="H38"/>
  <c r="E38"/>
  <c r="V37"/>
  <c r="N37"/>
  <c r="K37"/>
  <c r="H37"/>
  <c r="E37"/>
  <c r="V36"/>
  <c r="N36"/>
  <c r="N35" s="1"/>
  <c r="K36"/>
  <c r="H36"/>
  <c r="E36"/>
  <c r="U35"/>
  <c r="T35"/>
  <c r="S35"/>
  <c r="R35"/>
  <c r="Q35"/>
  <c r="M35"/>
  <c r="L35"/>
  <c r="J35"/>
  <c r="I35"/>
  <c r="G35"/>
  <c r="F35"/>
  <c r="D35"/>
  <c r="C35"/>
  <c r="H35" l="1"/>
  <c r="O39"/>
  <c r="W39" s="1"/>
  <c r="K40"/>
  <c r="O37"/>
  <c r="W37" s="1"/>
  <c r="K35"/>
  <c r="H40"/>
  <c r="O44"/>
  <c r="W44" s="1"/>
  <c r="O36"/>
  <c r="W36" s="1"/>
  <c r="W35" s="1"/>
  <c r="O43"/>
  <c r="W43" s="1"/>
  <c r="V40"/>
  <c r="O38"/>
  <c r="W38" s="1"/>
  <c r="O41"/>
  <c r="O40" s="1"/>
  <c r="E35"/>
  <c r="E40"/>
  <c r="O35" l="1"/>
  <c r="W41"/>
  <c r="W40" s="1"/>
  <c r="AM37" i="7" l="1"/>
  <c r="AM36"/>
  <c r="AM35"/>
  <c r="AM34"/>
  <c r="AM32"/>
  <c r="V51" i="6"/>
  <c r="N51"/>
  <c r="K51"/>
  <c r="H51"/>
  <c r="E51"/>
  <c r="U39" i="45"/>
  <c r="AM38" i="7"/>
  <c r="AN38" s="1"/>
  <c r="P38"/>
  <c r="L38"/>
  <c r="K38" s="1"/>
  <c r="L37"/>
  <c r="L36"/>
  <c r="J35" i="36"/>
  <c r="L35" s="1"/>
  <c r="G35"/>
  <c r="N37" i="5"/>
  <c r="P37" s="1"/>
  <c r="K37"/>
  <c r="M37" s="1"/>
  <c r="G37"/>
  <c r="J37" s="1"/>
  <c r="C37"/>
  <c r="F37" s="1"/>
  <c r="AO38" i="7" l="1"/>
  <c r="AP38" s="1"/>
  <c r="Q37" i="5"/>
  <c r="S37" s="1"/>
  <c r="T37" s="1"/>
  <c r="O51" i="6"/>
  <c r="W51" s="1"/>
  <c r="H40" i="51"/>
  <c r="J40" s="1"/>
  <c r="K40" s="1"/>
  <c r="H40" i="4"/>
  <c r="J37" i="35"/>
  <c r="G37"/>
  <c r="K42" i="3"/>
  <c r="J42"/>
  <c r="G42"/>
  <c r="D42"/>
  <c r="T38" i="1"/>
  <c r="U38" s="1"/>
  <c r="BI38"/>
  <c r="AW38"/>
  <c r="BY38" s="1"/>
  <c r="AM38"/>
  <c r="AP38"/>
  <c r="AO38"/>
  <c r="AN38"/>
  <c r="AI38"/>
  <c r="AE38"/>
  <c r="M38"/>
  <c r="BD38" s="1"/>
  <c r="CF33"/>
  <c r="CF34"/>
  <c r="CF35"/>
  <c r="CF36"/>
  <c r="CF37"/>
  <c r="CF38"/>
  <c r="CF32"/>
  <c r="CF20"/>
  <c r="CF21"/>
  <c r="CF22"/>
  <c r="CF23"/>
  <c r="CF24"/>
  <c r="CF25"/>
  <c r="CF26"/>
  <c r="CF27"/>
  <c r="CF28"/>
  <c r="CF29"/>
  <c r="CF30"/>
  <c r="CF19"/>
  <c r="CF15"/>
  <c r="CC33"/>
  <c r="CC34"/>
  <c r="CC35"/>
  <c r="CC36"/>
  <c r="CC37"/>
  <c r="CC38"/>
  <c r="CC32"/>
  <c r="CC20"/>
  <c r="CC21"/>
  <c r="CC22"/>
  <c r="CC23"/>
  <c r="CC24"/>
  <c r="CC25"/>
  <c r="CC26"/>
  <c r="CC27"/>
  <c r="CC28"/>
  <c r="CC29"/>
  <c r="CC30"/>
  <c r="CC19"/>
  <c r="CC15"/>
  <c r="CC14"/>
  <c r="CC13"/>
  <c r="CC12"/>
  <c r="CC11"/>
  <c r="AM30" i="7"/>
  <c r="AM29"/>
  <c r="AM28"/>
  <c r="AM27"/>
  <c r="AM26"/>
  <c r="AM25"/>
  <c r="AM24"/>
  <c r="AM23"/>
  <c r="AM22"/>
  <c r="AM21"/>
  <c r="AM20"/>
  <c r="AM19"/>
  <c r="L28"/>
  <c r="L25"/>
  <c r="L22"/>
  <c r="I8" i="50"/>
  <c r="E8"/>
  <c r="I7"/>
  <c r="E7"/>
  <c r="I6"/>
  <c r="E6"/>
  <c r="AY38" i="1" l="1"/>
  <c r="AZ38" s="1"/>
  <c r="BA38" s="1"/>
  <c r="AQ38"/>
  <c r="BV38" s="1"/>
  <c r="BW38"/>
  <c r="O38"/>
  <c r="W38" s="1"/>
  <c r="X38" s="1"/>
  <c r="L42" i="3"/>
  <c r="N42" s="1"/>
  <c r="O42" s="1"/>
  <c r="L37" i="35"/>
  <c r="L48" i="10"/>
  <c r="Q38" i="41"/>
  <c r="R38" s="1"/>
  <c r="B17" i="40"/>
  <c r="E37"/>
  <c r="D37"/>
  <c r="U5" i="45"/>
  <c r="U6"/>
  <c r="U8"/>
  <c r="U9"/>
  <c r="U10"/>
  <c r="U11"/>
  <c r="U12"/>
  <c r="U13"/>
  <c r="U14"/>
  <c r="U15"/>
  <c r="U34"/>
  <c r="G18" i="28"/>
  <c r="E18"/>
  <c r="C18"/>
  <c r="L35" i="7"/>
  <c r="U38" i="45"/>
  <c r="G34" i="36"/>
  <c r="K41" i="3"/>
  <c r="K40"/>
  <c r="J34" i="36"/>
  <c r="P36" i="5"/>
  <c r="M36"/>
  <c r="J36"/>
  <c r="F36"/>
  <c r="AW37" i="1"/>
  <c r="H39" i="51"/>
  <c r="J39" s="1"/>
  <c r="K39" s="1"/>
  <c r="H39" i="4"/>
  <c r="J36" i="35"/>
  <c r="G36"/>
  <c r="J41" i="3"/>
  <c r="G41"/>
  <c r="D41"/>
  <c r="BX38" i="1" l="1"/>
  <c r="Q36" i="5"/>
  <c r="S36" s="1"/>
  <c r="T36" s="1"/>
  <c r="L34" i="36"/>
  <c r="L36" i="35"/>
  <c r="L41" i="3"/>
  <c r="N41" s="1"/>
  <c r="O41" s="1"/>
  <c r="BW37" i="1"/>
  <c r="BI37"/>
  <c r="BY37"/>
  <c r="V50" i="6"/>
  <c r="N50"/>
  <c r="K50"/>
  <c r="H50"/>
  <c r="E50"/>
  <c r="AY37" i="1"/>
  <c r="AZ37" s="1"/>
  <c r="BA37" s="1"/>
  <c r="AM37"/>
  <c r="AP37"/>
  <c r="AO37"/>
  <c r="AN37"/>
  <c r="AI37"/>
  <c r="AE37"/>
  <c r="AQ37" l="1"/>
  <c r="BV37" s="1"/>
  <c r="O50" i="6"/>
  <c r="W50" s="1"/>
  <c r="T37" i="1"/>
  <c r="U37" s="1"/>
  <c r="M37"/>
  <c r="BD37" s="1"/>
  <c r="AN37" i="7"/>
  <c r="P37"/>
  <c r="K37"/>
  <c r="Q37" i="41"/>
  <c r="R37" s="1"/>
  <c r="E36" i="40"/>
  <c r="D36"/>
  <c r="P20" i="33"/>
  <c r="O20"/>
  <c r="N20"/>
  <c r="M20"/>
  <c r="L47" i="10"/>
  <c r="AN36" i="7"/>
  <c r="P36"/>
  <c r="H27" i="44"/>
  <c r="H14" s="1"/>
  <c r="G27"/>
  <c r="G14" s="1"/>
  <c r="F27"/>
  <c r="F14" s="1"/>
  <c r="E27"/>
  <c r="E14" s="1"/>
  <c r="D27"/>
  <c r="D14" s="1"/>
  <c r="C27"/>
  <c r="C14" s="1"/>
  <c r="Y35" i="8"/>
  <c r="Y34"/>
  <c r="L56" i="39"/>
  <c r="J56"/>
  <c r="G56"/>
  <c r="B56" i="37"/>
  <c r="U37" i="45"/>
  <c r="L46" i="10"/>
  <c r="V49" i="6"/>
  <c r="N49"/>
  <c r="K49"/>
  <c r="H49"/>
  <c r="E49"/>
  <c r="H38" i="51"/>
  <c r="J38" s="1"/>
  <c r="K38" s="1"/>
  <c r="H38" i="4"/>
  <c r="L35" i="35"/>
  <c r="J40" i="3"/>
  <c r="G40"/>
  <c r="D40"/>
  <c r="AW36" i="1"/>
  <c r="BY36" s="1"/>
  <c r="BI36"/>
  <c r="AP36"/>
  <c r="AM36"/>
  <c r="AO36"/>
  <c r="AN36"/>
  <c r="AI36"/>
  <c r="AE36"/>
  <c r="T36"/>
  <c r="U36" s="1"/>
  <c r="M36"/>
  <c r="BD36" s="1"/>
  <c r="J33" i="36"/>
  <c r="G33"/>
  <c r="P35" i="5"/>
  <c r="M35"/>
  <c r="J35"/>
  <c r="F35"/>
  <c r="Q36" i="41"/>
  <c r="R36" s="1"/>
  <c r="E35" i="40"/>
  <c r="D35"/>
  <c r="L45" i="10"/>
  <c r="U36" i="45"/>
  <c r="AN35" i="7"/>
  <c r="P35"/>
  <c r="K35"/>
  <c r="V48" i="6"/>
  <c r="N48"/>
  <c r="K48"/>
  <c r="H48"/>
  <c r="E48"/>
  <c r="J32" i="36"/>
  <c r="G32"/>
  <c r="P34" i="5"/>
  <c r="M34"/>
  <c r="J34"/>
  <c r="F34"/>
  <c r="H37" i="51"/>
  <c r="J37" s="1"/>
  <c r="K37" s="1"/>
  <c r="H37" i="4"/>
  <c r="J34" i="35"/>
  <c r="G34"/>
  <c r="K39" i="3"/>
  <c r="J39"/>
  <c r="G39"/>
  <c r="D39"/>
  <c r="L34" i="7"/>
  <c r="K34" s="1"/>
  <c r="BI35" i="1"/>
  <c r="AW35"/>
  <c r="BY35" s="1"/>
  <c r="AP35"/>
  <c r="AO35"/>
  <c r="AN35"/>
  <c r="AM35"/>
  <c r="AI35"/>
  <c r="AE35"/>
  <c r="T35"/>
  <c r="U35" s="1"/>
  <c r="M35"/>
  <c r="O35" s="1"/>
  <c r="W35" s="1"/>
  <c r="X35" s="1"/>
  <c r="Q35" i="41"/>
  <c r="R35" s="1"/>
  <c r="E34" i="40"/>
  <c r="D34"/>
  <c r="D33"/>
  <c r="V47" i="6"/>
  <c r="N47"/>
  <c r="K47"/>
  <c r="H47"/>
  <c r="E47"/>
  <c r="AN34" i="7"/>
  <c r="P34"/>
  <c r="AW34" i="1"/>
  <c r="BY34" s="1"/>
  <c r="U35" i="45"/>
  <c r="H51" i="50"/>
  <c r="G51"/>
  <c r="F51"/>
  <c r="H55"/>
  <c r="G55"/>
  <c r="F55"/>
  <c r="D55"/>
  <c r="C55"/>
  <c r="B55"/>
  <c r="B51" s="1"/>
  <c r="H36" i="51"/>
  <c r="J36" s="1"/>
  <c r="K36" s="1"/>
  <c r="H36" i="4"/>
  <c r="J33" i="35"/>
  <c r="G33"/>
  <c r="K38" i="3"/>
  <c r="J38"/>
  <c r="G38"/>
  <c r="D38"/>
  <c r="BI34" i="1"/>
  <c r="AP34"/>
  <c r="AO34"/>
  <c r="AN34"/>
  <c r="AM34"/>
  <c r="AI34"/>
  <c r="AE34"/>
  <c r="T34"/>
  <c r="U34" s="1"/>
  <c r="M34"/>
  <c r="O34" s="1"/>
  <c r="W34" s="1"/>
  <c r="X34" s="1"/>
  <c r="J31" i="36"/>
  <c r="G31"/>
  <c r="P33" i="5"/>
  <c r="M33"/>
  <c r="J33"/>
  <c r="F33"/>
  <c r="B57" i="39"/>
  <c r="C57"/>
  <c r="D57"/>
  <c r="E57"/>
  <c r="F57"/>
  <c r="H57"/>
  <c r="I57"/>
  <c r="K57"/>
  <c r="S57"/>
  <c r="V57"/>
  <c r="L44" i="10"/>
  <c r="P30"/>
  <c r="N30"/>
  <c r="K30"/>
  <c r="I30"/>
  <c r="H30"/>
  <c r="G30"/>
  <c r="E30"/>
  <c r="D30"/>
  <c r="C30"/>
  <c r="V46" i="6"/>
  <c r="N46"/>
  <c r="K46"/>
  <c r="H46"/>
  <c r="E46"/>
  <c r="Q34" i="41"/>
  <c r="R34" s="1"/>
  <c r="E33" i="40"/>
  <c r="L33" i="7"/>
  <c r="K33" s="1"/>
  <c r="AM33"/>
  <c r="P33"/>
  <c r="L24" i="33"/>
  <c r="L25"/>
  <c r="L26"/>
  <c r="L28"/>
  <c r="K29"/>
  <c r="L29" s="1"/>
  <c r="L27"/>
  <c r="K30"/>
  <c r="L30" s="1"/>
  <c r="K31"/>
  <c r="L31" s="1"/>
  <c r="K32"/>
  <c r="L32" s="1"/>
  <c r="K47"/>
  <c r="L47" s="1"/>
  <c r="J30" i="36"/>
  <c r="G30"/>
  <c r="P32" i="5"/>
  <c r="M32"/>
  <c r="J32"/>
  <c r="F32"/>
  <c r="H35" i="51"/>
  <c r="J35" s="1"/>
  <c r="K35" s="1"/>
  <c r="H35" i="4"/>
  <c r="J32" i="35"/>
  <c r="G32"/>
  <c r="K37" i="3"/>
  <c r="J37"/>
  <c r="G37"/>
  <c r="D37"/>
  <c r="BI33" i="1"/>
  <c r="AW33"/>
  <c r="BW33" s="1"/>
  <c r="AP33"/>
  <c r="AO33"/>
  <c r="AN33"/>
  <c r="AM33"/>
  <c r="AI33"/>
  <c r="AE33"/>
  <c r="T33"/>
  <c r="U33" s="1"/>
  <c r="M33"/>
  <c r="O33" s="1"/>
  <c r="W33" s="1"/>
  <c r="X33" s="1"/>
  <c r="R29" i="27"/>
  <c r="Q29"/>
  <c r="P29"/>
  <c r="O29"/>
  <c r="Q33" i="41"/>
  <c r="R33" s="1"/>
  <c r="E32" i="40"/>
  <c r="D32"/>
  <c r="P20" i="2"/>
  <c r="D15" i="36"/>
  <c r="E15"/>
  <c r="F15"/>
  <c r="H15"/>
  <c r="I15"/>
  <c r="K15"/>
  <c r="C15"/>
  <c r="U33" i="45"/>
  <c r="AN32" i="7"/>
  <c r="P32"/>
  <c r="P31" s="1"/>
  <c r="L32"/>
  <c r="K32"/>
  <c r="J29" i="36"/>
  <c r="G29"/>
  <c r="D17" i="5"/>
  <c r="E17"/>
  <c r="G17"/>
  <c r="H17"/>
  <c r="I17"/>
  <c r="K17"/>
  <c r="L17"/>
  <c r="N17"/>
  <c r="O17"/>
  <c r="R17"/>
  <c r="C17"/>
  <c r="P31"/>
  <c r="M31"/>
  <c r="J31"/>
  <c r="F31"/>
  <c r="D20" i="51"/>
  <c r="E20"/>
  <c r="F20"/>
  <c r="G20"/>
  <c r="I20"/>
  <c r="C20"/>
  <c r="H34"/>
  <c r="J34" s="1"/>
  <c r="K34" s="1"/>
  <c r="D20" i="4"/>
  <c r="E20"/>
  <c r="F20"/>
  <c r="G20"/>
  <c r="C20"/>
  <c r="H34"/>
  <c r="D17" i="35"/>
  <c r="E17"/>
  <c r="F17"/>
  <c r="H17"/>
  <c r="I17"/>
  <c r="K17"/>
  <c r="C17"/>
  <c r="J31"/>
  <c r="G31"/>
  <c r="C22" i="3"/>
  <c r="E22"/>
  <c r="F22"/>
  <c r="H22"/>
  <c r="I22"/>
  <c r="M22"/>
  <c r="B22"/>
  <c r="K34"/>
  <c r="K22" s="1"/>
  <c r="K36"/>
  <c r="J36"/>
  <c r="G36"/>
  <c r="D36"/>
  <c r="BU18" i="1"/>
  <c r="BZ18"/>
  <c r="CA18"/>
  <c r="CB18"/>
  <c r="CC18"/>
  <c r="CD18"/>
  <c r="CE18"/>
  <c r="CF18"/>
  <c r="BT18"/>
  <c r="BM18"/>
  <c r="BN18"/>
  <c r="BO18"/>
  <c r="BP18"/>
  <c r="BL18"/>
  <c r="AT18"/>
  <c r="AU18"/>
  <c r="AV18"/>
  <c r="AX18"/>
  <c r="BB18"/>
  <c r="BC18"/>
  <c r="BE18"/>
  <c r="BF18"/>
  <c r="BG18"/>
  <c r="BH18"/>
  <c r="AS18"/>
  <c r="AC18"/>
  <c r="AD18"/>
  <c r="AF18"/>
  <c r="AG18"/>
  <c r="AH18"/>
  <c r="AJ18"/>
  <c r="AK18"/>
  <c r="AL18"/>
  <c r="AB18"/>
  <c r="L18"/>
  <c r="N18"/>
  <c r="P18"/>
  <c r="Q18"/>
  <c r="R18"/>
  <c r="S18"/>
  <c r="V18"/>
  <c r="K18"/>
  <c r="BI32"/>
  <c r="AW32"/>
  <c r="BW32" s="1"/>
  <c r="AW30"/>
  <c r="AW18" s="1"/>
  <c r="AP32"/>
  <c r="AO32"/>
  <c r="AN32"/>
  <c r="AM32"/>
  <c r="AI32"/>
  <c r="AE32"/>
  <c r="T32"/>
  <c r="U32" s="1"/>
  <c r="M32"/>
  <c r="BD32" s="1"/>
  <c r="L42" i="10"/>
  <c r="L41"/>
  <c r="BW21" i="58"/>
  <c r="BU21"/>
  <c r="BS21"/>
  <c r="BQ21"/>
  <c r="BO21"/>
  <c r="BM21"/>
  <c r="BK21"/>
  <c r="BH21"/>
  <c r="BF21"/>
  <c r="BD21"/>
  <c r="BB21"/>
  <c r="AZ21"/>
  <c r="AX21"/>
  <c r="AV21"/>
  <c r="AS21"/>
  <c r="AQ21"/>
  <c r="AO21"/>
  <c r="AM21"/>
  <c r="AK21"/>
  <c r="AI21"/>
  <c r="AG21"/>
  <c r="AD21"/>
  <c r="AB21"/>
  <c r="Z21"/>
  <c r="X21"/>
  <c r="V21"/>
  <c r="T21"/>
  <c r="R21"/>
  <c r="O21"/>
  <c r="M21"/>
  <c r="K21"/>
  <c r="I21"/>
  <c r="G21"/>
  <c r="E21"/>
  <c r="C21"/>
  <c r="C18" i="45"/>
  <c r="B18"/>
  <c r="D33" i="33"/>
  <c r="E33"/>
  <c r="F33"/>
  <c r="G33"/>
  <c r="H33"/>
  <c r="I33"/>
  <c r="J33"/>
  <c r="C33"/>
  <c r="D18" i="41"/>
  <c r="E18"/>
  <c r="F18"/>
  <c r="G18"/>
  <c r="H18"/>
  <c r="I18"/>
  <c r="J18"/>
  <c r="K18"/>
  <c r="L18"/>
  <c r="M18"/>
  <c r="N18"/>
  <c r="O18"/>
  <c r="P18"/>
  <c r="C18"/>
  <c r="Q32"/>
  <c r="R32" s="1"/>
  <c r="E31" i="40"/>
  <c r="D31"/>
  <c r="C17"/>
  <c r="N20" i="2"/>
  <c r="Y18" i="7"/>
  <c r="Z18"/>
  <c r="AA18"/>
  <c r="AB18"/>
  <c r="AC18"/>
  <c r="AD18"/>
  <c r="AE18"/>
  <c r="AF18"/>
  <c r="AG18"/>
  <c r="AH18"/>
  <c r="AI18"/>
  <c r="AJ18"/>
  <c r="AK18"/>
  <c r="AL18"/>
  <c r="X18"/>
  <c r="C18"/>
  <c r="D18"/>
  <c r="E18"/>
  <c r="G18"/>
  <c r="H18"/>
  <c r="I18"/>
  <c r="J18"/>
  <c r="M18"/>
  <c r="O18"/>
  <c r="Q18"/>
  <c r="R18"/>
  <c r="S18"/>
  <c r="T18"/>
  <c r="U18"/>
  <c r="B18"/>
  <c r="AN30"/>
  <c r="P30"/>
  <c r="E18" i="45"/>
  <c r="F18"/>
  <c r="G18"/>
  <c r="H18"/>
  <c r="I18"/>
  <c r="J18"/>
  <c r="K18"/>
  <c r="L18"/>
  <c r="M18"/>
  <c r="N18"/>
  <c r="O18"/>
  <c r="P18"/>
  <c r="Q18"/>
  <c r="R18"/>
  <c r="S18"/>
  <c r="T18"/>
  <c r="D18"/>
  <c r="U32"/>
  <c r="L30" i="7"/>
  <c r="K30" s="1"/>
  <c r="L45" i="33"/>
  <c r="F20" i="2"/>
  <c r="G20"/>
  <c r="H20"/>
  <c r="I20"/>
  <c r="J20"/>
  <c r="K20"/>
  <c r="D20"/>
  <c r="E20"/>
  <c r="C20"/>
  <c r="H32" i="51"/>
  <c r="H20" s="1"/>
  <c r="H32" i="4"/>
  <c r="H20" s="1"/>
  <c r="H31"/>
  <c r="J29" i="35"/>
  <c r="J17" s="1"/>
  <c r="G29"/>
  <c r="G17" s="1"/>
  <c r="J34" i="3"/>
  <c r="J22" s="1"/>
  <c r="G34"/>
  <c r="G22" s="1"/>
  <c r="D34"/>
  <c r="D22" s="1"/>
  <c r="BI30" i="1"/>
  <c r="BI18" s="1"/>
  <c r="AP30"/>
  <c r="AP18" s="1"/>
  <c r="AO30"/>
  <c r="AO18" s="1"/>
  <c r="AN30"/>
  <c r="AN18" s="1"/>
  <c r="AM30"/>
  <c r="AM18" s="1"/>
  <c r="AI30"/>
  <c r="AI18" s="1"/>
  <c r="AE30"/>
  <c r="AE18" s="1"/>
  <c r="T30"/>
  <c r="T18" s="1"/>
  <c r="M30"/>
  <c r="O30" s="1"/>
  <c r="J27" i="36"/>
  <c r="J15" s="1"/>
  <c r="G27"/>
  <c r="G15" s="1"/>
  <c r="P29" i="5"/>
  <c r="P17" s="1"/>
  <c r="M29"/>
  <c r="M17" s="1"/>
  <c r="J29"/>
  <c r="F29"/>
  <c r="F17" s="1"/>
  <c r="Q30" i="41"/>
  <c r="Q18" s="1"/>
  <c r="E29" i="40"/>
  <c r="E17" s="1"/>
  <c r="D29"/>
  <c r="D17" s="1"/>
  <c r="U30" i="45"/>
  <c r="K44" i="33"/>
  <c r="L44" s="1"/>
  <c r="L40" i="10"/>
  <c r="AN29" i="7"/>
  <c r="P29"/>
  <c r="L29"/>
  <c r="K29" s="1"/>
  <c r="J26" i="36"/>
  <c r="G26"/>
  <c r="P28" i="5"/>
  <c r="M28"/>
  <c r="J28"/>
  <c r="F28"/>
  <c r="H31" i="51"/>
  <c r="J31" s="1"/>
  <c r="K31" s="1"/>
  <c r="J28" i="35"/>
  <c r="G28"/>
  <c r="K32" i="3"/>
  <c r="K33"/>
  <c r="J33"/>
  <c r="G33"/>
  <c r="D33"/>
  <c r="BI29" i="1"/>
  <c r="AW29"/>
  <c r="BY29" s="1"/>
  <c r="AP29"/>
  <c r="AO29"/>
  <c r="AN29"/>
  <c r="AM29"/>
  <c r="AI29"/>
  <c r="AE29"/>
  <c r="T29"/>
  <c r="U29" s="1"/>
  <c r="M29"/>
  <c r="BD29" s="1"/>
  <c r="U29" i="45"/>
  <c r="Q29" i="41"/>
  <c r="R29" s="1"/>
  <c r="E28" i="40"/>
  <c r="D28"/>
  <c r="L43" i="33"/>
  <c r="K28" i="7"/>
  <c r="AN28"/>
  <c r="P28"/>
  <c r="L39" i="10"/>
  <c r="P27" i="5"/>
  <c r="M27"/>
  <c r="J27"/>
  <c r="F27"/>
  <c r="J25" i="36"/>
  <c r="G25"/>
  <c r="H30" i="51"/>
  <c r="J30" s="1"/>
  <c r="K30" s="1"/>
  <c r="H30" i="4"/>
  <c r="J27" i="35"/>
  <c r="J26"/>
  <c r="J25"/>
  <c r="G27"/>
  <c r="G25"/>
  <c r="G26"/>
  <c r="L26" s="1"/>
  <c r="J32" i="3"/>
  <c r="G32"/>
  <c r="D32"/>
  <c r="BI28" i="1"/>
  <c r="AW28"/>
  <c r="BY28" s="1"/>
  <c r="AP28"/>
  <c r="AO28"/>
  <c r="AN28"/>
  <c r="AM28"/>
  <c r="AI28"/>
  <c r="AE28"/>
  <c r="T28"/>
  <c r="U28" s="1"/>
  <c r="M28"/>
  <c r="BD28" s="1"/>
  <c r="N19" i="3"/>
  <c r="O19" s="1"/>
  <c r="U28" i="45"/>
  <c r="L27" i="7"/>
  <c r="K27" s="1"/>
  <c r="L38" i="10"/>
  <c r="Q28" i="41"/>
  <c r="R28" s="1"/>
  <c r="E27" i="40"/>
  <c r="D27"/>
  <c r="L42" i="33"/>
  <c r="AN27" i="7"/>
  <c r="P27"/>
  <c r="H29" i="51"/>
  <c r="J29" s="1"/>
  <c r="K29" s="1"/>
  <c r="G29" i="4"/>
  <c r="H29" s="1"/>
  <c r="K31" i="3"/>
  <c r="J31"/>
  <c r="G31"/>
  <c r="D31"/>
  <c r="P26" i="5"/>
  <c r="M26"/>
  <c r="J26"/>
  <c r="F26"/>
  <c r="J24" i="36"/>
  <c r="G24"/>
  <c r="BI27" i="1"/>
  <c r="AW27"/>
  <c r="AY27" s="1"/>
  <c r="AZ27" s="1"/>
  <c r="BA27" s="1"/>
  <c r="AP27"/>
  <c r="AO27"/>
  <c r="AM27"/>
  <c r="AN27"/>
  <c r="AI27"/>
  <c r="AE27"/>
  <c r="T27"/>
  <c r="U27" s="1"/>
  <c r="M27"/>
  <c r="O27" s="1"/>
  <c r="W27" s="1"/>
  <c r="X27" s="1"/>
  <c r="U27" i="45"/>
  <c r="Q27" i="41"/>
  <c r="R27" s="1"/>
  <c r="E26" i="40"/>
  <c r="D26"/>
  <c r="L37" i="10"/>
  <c r="L36"/>
  <c r="L35"/>
  <c r="AN26" i="7"/>
  <c r="P26"/>
  <c r="L26"/>
  <c r="K26" s="1"/>
  <c r="Q56" i="39"/>
  <c r="Q55" i="38"/>
  <c r="S55"/>
  <c r="Q55" i="37"/>
  <c r="S55"/>
  <c r="U53" i="38"/>
  <c r="U51"/>
  <c r="D52" i="50"/>
  <c r="C52"/>
  <c r="L41" i="33"/>
  <c r="V55" i="39"/>
  <c r="S55"/>
  <c r="K55"/>
  <c r="I55"/>
  <c r="H55"/>
  <c r="F55"/>
  <c r="E55"/>
  <c r="D55"/>
  <c r="C55"/>
  <c r="B55"/>
  <c r="H28" i="51"/>
  <c r="J28" s="1"/>
  <c r="K28" s="1"/>
  <c r="G28" i="4"/>
  <c r="H28" s="1"/>
  <c r="J30" i="3"/>
  <c r="G30"/>
  <c r="D30"/>
  <c r="BI26" i="1"/>
  <c r="AW26"/>
  <c r="BY26" s="1"/>
  <c r="AP26"/>
  <c r="AO26"/>
  <c r="AN26"/>
  <c r="AM26"/>
  <c r="AI26"/>
  <c r="AE26"/>
  <c r="T26"/>
  <c r="U26" s="1"/>
  <c r="M26"/>
  <c r="BD26" s="1"/>
  <c r="J23" i="36"/>
  <c r="G23"/>
  <c r="P25" i="5"/>
  <c r="M25"/>
  <c r="J25"/>
  <c r="F25"/>
  <c r="U26" i="45"/>
  <c r="Q26" i="41"/>
  <c r="R26" s="1"/>
  <c r="D25" i="40"/>
  <c r="L24" i="7"/>
  <c r="K24" s="1"/>
  <c r="AN25"/>
  <c r="P25"/>
  <c r="L40" i="33"/>
  <c r="H27" i="51"/>
  <c r="J27" s="1"/>
  <c r="K27" s="1"/>
  <c r="H27" i="4"/>
  <c r="K29" i="3"/>
  <c r="J29"/>
  <c r="G29"/>
  <c r="D29"/>
  <c r="BI25" i="1"/>
  <c r="AW25"/>
  <c r="BW25" s="1"/>
  <c r="AP25"/>
  <c r="AO25"/>
  <c r="AN25"/>
  <c r="AM25"/>
  <c r="AI25"/>
  <c r="AE25"/>
  <c r="T25"/>
  <c r="U25" s="1"/>
  <c r="M25"/>
  <c r="O25" s="1"/>
  <c r="W25" s="1"/>
  <c r="X25" s="1"/>
  <c r="P24" i="5"/>
  <c r="M24"/>
  <c r="J24"/>
  <c r="F24"/>
  <c r="J22" i="36"/>
  <c r="G22"/>
  <c r="J24" i="35"/>
  <c r="G24"/>
  <c r="U25" i="45"/>
  <c r="Q25" i="41"/>
  <c r="R25" s="1"/>
  <c r="E24" i="40"/>
  <c r="D24"/>
  <c r="L34" i="10"/>
  <c r="K39" i="33"/>
  <c r="L39" s="1"/>
  <c r="K38"/>
  <c r="L38" s="1"/>
  <c r="L19" i="7"/>
  <c r="L20"/>
  <c r="K20" s="1"/>
  <c r="L21"/>
  <c r="AM24" i="1"/>
  <c r="K37" i="33"/>
  <c r="L37" s="1"/>
  <c r="AN24" i="7"/>
  <c r="P24"/>
  <c r="H26" i="51"/>
  <c r="J26" s="1"/>
  <c r="K26" s="1"/>
  <c r="H26" i="4"/>
  <c r="J23" i="35"/>
  <c r="G23"/>
  <c r="J28" i="3"/>
  <c r="G28"/>
  <c r="D28"/>
  <c r="L6" i="33"/>
  <c r="L7"/>
  <c r="L8"/>
  <c r="L9"/>
  <c r="L10"/>
  <c r="L14"/>
  <c r="C20"/>
  <c r="D20"/>
  <c r="E20"/>
  <c r="F20"/>
  <c r="G20"/>
  <c r="H20"/>
  <c r="I20"/>
  <c r="J20"/>
  <c r="L22"/>
  <c r="L23"/>
  <c r="L34"/>
  <c r="K35"/>
  <c r="L35" s="1"/>
  <c r="K36"/>
  <c r="L36" s="1"/>
  <c r="T4" i="45"/>
  <c r="U4" s="1"/>
  <c r="T7"/>
  <c r="U7" s="1"/>
  <c r="U19"/>
  <c r="U20"/>
  <c r="U21"/>
  <c r="U22"/>
  <c r="U23"/>
  <c r="U24"/>
  <c r="W19" i="27"/>
  <c r="X21"/>
  <c r="O23"/>
  <c r="P23"/>
  <c r="Q23"/>
  <c r="R23"/>
  <c r="X23"/>
  <c r="O24"/>
  <c r="P24"/>
  <c r="Q24"/>
  <c r="R24"/>
  <c r="X24"/>
  <c r="O25"/>
  <c r="P25"/>
  <c r="Q25"/>
  <c r="R25"/>
  <c r="O26"/>
  <c r="P26"/>
  <c r="Q26"/>
  <c r="R26"/>
  <c r="Y26"/>
  <c r="Z26"/>
  <c r="AA26"/>
  <c r="AB26"/>
  <c r="O27"/>
  <c r="P27"/>
  <c r="Q27"/>
  <c r="R27"/>
  <c r="O28"/>
  <c r="P28"/>
  <c r="Q28"/>
  <c r="R28"/>
  <c r="R5" i="41"/>
  <c r="R6"/>
  <c r="R7"/>
  <c r="R8"/>
  <c r="R9"/>
  <c r="R10"/>
  <c r="Q19"/>
  <c r="R19" s="1"/>
  <c r="Q20"/>
  <c r="R20" s="1"/>
  <c r="Q21"/>
  <c r="R21" s="1"/>
  <c r="Q22"/>
  <c r="R22" s="1"/>
  <c r="Q23"/>
  <c r="R23" s="1"/>
  <c r="Q24"/>
  <c r="R24" s="1"/>
  <c r="D23" i="40"/>
  <c r="E23"/>
  <c r="B29" i="39"/>
  <c r="C29"/>
  <c r="D29"/>
  <c r="E29"/>
  <c r="F29"/>
  <c r="H29"/>
  <c r="I29"/>
  <c r="K29"/>
  <c r="S29"/>
  <c r="V29"/>
  <c r="G30"/>
  <c r="J30"/>
  <c r="L30"/>
  <c r="B31"/>
  <c r="C31"/>
  <c r="D31"/>
  <c r="E31"/>
  <c r="F31"/>
  <c r="H31"/>
  <c r="I31"/>
  <c r="K31"/>
  <c r="S31"/>
  <c r="V31"/>
  <c r="G32"/>
  <c r="J32"/>
  <c r="L32"/>
  <c r="B33"/>
  <c r="C33"/>
  <c r="D33"/>
  <c r="E33"/>
  <c r="F33"/>
  <c r="H33"/>
  <c r="I33"/>
  <c r="K33"/>
  <c r="S33"/>
  <c r="V33"/>
  <c r="G34"/>
  <c r="J34"/>
  <c r="L34"/>
  <c r="B35"/>
  <c r="C35"/>
  <c r="D35"/>
  <c r="E35"/>
  <c r="F35"/>
  <c r="H35"/>
  <c r="I35"/>
  <c r="K35"/>
  <c r="S35"/>
  <c r="V35"/>
  <c r="G36"/>
  <c r="J36"/>
  <c r="L36"/>
  <c r="B37"/>
  <c r="C37"/>
  <c r="D37"/>
  <c r="E37"/>
  <c r="F37"/>
  <c r="H37"/>
  <c r="I37"/>
  <c r="K37"/>
  <c r="S37"/>
  <c r="V37"/>
  <c r="G38"/>
  <c r="J38"/>
  <c r="L38"/>
  <c r="B39"/>
  <c r="C39"/>
  <c r="D39"/>
  <c r="E39"/>
  <c r="F39"/>
  <c r="H39"/>
  <c r="I39"/>
  <c r="K39"/>
  <c r="S39"/>
  <c r="V39"/>
  <c r="G40"/>
  <c r="J40"/>
  <c r="L40"/>
  <c r="B41"/>
  <c r="C41"/>
  <c r="D41"/>
  <c r="E41"/>
  <c r="F41"/>
  <c r="H41"/>
  <c r="I41"/>
  <c r="K41"/>
  <c r="S41"/>
  <c r="V41"/>
  <c r="G42"/>
  <c r="J42"/>
  <c r="L42"/>
  <c r="B43"/>
  <c r="C43"/>
  <c r="D43"/>
  <c r="E43"/>
  <c r="F43"/>
  <c r="H43"/>
  <c r="I43"/>
  <c r="K43"/>
  <c r="S43"/>
  <c r="V43"/>
  <c r="G44"/>
  <c r="J44"/>
  <c r="L44"/>
  <c r="B45"/>
  <c r="C45"/>
  <c r="D45"/>
  <c r="E45"/>
  <c r="F45"/>
  <c r="H45"/>
  <c r="I45"/>
  <c r="K45"/>
  <c r="S45"/>
  <c r="V45"/>
  <c r="G46"/>
  <c r="J46"/>
  <c r="L46"/>
  <c r="Q46"/>
  <c r="B47"/>
  <c r="C47"/>
  <c r="D47"/>
  <c r="E47"/>
  <c r="F47"/>
  <c r="H47"/>
  <c r="I47"/>
  <c r="K47"/>
  <c r="S47"/>
  <c r="V47"/>
  <c r="G48"/>
  <c r="J48"/>
  <c r="L48"/>
  <c r="Q48"/>
  <c r="B49"/>
  <c r="C49"/>
  <c r="D49"/>
  <c r="E49"/>
  <c r="F49"/>
  <c r="H49"/>
  <c r="I49"/>
  <c r="K49"/>
  <c r="S49"/>
  <c r="V49"/>
  <c r="G50"/>
  <c r="J50"/>
  <c r="L50"/>
  <c r="Q50"/>
  <c r="B51"/>
  <c r="C51"/>
  <c r="D51"/>
  <c r="E51"/>
  <c r="F51"/>
  <c r="H51"/>
  <c r="I51"/>
  <c r="K51"/>
  <c r="S51"/>
  <c r="V51"/>
  <c r="G52"/>
  <c r="J52"/>
  <c r="L52"/>
  <c r="Q52"/>
  <c r="B53"/>
  <c r="C53"/>
  <c r="D53"/>
  <c r="E53"/>
  <c r="F53"/>
  <c r="H53"/>
  <c r="I53"/>
  <c r="K53"/>
  <c r="S53"/>
  <c r="V53"/>
  <c r="G54"/>
  <c r="J54"/>
  <c r="L54"/>
  <c r="Q54"/>
  <c r="Q5" i="38"/>
  <c r="S5"/>
  <c r="U5"/>
  <c r="B6"/>
  <c r="C6"/>
  <c r="D6"/>
  <c r="E6"/>
  <c r="F6"/>
  <c r="G6"/>
  <c r="H6"/>
  <c r="I6"/>
  <c r="J6"/>
  <c r="K6"/>
  <c r="L6"/>
  <c r="M6"/>
  <c r="N6"/>
  <c r="O6"/>
  <c r="P6"/>
  <c r="Q6"/>
  <c r="R6"/>
  <c r="S6"/>
  <c r="Q7"/>
  <c r="S7"/>
  <c r="U7"/>
  <c r="B8"/>
  <c r="C8"/>
  <c r="D8"/>
  <c r="E8"/>
  <c r="F8"/>
  <c r="G8"/>
  <c r="H8"/>
  <c r="I8"/>
  <c r="J8"/>
  <c r="K8"/>
  <c r="L8"/>
  <c r="M8"/>
  <c r="N8"/>
  <c r="O8"/>
  <c r="P8"/>
  <c r="Q8"/>
  <c r="R8"/>
  <c r="S8"/>
  <c r="Q9"/>
  <c r="S9"/>
  <c r="U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Q11"/>
  <c r="S11"/>
  <c r="U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Q13"/>
  <c r="S13"/>
  <c r="U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Q15"/>
  <c r="S15"/>
  <c r="U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Q17"/>
  <c r="S17"/>
  <c r="U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Q19"/>
  <c r="S19"/>
  <c r="U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Q21"/>
  <c r="S21"/>
  <c r="U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Q23"/>
  <c r="S23"/>
  <c r="U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Q25"/>
  <c r="S25"/>
  <c r="U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Q27"/>
  <c r="S27"/>
  <c r="U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Q29"/>
  <c r="S29"/>
  <c r="U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Q31"/>
  <c r="S31"/>
  <c r="U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Q33"/>
  <c r="S33"/>
  <c r="U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Q35"/>
  <c r="S35"/>
  <c r="U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Q37"/>
  <c r="S37"/>
  <c r="U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Q39"/>
  <c r="S39"/>
  <c r="U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Q41"/>
  <c r="S41"/>
  <c r="U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Q43"/>
  <c r="S43"/>
  <c r="U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Q45"/>
  <c r="S45"/>
  <c r="U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Q47"/>
  <c r="S47"/>
  <c r="U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Q49"/>
  <c r="S49"/>
  <c r="U49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Q51"/>
  <c r="S51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Q53"/>
  <c r="Q5" i="37"/>
  <c r="U5"/>
  <c r="B6"/>
  <c r="C6"/>
  <c r="D6"/>
  <c r="E6"/>
  <c r="F6"/>
  <c r="G6"/>
  <c r="H6"/>
  <c r="I6"/>
  <c r="J6"/>
  <c r="K6"/>
  <c r="L6"/>
  <c r="M6"/>
  <c r="N6"/>
  <c r="O6"/>
  <c r="P6"/>
  <c r="Q6"/>
  <c r="R6"/>
  <c r="S6"/>
  <c r="Q7"/>
  <c r="U7"/>
  <c r="B8"/>
  <c r="C8"/>
  <c r="D8"/>
  <c r="E8"/>
  <c r="F8"/>
  <c r="G8"/>
  <c r="H8"/>
  <c r="I8"/>
  <c r="J8"/>
  <c r="K8"/>
  <c r="L8"/>
  <c r="M8"/>
  <c r="N8"/>
  <c r="O8"/>
  <c r="P8"/>
  <c r="Q8"/>
  <c r="R8"/>
  <c r="S8"/>
  <c r="Q9"/>
  <c r="U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Q11"/>
  <c r="U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Q13"/>
  <c r="U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Q15"/>
  <c r="U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Q17"/>
  <c r="U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Q19"/>
  <c r="U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Q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Q23"/>
  <c r="U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Q25"/>
  <c r="R25"/>
  <c r="U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Q27"/>
  <c r="S27"/>
  <c r="U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Q29"/>
  <c r="S29"/>
  <c r="U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Q31"/>
  <c r="S31"/>
  <c r="U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Q33"/>
  <c r="S33"/>
  <c r="U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Q35"/>
  <c r="S35"/>
  <c r="U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Q37"/>
  <c r="S37"/>
  <c r="U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Q39"/>
  <c r="S39"/>
  <c r="U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Q41"/>
  <c r="S41"/>
  <c r="U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Q43"/>
  <c r="S43"/>
  <c r="U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Q45"/>
  <c r="S45"/>
  <c r="U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Q47"/>
  <c r="S47"/>
  <c r="U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Q49"/>
  <c r="S49"/>
  <c r="U49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Q51"/>
  <c r="S51"/>
  <c r="U51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Q53"/>
  <c r="S53"/>
  <c r="D17" i="10"/>
  <c r="E17"/>
  <c r="G17"/>
  <c r="H17"/>
  <c r="I17"/>
  <c r="K17"/>
  <c r="N17"/>
  <c r="P17"/>
  <c r="C18"/>
  <c r="L18"/>
  <c r="C19"/>
  <c r="L19"/>
  <c r="C20"/>
  <c r="L20"/>
  <c r="C21"/>
  <c r="L21"/>
  <c r="C22"/>
  <c r="L22"/>
  <c r="C23"/>
  <c r="L23"/>
  <c r="L24"/>
  <c r="L25"/>
  <c r="L26"/>
  <c r="L27"/>
  <c r="L28"/>
  <c r="L29"/>
  <c r="L31"/>
  <c r="L32"/>
  <c r="L33"/>
  <c r="K19" i="7"/>
  <c r="P19"/>
  <c r="AM18"/>
  <c r="F18"/>
  <c r="P20"/>
  <c r="AN20"/>
  <c r="P21"/>
  <c r="AN21"/>
  <c r="P22"/>
  <c r="AN22"/>
  <c r="L23"/>
  <c r="K23" s="1"/>
  <c r="P23"/>
  <c r="AN23"/>
  <c r="B27" i="50"/>
  <c r="C27"/>
  <c r="D27"/>
  <c r="F27"/>
  <c r="G27"/>
  <c r="H27"/>
  <c r="B30"/>
  <c r="C30"/>
  <c r="D30"/>
  <c r="F30"/>
  <c r="G30"/>
  <c r="H30"/>
  <c r="B33"/>
  <c r="C33"/>
  <c r="D33"/>
  <c r="F33"/>
  <c r="G33"/>
  <c r="H33"/>
  <c r="B36"/>
  <c r="C36"/>
  <c r="D36"/>
  <c r="F36"/>
  <c r="G36"/>
  <c r="H36"/>
  <c r="B39"/>
  <c r="C39"/>
  <c r="D39"/>
  <c r="F39"/>
  <c r="G39"/>
  <c r="H39"/>
  <c r="B41"/>
  <c r="C41"/>
  <c r="D41"/>
  <c r="F44"/>
  <c r="G44"/>
  <c r="H44"/>
  <c r="C45"/>
  <c r="D45"/>
  <c r="B48"/>
  <c r="B44" s="1"/>
  <c r="C48"/>
  <c r="D48"/>
  <c r="E6" i="6"/>
  <c r="H6"/>
  <c r="K6"/>
  <c r="L6"/>
  <c r="V6"/>
  <c r="E7"/>
  <c r="H7"/>
  <c r="O7" s="1"/>
  <c r="W7" s="1"/>
  <c r="K7"/>
  <c r="L7"/>
  <c r="V7"/>
  <c r="E8"/>
  <c r="H8"/>
  <c r="K8"/>
  <c r="L8"/>
  <c r="V8"/>
  <c r="E9"/>
  <c r="H9"/>
  <c r="K9"/>
  <c r="L9"/>
  <c r="V9"/>
  <c r="K10"/>
  <c r="O10" s="1"/>
  <c r="L10"/>
  <c r="V10"/>
  <c r="E11"/>
  <c r="H11"/>
  <c r="K11"/>
  <c r="L11"/>
  <c r="V11"/>
  <c r="E12"/>
  <c r="H12"/>
  <c r="K12"/>
  <c r="L12"/>
  <c r="V12"/>
  <c r="V13"/>
  <c r="W13"/>
  <c r="V14"/>
  <c r="W14"/>
  <c r="C15"/>
  <c r="D15"/>
  <c r="F15"/>
  <c r="G15"/>
  <c r="I15"/>
  <c r="J15"/>
  <c r="L15"/>
  <c r="M15"/>
  <c r="Q15"/>
  <c r="R15"/>
  <c r="S15"/>
  <c r="T15"/>
  <c r="U15"/>
  <c r="E16"/>
  <c r="H16"/>
  <c r="K16"/>
  <c r="N16"/>
  <c r="V16"/>
  <c r="E17"/>
  <c r="H17"/>
  <c r="K17"/>
  <c r="N17"/>
  <c r="V17"/>
  <c r="E18"/>
  <c r="H18"/>
  <c r="K18"/>
  <c r="N18"/>
  <c r="V18"/>
  <c r="E19"/>
  <c r="H19"/>
  <c r="K19"/>
  <c r="N19"/>
  <c r="V19"/>
  <c r="C20"/>
  <c r="D20"/>
  <c r="F20"/>
  <c r="G20"/>
  <c r="I20"/>
  <c r="J20"/>
  <c r="L20"/>
  <c r="M20"/>
  <c r="Q20"/>
  <c r="R20"/>
  <c r="S20"/>
  <c r="T20"/>
  <c r="U20"/>
  <c r="E21"/>
  <c r="H21"/>
  <c r="K21"/>
  <c r="N21"/>
  <c r="V21"/>
  <c r="E22"/>
  <c r="H22"/>
  <c r="K22"/>
  <c r="N22"/>
  <c r="V22"/>
  <c r="E23"/>
  <c r="H23"/>
  <c r="K23"/>
  <c r="N23"/>
  <c r="V23"/>
  <c r="E24"/>
  <c r="H24"/>
  <c r="K24"/>
  <c r="N24"/>
  <c r="V24"/>
  <c r="C25"/>
  <c r="D25"/>
  <c r="F25"/>
  <c r="G25"/>
  <c r="I25"/>
  <c r="J25"/>
  <c r="L25"/>
  <c r="M25"/>
  <c r="Q25"/>
  <c r="R25"/>
  <c r="S25"/>
  <c r="T25"/>
  <c r="U25"/>
  <c r="E26"/>
  <c r="H26"/>
  <c r="K26"/>
  <c r="N26"/>
  <c r="V26"/>
  <c r="E27"/>
  <c r="H27"/>
  <c r="K27"/>
  <c r="N27"/>
  <c r="V27"/>
  <c r="E28"/>
  <c r="H28"/>
  <c r="K28"/>
  <c r="N28"/>
  <c r="V28"/>
  <c r="E29"/>
  <c r="H29"/>
  <c r="K29"/>
  <c r="N29"/>
  <c r="V29"/>
  <c r="C30"/>
  <c r="D30"/>
  <c r="F30"/>
  <c r="G30"/>
  <c r="I30"/>
  <c r="J30"/>
  <c r="L30"/>
  <c r="M30"/>
  <c r="Q30"/>
  <c r="R30"/>
  <c r="S30"/>
  <c r="T30"/>
  <c r="U30"/>
  <c r="E31"/>
  <c r="H31"/>
  <c r="K31"/>
  <c r="N31"/>
  <c r="V31"/>
  <c r="E32"/>
  <c r="H32"/>
  <c r="K32"/>
  <c r="N32"/>
  <c r="V32"/>
  <c r="E33"/>
  <c r="H33"/>
  <c r="K33"/>
  <c r="N33"/>
  <c r="V33"/>
  <c r="E34"/>
  <c r="H34"/>
  <c r="K34"/>
  <c r="N34"/>
  <c r="V34"/>
  <c r="G7" i="36"/>
  <c r="J7"/>
  <c r="G8"/>
  <c r="J8"/>
  <c r="G9"/>
  <c r="J9"/>
  <c r="G10"/>
  <c r="J10"/>
  <c r="G16"/>
  <c r="J16"/>
  <c r="G17"/>
  <c r="J17"/>
  <c r="G18"/>
  <c r="J18"/>
  <c r="G19"/>
  <c r="J19"/>
  <c r="G20"/>
  <c r="J20"/>
  <c r="G21"/>
  <c r="J21"/>
  <c r="J8" i="5"/>
  <c r="M8"/>
  <c r="J9"/>
  <c r="M9"/>
  <c r="J10"/>
  <c r="M10"/>
  <c r="J11"/>
  <c r="M11"/>
  <c r="J12"/>
  <c r="M12"/>
  <c r="J13"/>
  <c r="M13"/>
  <c r="F18"/>
  <c r="J18"/>
  <c r="M18"/>
  <c r="P18"/>
  <c r="F19"/>
  <c r="J19"/>
  <c r="M19"/>
  <c r="P19"/>
  <c r="F20"/>
  <c r="J20"/>
  <c r="M20"/>
  <c r="P20"/>
  <c r="F21"/>
  <c r="J21"/>
  <c r="M21"/>
  <c r="P21"/>
  <c r="F22"/>
  <c r="J22"/>
  <c r="M22"/>
  <c r="P22"/>
  <c r="F23"/>
  <c r="J23"/>
  <c r="M23"/>
  <c r="P23"/>
  <c r="C8" i="51"/>
  <c r="D8"/>
  <c r="E8"/>
  <c r="F8"/>
  <c r="I8"/>
  <c r="E9"/>
  <c r="F9"/>
  <c r="E10"/>
  <c r="F10"/>
  <c r="F11"/>
  <c r="H11" s="1"/>
  <c r="J11" s="1"/>
  <c r="K11" s="1"/>
  <c r="H12"/>
  <c r="J12" s="1"/>
  <c r="K12" s="1"/>
  <c r="H13"/>
  <c r="J13" s="1"/>
  <c r="K13" s="1"/>
  <c r="H14"/>
  <c r="J14" s="1"/>
  <c r="K14" s="1"/>
  <c r="H15"/>
  <c r="J15" s="1"/>
  <c r="K15" s="1"/>
  <c r="H16"/>
  <c r="J16" s="1"/>
  <c r="K16" s="1"/>
  <c r="H21"/>
  <c r="J21" s="1"/>
  <c r="K21" s="1"/>
  <c r="H22"/>
  <c r="J22" s="1"/>
  <c r="K22" s="1"/>
  <c r="H23"/>
  <c r="J23" s="1"/>
  <c r="K23" s="1"/>
  <c r="H24"/>
  <c r="J24" s="1"/>
  <c r="K24" s="1"/>
  <c r="H25"/>
  <c r="J25" s="1"/>
  <c r="K25" s="1"/>
  <c r="G8" i="4"/>
  <c r="H8" s="1"/>
  <c r="G9"/>
  <c r="H9" s="1"/>
  <c r="G10"/>
  <c r="H10" s="1"/>
  <c r="G11"/>
  <c r="H11" s="1"/>
  <c r="H12"/>
  <c r="H13"/>
  <c r="H14"/>
  <c r="H21"/>
  <c r="H22"/>
  <c r="H23"/>
  <c r="H24"/>
  <c r="H25"/>
  <c r="G18" i="35"/>
  <c r="J18"/>
  <c r="G19"/>
  <c r="J19"/>
  <c r="G20"/>
  <c r="J20"/>
  <c r="G21"/>
  <c r="J21"/>
  <c r="G22"/>
  <c r="J22"/>
  <c r="B10" i="3"/>
  <c r="D10" s="1"/>
  <c r="E10"/>
  <c r="G10" s="1"/>
  <c r="H10"/>
  <c r="J10" s="1"/>
  <c r="M10"/>
  <c r="D11"/>
  <c r="E11"/>
  <c r="G11" s="1"/>
  <c r="H11"/>
  <c r="J11" s="1"/>
  <c r="D12"/>
  <c r="G12"/>
  <c r="H12"/>
  <c r="J12" s="1"/>
  <c r="D13"/>
  <c r="G13"/>
  <c r="J13"/>
  <c r="D14"/>
  <c r="G14"/>
  <c r="J14"/>
  <c r="D15"/>
  <c r="G15"/>
  <c r="J15"/>
  <c r="D16"/>
  <c r="G16"/>
  <c r="J16"/>
  <c r="D17"/>
  <c r="G17"/>
  <c r="J17"/>
  <c r="D18"/>
  <c r="D23"/>
  <c r="G23"/>
  <c r="J23"/>
  <c r="D24"/>
  <c r="G24"/>
  <c r="J24"/>
  <c r="D25"/>
  <c r="G25"/>
  <c r="J25"/>
  <c r="D26"/>
  <c r="G26"/>
  <c r="J26"/>
  <c r="D27"/>
  <c r="G27"/>
  <c r="L27" s="1"/>
  <c r="N27" s="1"/>
  <c r="J27"/>
  <c r="M8" i="1"/>
  <c r="BD8" s="1"/>
  <c r="T8"/>
  <c r="U8" s="1"/>
  <c r="AE8"/>
  <c r="AI8"/>
  <c r="AM8"/>
  <c r="AN8"/>
  <c r="AO8"/>
  <c r="AP8"/>
  <c r="AY8"/>
  <c r="AZ8" s="1"/>
  <c r="BA8" s="1"/>
  <c r="BI8"/>
  <c r="CC8"/>
  <c r="M9"/>
  <c r="O9" s="1"/>
  <c r="W9" s="1"/>
  <c r="X9" s="1"/>
  <c r="Z9" s="1"/>
  <c r="T9"/>
  <c r="U9" s="1"/>
  <c r="AE9"/>
  <c r="AI9"/>
  <c r="AM9"/>
  <c r="AN9"/>
  <c r="AO9"/>
  <c r="AP9"/>
  <c r="AY9"/>
  <c r="AZ9" s="1"/>
  <c r="BA9" s="1"/>
  <c r="BI9"/>
  <c r="BY9"/>
  <c r="CC9"/>
  <c r="M10"/>
  <c r="O10" s="1"/>
  <c r="W10" s="1"/>
  <c r="X10" s="1"/>
  <c r="T10"/>
  <c r="U10" s="1"/>
  <c r="AE10"/>
  <c r="AI10"/>
  <c r="AM10"/>
  <c r="AN10"/>
  <c r="AO10"/>
  <c r="AP10"/>
  <c r="AY10"/>
  <c r="AZ10" s="1"/>
  <c r="BA10" s="1"/>
  <c r="BI10"/>
  <c r="BW10"/>
  <c r="BY10"/>
  <c r="CC10"/>
  <c r="AZ11"/>
  <c r="BA11" s="1"/>
  <c r="AZ12"/>
  <c r="BA12" s="1"/>
  <c r="M19"/>
  <c r="O19" s="1"/>
  <c r="W19" s="1"/>
  <c r="X19" s="1"/>
  <c r="T19"/>
  <c r="U19" s="1"/>
  <c r="AE19"/>
  <c r="AI19"/>
  <c r="AM19"/>
  <c r="AN19"/>
  <c r="AO19"/>
  <c r="AP19"/>
  <c r="AW19"/>
  <c r="BY19" s="1"/>
  <c r="BG19"/>
  <c r="BH19"/>
  <c r="M20"/>
  <c r="BD20" s="1"/>
  <c r="T20"/>
  <c r="U20" s="1"/>
  <c r="AE20"/>
  <c r="AI20"/>
  <c r="AM20"/>
  <c r="AN20"/>
  <c r="AO20"/>
  <c r="AP20"/>
  <c r="AW20"/>
  <c r="AY20" s="1"/>
  <c r="AZ20" s="1"/>
  <c r="BA20" s="1"/>
  <c r="BI20"/>
  <c r="M21"/>
  <c r="O21" s="1"/>
  <c r="W21" s="1"/>
  <c r="X21" s="1"/>
  <c r="T21"/>
  <c r="U21" s="1"/>
  <c r="AE21"/>
  <c r="AI21"/>
  <c r="AM21"/>
  <c r="AN21"/>
  <c r="AO21"/>
  <c r="AP21"/>
  <c r="AW21"/>
  <c r="AY21" s="1"/>
  <c r="AZ21" s="1"/>
  <c r="BA21" s="1"/>
  <c r="BI21"/>
  <c r="M22"/>
  <c r="O22" s="1"/>
  <c r="W22" s="1"/>
  <c r="X22" s="1"/>
  <c r="T22"/>
  <c r="U22" s="1"/>
  <c r="AE22"/>
  <c r="AI22"/>
  <c r="AM22"/>
  <c r="AN22"/>
  <c r="AO22"/>
  <c r="AP22"/>
  <c r="AW22"/>
  <c r="AY22" s="1"/>
  <c r="AZ22" s="1"/>
  <c r="BA22" s="1"/>
  <c r="BI22"/>
  <c r="M23"/>
  <c r="BD23" s="1"/>
  <c r="T23"/>
  <c r="U23" s="1"/>
  <c r="AE23"/>
  <c r="AI23"/>
  <c r="AM23"/>
  <c r="AN23"/>
  <c r="AO23"/>
  <c r="AP23"/>
  <c r="AW23"/>
  <c r="BW23" s="1"/>
  <c r="BI23"/>
  <c r="M24"/>
  <c r="O24" s="1"/>
  <c r="W24" s="1"/>
  <c r="X24" s="1"/>
  <c r="T24"/>
  <c r="U24" s="1"/>
  <c r="AE24"/>
  <c r="AI24"/>
  <c r="AN24"/>
  <c r="AO24"/>
  <c r="AP24"/>
  <c r="AW24"/>
  <c r="AY24" s="1"/>
  <c r="AZ24" s="1"/>
  <c r="BA24" s="1"/>
  <c r="BI24"/>
  <c r="K22" i="7"/>
  <c r="K21"/>
  <c r="K25"/>
  <c r="S53" i="38"/>
  <c r="Q54"/>
  <c r="D54" i="37"/>
  <c r="L54"/>
  <c r="P54"/>
  <c r="O54"/>
  <c r="N54"/>
  <c r="C54"/>
  <c r="K54"/>
  <c r="S54"/>
  <c r="E54"/>
  <c r="B54"/>
  <c r="J54"/>
  <c r="R54"/>
  <c r="F54"/>
  <c r="U53"/>
  <c r="I54"/>
  <c r="H54"/>
  <c r="G54"/>
  <c r="M54"/>
  <c r="Q54"/>
  <c r="N54" i="38"/>
  <c r="R54"/>
  <c r="D54"/>
  <c r="I54"/>
  <c r="M54"/>
  <c r="E54"/>
  <c r="S54"/>
  <c r="K54"/>
  <c r="P54"/>
  <c r="J54"/>
  <c r="B54"/>
  <c r="O54"/>
  <c r="G54"/>
  <c r="C54"/>
  <c r="F54"/>
  <c r="L54"/>
  <c r="H54"/>
  <c r="BY25" i="1"/>
  <c r="BW28"/>
  <c r="BD30"/>
  <c r="BD18" s="1"/>
  <c r="BY23"/>
  <c r="L56" i="38"/>
  <c r="J56"/>
  <c r="Q56"/>
  <c r="I56"/>
  <c r="C56"/>
  <c r="B56"/>
  <c r="U55"/>
  <c r="S56"/>
  <c r="R56"/>
  <c r="K56"/>
  <c r="P56"/>
  <c r="G56"/>
  <c r="O56"/>
  <c r="H56"/>
  <c r="F56"/>
  <c r="N56"/>
  <c r="E56"/>
  <c r="M56"/>
  <c r="D56"/>
  <c r="K56" i="37"/>
  <c r="N56"/>
  <c r="U55"/>
  <c r="M56"/>
  <c r="I56"/>
  <c r="H56"/>
  <c r="G56"/>
  <c r="C56"/>
  <c r="F56"/>
  <c r="J56"/>
  <c r="L56"/>
  <c r="S56"/>
  <c r="R56"/>
  <c r="Q56"/>
  <c r="D56"/>
  <c r="E56"/>
  <c r="P56"/>
  <c r="O56"/>
  <c r="AN33" i="7" l="1"/>
  <c r="AN31" s="1"/>
  <c r="AM31"/>
  <c r="L31"/>
  <c r="Q13" i="5"/>
  <c r="S13" s="1"/>
  <c r="T13" s="1"/>
  <c r="Q11"/>
  <c r="S11" s="1"/>
  <c r="T11" s="1"/>
  <c r="Q9"/>
  <c r="S9" s="1"/>
  <c r="T9" s="1"/>
  <c r="BW30" i="1"/>
  <c r="BW18" s="1"/>
  <c r="BY21"/>
  <c r="AY29"/>
  <c r="AZ29" s="1"/>
  <c r="BA29" s="1"/>
  <c r="O28"/>
  <c r="W28" s="1"/>
  <c r="X28" s="1"/>
  <c r="AY30"/>
  <c r="AZ30" s="1"/>
  <c r="O23"/>
  <c r="W23" s="1"/>
  <c r="X23" s="1"/>
  <c r="BY30"/>
  <c r="BY18" s="1"/>
  <c r="L19" i="36"/>
  <c r="L17"/>
  <c r="Q28" i="5"/>
  <c r="S28" s="1"/>
  <c r="T28" s="1"/>
  <c r="BW26" i="1"/>
  <c r="AQ30"/>
  <c r="BX30" s="1"/>
  <c r="BX18" s="1"/>
  <c r="AY26"/>
  <c r="AZ26" s="1"/>
  <c r="BA26" s="1"/>
  <c r="BD24"/>
  <c r="L30" i="10"/>
  <c r="BW29" i="1"/>
  <c r="AY25"/>
  <c r="AZ25" s="1"/>
  <c r="BA25" s="1"/>
  <c r="BY20"/>
  <c r="R30" i="41"/>
  <c r="R18" s="1"/>
  <c r="L18" i="36"/>
  <c r="Q33" i="5"/>
  <c r="S33" s="1"/>
  <c r="T33" s="1"/>
  <c r="AQ34" i="1"/>
  <c r="BX34" s="1"/>
  <c r="BW24"/>
  <c r="BW22"/>
  <c r="BW21"/>
  <c r="BX37"/>
  <c r="AO21" i="7"/>
  <c r="AP21" s="1"/>
  <c r="L18"/>
  <c r="L22" i="36"/>
  <c r="L10"/>
  <c r="H9" i="51"/>
  <c r="J9" s="1"/>
  <c r="K9" s="1"/>
  <c r="L37" i="3"/>
  <c r="N37" s="1"/>
  <c r="L17"/>
  <c r="AY23" i="1"/>
  <c r="AZ23" s="1"/>
  <c r="BA23" s="1"/>
  <c r="AY19"/>
  <c r="AZ19" s="1"/>
  <c r="BA19" s="1"/>
  <c r="AQ9"/>
  <c r="BV9" s="1"/>
  <c r="AQ28"/>
  <c r="BV28" s="1"/>
  <c r="BD10"/>
  <c r="BY24"/>
  <c r="AQ32"/>
  <c r="BX32" s="1"/>
  <c r="AY34"/>
  <c r="AZ34" s="1"/>
  <c r="BA34" s="1"/>
  <c r="BV30"/>
  <c r="BV18" s="1"/>
  <c r="BW20"/>
  <c r="BW19"/>
  <c r="O29"/>
  <c r="W29" s="1"/>
  <c r="X29" s="1"/>
  <c r="AQ29"/>
  <c r="BV29" s="1"/>
  <c r="BW34"/>
  <c r="O20"/>
  <c r="W20" s="1"/>
  <c r="X20" s="1"/>
  <c r="BD22"/>
  <c r="BD19"/>
  <c r="BW27"/>
  <c r="AQ20"/>
  <c r="BX20" s="1"/>
  <c r="L25" i="36"/>
  <c r="L23"/>
  <c r="Q27" i="5"/>
  <c r="S27" s="1"/>
  <c r="T27" s="1"/>
  <c r="Q24"/>
  <c r="S24" s="1"/>
  <c r="T24" s="1"/>
  <c r="Q29"/>
  <c r="Q17" s="1"/>
  <c r="Q21"/>
  <c r="S21" s="1"/>
  <c r="T21" s="1"/>
  <c r="Q19"/>
  <c r="S19" s="1"/>
  <c r="T19" s="1"/>
  <c r="Q18"/>
  <c r="S18" s="1"/>
  <c r="H8" i="51"/>
  <c r="J8" s="1"/>
  <c r="K8" s="1"/>
  <c r="H10"/>
  <c r="J10" s="1"/>
  <c r="K10" s="1"/>
  <c r="L23" i="3"/>
  <c r="N23" s="1"/>
  <c r="O23" s="1"/>
  <c r="L39"/>
  <c r="N39" s="1"/>
  <c r="O39" s="1"/>
  <c r="L30"/>
  <c r="N30" s="1"/>
  <c r="O30" s="1"/>
  <c r="L28"/>
  <c r="N28" s="1"/>
  <c r="O28" s="1"/>
  <c r="AQ26" i="1"/>
  <c r="BV26" s="1"/>
  <c r="BW35"/>
  <c r="AY36"/>
  <c r="AZ36" s="1"/>
  <c r="BA36" s="1"/>
  <c r="BI19"/>
  <c r="AQ19"/>
  <c r="BX19" s="1"/>
  <c r="Q12" i="5"/>
  <c r="S12" s="1"/>
  <c r="T12" s="1"/>
  <c r="Q8"/>
  <c r="S8" s="1"/>
  <c r="T8" s="1"/>
  <c r="L16" i="3"/>
  <c r="N16" s="1"/>
  <c r="L36"/>
  <c r="N36" s="1"/>
  <c r="O36" s="1"/>
  <c r="L25"/>
  <c r="N25" s="1"/>
  <c r="L24"/>
  <c r="N24" s="1"/>
  <c r="O24" s="1"/>
  <c r="L31"/>
  <c r="N31" s="1"/>
  <c r="O31" s="1"/>
  <c r="L38"/>
  <c r="N38" s="1"/>
  <c r="O38" s="1"/>
  <c r="L11"/>
  <c r="N11" s="1"/>
  <c r="O11" s="1"/>
  <c r="L29"/>
  <c r="N29" s="1"/>
  <c r="O29" s="1"/>
  <c r="L32"/>
  <c r="N32" s="1"/>
  <c r="O32" s="1"/>
  <c r="L33"/>
  <c r="N33" s="1"/>
  <c r="O33" s="1"/>
  <c r="L40"/>
  <c r="N40" s="1"/>
  <c r="O40" s="1"/>
  <c r="K33" i="33"/>
  <c r="K20"/>
  <c r="L33"/>
  <c r="L21"/>
  <c r="L20" s="1"/>
  <c r="C17" i="10"/>
  <c r="L17"/>
  <c r="O11" i="6"/>
  <c r="W11" s="1"/>
  <c r="O9"/>
  <c r="W9" s="1"/>
  <c r="AO32" i="7"/>
  <c r="AN19"/>
  <c r="AN18" s="1"/>
  <c r="AO20"/>
  <c r="AP20" s="1"/>
  <c r="AO26"/>
  <c r="AP26" s="1"/>
  <c r="AO24"/>
  <c r="AP24" s="1"/>
  <c r="AO36"/>
  <c r="AP36" s="1"/>
  <c r="AO23"/>
  <c r="AP23" s="1"/>
  <c r="AO22"/>
  <c r="AP22" s="1"/>
  <c r="D44" i="50"/>
  <c r="D51"/>
  <c r="C51"/>
  <c r="C44"/>
  <c r="E20" i="6"/>
  <c r="E15"/>
  <c r="O34"/>
  <c r="W34" s="1"/>
  <c r="O21"/>
  <c r="O47"/>
  <c r="W47" s="1"/>
  <c r="O48"/>
  <c r="W48" s="1"/>
  <c r="O49"/>
  <c r="W49" s="1"/>
  <c r="H30"/>
  <c r="O17"/>
  <c r="W17" s="1"/>
  <c r="O33"/>
  <c r="W33" s="1"/>
  <c r="O32"/>
  <c r="W32" s="1"/>
  <c r="K30"/>
  <c r="N15"/>
  <c r="O12"/>
  <c r="W12" s="1"/>
  <c r="W10"/>
  <c r="O8"/>
  <c r="W8" s="1"/>
  <c r="O6"/>
  <c r="W6" s="1"/>
  <c r="N30"/>
  <c r="O46"/>
  <c r="W46" s="1"/>
  <c r="O18"/>
  <c r="W18" s="1"/>
  <c r="O19"/>
  <c r="W19" s="1"/>
  <c r="O16"/>
  <c r="W16" s="1"/>
  <c r="K15"/>
  <c r="O24"/>
  <c r="W24" s="1"/>
  <c r="H20"/>
  <c r="K20"/>
  <c r="O23"/>
  <c r="W23" s="1"/>
  <c r="O22"/>
  <c r="W22" s="1"/>
  <c r="W21"/>
  <c r="O29"/>
  <c r="W29" s="1"/>
  <c r="H25"/>
  <c r="K25"/>
  <c r="N25"/>
  <c r="V25"/>
  <c r="O28"/>
  <c r="W28" s="1"/>
  <c r="E25"/>
  <c r="E30"/>
  <c r="O27"/>
  <c r="W27" s="1"/>
  <c r="O26"/>
  <c r="H15"/>
  <c r="O31"/>
  <c r="N20"/>
  <c r="L9" i="36"/>
  <c r="L7"/>
  <c r="L16"/>
  <c r="L24"/>
  <c r="L29"/>
  <c r="L30"/>
  <c r="L31"/>
  <c r="L20"/>
  <c r="L32"/>
  <c r="L21"/>
  <c r="L8"/>
  <c r="L26"/>
  <c r="L33"/>
  <c r="L27"/>
  <c r="L15" s="1"/>
  <c r="Q10" i="5"/>
  <c r="S10" s="1"/>
  <c r="T10" s="1"/>
  <c r="Q35"/>
  <c r="S35" s="1"/>
  <c r="T35" s="1"/>
  <c r="Q22"/>
  <c r="S22" s="1"/>
  <c r="T22" s="1"/>
  <c r="Q20"/>
  <c r="S20" s="1"/>
  <c r="T20" s="1"/>
  <c r="Q25"/>
  <c r="S25" s="1"/>
  <c r="T25" s="1"/>
  <c r="Q26"/>
  <c r="S26" s="1"/>
  <c r="T26" s="1"/>
  <c r="Q31"/>
  <c r="S31" s="1"/>
  <c r="T31" s="1"/>
  <c r="Q32"/>
  <c r="S32" s="1"/>
  <c r="T32" s="1"/>
  <c r="Q23"/>
  <c r="S23" s="1"/>
  <c r="T23" s="1"/>
  <c r="T18"/>
  <c r="Q34"/>
  <c r="S34" s="1"/>
  <c r="T34" s="1"/>
  <c r="S29"/>
  <c r="J17"/>
  <c r="J32" i="51"/>
  <c r="L28" i="35"/>
  <c r="L34"/>
  <c r="L25"/>
  <c r="L23"/>
  <c r="L24"/>
  <c r="L32"/>
  <c r="L33"/>
  <c r="L20"/>
  <c r="L18"/>
  <c r="L27"/>
  <c r="L22"/>
  <c r="L31"/>
  <c r="L21"/>
  <c r="L19"/>
  <c r="O25" i="3"/>
  <c r="L10"/>
  <c r="N10" s="1"/>
  <c r="O10" s="1"/>
  <c r="L26"/>
  <c r="N26" s="1"/>
  <c r="O26" s="1"/>
  <c r="L15"/>
  <c r="N15" s="1"/>
  <c r="L14"/>
  <c r="N14" s="1"/>
  <c r="O14" s="1"/>
  <c r="L13"/>
  <c r="N13" s="1"/>
  <c r="O13" s="1"/>
  <c r="L12"/>
  <c r="N12" s="1"/>
  <c r="O12" s="1"/>
  <c r="O37"/>
  <c r="O27"/>
  <c r="BY33" i="1"/>
  <c r="BY27"/>
  <c r="AQ22"/>
  <c r="AQ10"/>
  <c r="BV10" s="1"/>
  <c r="AQ8"/>
  <c r="AQ25"/>
  <c r="BX25" s="1"/>
  <c r="AY32"/>
  <c r="AZ32" s="1"/>
  <c r="BA32" s="1"/>
  <c r="AY33"/>
  <c r="AZ33" s="1"/>
  <c r="BA33" s="1"/>
  <c r="BW36"/>
  <c r="BD9"/>
  <c r="AQ24"/>
  <c r="BV24" s="1"/>
  <c r="AQ23"/>
  <c r="BV23" s="1"/>
  <c r="BY22"/>
  <c r="AQ21"/>
  <c r="O8"/>
  <c r="W8" s="1"/>
  <c r="X8" s="1"/>
  <c r="Z8" s="1"/>
  <c r="O26"/>
  <c r="W26" s="1"/>
  <c r="X26" s="1"/>
  <c r="AY28"/>
  <c r="AZ28" s="1"/>
  <c r="BA28" s="1"/>
  <c r="BY32"/>
  <c r="AY35"/>
  <c r="AZ35" s="1"/>
  <c r="BA35" s="1"/>
  <c r="AQ36"/>
  <c r="BX36" s="1"/>
  <c r="AQ27"/>
  <c r="BV27" s="1"/>
  <c r="AQ33"/>
  <c r="BV33" s="1"/>
  <c r="AQ35"/>
  <c r="BX35" s="1"/>
  <c r="O37"/>
  <c r="W37" s="1"/>
  <c r="X37" s="1"/>
  <c r="O18"/>
  <c r="W30"/>
  <c r="BX22"/>
  <c r="BV22"/>
  <c r="BA30"/>
  <c r="BA18" s="1"/>
  <c r="AZ18"/>
  <c r="BV21"/>
  <c r="BX21"/>
  <c r="BX27"/>
  <c r="BD34"/>
  <c r="BD21"/>
  <c r="BD25"/>
  <c r="BD27"/>
  <c r="U30"/>
  <c r="U18" s="1"/>
  <c r="O32"/>
  <c r="W32" s="1"/>
  <c r="X32" s="1"/>
  <c r="AQ18"/>
  <c r="AY18"/>
  <c r="O36"/>
  <c r="W36" s="1"/>
  <c r="X36" s="1"/>
  <c r="M18"/>
  <c r="BD35"/>
  <c r="BD33"/>
  <c r="U18" i="45"/>
  <c r="K18" i="7"/>
  <c r="AO29"/>
  <c r="AP29" s="1"/>
  <c r="AO30"/>
  <c r="AP30" s="1"/>
  <c r="AO35"/>
  <c r="AP35" s="1"/>
  <c r="P18"/>
  <c r="AO25"/>
  <c r="AP25" s="1"/>
  <c r="AO27"/>
  <c r="AP27" s="1"/>
  <c r="AO33"/>
  <c r="AP33" s="1"/>
  <c r="AO34"/>
  <c r="AP34" s="1"/>
  <c r="AO37"/>
  <c r="AP37" s="1"/>
  <c r="AO28"/>
  <c r="AP28" s="1"/>
  <c r="L29" i="35"/>
  <c r="L17" s="1"/>
  <c r="L34" i="3"/>
  <c r="K36" i="7"/>
  <c r="K31" s="1"/>
  <c r="AP32" l="1"/>
  <c r="AP31" s="1"/>
  <c r="AO31"/>
  <c r="BV32" i="1"/>
  <c r="BV25"/>
  <c r="BV36"/>
  <c r="BX33"/>
  <c r="BX28"/>
  <c r="BV34"/>
  <c r="BV20"/>
  <c r="BX29"/>
  <c r="BX26"/>
  <c r="BX24"/>
  <c r="BX10"/>
  <c r="BV19"/>
  <c r="BV35"/>
  <c r="BX23"/>
  <c r="AO19" i="7"/>
  <c r="AO18" s="1"/>
  <c r="O15" i="6"/>
  <c r="O20"/>
  <c r="O30"/>
  <c r="W31"/>
  <c r="W30" s="1"/>
  <c r="O25"/>
  <c r="W26"/>
  <c r="W25" s="1"/>
  <c r="S17" i="5"/>
  <c r="T29"/>
  <c r="T17" s="1"/>
  <c r="J20" i="51"/>
  <c r="K32"/>
  <c r="K20" s="1"/>
  <c r="X30" i="1"/>
  <c r="X18" s="1"/>
  <c r="W18"/>
  <c r="N34" i="3"/>
  <c r="L22"/>
  <c r="AP19" i="7" l="1"/>
  <c r="AP18" s="1"/>
  <c r="N22" i="3"/>
  <c r="O34"/>
  <c r="O22" s="1"/>
</calcChain>
</file>

<file path=xl/sharedStrings.xml><?xml version="1.0" encoding="utf-8"?>
<sst xmlns="http://schemas.openxmlformats.org/spreadsheetml/2006/main" count="9404" uniqueCount="2804">
  <si>
    <t>(In million US$)</t>
  </si>
  <si>
    <t>04.02.09</t>
  </si>
  <si>
    <t>04.02.19</t>
  </si>
  <si>
    <t>04.03.09</t>
  </si>
  <si>
    <t>04.03.19</t>
  </si>
  <si>
    <t>08.04.09</t>
  </si>
  <si>
    <t>08.04.19</t>
  </si>
  <si>
    <t>06.05.09</t>
  </si>
  <si>
    <t>06.05.19</t>
  </si>
  <si>
    <t>28.01.09</t>
  </si>
  <si>
    <t>03.06.09</t>
  </si>
  <si>
    <t>03.06.19</t>
  </si>
  <si>
    <t>25.02.09</t>
  </si>
  <si>
    <t>25.02.29</t>
  </si>
  <si>
    <t>08.07.09</t>
  </si>
  <si>
    <t>08.07.19</t>
  </si>
  <si>
    <t>25.03.09</t>
  </si>
  <si>
    <t>25.03.29</t>
  </si>
  <si>
    <t>05.08.09</t>
  </si>
  <si>
    <t>05.08.19</t>
  </si>
  <si>
    <t>29.04.09</t>
  </si>
  <si>
    <t>29.04.29</t>
  </si>
  <si>
    <t>02.09.09</t>
  </si>
  <si>
    <t>02.09.19</t>
  </si>
  <si>
    <t>27.05.09</t>
  </si>
  <si>
    <t>27.05.29</t>
  </si>
  <si>
    <t>24.06.09</t>
  </si>
  <si>
    <t>24.06.29</t>
  </si>
  <si>
    <t>29.07.09</t>
  </si>
  <si>
    <t>29.07.29</t>
  </si>
  <si>
    <t>26.08.09</t>
  </si>
  <si>
    <t>26.08.29</t>
  </si>
  <si>
    <t>Source :</t>
  </si>
  <si>
    <t>RATES OF INTEREST ON NON-RESIDENT FOREIGN CURRENCY DEPOSIT (NFCD) ACCOUNT                             PRIVATE BANKS</t>
  </si>
  <si>
    <t>RATES OF INTEREST ON NON-RESIDENT FOREIGN CURRENCY DEPOSIT (NFCD) ACCOUNT                              FOREIGN BANKS</t>
  </si>
  <si>
    <t>Clothing &amp; Footwear</t>
  </si>
  <si>
    <t>Gross rent, Fuel &amp; Lighting</t>
  </si>
  <si>
    <t xml:space="preserve">GROSS DOMESTIC PRODUCT OF </t>
  </si>
  <si>
    <t xml:space="preserve"> Period</t>
  </si>
  <si>
    <t>DMBs Borrowings</t>
  </si>
  <si>
    <t>DMBs Deposits (Excluding BSBL &amp; Inter-Bank)</t>
  </si>
  <si>
    <t>(Taka in crore)</t>
  </si>
  <si>
    <t xml:space="preserve">i) </t>
  </si>
  <si>
    <t>Rate of Interest After Maturity (%)</t>
  </si>
  <si>
    <t>Particulars</t>
  </si>
  <si>
    <t>Rate of Interest After Maturity  (%)</t>
  </si>
  <si>
    <t>Savings Deposits:</t>
  </si>
  <si>
    <t>Fixed Deposits:</t>
  </si>
  <si>
    <t xml:space="preserve">                     </t>
  </si>
  <si>
    <t>Term Loan to Small Industry</t>
  </si>
  <si>
    <t>Net Profit After Tax</t>
  </si>
  <si>
    <t>Note:</t>
  </si>
  <si>
    <t>02.01.08</t>
  </si>
  <si>
    <t>06.02.08</t>
  </si>
  <si>
    <t>02.04.08</t>
  </si>
  <si>
    <t>07.05.08</t>
  </si>
  <si>
    <t>04.06.08</t>
  </si>
  <si>
    <t>02.07.08</t>
  </si>
  <si>
    <t>06.08.08</t>
  </si>
  <si>
    <t>03.09.08</t>
  </si>
  <si>
    <t>08.10.08</t>
  </si>
  <si>
    <t>05.11.08</t>
  </si>
  <si>
    <t>03.12.08</t>
  </si>
  <si>
    <t>07.01.09</t>
  </si>
  <si>
    <t>02.01.18</t>
  </si>
  <si>
    <t>06.02.18</t>
  </si>
  <si>
    <t>02.04.18</t>
  </si>
  <si>
    <t>07.05.18</t>
  </si>
  <si>
    <t>04.06.18</t>
  </si>
  <si>
    <t>02.07.18</t>
  </si>
  <si>
    <t>06.08.18</t>
  </si>
  <si>
    <t>03.09.18</t>
  </si>
  <si>
    <t>08.10.18</t>
  </si>
  <si>
    <t>05.11.18</t>
  </si>
  <si>
    <t>03.12.18</t>
  </si>
  <si>
    <t>07.01.19</t>
  </si>
  <si>
    <t>23.01.08</t>
  </si>
  <si>
    <t>27.02.08</t>
  </si>
  <si>
    <t>27.03.08</t>
  </si>
  <si>
    <t>23.04.08</t>
  </si>
  <si>
    <t>28.05.08</t>
  </si>
  <si>
    <t>25.06.08</t>
  </si>
  <si>
    <t>23.07.08</t>
  </si>
  <si>
    <t>27.08.08</t>
  </si>
  <si>
    <t>24.09.08</t>
  </si>
  <si>
    <t>29.10.08</t>
  </si>
  <si>
    <t>26.11.08</t>
  </si>
  <si>
    <t>24.12.08</t>
  </si>
  <si>
    <r>
      <t xml:space="preserve">United States </t>
    </r>
    <r>
      <rPr>
        <sz val="6"/>
        <color indexed="8"/>
        <rFont val="Times New Roman"/>
        <family val="1"/>
      </rPr>
      <t>(Rotterdam)</t>
    </r>
  </si>
  <si>
    <t>28.01.29</t>
  </si>
  <si>
    <t>23.01.28</t>
  </si>
  <si>
    <t>27.02.28</t>
  </si>
  <si>
    <t>27.03.28</t>
  </si>
  <si>
    <t>23.04.28</t>
  </si>
  <si>
    <t>28.05.28</t>
  </si>
  <si>
    <t>25.06.28</t>
  </si>
  <si>
    <t>23.07.28</t>
  </si>
  <si>
    <t>24.09.28</t>
  </si>
  <si>
    <t>29.10.28</t>
  </si>
  <si>
    <t>26.11.28</t>
  </si>
  <si>
    <t>24.12.28</t>
  </si>
  <si>
    <t>(Taka in Crore)</t>
  </si>
  <si>
    <t xml:space="preserve">Tk. in Crore </t>
  </si>
  <si>
    <t>-</t>
  </si>
  <si>
    <t>Mudaraba Short Term Deposits</t>
  </si>
  <si>
    <t>Mudaraba Hajj Savings Deposits :</t>
  </si>
  <si>
    <t>Cash Waqf.</t>
  </si>
  <si>
    <t>Chinese  Yuan</t>
  </si>
  <si>
    <t>RATES OF INTEREST ON NON-RESIDENT FOREIGN CURRENCY DEPOSIT (NFCD) ACCOUNT                                       STATE OWNED COMMERCIAL BANKS</t>
  </si>
  <si>
    <t>Hong Kong Dollar</t>
  </si>
  <si>
    <t>Japanese Yen</t>
  </si>
  <si>
    <t xml:space="preserve">Year/Month </t>
  </si>
  <si>
    <t xml:space="preserve">No. of Persons </t>
  </si>
  <si>
    <t xml:space="preserve">Remittances </t>
  </si>
  <si>
    <t>Saudi Arabia</t>
  </si>
  <si>
    <t>U.A.E.</t>
  </si>
  <si>
    <t>U.K.</t>
  </si>
  <si>
    <t>Kuwait</t>
  </si>
  <si>
    <t>U.S.A.</t>
  </si>
  <si>
    <t>Libya</t>
  </si>
  <si>
    <t>Qatar</t>
  </si>
  <si>
    <t>Oman</t>
  </si>
  <si>
    <t>Singapore</t>
  </si>
  <si>
    <t>Germany</t>
  </si>
  <si>
    <t>Bahrain</t>
  </si>
  <si>
    <t>Iran</t>
  </si>
  <si>
    <t>Japan</t>
  </si>
  <si>
    <t>Other Countries</t>
  </si>
  <si>
    <t>Total Income</t>
  </si>
  <si>
    <t>Total Expenditure</t>
  </si>
  <si>
    <t>Bangladesh Bank (Central Bank)</t>
  </si>
  <si>
    <t>Specialized Banks</t>
  </si>
  <si>
    <t>Total Manpower</t>
  </si>
  <si>
    <t>1 month</t>
  </si>
  <si>
    <t>1 year</t>
  </si>
  <si>
    <t>Pound Sterling</t>
  </si>
  <si>
    <t>2009-10</t>
  </si>
  <si>
    <t xml:space="preserve">2002-03 </t>
  </si>
  <si>
    <t>A.</t>
  </si>
  <si>
    <t>Bank Rate</t>
  </si>
  <si>
    <t>C.</t>
  </si>
  <si>
    <t>2008-09</t>
  </si>
  <si>
    <t>    </t>
  </si>
  <si>
    <t>Engineering </t>
  </si>
  <si>
    <t>Jute Industries</t>
  </si>
  <si>
    <t>Exports</t>
  </si>
  <si>
    <t>Cement Industries</t>
  </si>
  <si>
    <t>Total Market Capitalisation</t>
  </si>
  <si>
    <t xml:space="preserve">2003-04 </t>
  </si>
  <si>
    <t>Retail Market Price of Dhaka City</t>
  </si>
  <si>
    <t>Inflation (Food)</t>
  </si>
  <si>
    <t>Inflation (Non-food)</t>
  </si>
  <si>
    <t>Point -to- Point</t>
  </si>
  <si>
    <t>12- Month Average</t>
  </si>
  <si>
    <t>First Security Islami Bank Ltd.</t>
  </si>
  <si>
    <t xml:space="preserve">Social Islami Bank </t>
  </si>
  <si>
    <t xml:space="preserve">Islami Bank BD. Ltd. </t>
  </si>
  <si>
    <t xml:space="preserve">ICB Islamic Bank Ltd. </t>
  </si>
  <si>
    <t xml:space="preserve">Shahjalal  Islami Bank Ltd.  </t>
  </si>
  <si>
    <t xml:space="preserve">Bank Al- Falah Ltd. </t>
  </si>
  <si>
    <t xml:space="preserve">EXIM Bank  Ltd. </t>
  </si>
  <si>
    <t>State Owned Commercial Banks</t>
  </si>
  <si>
    <t>5 years</t>
  </si>
  <si>
    <t>8 years</t>
  </si>
  <si>
    <t>Double Benefit Scheme</t>
  </si>
  <si>
    <t>Triple Benefit Scheme</t>
  </si>
  <si>
    <t>Mudaraba Steady Money</t>
  </si>
  <si>
    <t>Mudaraba Super Savings</t>
  </si>
  <si>
    <t>Mudaraba Multi Plus Savings</t>
  </si>
  <si>
    <t>Mudaraba Smart Saver Deposits</t>
  </si>
  <si>
    <t>Mudaraba Lakhopati Deposits Scheme</t>
  </si>
  <si>
    <t>Mudaraba Future Deposits Scheme</t>
  </si>
  <si>
    <t>Mudaraba Housing  Savings Scheme</t>
  </si>
  <si>
    <t>Children Savings Scheme</t>
  </si>
  <si>
    <t>Point -to-Point</t>
  </si>
  <si>
    <t>Jute goods (including Carpet)</t>
  </si>
  <si>
    <t>Tea</t>
  </si>
  <si>
    <t>Fish &amp; Shrimp</t>
  </si>
  <si>
    <t>80202</t>
  </si>
  <si>
    <t>19790</t>
  </si>
  <si>
    <t>6152</t>
  </si>
  <si>
    <t>93901</t>
  </si>
  <si>
    <t>6070</t>
  </si>
  <si>
    <t>43854</t>
  </si>
  <si>
    <t>78220</t>
  </si>
  <si>
    <t>3889</t>
  </si>
  <si>
    <t>56907</t>
  </si>
  <si>
    <t>8955</t>
  </si>
  <si>
    <t>38058</t>
  </si>
  <si>
    <t>14427</t>
  </si>
  <si>
    <t>13532</t>
  </si>
  <si>
    <t>11819</t>
  </si>
  <si>
    <t>545822</t>
  </si>
  <si>
    <t>INDUSTRIAL COMMODITIES</t>
  </si>
  <si>
    <t xml:space="preserve">August </t>
  </si>
  <si>
    <t>Clinker</t>
  </si>
  <si>
    <t>Dyeing &amp; Tanning Materials</t>
  </si>
  <si>
    <t>Cotton</t>
  </si>
  <si>
    <t>Banking Sector</t>
  </si>
  <si>
    <t>TRADE</t>
  </si>
  <si>
    <t>FOREIGN</t>
  </si>
  <si>
    <t xml:space="preserve">PRODUCTION OF MAJOR </t>
  </si>
  <si>
    <t>AGRICULTURAL COMMODITIES</t>
  </si>
  <si>
    <t>Currency in Circulation</t>
  </si>
  <si>
    <t>From</t>
  </si>
  <si>
    <t>PAYMENTS</t>
  </si>
  <si>
    <t>BALANCE OF</t>
  </si>
  <si>
    <t>Monetary Aggregates</t>
  </si>
  <si>
    <t>14.61</t>
  </si>
  <si>
    <t>192</t>
  </si>
  <si>
    <t xml:space="preserve">SELECTED ECONOMIC </t>
  </si>
  <si>
    <t>INDICATORS  </t>
  </si>
  <si>
    <t>BB</t>
  </si>
  <si>
    <t>DMBs</t>
  </si>
  <si>
    <t>Advances &amp; Bills</t>
  </si>
  <si>
    <t>Percentage change over end of the last June</t>
  </si>
  <si>
    <t>Income Velocity of  Money</t>
  </si>
  <si>
    <t xml:space="preserve">  </t>
  </si>
  <si>
    <t>Credit (Net) to Gover- nment</t>
  </si>
  <si>
    <t>Credit to Other Public Sector</t>
  </si>
  <si>
    <t>Amounts</t>
  </si>
  <si>
    <t>Bank Rate </t>
  </si>
  <si>
    <t>Deposits</t>
  </si>
  <si>
    <t xml:space="preserve"> Advances </t>
  </si>
  <si>
    <t>TABLE- IV (Contd.)</t>
  </si>
  <si>
    <t>Total Domestic credit</t>
  </si>
  <si>
    <t>End of period</t>
  </si>
  <si>
    <t>(Base:1995-96</t>
  </si>
  <si>
    <t>CITI  Bank  NA</t>
  </si>
  <si>
    <t>Interest Rates on</t>
  </si>
  <si>
    <t>Specialised Banks</t>
  </si>
  <si>
    <t>Private Banks</t>
  </si>
  <si>
    <t>Sonali</t>
  </si>
  <si>
    <t>Agrani</t>
  </si>
  <si>
    <t>Janata</t>
  </si>
  <si>
    <t>Rupali</t>
  </si>
  <si>
    <t>RAKUB</t>
  </si>
  <si>
    <t>BASIC</t>
  </si>
  <si>
    <t>UCBL</t>
  </si>
  <si>
    <t>ABBL</t>
  </si>
  <si>
    <t>IFIC</t>
  </si>
  <si>
    <t>NBL</t>
  </si>
  <si>
    <t>Uttara</t>
  </si>
  <si>
    <t>Pubali</t>
  </si>
  <si>
    <t xml:space="preserve"> jute goods)</t>
  </si>
  <si>
    <t>(Other than</t>
  </si>
  <si>
    <t>TABLE- IIE</t>
  </si>
  <si>
    <t xml:space="preserve">Lending Rates: </t>
  </si>
  <si>
    <t>Agriculture</t>
  </si>
  <si>
    <t>Sub-Category-1</t>
  </si>
  <si>
    <t>Sub-Category-2</t>
  </si>
  <si>
    <t>Non-Financial  Corporation</t>
  </si>
  <si>
    <t xml:space="preserve">         Deposit Liabilities</t>
  </si>
  <si>
    <t>Electri-city         Gas &amp; Water Supply</t>
  </si>
  <si>
    <t xml:space="preserve">         - =Not applicable</t>
  </si>
  <si>
    <r>
      <t>* Dubai Mediam, Fateh 32</t>
    </r>
    <r>
      <rPr>
        <vertAlign val="superscript"/>
        <sz val="6.5"/>
        <color indexed="8"/>
        <rFont val="Times New Roman"/>
        <family val="1"/>
      </rPr>
      <t xml:space="preserve">o </t>
    </r>
    <r>
      <rPr>
        <sz val="6.5"/>
        <color indexed="8"/>
        <rFont val="Times New Roman"/>
        <family val="1"/>
      </rPr>
      <t>API, Spot, f.o.b. U.K.</t>
    </r>
  </si>
  <si>
    <r>
      <t xml:space="preserve"> @ United Kingdom Light, Brent 38</t>
    </r>
    <r>
      <rPr>
        <vertAlign val="superscript"/>
        <sz val="6.5"/>
        <color indexed="8"/>
        <rFont val="Times New Roman"/>
        <family val="1"/>
      </rPr>
      <t>o</t>
    </r>
    <r>
      <rPr>
        <sz val="6.5"/>
        <color indexed="8"/>
        <rFont val="Times New Roman"/>
        <family val="1"/>
      </rPr>
      <t xml:space="preserve"> API, Spot, f.o.b. U.K.</t>
    </r>
  </si>
  <si>
    <t>Term Loan to Large &amp; Medium Scale Industry</t>
  </si>
  <si>
    <t xml:space="preserve">  Sub-Category-1</t>
  </si>
  <si>
    <t xml:space="preserve">  Sub-Category-2</t>
  </si>
  <si>
    <t>NBDCs</t>
  </si>
  <si>
    <t>Working Capital to Industry</t>
  </si>
  <si>
    <t xml:space="preserve">Trade Financing </t>
  </si>
  <si>
    <t xml:space="preserve">Housing Loan </t>
  </si>
  <si>
    <t xml:space="preserve">Consumer Credit </t>
  </si>
  <si>
    <t xml:space="preserve">Others </t>
  </si>
  <si>
    <t>EBL</t>
  </si>
  <si>
    <t>NCCBL</t>
  </si>
  <si>
    <t>South East Bank</t>
  </si>
  <si>
    <t>BCBL</t>
  </si>
  <si>
    <t>Dutch Bangla</t>
  </si>
  <si>
    <t>Mercantile</t>
  </si>
  <si>
    <t>One Bank</t>
  </si>
  <si>
    <t>Premier Bank</t>
  </si>
  <si>
    <t>BRAC</t>
  </si>
  <si>
    <t>Standard Bank</t>
  </si>
  <si>
    <t>Mutual Trust</t>
  </si>
  <si>
    <t>Bank Asia</t>
  </si>
  <si>
    <t>Jamuna Bank</t>
  </si>
  <si>
    <t>State Bank of India</t>
  </si>
  <si>
    <t>Habib Bank Ltd.</t>
  </si>
  <si>
    <t>National Bank of Pakistan</t>
  </si>
  <si>
    <t>Woori Bank</t>
  </si>
  <si>
    <t>25.09.17</t>
  </si>
  <si>
    <t>Standard Chartered</t>
  </si>
  <si>
    <t>MERCHANDISE EXPORTS</t>
  </si>
  <si>
    <t>MERCHANDISE IMPORTS</t>
  </si>
  <si>
    <t>MERCHANDISE</t>
  </si>
  <si>
    <t>IMPORTS</t>
  </si>
  <si>
    <t>Aus Rice</t>
  </si>
  <si>
    <t>Aman Rice</t>
  </si>
  <si>
    <t>Boro Rice</t>
  </si>
  <si>
    <t>Currency     in Tills of DMBs</t>
  </si>
  <si>
    <t>Deposit Money Banks  (DMBs)</t>
  </si>
  <si>
    <t>To      Private</t>
  </si>
  <si>
    <t>To    Public</t>
  </si>
  <si>
    <t>Public    Bills</t>
  </si>
  <si>
    <t xml:space="preserve">                       Public                                                                  Sector</t>
  </si>
  <si>
    <t>Cash Reserve Require-ment</t>
  </si>
  <si>
    <t>Invest-ment</t>
  </si>
  <si>
    <t>Credit     to    Private Sector</t>
  </si>
  <si>
    <t>Total No. of    Branches    of Scheduled Banks</t>
  </si>
  <si>
    <t>Average Deposits  per DMB  Branch     (in crore) </t>
  </si>
  <si>
    <t>Source</t>
  </si>
  <si>
    <t xml:space="preserve">: </t>
  </si>
  <si>
    <t>Note</t>
  </si>
  <si>
    <t xml:space="preserve">:  </t>
  </si>
  <si>
    <t>Other                                 Public Sector</t>
  </si>
  <si>
    <t>CPI of Major Non-Food Items / Groups</t>
  </si>
  <si>
    <t>Note    :</t>
  </si>
  <si>
    <t>91 percent of savings deposits are included in time deposits with effect from July 2007</t>
  </si>
  <si>
    <t>From       Govern-    ment</t>
  </si>
  <si>
    <t>To     Banks</t>
  </si>
  <si>
    <t xml:space="preserve">                      Rates,             Ratios         &amp;         Average         </t>
  </si>
  <si>
    <t>Jute      Textiles</t>
  </si>
  <si>
    <t>Wholesale Price Indices of  Base:  1969-70=100</t>
  </si>
  <si>
    <t>Foreign Trade (during the period)</t>
  </si>
  <si>
    <t>2010-11</t>
  </si>
  <si>
    <t xml:space="preserve"> Bangladesh Bureau of Statistics</t>
  </si>
  <si>
    <t xml:space="preserve">                 </t>
  </si>
  <si>
    <t>TABLE-IB</t>
  </si>
  <si>
    <t>TABLE-IIA</t>
  </si>
  <si>
    <r>
      <t>Note :</t>
    </r>
    <r>
      <rPr>
        <sz val="7"/>
        <rFont val="Times New Roman"/>
        <family val="1"/>
      </rPr>
      <t xml:space="preserve"> </t>
    </r>
  </si>
  <si>
    <r>
      <t xml:space="preserve">Source    </t>
    </r>
    <r>
      <rPr>
        <sz val="7"/>
        <rFont val="Times New Roman"/>
        <family val="1"/>
      </rPr>
      <t xml:space="preserve">: </t>
    </r>
  </si>
  <si>
    <r>
      <t xml:space="preserve">Note        </t>
    </r>
    <r>
      <rPr>
        <sz val="7"/>
        <rFont val="Times New Roman"/>
        <family val="1"/>
      </rPr>
      <t>: </t>
    </r>
  </si>
  <si>
    <t>Government       (Net)</t>
  </si>
  <si>
    <t>5= (3+4)</t>
  </si>
  <si>
    <t>8= (6+7)</t>
  </si>
  <si>
    <t>The resident sector has been classified according to the IMF's Monetary and Financial Statistics Manual  (MFSM)</t>
  </si>
  <si>
    <t xml:space="preserve">           ii) </t>
  </si>
  <si>
    <t xml:space="preserve">Note:       </t>
  </si>
  <si>
    <t>In FC   Clearing A/C</t>
  </si>
  <si>
    <t>Deposits with BB</t>
  </si>
  <si>
    <t>By  DMBs</t>
  </si>
  <si>
    <t>TABLE-IIC</t>
  </si>
  <si>
    <t xml:space="preserve">Note </t>
  </si>
  <si>
    <t>TABLE-IID</t>
  </si>
  <si>
    <t xml:space="preserve">Net Foreign Assets </t>
  </si>
  <si>
    <t>Deposit Money Banks</t>
  </si>
  <si>
    <r>
      <t xml:space="preserve">Total </t>
    </r>
    <r>
      <rPr>
        <sz val="8"/>
        <rFont val="Times New Roman"/>
        <family val="1"/>
      </rPr>
      <t>(2+3+4+5)</t>
    </r>
  </si>
  <si>
    <t>Net Domestic Assets (6+7)</t>
  </si>
  <si>
    <t>Reserve Money (1+8)</t>
  </si>
  <si>
    <t>Currency      in Tills of DMBs</t>
  </si>
  <si>
    <t xml:space="preserve">Source </t>
  </si>
  <si>
    <t xml:space="preserve">Note           : </t>
  </si>
  <si>
    <t xml:space="preserve">Source       : </t>
  </si>
  <si>
    <t>TABLE-IIF</t>
  </si>
  <si>
    <t>5 = (3+4)</t>
  </si>
  <si>
    <t>10 = (1+2+5+8+9)</t>
  </si>
  <si>
    <t xml:space="preserve">Note :  </t>
  </si>
  <si>
    <t>8 = (6+7)</t>
  </si>
  <si>
    <r>
      <t xml:space="preserve">Note </t>
    </r>
    <r>
      <rPr>
        <sz val="8"/>
        <rFont val="Times New Roman"/>
        <family val="1"/>
      </rPr>
      <t xml:space="preserve">     </t>
    </r>
  </si>
  <si>
    <t>Commodities  ( others than food grains )</t>
  </si>
  <si>
    <t>( Taka in crore )</t>
  </si>
  <si>
    <t>Pharma-ceutical Products</t>
  </si>
  <si>
    <t>Capital machinery</t>
  </si>
  <si>
    <t>Total Exports     (1         through    10)</t>
  </si>
  <si>
    <t>Commodities                                                                                                ( other than food grains )</t>
  </si>
  <si>
    <t>TABLE-IV (Concld.)</t>
  </si>
  <si>
    <t xml:space="preserve">           </t>
  </si>
  <si>
    <t>Financial Institutions</t>
  </si>
  <si>
    <t>:</t>
  </si>
  <si>
    <t>Mutual Funds</t>
  </si>
  <si>
    <t>13=(3+6+9+12)</t>
  </si>
  <si>
    <t>BALANCE   OF   PAYMENTS</t>
  </si>
  <si>
    <t>TABLE-V (Contd.)</t>
  </si>
  <si>
    <t>… =  Not available</t>
  </si>
  <si>
    <t>Tax Revenue Receipts (under NBR)</t>
  </si>
  <si>
    <t xml:space="preserve">SELECTED TAX REVENUE RECEIPTS  </t>
  </si>
  <si>
    <t>Telecomm-unication</t>
  </si>
  <si>
    <t>000'  sq. Metres</t>
  </si>
  <si>
    <t>Source : </t>
  </si>
  <si>
    <t xml:space="preserve">                  </t>
  </si>
  <si>
    <t xml:space="preserve">               </t>
  </si>
  <si>
    <t>BSFIC: Sugar</t>
  </si>
  <si>
    <t xml:space="preserve">                </t>
  </si>
  <si>
    <t>Monthly Profit Based Deposits</t>
  </si>
  <si>
    <t>Hajj Deposit (Term)</t>
  </si>
  <si>
    <t>Iranian Riyal</t>
  </si>
  <si>
    <t>Myanmar Kyat</t>
  </si>
  <si>
    <t>South Korean Won</t>
  </si>
  <si>
    <t>Thai Bath</t>
  </si>
  <si>
    <t>Soya bean Oil     (US $ /MT)</t>
  </si>
  <si>
    <t>Chemicals = Caustic Soda + Liquid Chlorine + HCl + Bleaching Powder + DDT</t>
  </si>
  <si>
    <t>Glass       Sheets</t>
  </si>
  <si>
    <t>Food      Products</t>
  </si>
  <si>
    <t>Oil      Products</t>
  </si>
  <si>
    <t xml:space="preserve">KEY INDICATORS OF </t>
  </si>
  <si>
    <t>NATIONAL ACCOUNTS</t>
  </si>
  <si>
    <t>GDP at Current Market Price</t>
  </si>
  <si>
    <t>GNI at Current Market Price</t>
  </si>
  <si>
    <t>Net  Current Transfer from Abroad</t>
  </si>
  <si>
    <t>Gross Domestic Savings at Current Market Price</t>
  </si>
  <si>
    <t>Gross National Savings at  Current Market Price</t>
  </si>
  <si>
    <t>National Savings as % of GDP at Current Market Price</t>
  </si>
  <si>
    <t>GDP at Constant Market Price</t>
  </si>
  <si>
    <t>GNI at Constant Market Price</t>
  </si>
  <si>
    <t>Per Capita (Amount in unit)</t>
  </si>
  <si>
    <t>Income at Current Market Price</t>
  </si>
  <si>
    <t>34853</t>
  </si>
  <si>
    <t>(44033)</t>
  </si>
  <si>
    <t>(45463)</t>
  </si>
  <si>
    <t>(492)</t>
  </si>
  <si>
    <t>(45955)</t>
  </si>
  <si>
    <t>(36428)</t>
  </si>
  <si>
    <t>(7605)</t>
  </si>
  <si>
    <t>(9526)</t>
  </si>
  <si>
    <t>(348)</t>
  </si>
  <si>
    <t>(359)</t>
  </si>
  <si>
    <t xml:space="preserve">  180796</t>
  </si>
  <si>
    <t>15617</t>
  </si>
  <si>
    <t>(45713)</t>
  </si>
  <si>
    <t>(47285)</t>
  </si>
  <si>
    <t>(533)</t>
  </si>
  <si>
    <t>(47817)</t>
  </si>
  <si>
    <t xml:space="preserve"> (37640)</t>
  </si>
  <si>
    <t>(8073)</t>
  </si>
  <si>
    <t>(10177)</t>
  </si>
  <si>
    <t>(10145)</t>
  </si>
  <si>
    <t>(357)</t>
  </si>
  <si>
    <t>(369)</t>
  </si>
  <si>
    <t>23.10</t>
  </si>
  <si>
    <t>16317</t>
  </si>
  <si>
    <t>(47125)</t>
  </si>
  <si>
    <t>(48857)</t>
  </si>
  <si>
    <t>(726)</t>
  </si>
  <si>
    <t>(49583)</t>
  </si>
  <si>
    <t>(38698)</t>
  </si>
  <si>
    <t>(8427)</t>
  </si>
  <si>
    <t>(10883)</t>
  </si>
  <si>
    <t>(10850) </t>
  </si>
  <si>
    <t>(363)  </t>
  </si>
  <si>
    <t>(377)</t>
  </si>
  <si>
    <t>82.00</t>
  </si>
  <si>
    <t>(46988)</t>
  </si>
  <si>
    <t>(48626)</t>
  </si>
  <si>
    <t>(433)</t>
  </si>
  <si>
    <t>(49060)</t>
  </si>
  <si>
    <t>(38532)</t>
  </si>
  <si>
    <t>(8456)</t>
  </si>
  <si>
    <t>(10528)</t>
  </si>
  <si>
    <t>(10848)</t>
  </si>
  <si>
    <t>(362)</t>
  </si>
  <si>
    <t>(374)</t>
  </si>
  <si>
    <t>273201</t>
  </si>
  <si>
    <t>285744</t>
  </si>
  <si>
    <t>1890</t>
  </si>
  <si>
    <t>287634</t>
  </si>
  <si>
    <t>223596</t>
  </si>
  <si>
    <t>81.84</t>
  </si>
  <si>
    <t>49605</t>
  </si>
  <si>
    <t>64038</t>
  </si>
  <si>
    <t>22.44</t>
  </si>
  <si>
    <t>63239</t>
  </si>
  <si>
    <t>21713</t>
  </si>
  <si>
    <t>(47571)</t>
  </si>
  <si>
    <t>(49755)</t>
  </si>
  <si>
    <t>(329)</t>
  </si>
  <si>
    <t>(50048)</t>
  </si>
  <si>
    <t>(38934)</t>
  </si>
  <si>
    <t>(8637)</t>
  </si>
  <si>
    <t>(11151)</t>
  </si>
  <si>
    <t>(11011)</t>
  </si>
  <si>
    <t>(361)</t>
  </si>
  <si>
    <t>(378)</t>
  </si>
  <si>
    <t>300580</t>
  </si>
  <si>
    <t>(51914)</t>
  </si>
  <si>
    <t>(54778)</t>
  </si>
  <si>
    <t>(373)</t>
  </si>
  <si>
    <t>(55151)</t>
  </si>
  <si>
    <t>(42458)</t>
  </si>
  <si>
    <t>(9456)</t>
  </si>
  <si>
    <t>(12633)</t>
  </si>
  <si>
    <t>(12151)</t>
  </si>
  <si>
    <t>(389)</t>
  </si>
  <si>
    <t>(407)</t>
  </si>
  <si>
    <t>332973</t>
  </si>
  <si>
    <t>(56493)</t>
  </si>
  <si>
    <t>(59472)</t>
  </si>
  <si>
    <t>(422)</t>
  </si>
  <si>
    <t>(59832)</t>
  </si>
  <si>
    <t>(45458)</t>
  </si>
  <si>
    <t>(11036)</t>
  </si>
  <si>
    <t>(14374)</t>
  </si>
  <si>
    <t>(13572)</t>
  </si>
  <si>
    <t>(421)</t>
  </si>
  <si>
    <t>(440)</t>
  </si>
  <si>
    <t>90924</t>
  </si>
  <si>
    <t>13.70</t>
  </si>
  <si>
    <t>(60386)</t>
  </si>
  <si>
    <t>(63469)</t>
  </si>
  <si>
    <t>(437)</t>
  </si>
  <si>
    <t>(63906)</t>
  </si>
  <si>
    <t>(48300)</t>
  </si>
  <si>
    <t>(12086)</t>
  </si>
  <si>
    <t>(15606)</t>
  </si>
  <si>
    <t>(14811)</t>
  </si>
  <si>
    <t>(441)</t>
  </si>
  <si>
    <t>(463)</t>
  </si>
  <si>
    <t>446588</t>
  </si>
  <si>
    <t>6.63</t>
  </si>
  <si>
    <t>(61975)</t>
  </si>
  <si>
    <t>(66031)</t>
  </si>
  <si>
    <t>(546)</t>
  </si>
  <si>
    <t>(66575)</t>
  </si>
  <si>
    <t>(49426)</t>
  </si>
  <si>
    <t>(12549)</t>
  </si>
  <si>
    <t>(17149)</t>
  </si>
  <si>
    <t>(15277)</t>
  </si>
  <si>
    <t>(447)</t>
  </si>
  <si>
    <t>(476)</t>
  </si>
  <si>
    <t>507752</t>
  </si>
  <si>
    <t>3988</t>
  </si>
  <si>
    <t>511741</t>
  </si>
  <si>
    <t>376317</t>
  </si>
  <si>
    <t>79.65</t>
  </si>
  <si>
    <t>96160</t>
  </si>
  <si>
    <t>135424</t>
  </si>
  <si>
    <t>28.66</t>
  </si>
  <si>
    <t xml:space="preserve"> 115590</t>
  </si>
  <si>
    <t>24.46</t>
  </si>
  <si>
    <t>302971</t>
  </si>
  <si>
    <t>325591</t>
  </si>
  <si>
    <t>13.65</t>
  </si>
  <si>
    <t>6.43</t>
  </si>
  <si>
    <t>156</t>
  </si>
  <si>
    <t>33607</t>
  </si>
  <si>
    <t>21550</t>
  </si>
  <si>
    <t>36116</t>
  </si>
  <si>
    <t>23159</t>
  </si>
  <si>
    <t>(68445)</t>
  </si>
  <si>
    <t>(73555)</t>
  </si>
  <si>
    <t>(578)</t>
  </si>
  <si>
    <t>(74133)</t>
  </si>
  <si>
    <t>(54515)</t>
  </si>
  <si>
    <t>(13930)</t>
  </si>
  <si>
    <t>(19618)</t>
  </si>
  <si>
    <t>(16745)</t>
  </si>
  <si>
    <t>(487)</t>
  </si>
  <si>
    <t>(523)</t>
  </si>
  <si>
    <t>5671</t>
  </si>
  <si>
    <t>599883</t>
  </si>
  <si>
    <t>434971</t>
  </si>
  <si>
    <t>79.69</t>
  </si>
  <si>
    <t>110851</t>
  </si>
  <si>
    <t>164912</t>
  </si>
  <si>
    <t>30.21</t>
  </si>
  <si>
    <t>132132</t>
  </si>
  <si>
    <t>24.21</t>
  </si>
  <si>
    <t>321726</t>
  </si>
  <si>
    <t>15.52</t>
  </si>
  <si>
    <t>6.19</t>
  </si>
  <si>
    <t>170</t>
  </si>
  <si>
    <t>14.24</t>
  </si>
  <si>
    <t>22593</t>
  </si>
  <si>
    <t>14.42</t>
  </si>
  <si>
    <t>P = Provisional</t>
  </si>
  <si>
    <t>Non-Food</t>
  </si>
  <si>
    <t>Transport &amp; Communi-cations</t>
  </si>
  <si>
    <t>Recreation, Entertain-ment, Education &amp; Cultural Services</t>
  </si>
  <si>
    <t>Source:</t>
  </si>
  <si>
    <t xml:space="preserve">... </t>
  </si>
  <si>
    <t>= Not Available</t>
  </si>
  <si>
    <r>
      <t>Source</t>
    </r>
    <r>
      <rPr>
        <sz val="7"/>
        <color indexed="8"/>
        <rFont val="Times New Roman"/>
        <family val="1"/>
      </rPr>
      <t>: Bangladesh Bureau of Statistics</t>
    </r>
  </si>
  <si>
    <r>
      <t>Source</t>
    </r>
    <r>
      <rPr>
        <sz val="8"/>
        <rFont val="Times New Roman"/>
        <family val="1"/>
      </rPr>
      <t xml:space="preserve">: </t>
    </r>
  </si>
  <si>
    <t>Import Duty</t>
  </si>
  <si>
    <t>Net Primary Income from Abroad</t>
  </si>
  <si>
    <t>Manufa-cturing</t>
  </si>
  <si>
    <t>Constr-uctions</t>
  </si>
  <si>
    <t>Finan-cial     Inter-medi-ations</t>
  </si>
  <si>
    <t>Educa-tion</t>
  </si>
  <si>
    <t>BANGLADESH AT CONSTANT MARKET PRICE</t>
  </si>
  <si>
    <t>TABLE-X</t>
  </si>
  <si>
    <t>Electri-city      Gas &amp; Water Supply</t>
  </si>
  <si>
    <r>
      <t>Source   :</t>
    </r>
    <r>
      <rPr>
        <sz val="8"/>
        <color indexed="8"/>
        <rFont val="Times New Roman"/>
        <family val="1"/>
      </rPr>
      <t xml:space="preserve">   </t>
    </r>
  </si>
  <si>
    <r>
      <t>Note       :</t>
    </r>
    <r>
      <rPr>
        <sz val="8"/>
        <color indexed="8"/>
        <rFont val="Times New Roman"/>
        <family val="1"/>
      </rPr>
      <t xml:space="preserve"> </t>
    </r>
  </si>
  <si>
    <r>
      <t>Source   :</t>
    </r>
    <r>
      <rPr>
        <sz val="8"/>
        <color indexed="8"/>
        <rFont val="Times New Roman"/>
        <family val="1"/>
      </rPr>
      <t xml:space="preserve"> </t>
    </r>
  </si>
  <si>
    <t>Gross Disposable National  Income at Current Market Price</t>
  </si>
  <si>
    <t>Total Consum-ption at Current Market Price</t>
  </si>
  <si>
    <t>Income at Constant Market Price</t>
  </si>
  <si>
    <t>Annual Growth     of GDP at Constant Market Price %</t>
  </si>
  <si>
    <t>Miscella-neous </t>
  </si>
  <si>
    <t>u)</t>
  </si>
  <si>
    <t>Mudaraba Marriage Savings Scheme</t>
  </si>
  <si>
    <t>Jul-Dec</t>
  </si>
  <si>
    <t>Jan-Jun</t>
  </si>
  <si>
    <t>DMBs Total Assets/ Liabilities</t>
  </si>
  <si>
    <t>Taka in crore</t>
  </si>
  <si>
    <t xml:space="preserve">Taka in crore         </t>
  </si>
  <si>
    <t>Total Invest-ments as    % of GDP at Current Market Price</t>
  </si>
  <si>
    <t>Total Consum-ption as % of GDP at Current Market Price</t>
  </si>
  <si>
    <t>Export Duty</t>
  </si>
  <si>
    <t xml:space="preserve"> Weighted Average Exchange Rate</t>
  </si>
  <si>
    <t>ii)  Loan above Tk. 15 lacs</t>
  </si>
  <si>
    <t>i)  Loan upto Tk. 15 lacs</t>
  </si>
  <si>
    <t xml:space="preserve">Source      : </t>
  </si>
  <si>
    <t>Sugar Cane</t>
  </si>
  <si>
    <t>Rape &amp; Mustard</t>
  </si>
  <si>
    <t>TABLE-V (Concld.)</t>
  </si>
  <si>
    <t>Moong</t>
  </si>
  <si>
    <t>Masur</t>
  </si>
  <si>
    <t>Tobacco</t>
  </si>
  <si>
    <t>Jute</t>
  </si>
  <si>
    <t>…</t>
  </si>
  <si>
    <t>Mode of Payments</t>
  </si>
  <si>
    <t>Principal</t>
  </si>
  <si>
    <t>Interest</t>
  </si>
  <si>
    <t>After Maturity</t>
  </si>
  <si>
    <t>Half Yearly</t>
  </si>
  <si>
    <t xml:space="preserve">ii) </t>
  </si>
  <si>
    <t xml:space="preserve">iii) </t>
  </si>
  <si>
    <t xml:space="preserve">iv) </t>
  </si>
  <si>
    <t>iii)</t>
  </si>
  <si>
    <t>iv)</t>
  </si>
  <si>
    <t>09.01.08</t>
  </si>
  <si>
    <t>13.02.08</t>
  </si>
  <si>
    <t>09.04.08</t>
  </si>
  <si>
    <t>14.05.08</t>
  </si>
  <si>
    <t>11.06.08</t>
  </si>
  <si>
    <t>13.08.08</t>
  </si>
  <si>
    <t>15.10.08</t>
  </si>
  <si>
    <t>12.11.08</t>
  </si>
  <si>
    <t>09.01.23</t>
  </si>
  <si>
    <t>13.02.23</t>
  </si>
  <si>
    <t>09.04.23</t>
  </si>
  <si>
    <t>14.05.23</t>
  </si>
  <si>
    <t>11.06.23</t>
  </si>
  <si>
    <t>13.08.23</t>
  </si>
  <si>
    <t>15.10.23</t>
  </si>
  <si>
    <t>12.11.23</t>
  </si>
  <si>
    <t>Banking)</t>
  </si>
  <si>
    <t>INDICATORS</t>
  </si>
  <si>
    <t>TABLE-IA (Contd.)</t>
  </si>
  <si>
    <t>01.11.18</t>
  </si>
  <si>
    <t>Yearly</t>
  </si>
  <si>
    <t>30.06.19</t>
  </si>
  <si>
    <t>01.07.20</t>
  </si>
  <si>
    <t xml:space="preserve"> Euro</t>
  </si>
  <si>
    <t>v)</t>
  </si>
  <si>
    <t>f)</t>
  </si>
  <si>
    <t>i)</t>
  </si>
  <si>
    <t>j)</t>
  </si>
  <si>
    <t>k)</t>
  </si>
  <si>
    <t>l)</t>
  </si>
  <si>
    <t>m)</t>
  </si>
  <si>
    <t>n)</t>
  </si>
  <si>
    <t>o)</t>
  </si>
  <si>
    <t>p)</t>
  </si>
  <si>
    <t xml:space="preserve">Domestic  </t>
  </si>
  <si>
    <t>INFLATION RATE IN BANGLADESH</t>
  </si>
  <si>
    <t xml:space="preserve">AVERAGE PRICES OF </t>
  </si>
  <si>
    <t>SELECTED COMMODITIES</t>
  </si>
  <si>
    <t>BANGLADESH AT CURRENT MARKET PRICE</t>
  </si>
  <si>
    <t>AT INTERNATIONAL MARKET</t>
  </si>
  <si>
    <t>TABLE-IIIB</t>
  </si>
  <si>
    <t>Cotton (U.S. Cents/ pound)</t>
  </si>
  <si>
    <t>Gold (US $/ Troy Ounce)</t>
  </si>
  <si>
    <t xml:space="preserve">APPRECIATION / DEPRECIATION OF SELECTED </t>
  </si>
  <si>
    <t>CURRENCIES AGAINST US DOLLAR</t>
  </si>
  <si>
    <t>(Taka per</t>
  </si>
  <si>
    <t>RATES</t>
  </si>
  <si>
    <t>Currencies)</t>
  </si>
  <si>
    <t>EXCHANGE</t>
  </si>
  <si>
    <t xml:space="preserve">REMITTANCES </t>
  </si>
  <si>
    <t>35276</t>
  </si>
  <si>
    <t>50200</t>
  </si>
  <si>
    <t>The CITY</t>
  </si>
  <si>
    <t>36.37 Litres</t>
  </si>
  <si>
    <r>
      <t>1(</t>
    </r>
    <r>
      <rPr>
        <vertAlign val="superscript"/>
        <sz val="9"/>
        <color indexed="8"/>
        <rFont val="Times New Roman"/>
        <family val="1"/>
      </rPr>
      <t>0</t>
    </r>
    <r>
      <rPr>
        <sz val="9"/>
        <color indexed="8"/>
        <rFont val="Times New Roman"/>
        <family val="1"/>
      </rPr>
      <t>F)</t>
    </r>
  </si>
  <si>
    <r>
      <t>1.8(</t>
    </r>
    <r>
      <rPr>
        <vertAlign val="superscript"/>
        <sz val="9"/>
        <color indexed="8"/>
        <rFont val="Times New Roman"/>
        <family val="1"/>
      </rPr>
      <t>0</t>
    </r>
    <r>
      <rPr>
        <sz val="9"/>
        <color indexed="8"/>
        <rFont val="Times New Roman"/>
        <family val="1"/>
      </rPr>
      <t>C) + 32</t>
    </r>
  </si>
  <si>
    <t>100 Decimals</t>
  </si>
  <si>
    <t xml:space="preserve">   STATISTICAL TABLES</t>
  </si>
  <si>
    <t xml:space="preserve">Appendix : </t>
  </si>
  <si>
    <t>TABLE-IIB</t>
  </si>
  <si>
    <t>Services</t>
  </si>
  <si>
    <t>2007-08</t>
  </si>
  <si>
    <t xml:space="preserve">March </t>
  </si>
  <si>
    <t>Effective Date</t>
  </si>
  <si>
    <t>Liverpool  Index</t>
  </si>
  <si>
    <t>Inflows</t>
  </si>
  <si>
    <t>Stocks</t>
  </si>
  <si>
    <t xml:space="preserve">Total               </t>
  </si>
  <si>
    <t xml:space="preserve">Total                </t>
  </si>
  <si>
    <t>25.09.19</t>
  </si>
  <si>
    <t>25.09.20</t>
  </si>
  <si>
    <t>25.09.21</t>
  </si>
  <si>
    <t>07.10.09</t>
  </si>
  <si>
    <t>07.10.19</t>
  </si>
  <si>
    <t>02.12.09</t>
  </si>
  <si>
    <t>02.12.19</t>
  </si>
  <si>
    <t>03.02.10</t>
  </si>
  <si>
    <t>03.02.20</t>
  </si>
  <si>
    <t>03.03.10</t>
  </si>
  <si>
    <t>14.10.09</t>
  </si>
  <si>
    <t>14.10.24</t>
  </si>
  <si>
    <t>09.12.09</t>
  </si>
  <si>
    <t>09.12.24</t>
  </si>
  <si>
    <t>13.01.10</t>
  </si>
  <si>
    <t>13.01.25</t>
  </si>
  <si>
    <t>10.02.10</t>
  </si>
  <si>
    <t>10.02.25</t>
  </si>
  <si>
    <t>10.03.10</t>
  </si>
  <si>
    <t>10.03.25</t>
  </si>
  <si>
    <t>28.10.09</t>
  </si>
  <si>
    <t>28.10.29</t>
  </si>
  <si>
    <t>23.12.09</t>
  </si>
  <si>
    <t>23.12.29</t>
  </si>
  <si>
    <t>24.02.10</t>
  </si>
  <si>
    <t>24.02.30</t>
  </si>
  <si>
    <t>24.03.10</t>
  </si>
  <si>
    <t>24.03.30</t>
  </si>
  <si>
    <t>TABLE-XVI</t>
  </si>
  <si>
    <t xml:space="preserve">g)  </t>
  </si>
  <si>
    <t>Mudaraba Special Deposit  Pension Scheme</t>
  </si>
  <si>
    <t>12 years</t>
  </si>
  <si>
    <t xml:space="preserve"> i) </t>
  </si>
  <si>
    <t xml:space="preserve"> ii) </t>
  </si>
  <si>
    <t>15 years</t>
  </si>
  <si>
    <t>20 years</t>
  </si>
  <si>
    <t>25 years</t>
  </si>
  <si>
    <t>10 years</t>
  </si>
  <si>
    <t>Non Resident Bond</t>
  </si>
  <si>
    <t xml:space="preserve">h) </t>
  </si>
  <si>
    <t xml:space="preserve">e)     </t>
  </si>
  <si>
    <t>Benefit Scheme</t>
  </si>
  <si>
    <t xml:space="preserve">f) </t>
  </si>
  <si>
    <t>Millionaire Scheme Deposit</t>
  </si>
  <si>
    <t>ii)  11 to 25  years</t>
  </si>
  <si>
    <t>iii)  One Time Hajj Deposits</t>
  </si>
  <si>
    <t>i)    1 to 10 years</t>
  </si>
  <si>
    <t>MMPDR / Hajj Deposit (Monthly)</t>
  </si>
  <si>
    <t>... =Not applicable</t>
  </si>
  <si>
    <t>P= Provisional</t>
  </si>
  <si>
    <t xml:space="preserve">               </t>
  </si>
  <si>
    <t>… = Not Available</t>
  </si>
  <si>
    <t xml:space="preserve">Source :      </t>
  </si>
  <si>
    <t xml:space="preserve">Source : </t>
  </si>
  <si>
    <t xml:space="preserve">            </t>
  </si>
  <si>
    <t xml:space="preserve"> … =Not Available</t>
  </si>
  <si>
    <t xml:space="preserve"> …=Not Available</t>
  </si>
  <si>
    <t>TABLE-XVIII</t>
  </si>
  <si>
    <t>Source    :</t>
  </si>
  <si>
    <t>MONETARY</t>
  </si>
  <si>
    <t xml:space="preserve">COUNTRY-WISE WORKERS' </t>
  </si>
  <si>
    <t>Bangladeshi Taka</t>
  </si>
  <si>
    <t>South Korean  Won</t>
  </si>
  <si>
    <t>ECU/EURO</t>
  </si>
  <si>
    <r>
      <t>Source:</t>
    </r>
    <r>
      <rPr>
        <sz val="6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</si>
  <si>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>Note:</t>
    </r>
    <r>
      <rPr>
        <sz val="6"/>
        <rFont val="Times New Roman"/>
        <family val="1"/>
      </rPr>
      <t xml:space="preserve">  </t>
    </r>
  </si>
  <si>
    <t>Sri  Lankan Rupee</t>
  </si>
  <si>
    <t xml:space="preserve">Source   : </t>
  </si>
  <si>
    <t xml:space="preserve">Note      :          </t>
  </si>
  <si>
    <t>Deposits with BB other than DMBs</t>
  </si>
  <si>
    <t>DMBs Advances</t>
  </si>
  <si>
    <t>DMBs Investment</t>
  </si>
  <si>
    <t>TOTAL NUMBER OF COMPANIES LISTED WITH THE DHAKA STOCK EXCHANGE LTD.</t>
  </si>
  <si>
    <t>LISTED WITH THE DHAKA STOCK EXCHANGE LTD.</t>
  </si>
  <si>
    <t>Other Financial Corporation &amp; NBDCs</t>
  </si>
  <si>
    <t>Public</t>
  </si>
  <si>
    <t>Non-Financial Corporation</t>
  </si>
  <si>
    <t>10=(1+2+5+8+9)</t>
  </si>
  <si>
    <t xml:space="preserve">Total </t>
  </si>
  <si>
    <t>1 Maund</t>
  </si>
  <si>
    <t>=</t>
  </si>
  <si>
    <t>37.324 Kgs.</t>
  </si>
  <si>
    <t>1 Bale</t>
  </si>
  <si>
    <t>180 Kgs.</t>
  </si>
  <si>
    <t>82.285 lbs.</t>
  </si>
  <si>
    <t>4.823 Mds.</t>
  </si>
  <si>
    <t>1 Seer</t>
  </si>
  <si>
    <t>0.933 Kg.</t>
  </si>
  <si>
    <t>1 Metric Ton</t>
  </si>
  <si>
    <t>1000 Kgs.</t>
  </si>
  <si>
    <t>Public Sector</t>
  </si>
  <si>
    <t>26.792 Mds.</t>
  </si>
  <si>
    <t>1 Pound (lb)</t>
  </si>
  <si>
    <t>0.4536 Kg.</t>
  </si>
  <si>
    <t>1 Long Ton</t>
  </si>
  <si>
    <t>1016.05 Kgs.</t>
  </si>
  <si>
    <t>1 Tola</t>
  </si>
  <si>
    <t>11.66 gms.</t>
  </si>
  <si>
    <t>27.223 Mds.</t>
  </si>
  <si>
    <t>1 Metre</t>
  </si>
  <si>
    <t>39.37 Inches</t>
  </si>
  <si>
    <t>1 Ounce</t>
  </si>
  <si>
    <t>2.43 Tola</t>
  </si>
  <si>
    <t>3.2808 Ft.</t>
  </si>
  <si>
    <t>28.35 gms.</t>
  </si>
  <si>
    <t>1 Sq. Metre</t>
  </si>
  <si>
    <t>10.764 Sq. Ft.</t>
  </si>
  <si>
    <t>1 Troy ounce</t>
  </si>
  <si>
    <t>1 Mile</t>
  </si>
  <si>
    <t>1.6093 Km.</t>
  </si>
  <si>
    <t>2.666 Tola</t>
  </si>
  <si>
    <t>0.3048 Metre</t>
  </si>
  <si>
    <t>1 Quintal</t>
  </si>
  <si>
    <t>100 Kgs.</t>
  </si>
  <si>
    <t>1 Sq. Ft.</t>
  </si>
  <si>
    <t>0.0929 Sq. Metre</t>
  </si>
  <si>
    <t>220.5 lbs.</t>
  </si>
  <si>
    <t>1 Bigha</t>
  </si>
  <si>
    <t>0.3306 Acre</t>
  </si>
  <si>
    <t>2.679 Mds.</t>
  </si>
  <si>
    <t xml:space="preserve">TABLE-III A (Contd.) </t>
  </si>
  <si>
    <t>TABLE-III A (Concld.)</t>
  </si>
  <si>
    <t>1600 Sq. Yards</t>
  </si>
  <si>
    <t>0.1 Metric Ton</t>
  </si>
  <si>
    <t xml:space="preserve">MONETARY </t>
  </si>
  <si>
    <t>BY DEPOSITORY CORPORATIONS</t>
  </si>
  <si>
    <t>BY THE BANKING SYSTEM</t>
  </si>
  <si>
    <t>1.65 Decimal</t>
  </si>
  <si>
    <t>1 Litre</t>
  </si>
  <si>
    <t>0.22 Gallon</t>
  </si>
  <si>
    <t>720 Sq. Ft.</t>
  </si>
  <si>
    <t>1000 CC</t>
  </si>
  <si>
    <t>66.89 Sq. Metre</t>
  </si>
  <si>
    <t>0.027 Bushel</t>
  </si>
  <si>
    <t>1 Decimal</t>
  </si>
  <si>
    <t>435.6 Sq. Ft.</t>
  </si>
  <si>
    <t>1 Barrel</t>
  </si>
  <si>
    <t>34.9726 Gallon</t>
  </si>
  <si>
    <t>1 Acre</t>
  </si>
  <si>
    <t>0.405 Hectare</t>
  </si>
  <si>
    <t>0.125 M. T.</t>
  </si>
  <si>
    <t>4840 Sq. Yards</t>
  </si>
  <si>
    <t>1 Crore</t>
  </si>
  <si>
    <t>10 Millions</t>
  </si>
  <si>
    <t>100 Lacs.</t>
  </si>
  <si>
    <t>1 Hectare</t>
  </si>
  <si>
    <t>2.47 Acres</t>
  </si>
  <si>
    <t>0.01 Billion</t>
  </si>
  <si>
    <t>1 Megawatt</t>
  </si>
  <si>
    <t>1000 Kilo Watts.</t>
  </si>
  <si>
    <t xml:space="preserve"> --- = Not applicable</t>
  </si>
  <si>
    <t>05.09.17</t>
  </si>
  <si>
    <t>03.10.17</t>
  </si>
  <si>
    <t>08.11.17</t>
  </si>
  <si>
    <t>05.12.17</t>
  </si>
  <si>
    <t>11.07.22</t>
  </si>
  <si>
    <t>12.09.07</t>
  </si>
  <si>
    <t>25.09.07</t>
  </si>
  <si>
    <t>11.10.07</t>
  </si>
  <si>
    <t>q)</t>
  </si>
  <si>
    <t>Mudaraba Muhar Savings(10yrs.)</t>
  </si>
  <si>
    <t>r)</t>
  </si>
  <si>
    <t>BDBL</t>
  </si>
  <si>
    <t>Mudaraba Muhar Savings(5yrs.)</t>
  </si>
  <si>
    <t>s)</t>
  </si>
  <si>
    <t>t)</t>
  </si>
  <si>
    <t>14.11.07</t>
  </si>
  <si>
    <t>12.12.07</t>
  </si>
  <si>
    <t>12.09.22</t>
  </si>
  <si>
    <t>25.09.22</t>
  </si>
  <si>
    <t>11.10.22</t>
  </si>
  <si>
    <t>14.11.22</t>
  </si>
  <si>
    <t>12.12.22</t>
  </si>
  <si>
    <t>26.09.07</t>
  </si>
  <si>
    <t>24.10.07</t>
  </si>
  <si>
    <t>28.11.07</t>
  </si>
  <si>
    <t>26.12.07</t>
  </si>
  <si>
    <t>26.09.27</t>
  </si>
  <si>
    <t>24.10.27</t>
  </si>
  <si>
    <t>28.11.27</t>
  </si>
  <si>
    <t>26.12.27</t>
  </si>
  <si>
    <t>ii)</t>
  </si>
  <si>
    <t>1 Katha</t>
  </si>
  <si>
    <t>4046.8468 Sq. Metre</t>
  </si>
  <si>
    <t>1 Feet</t>
  </si>
  <si>
    <t> 149.20</t>
  </si>
  <si>
    <t>End of Period</t>
  </si>
  <si>
    <t>Banks</t>
  </si>
  <si>
    <t>Total</t>
  </si>
  <si>
    <t>Private</t>
  </si>
  <si>
    <t>Domestic</t>
  </si>
  <si>
    <t>Average</t>
  </si>
  <si>
    <t>Period</t>
  </si>
  <si>
    <t>Net Foreign Assets</t>
  </si>
  <si>
    <t>Domestic Credit</t>
  </si>
  <si>
    <t>Government (Net)</t>
  </si>
  <si>
    <t>Other Public Sector</t>
  </si>
  <si>
    <t>Goods</t>
  </si>
  <si>
    <t>Receipts</t>
  </si>
  <si>
    <t>Payments</t>
  </si>
  <si>
    <t>Official</t>
  </si>
  <si>
    <t>Others</t>
  </si>
  <si>
    <t>Food grains</t>
  </si>
  <si>
    <t>Rice</t>
  </si>
  <si>
    <t>Wheat</t>
  </si>
  <si>
    <t>Spices</t>
  </si>
  <si>
    <t>Yarn</t>
  </si>
  <si>
    <t>Paper</t>
  </si>
  <si>
    <t>Cigarettes</t>
  </si>
  <si>
    <t>Food</t>
  </si>
  <si>
    <t>Chemicals</t>
  </si>
  <si>
    <t>Matches</t>
  </si>
  <si>
    <t>CPI</t>
  </si>
  <si>
    <t>General</t>
  </si>
  <si>
    <t>Inflation (General)</t>
  </si>
  <si>
    <t>Fishing</t>
  </si>
  <si>
    <t>Textile Industries</t>
  </si>
  <si>
    <t>Insurance</t>
  </si>
  <si>
    <t>B.</t>
  </si>
  <si>
    <t>(Percent per annum)</t>
  </si>
  <si>
    <t>Maturity of Deposits</t>
  </si>
  <si>
    <t>Borrowing Rate</t>
  </si>
  <si>
    <t>Highest</t>
  </si>
  <si>
    <t>Lowest</t>
  </si>
  <si>
    <t>Lending Rate</t>
  </si>
  <si>
    <t>Malaysia</t>
  </si>
  <si>
    <t>ACU Dollar</t>
  </si>
  <si>
    <t>Bahrain Dinar</t>
  </si>
  <si>
    <t>Canadian Dollar</t>
  </si>
  <si>
    <t>Danish Krone</t>
  </si>
  <si>
    <t>Indian Rupee</t>
  </si>
  <si>
    <t>Indonesian Rupiah</t>
  </si>
  <si>
    <t>Kuwaiti Dinar</t>
  </si>
  <si>
    <t>Nepalese Rupee</t>
  </si>
  <si>
    <t>New Zealand Dollar</t>
  </si>
  <si>
    <t>Norwegian Krone</t>
  </si>
  <si>
    <t>Omani Riyal</t>
  </si>
  <si>
    <t>Pakistani Rupee</t>
  </si>
  <si>
    <t>Philippines Peso</t>
  </si>
  <si>
    <t>Qatar Riyal</t>
  </si>
  <si>
    <t>Russian Ruble</t>
  </si>
  <si>
    <t>Saudi Arabian Riyal</t>
  </si>
  <si>
    <t>Singapore Dollar</t>
  </si>
  <si>
    <t>Swedish Krona</t>
  </si>
  <si>
    <t>SDR</t>
  </si>
  <si>
    <t>UAE Dirham</t>
  </si>
  <si>
    <t>US Dollar</t>
  </si>
  <si>
    <t>Australia</t>
  </si>
  <si>
    <t>Ukraine</t>
  </si>
  <si>
    <t>Argentina</t>
  </si>
  <si>
    <t>VAT</t>
  </si>
  <si>
    <t>Import</t>
  </si>
  <si>
    <t>Supplementary Tax</t>
  </si>
  <si>
    <t>Registration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</si>
  <si>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</si>
  <si>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</si>
  <si>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</si>
  <si>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</si>
  <si>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</si>
  <si>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</si>
  <si>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</si>
  <si>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</si>
  <si>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</si>
  <si>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</si>
  <si>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</si>
  <si>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</si>
  <si>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September</t>
  </si>
  <si>
    <t>December</t>
  </si>
  <si>
    <t>March</t>
  </si>
  <si>
    <t>June</t>
  </si>
  <si>
    <t>2005-06</t>
  </si>
  <si>
    <t>July</t>
  </si>
  <si>
    <t>August</t>
  </si>
  <si>
    <t>October</t>
  </si>
  <si>
    <t>November</t>
  </si>
  <si>
    <t>January</t>
  </si>
  <si>
    <t>February</t>
  </si>
  <si>
    <t>April</t>
  </si>
  <si>
    <t>May</t>
  </si>
  <si>
    <t>2006-07</t>
  </si>
  <si>
    <t>Weight</t>
  </si>
  <si>
    <t>Credit</t>
  </si>
  <si>
    <t xml:space="preserve">Domestic                                       </t>
  </si>
  <si>
    <t>Demand Deposits</t>
  </si>
  <si>
    <t>TABLE-IA (concld.)</t>
  </si>
  <si>
    <t>Nature of Deposits</t>
  </si>
  <si>
    <t>Cotton Yarn</t>
  </si>
  <si>
    <t>Cotton Cloth</t>
  </si>
  <si>
    <t>Newsprint</t>
  </si>
  <si>
    <t>Fertilizers</t>
  </si>
  <si>
    <t>Production Indices</t>
  </si>
  <si>
    <t>Agricultural Products</t>
  </si>
  <si>
    <t>Industrial Products</t>
  </si>
  <si>
    <t>70124</t>
  </si>
  <si>
    <t>17783</t>
  </si>
  <si>
    <t>5322</t>
  </si>
  <si>
    <t>81178</t>
  </si>
  <si>
    <t>5590</t>
  </si>
  <si>
    <t>37543</t>
  </si>
  <si>
    <t>66011</t>
  </si>
  <si>
    <t>3289</t>
  </si>
  <si>
    <t>48908</t>
  </si>
  <si>
    <t>7744</t>
  </si>
  <si>
    <t>34929</t>
  </si>
  <si>
    <t>12743</t>
  </si>
  <si>
    <t>11776</t>
  </si>
  <si>
    <t>10307</t>
  </si>
  <si>
    <t>43568</t>
  </si>
  <si>
    <t>15663</t>
  </si>
  <si>
    <t>472477</t>
  </si>
  <si>
    <t>Private Sector</t>
  </si>
  <si>
    <t>5.00-7.00</t>
  </si>
  <si>
    <t>Total Domestic Credit (6+9+10)</t>
  </si>
  <si>
    <t>Other Revenue Receipts</t>
  </si>
  <si>
    <t>Post Office Revenue</t>
  </si>
  <si>
    <t>...</t>
  </si>
  <si>
    <t xml:space="preserve">2000-01 </t>
  </si>
  <si>
    <t xml:space="preserve">2001-02 </t>
  </si>
  <si>
    <t>..</t>
  </si>
  <si>
    <t>Items</t>
  </si>
  <si>
    <t>Country of Origin &amp; Market</t>
  </si>
  <si>
    <t>U.K. (London)</t>
  </si>
  <si>
    <t>---</t>
  </si>
  <si>
    <t>Sugar</t>
  </si>
  <si>
    <t>1)</t>
  </si>
  <si>
    <t>2)</t>
  </si>
  <si>
    <t>3)</t>
  </si>
  <si>
    <t>4)</t>
  </si>
  <si>
    <t>5)</t>
  </si>
  <si>
    <t xml:space="preserve">Note     : </t>
  </si>
  <si>
    <t xml:space="preserve">SOME SELECTED COMMODITY PRICES </t>
  </si>
  <si>
    <t>Dubai* Fateh</t>
  </si>
  <si>
    <t>U.K. @ Brent</t>
  </si>
  <si>
    <t>United States (US Gulf Ports)</t>
  </si>
  <si>
    <t>Malaysia (NW Europe)</t>
  </si>
  <si>
    <t>All Origins (Dutch Ports)</t>
  </si>
  <si>
    <t>Working Capital to Large &amp; Medium Scale Industry</t>
  </si>
  <si>
    <t>Working Capital to Small Industry</t>
  </si>
  <si>
    <t>TABLE-XV (Contd.)</t>
  </si>
  <si>
    <t xml:space="preserve">Private                                                                                                                                          Banks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</si>
  <si>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Private                                                                                                                                 Banks</t>
  </si>
  <si>
    <t>Foreign                                                                                                                              Banks</t>
  </si>
  <si>
    <t>HSBC</t>
  </si>
  <si>
    <t>TABLE-XV (Concld.)</t>
  </si>
  <si>
    <t>Thailand (Bangkok)</t>
  </si>
  <si>
    <t>Thailand </t>
  </si>
  <si>
    <t>Australia </t>
  </si>
  <si>
    <t>E.U Import Price</t>
  </si>
  <si>
    <t>Free Market</t>
  </si>
  <si>
    <t>U.S. Import Price</t>
  </si>
  <si>
    <t>(In Percent) </t>
  </si>
  <si>
    <t>Australian Dollar</t>
  </si>
  <si>
    <t>Malaysian Ringgit</t>
  </si>
  <si>
    <t>Syrian Pound</t>
  </si>
  <si>
    <t>Mudaraba Savings Deposits</t>
  </si>
  <si>
    <t>Mudaraba Term Deposits</t>
  </si>
  <si>
    <t>a)</t>
  </si>
  <si>
    <t>3 years</t>
  </si>
  <si>
    <t>b)</t>
  </si>
  <si>
    <t>2 years</t>
  </si>
  <si>
    <t>c)</t>
  </si>
  <si>
    <t>d)</t>
  </si>
  <si>
    <t>6 months</t>
  </si>
  <si>
    <t>e)</t>
  </si>
  <si>
    <t>3 months</t>
  </si>
  <si>
    <t>Mudaraba Special Notice Deposits</t>
  </si>
  <si>
    <t>Monthly Term Savings Deposit</t>
  </si>
  <si>
    <t>Monthly Savings Investment Deposit</t>
  </si>
  <si>
    <t xml:space="preserve"> </t>
  </si>
  <si>
    <t xml:space="preserve">Deposits with </t>
  </si>
  <si>
    <t>05.09.07</t>
  </si>
  <si>
    <t>03.10.07</t>
  </si>
  <si>
    <t>08.11.07</t>
  </si>
  <si>
    <t>05.12.07</t>
  </si>
  <si>
    <t xml:space="preserve">MARKET CAPITALISATION (VALUE) OF ORDINARY SHARES OF COMPANIES </t>
  </si>
  <si>
    <t>Banks' Clearing House A/C during the Period</t>
  </si>
  <si>
    <t>Euro</t>
  </si>
  <si>
    <t>…= Not available</t>
  </si>
  <si>
    <t xml:space="preserve">Note :      </t>
  </si>
  <si>
    <t xml:space="preserve">Net             </t>
  </si>
  <si>
    <t xml:space="preserve">Net                 </t>
  </si>
  <si>
    <t>9 = (7-8)</t>
  </si>
  <si>
    <t>6 = (4-5)</t>
  </si>
  <si>
    <t>3 = (1-2)</t>
  </si>
  <si>
    <t xml:space="preserve">Total             </t>
  </si>
  <si>
    <t>12 = (10+11)</t>
  </si>
  <si>
    <t xml:space="preserve">Total                        </t>
  </si>
  <si>
    <t xml:space="preserve">Total           </t>
  </si>
  <si>
    <t>14=(12+13)</t>
  </si>
  <si>
    <t>37=(14+36)</t>
  </si>
  <si>
    <t>38=(11-37)</t>
  </si>
  <si>
    <t>Others (Inclu-ding EPZ)</t>
  </si>
  <si>
    <t>10.09.08</t>
  </si>
  <si>
    <t>10.09.23</t>
  </si>
  <si>
    <t>14.01.09</t>
  </si>
  <si>
    <t>14.01.24</t>
  </si>
  <si>
    <t>11.02.09</t>
  </si>
  <si>
    <t>11.02.24</t>
  </si>
  <si>
    <t>11.03.09</t>
  </si>
  <si>
    <t>11.03.24</t>
  </si>
  <si>
    <t>15.04.09</t>
  </si>
  <si>
    <t>15.04.24</t>
  </si>
  <si>
    <t>13.05.09</t>
  </si>
  <si>
    <t>13.05.24</t>
  </si>
  <si>
    <t>10.06.09</t>
  </si>
  <si>
    <t>10.06.24</t>
  </si>
  <si>
    <t>15.07.09</t>
  </si>
  <si>
    <t>15.07.24</t>
  </si>
  <si>
    <t>12.08.09</t>
  </si>
  <si>
    <t>12.08.24</t>
  </si>
  <si>
    <t>09.09.09</t>
  </si>
  <si>
    <t>09.09.24</t>
  </si>
  <si>
    <t>05.03.08</t>
  </si>
  <si>
    <t>05.03.18</t>
  </si>
  <si>
    <t>GDP at Current Producer Price     (1 to 15)</t>
  </si>
  <si>
    <t>GDP at Current Market Price (16+17)</t>
  </si>
  <si>
    <t>Gross National Income (GNI) (18+19)</t>
  </si>
  <si>
    <t>GDP at Constant Producer Price     (1 to 15)</t>
  </si>
  <si>
    <t>GDP at Constant Market Price (16+17)</t>
  </si>
  <si>
    <t>03.03.20</t>
  </si>
  <si>
    <t>Monetary Assets (14+15)</t>
  </si>
  <si>
    <t>Total Advances  (excluding    inter-bank)    (18+19)</t>
  </si>
  <si>
    <t>Total Bills   (excluding inter-bank) (22+23)</t>
  </si>
  <si>
    <t>Total Investment  (excluding        inter-bank)      (26+27)</t>
  </si>
  <si>
    <t>To            Banks     (17+21+25)</t>
  </si>
  <si>
    <t>Total    Deposit Liabilities    (37+38)</t>
  </si>
  <si>
    <t xml:space="preserve">Total Credit to Government (Gross) by the                Banking System </t>
  </si>
  <si>
    <t>Swiss Franc</t>
  </si>
  <si>
    <t> 1558</t>
  </si>
  <si>
    <r>
      <rPr>
        <b/>
        <sz val="8"/>
        <color indexed="8"/>
        <rFont val="Times New Roman"/>
        <family val="1"/>
      </rPr>
      <t>Source:</t>
    </r>
    <r>
      <rPr>
        <sz val="8"/>
        <color indexed="8"/>
        <rFont val="Times New Roman"/>
        <family val="1"/>
      </rPr>
      <t xml:space="preserve"> </t>
    </r>
  </si>
  <si>
    <r>
      <t>*Claims on Govt.(net) reported by the banking sector in M</t>
    </r>
    <r>
      <rPr>
        <vertAlign val="subscript"/>
        <sz val="7"/>
        <rFont val="Times New Roman"/>
        <family val="1"/>
      </rPr>
      <t xml:space="preserve">2 </t>
    </r>
    <r>
      <rPr>
        <sz val="7"/>
        <rFont val="Times New Roman"/>
        <family val="1"/>
      </rPr>
      <t>differs with M</t>
    </r>
    <r>
      <rPr>
        <vertAlign val="subscript"/>
        <sz val="7"/>
        <rFont val="Times New Roman"/>
        <family val="1"/>
      </rPr>
      <t xml:space="preserve">3 </t>
    </r>
    <r>
      <rPr>
        <sz val="7"/>
        <rFont val="Times New Roman"/>
        <family val="1"/>
      </rPr>
      <t xml:space="preserve">due to exclusion of </t>
    </r>
  </si>
  <si>
    <t>*Government (Net)</t>
  </si>
  <si>
    <t>100588</t>
  </si>
  <si>
    <t>24223</t>
  </si>
  <si>
    <t>8114</t>
  </si>
  <si>
    <t>120108</t>
  </si>
  <si>
    <t>7195</t>
  </si>
  <si>
    <t>55658</t>
  </si>
  <si>
    <t>100295</t>
  </si>
  <si>
    <t>5150</t>
  </si>
  <si>
    <t>71880</t>
  </si>
  <si>
    <t>12300</t>
  </si>
  <si>
    <t>360845</t>
  </si>
  <si>
    <t>12.94</t>
  </si>
  <si>
    <t>6.07</t>
  </si>
  <si>
    <t>47536</t>
  </si>
  <si>
    <t>51959</t>
  </si>
  <si>
    <t>394419</t>
  </si>
  <si>
    <t>24705</t>
  </si>
  <si>
    <t>27003</t>
  </si>
  <si>
    <t>Foreign Trade &amp; Foreign Exchange  Reserves (Million US $)</t>
  </si>
  <si>
    <t xml:space="preserve">Oil Products = Soya bean + Vegetable Oil (Dalda) </t>
  </si>
  <si>
    <t xml:space="preserve">Fertilizer = Urea + Ammonium Sulphate + TSP + SSP + DAP </t>
  </si>
  <si>
    <t>16.03.16</t>
  </si>
  <si>
    <t>07.04.10</t>
  </si>
  <si>
    <t>07.04.20</t>
  </si>
  <si>
    <t>05.05.10</t>
  </si>
  <si>
    <t>05.05.20</t>
  </si>
  <si>
    <t>02.06.10</t>
  </si>
  <si>
    <t>02.06.20</t>
  </si>
  <si>
    <t>07.07.10</t>
  </si>
  <si>
    <t>07.07.20</t>
  </si>
  <si>
    <t>04.08.10</t>
  </si>
  <si>
    <t>04.08.20</t>
  </si>
  <si>
    <t>08.09.20</t>
  </si>
  <si>
    <t>06.10.10</t>
  </si>
  <si>
    <t>03.11.10</t>
  </si>
  <si>
    <t>03.11.20</t>
  </si>
  <si>
    <t>08.12.10</t>
  </si>
  <si>
    <t>08.12.20</t>
  </si>
  <si>
    <t>05.01.11</t>
  </si>
  <si>
    <t>05.01.21</t>
  </si>
  <si>
    <t>02.02.11</t>
  </si>
  <si>
    <t>02.02.21</t>
  </si>
  <si>
    <t>02.03.11</t>
  </si>
  <si>
    <t>02.03.21</t>
  </si>
  <si>
    <t>16.01.11</t>
  </si>
  <si>
    <t>15.04.10</t>
  </si>
  <si>
    <t>15.04.25</t>
  </si>
  <si>
    <t>12.05.10</t>
  </si>
  <si>
    <t>12.05.25</t>
  </si>
  <si>
    <t>09.06.10</t>
  </si>
  <si>
    <t>09.06.25</t>
  </si>
  <si>
    <t>14.07.10</t>
  </si>
  <si>
    <t>14.07.25</t>
  </si>
  <si>
    <t>11.08.10</t>
  </si>
  <si>
    <t>11.08.25</t>
  </si>
  <si>
    <t>15.09.10</t>
  </si>
  <si>
    <t>15.09.25</t>
  </si>
  <si>
    <t>13.10.10</t>
  </si>
  <si>
    <t>13.10.25</t>
  </si>
  <si>
    <t>10.11.10</t>
  </si>
  <si>
    <t>10.11.25</t>
  </si>
  <si>
    <t>15.12.10</t>
  </si>
  <si>
    <t>15.12.25</t>
  </si>
  <si>
    <t>09.02.11</t>
  </si>
  <si>
    <t>09.02.26</t>
  </si>
  <si>
    <t>09.03.11</t>
  </si>
  <si>
    <t>09.03.26</t>
  </si>
  <si>
    <t>28.04.10</t>
  </si>
  <si>
    <t>28.04.30</t>
  </si>
  <si>
    <t>26.05.10</t>
  </si>
  <si>
    <t>26.05.30</t>
  </si>
  <si>
    <t>23.06.10</t>
  </si>
  <si>
    <t>23.06.30</t>
  </si>
  <si>
    <t>29.07.10</t>
  </si>
  <si>
    <t>29.07.30</t>
  </si>
  <si>
    <t>25.08.10</t>
  </si>
  <si>
    <t>25.08.30</t>
  </si>
  <si>
    <t>29.09.10</t>
  </si>
  <si>
    <t>29.09.30</t>
  </si>
  <si>
    <t>27.10.10</t>
  </si>
  <si>
    <t>27.10.30</t>
  </si>
  <si>
    <t>24.11.10</t>
  </si>
  <si>
    <t>24.11.30</t>
  </si>
  <si>
    <t>29.12.10</t>
  </si>
  <si>
    <t>26.01.11</t>
  </si>
  <si>
    <t>26.01.31</t>
  </si>
  <si>
    <t>23.02.11</t>
  </si>
  <si>
    <t>23.02.31</t>
  </si>
  <si>
    <t>23.03.11</t>
  </si>
  <si>
    <t>23.03.31</t>
  </si>
  <si>
    <t>20.04.16</t>
  </si>
  <si>
    <t>06.04.11</t>
  </si>
  <si>
    <t>06.04.21</t>
  </si>
  <si>
    <t>16.01.18</t>
  </si>
  <si>
    <t>16.01.21</t>
  </si>
  <si>
    <t>13.04.11</t>
  </si>
  <si>
    <t>13.04.26</t>
  </si>
  <si>
    <t>27.04.11</t>
  </si>
  <si>
    <t>27.04.31</t>
  </si>
  <si>
    <r>
      <t xml:space="preserve">           Note:</t>
    </r>
    <r>
      <rPr>
        <sz val="6"/>
        <rFont val="Times New Roman"/>
        <family val="1"/>
      </rPr>
      <t xml:space="preserve">  </t>
    </r>
  </si>
  <si>
    <r>
      <t xml:space="preserve">             Source:</t>
    </r>
    <r>
      <rPr>
        <sz val="6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</si>
  <si>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Note :</t>
  </si>
  <si>
    <t>64604</t>
  </si>
  <si>
    <r>
      <rPr>
        <b/>
        <sz val="8"/>
        <color indexed="8"/>
        <rFont val="Times New Roman"/>
        <family val="1"/>
      </rPr>
      <t>Note:</t>
    </r>
    <r>
      <rPr>
        <sz val="8"/>
        <color indexed="8"/>
        <rFont val="Times New Roman"/>
        <family val="1"/>
      </rPr>
      <t xml:space="preserve">   </t>
    </r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</si>
  <si>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</si>
  <si>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</si>
  <si>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</si>
  <si>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</si>
  <si>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</si>
  <si>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</si>
  <si>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</si>
  <si>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</si>
  <si>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</si>
  <si>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</si>
  <si>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</si>
  <si>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</si>
  <si>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</si>
  <si>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</si>
  <si>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</si>
  <si>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</si>
  <si>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</si>
  <si>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</si>
  <si>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</si>
  <si>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</si>
  <si>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</si>
  <si>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</si>
  <si>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</si>
  <si>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</si>
  <si>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</si>
  <si>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</si>
  <si>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</si>
  <si>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</si>
  <si>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</si>
  <si>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</si>
  <si>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XXXI</t>
  </si>
  <si>
    <t>XXXII</t>
  </si>
  <si>
    <t>XXXIII</t>
  </si>
  <si>
    <t>XXXIV</t>
  </si>
  <si>
    <t>XXXV</t>
  </si>
  <si>
    <t>XXXVI</t>
  </si>
  <si>
    <t>XXXVII</t>
  </si>
  <si>
    <t>XXXVIII</t>
  </si>
  <si>
    <t>XXXIX</t>
  </si>
  <si>
    <t>XL</t>
  </si>
  <si>
    <t>XLI</t>
  </si>
  <si>
    <t>XLII</t>
  </si>
  <si>
    <t>XLIII</t>
  </si>
  <si>
    <t>XLIV</t>
  </si>
  <si>
    <t>XLV</t>
  </si>
  <si>
    <t>XLVI</t>
  </si>
  <si>
    <t>XLVII</t>
  </si>
  <si>
    <t>XLVIII</t>
  </si>
  <si>
    <t>XLIX</t>
  </si>
  <si>
    <t>L</t>
  </si>
  <si>
    <t>LI</t>
  </si>
  <si>
    <t>LII</t>
  </si>
  <si>
    <t>LIII</t>
  </si>
  <si>
    <t>LIV</t>
  </si>
  <si>
    <t>LV</t>
  </si>
  <si>
    <t>LVI</t>
  </si>
  <si>
    <t>LVII</t>
  </si>
  <si>
    <t>LVIII</t>
  </si>
  <si>
    <t>LIX</t>
  </si>
  <si>
    <t>LX</t>
  </si>
  <si>
    <t>LXI</t>
  </si>
  <si>
    <t>LXII</t>
  </si>
  <si>
    <t>LXIII</t>
  </si>
  <si>
    <t>LXIV</t>
  </si>
  <si>
    <t>LXV</t>
  </si>
  <si>
    <t>LXVI</t>
  </si>
  <si>
    <t>LXVII</t>
  </si>
  <si>
    <t>LXVIII</t>
  </si>
  <si>
    <t>LXIX</t>
  </si>
  <si>
    <t>LXX</t>
  </si>
  <si>
    <t>LXXI</t>
  </si>
  <si>
    <t>LXXII</t>
  </si>
  <si>
    <t>LXXIII</t>
  </si>
  <si>
    <t>LXXIV</t>
  </si>
  <si>
    <t>Interest free</t>
  </si>
  <si>
    <t>Italy</t>
  </si>
  <si>
    <t>Hong Kong</t>
  </si>
  <si>
    <t xml:space="preserve">Note   : </t>
  </si>
  <si>
    <t xml:space="preserve">     Source :</t>
  </si>
  <si>
    <t xml:space="preserve">     Note :</t>
  </si>
  <si>
    <t>2011-12</t>
  </si>
  <si>
    <t>South Korea</t>
  </si>
  <si>
    <t xml:space="preserve">Source :   </t>
  </si>
  <si>
    <t>1 Bushel</t>
  </si>
  <si>
    <t>STATISTICAL TABLES</t>
  </si>
  <si>
    <t>IA</t>
  </si>
  <si>
    <t>IB</t>
  </si>
  <si>
    <t>IIA</t>
  </si>
  <si>
    <t>IIB</t>
  </si>
  <si>
    <t>Claims on Resident Sector by the Banking System</t>
  </si>
  <si>
    <t>IIC</t>
  </si>
  <si>
    <t>IID</t>
  </si>
  <si>
    <t>IIE</t>
  </si>
  <si>
    <t>IIF</t>
  </si>
  <si>
    <t>IIIA</t>
  </si>
  <si>
    <t>Balance of  Payments</t>
  </si>
  <si>
    <t>IIIB</t>
  </si>
  <si>
    <t>Foreign Trade</t>
  </si>
  <si>
    <t xml:space="preserve">Production of Major Agricultural Commodities </t>
  </si>
  <si>
    <t xml:space="preserve">Production of Major Industrial Commodities (Other than Jute Goods) </t>
  </si>
  <si>
    <t>Average Prices of Selected Commodities</t>
  </si>
  <si>
    <t>Gross Domestic Product of Bangladesh at Current Market Price</t>
  </si>
  <si>
    <t xml:space="preserve">Gross Domestic Product of Bangladesh at Constant Market Price </t>
  </si>
  <si>
    <t>Key Indicators of National Accounts</t>
  </si>
  <si>
    <t xml:space="preserve">Interest Rate Structure of Government Securities/Bonds and Savings Instruments </t>
  </si>
  <si>
    <t xml:space="preserve">Rate of Interest on Non-resident Foreign Currency Deposit (NFCD) Accounts </t>
  </si>
  <si>
    <t>Monthly Average Call Money Market Rates</t>
  </si>
  <si>
    <t>Some Indicators of Income, Expenditure &amp; Profitability of the Banking Sector</t>
  </si>
  <si>
    <t>Country-wise Workers’ Remittances</t>
  </si>
  <si>
    <t>Exchange Rates (Taka Per Currencies)</t>
  </si>
  <si>
    <t>Appreciation/Depreciation of Some Selected Currencies Against U.S. Dollar</t>
  </si>
  <si>
    <t>Some Selected Commodity Prices at International Markets</t>
  </si>
  <si>
    <t>15.00-16.00</t>
  </si>
  <si>
    <t>Mudaraba Education Deposit Scheme</t>
  </si>
  <si>
    <t>Mudaraba Monthly Profit Deposit Scheme (5 yrs.)</t>
  </si>
  <si>
    <t>Mudaraba Monthly Profit Deposit Scheme (3 yrs.)</t>
  </si>
  <si>
    <t>Market Capitalisation (Value) of Ordinary Shares of Companies Listed with the Dhaka Stock Exchange Ltd.</t>
  </si>
  <si>
    <t>Monetary Survey (M2)</t>
  </si>
  <si>
    <t xml:space="preserve">Monetary Survey (M3)  </t>
  </si>
  <si>
    <t>10.00-13.00</t>
  </si>
  <si>
    <t>Cash     Base     of the Economy (3+42)</t>
  </si>
  <si>
    <t>Portfolio  Investment</t>
  </si>
  <si>
    <t>Other Investment</t>
  </si>
  <si>
    <t>Reserve Assets</t>
  </si>
  <si>
    <t xml:space="preserve">   Lea-  ther</t>
  </si>
  <si>
    <t>Ready made Garments    (including   Knit Wear  &amp; Hosiery)</t>
  </si>
  <si>
    <t>News  Print</t>
  </si>
  <si>
    <t>Ferti-lizers</t>
  </si>
  <si>
    <t>Oil  seeds</t>
  </si>
  <si>
    <t xml:space="preserve">    Edible      oil</t>
  </si>
  <si>
    <t>Chemi-  cals</t>
  </si>
  <si>
    <t>Staple fibres</t>
  </si>
  <si>
    <t>Iron  &amp; Steel</t>
  </si>
  <si>
    <t xml:space="preserve">      Qatar     Riyal</t>
  </si>
  <si>
    <t xml:space="preserve">     Swiss    Franc</t>
  </si>
  <si>
    <t xml:space="preserve">   Customs     Duty</t>
  </si>
  <si>
    <t xml:space="preserve">     Income   Tax</t>
  </si>
  <si>
    <t>LXXV</t>
  </si>
  <si>
    <t>LXXVI</t>
  </si>
  <si>
    <t>LXXVII</t>
  </si>
  <si>
    <t>LXXVIII</t>
  </si>
  <si>
    <t>LXXIX</t>
  </si>
  <si>
    <t>LXXX</t>
  </si>
  <si>
    <t>Soybean  (US $/ MT)</t>
  </si>
  <si>
    <t>  Total Credit    (excluding        inter-bank)  (20+24+28)</t>
  </si>
  <si>
    <t>Average Credit per    DMB       Branch    (in crore)</t>
  </si>
  <si>
    <t>Total (excluding inter-bank) (7+10)</t>
  </si>
  <si>
    <t xml:space="preserve">  Other Resident      Sector </t>
  </si>
  <si>
    <t xml:space="preserve">     Other Resident           Sector</t>
  </si>
  <si>
    <t xml:space="preserve">    Equity    Capital</t>
  </si>
  <si>
    <t xml:space="preserve">   Equity    Capital</t>
  </si>
  <si>
    <t xml:space="preserve">A.  Government Treasury Bonds </t>
  </si>
  <si>
    <t xml:space="preserve">    Total   Manpower</t>
  </si>
  <si>
    <t>Total   Manpower</t>
  </si>
  <si>
    <t xml:space="preserve">  Net Profit After Tax</t>
  </si>
  <si>
    <t xml:space="preserve">     Net      Profit</t>
  </si>
  <si>
    <t xml:space="preserve">    Total       Income</t>
  </si>
  <si>
    <t xml:space="preserve">     Total    Manpower</t>
  </si>
  <si>
    <t xml:space="preserve">    In taka    A/C</t>
  </si>
  <si>
    <t xml:space="preserve">  Govern-     ment    (Net)</t>
  </si>
  <si>
    <t xml:space="preserve">  Banking Sector</t>
  </si>
  <si>
    <t xml:space="preserve">  Total (1+2+3)</t>
  </si>
  <si>
    <t xml:space="preserve">   Total  (5+6+7)</t>
  </si>
  <si>
    <t>Total (9+10)</t>
  </si>
  <si>
    <t xml:space="preserve">   Banking  Sector</t>
  </si>
  <si>
    <t>Total  (12+13)</t>
  </si>
  <si>
    <t>Editorial Committee</t>
  </si>
  <si>
    <t>Chairman</t>
  </si>
  <si>
    <t xml:space="preserve">Members </t>
  </si>
  <si>
    <t xml:space="preserve">Statistics Department </t>
  </si>
  <si>
    <t xml:space="preserve">Bangladesh Bank         </t>
  </si>
  <si>
    <t>Ratio of DMBs Credit to Deposits  (in percent) </t>
  </si>
  <si>
    <t xml:space="preserve">       Coal            (US $/MT)</t>
  </si>
  <si>
    <t>Date/ Period of Maturity</t>
  </si>
  <si>
    <t>Category of Instruments</t>
  </si>
  <si>
    <t>Effective Date</t>
  </si>
  <si>
    <t>Reinvested  Earning</t>
  </si>
  <si>
    <t xml:space="preserve">  Intra-company Loans</t>
  </si>
  <si>
    <t>Intra-company Loans</t>
  </si>
  <si>
    <t>Reinvested Earning</t>
  </si>
  <si>
    <t>Petro- leum Products</t>
  </si>
  <si>
    <t>Others (Including EPZ)</t>
  </si>
  <si>
    <t xml:space="preserve">  Pulses     (all sorts)</t>
  </si>
  <si>
    <t xml:space="preserve">        Area       (in '000' acres)</t>
  </si>
  <si>
    <t xml:space="preserve">     Production       (in '000'  tons)</t>
  </si>
  <si>
    <t xml:space="preserve">     Production   (in '000'  tons)</t>
  </si>
  <si>
    <t xml:space="preserve">      Total          Manpower</t>
  </si>
  <si>
    <t xml:space="preserve"> Net Profit After Tax</t>
  </si>
  <si>
    <t xml:space="preserve">    Total   Income</t>
  </si>
  <si>
    <t xml:space="preserve">    Total    Income</t>
  </si>
  <si>
    <t>04.05.11</t>
  </si>
  <si>
    <t>08.06.11</t>
  </si>
  <si>
    <t>13.07.11</t>
  </si>
  <si>
    <t>10.08.11</t>
  </si>
  <si>
    <t>04.05.21</t>
  </si>
  <si>
    <t>08.06.21</t>
  </si>
  <si>
    <t>13.07.21</t>
  </si>
  <si>
    <t>10.08.21</t>
  </si>
  <si>
    <t>LXXXII</t>
  </si>
  <si>
    <t>LXXXIII</t>
  </si>
  <si>
    <t>LXXXIV</t>
  </si>
  <si>
    <t>LXXXV</t>
  </si>
  <si>
    <t>LXXXVI</t>
  </si>
  <si>
    <t>LXXXVII</t>
  </si>
  <si>
    <t>LXXXVIII</t>
  </si>
  <si>
    <t>LXXXIX</t>
  </si>
  <si>
    <t>( Inflation, Production Index, Foreign Trade,</t>
  </si>
  <si>
    <t xml:space="preserve">CLAIMS ON RESIDENT SECTORS </t>
  </si>
  <si>
    <t xml:space="preserve"> 25.01.12</t>
  </si>
  <si>
    <t xml:space="preserve"> 25.01.32</t>
  </si>
  <si>
    <t xml:space="preserve"> 28.12.31</t>
  </si>
  <si>
    <t xml:space="preserve"> 26.10.31</t>
  </si>
  <si>
    <t xml:space="preserve"> 01.11.93</t>
  </si>
  <si>
    <t xml:space="preserve"> 30.06.94</t>
  </si>
  <si>
    <t xml:space="preserve"> 01.07.95</t>
  </si>
  <si>
    <t>12.00-13.00</t>
  </si>
  <si>
    <t>Balances with BB*</t>
  </si>
  <si>
    <t>**Total credit to government (gross) by the banking system equals to total claims on government (gross) excluding government</t>
  </si>
  <si>
    <t>**Total Credit to Govt. (45+46+ 47+48)</t>
  </si>
  <si>
    <t>***Loans &amp; Advances</t>
  </si>
  <si>
    <t xml:space="preserve"> &lt; 1.00 crore</t>
  </si>
  <si>
    <t>1.00 crore but  &lt; 25.00 crore</t>
  </si>
  <si>
    <t>25.00 crore but  &lt; 50.00 crore</t>
  </si>
  <si>
    <t>50.00 crore but  &lt; 100.00 crore</t>
  </si>
  <si>
    <t>3 months but &lt;6 months</t>
  </si>
  <si>
    <t>6 months but &lt; 1 year</t>
  </si>
  <si>
    <t>1 year but&lt; 2 years</t>
  </si>
  <si>
    <t>2 years but &lt; 3 years</t>
  </si>
  <si>
    <t>3 years &amp; above</t>
  </si>
  <si>
    <t>Special Notice Deposits (SND):</t>
  </si>
  <si>
    <t xml:space="preserve">   Effective   Date</t>
  </si>
  <si>
    <t xml:space="preserve">5-year  (BD) Govt. Treasury Bond </t>
  </si>
  <si>
    <t>10-year (BD) Govt. Treasury Bond</t>
  </si>
  <si>
    <t>15 year (BD) Govt.  Treasury Bond</t>
  </si>
  <si>
    <t>20 year  (BD) Govt. Treasury Bond</t>
  </si>
  <si>
    <t>10 year (BPC) Govt. Special Treasury Bond</t>
  </si>
  <si>
    <t>12 year (BPC) Govt. Special Treasury Bond</t>
  </si>
  <si>
    <t>13 year (BPC) Govt. Special Treasury Bond</t>
  </si>
  <si>
    <t>14 year (BPC) Govt. Special Treasury Bond</t>
  </si>
  <si>
    <t>BJMC &amp; BTMC special T. Bonds</t>
  </si>
  <si>
    <t>11-year (BJMC)(Sonali Bank) T. Bond</t>
  </si>
  <si>
    <t>11-year (BJMC) (Janata Bank)T. Bond</t>
  </si>
  <si>
    <t>11-year (BJMC) (Agrani Bank) T. Bond</t>
  </si>
  <si>
    <t>13-year (BJMC) (Sonali Bank)T. Bond</t>
  </si>
  <si>
    <t>13-year (BJMC) (Janata Bank) T. Bond</t>
  </si>
  <si>
    <t>13-year (BJMC) (Agrani Bank) T. Bond</t>
  </si>
  <si>
    <t>6-year (BPC)(Agrani Bank) T.Bond</t>
  </si>
  <si>
    <t>6-year (BPC)(Janata) T.Bond</t>
  </si>
  <si>
    <t>6-year (BPC)(Sonali) T.Bond</t>
  </si>
  <si>
    <t xml:space="preserve">9-year  (BJMC)(Sonali Bank) T. Bond </t>
  </si>
  <si>
    <t>15 year (BPC) Govt. Special Treasury Bond</t>
  </si>
  <si>
    <t xml:space="preserve">9-year  (BJMC) (Janata Bank) T. Bond </t>
  </si>
  <si>
    <t>9-year  (BJMC)(Agrani Bank) T. Bond</t>
  </si>
  <si>
    <t xml:space="preserve"> 29.02.12</t>
  </si>
  <si>
    <t>25-year (Jute) Treasury Bond</t>
  </si>
  <si>
    <t xml:space="preserve"> - = Nil</t>
  </si>
  <si>
    <t>Reserve Money (1+2+3+5)</t>
  </si>
  <si>
    <t>Commercial Banks</t>
  </si>
  <si>
    <t>SOME INDICATORS OF INCOME, EXPENDITURE &amp;</t>
  </si>
  <si>
    <t>PROFITABILITY OF THE BANKING SECTOR</t>
  </si>
  <si>
    <t>State Owned Banks</t>
  </si>
  <si>
    <t xml:space="preserve">      Total Income</t>
  </si>
  <si>
    <t xml:space="preserve"> Financial  Corporation</t>
  </si>
  <si>
    <t xml:space="preserve">BANK WISE ANNOUNCED INTEREST RATE STRUCTURE </t>
  </si>
  <si>
    <t xml:space="preserve">Claims on Resident Sectors by Depository Corporations </t>
  </si>
  <si>
    <t xml:space="preserve"> 29.02.32</t>
  </si>
  <si>
    <t xml:space="preserve"> 28.03.12</t>
  </si>
  <si>
    <t xml:space="preserve"> 28.03.32</t>
  </si>
  <si>
    <t xml:space="preserve"> 25.04.12</t>
  </si>
  <si>
    <t xml:space="preserve"> 25.04.32</t>
  </si>
  <si>
    <t>Commercial Bank of Ceylon</t>
  </si>
  <si>
    <t>385050</t>
  </si>
  <si>
    <t>14.75</t>
  </si>
  <si>
    <t>6.71</t>
  </si>
  <si>
    <t>14.97</t>
  </si>
  <si>
    <t>15.16</t>
  </si>
  <si>
    <t>207</t>
  </si>
  <si>
    <t>25721</t>
  </si>
  <si>
    <t>420097</t>
  </si>
  <si>
    <t>28072</t>
  </si>
  <si>
    <t>Annual Growth    of GDP at Current Market Price %</t>
  </si>
  <si>
    <t>72514</t>
  </si>
  <si>
    <t>GDP Deflator</t>
  </si>
  <si>
    <r>
      <rPr>
        <b/>
        <sz val="8"/>
        <rFont val="Times New Roman"/>
        <family val="1"/>
      </rPr>
      <t>Source :</t>
    </r>
    <r>
      <rPr>
        <sz val="8"/>
        <rFont val="Times New Roman"/>
        <family val="1"/>
      </rPr>
      <t xml:space="preserve"> </t>
    </r>
  </si>
  <si>
    <t>Total Popula-tion (in Crore)</t>
  </si>
  <si>
    <t xml:space="preserve">Deputy General Manager            </t>
  </si>
  <si>
    <t>2012-13</t>
  </si>
  <si>
    <t>Currency Out side Banks</t>
  </si>
  <si>
    <t>Point- to- Point (Base: 2005-06=100)</t>
  </si>
  <si>
    <t>Point- to- Point (Base: 1995-96=100)</t>
  </si>
  <si>
    <t>12- Month Average (Base: 2005-06=100)</t>
  </si>
  <si>
    <t>12- Month Average (Base: 1995-96=100)</t>
  </si>
  <si>
    <r>
      <t xml:space="preserve">Rate of Inflation in Bangladesh </t>
    </r>
    <r>
      <rPr>
        <b/>
        <sz val="9"/>
        <color indexed="8"/>
        <rFont val="Times New Roman"/>
        <family val="1"/>
      </rPr>
      <t xml:space="preserve">  Measured by Consumer  Price Index  (CPI)      </t>
    </r>
  </si>
  <si>
    <t>General (Mfg)</t>
  </si>
  <si>
    <t>Chinese Yuan</t>
  </si>
  <si>
    <t xml:space="preserve"> Danish Krone</t>
  </si>
  <si>
    <t xml:space="preserve"> Hongkong Dollar</t>
  </si>
  <si>
    <t>Indone-sian   Rupiah</t>
  </si>
  <si>
    <t>Japanese  Yen</t>
  </si>
  <si>
    <t>Kuwait Dinar</t>
  </si>
  <si>
    <t>Malay-sian Ringgit</t>
  </si>
  <si>
    <t>Myan-mar Kyat</t>
  </si>
  <si>
    <t>Pakistan Rupee</t>
  </si>
  <si>
    <t>Philippi-nes Peso</t>
  </si>
  <si>
    <t>Russian Rouble</t>
  </si>
  <si>
    <t xml:space="preserve">  Saudi    Riyal</t>
  </si>
  <si>
    <t xml:space="preserve"> Singapore    Dollar</t>
  </si>
  <si>
    <t xml:space="preserve"> Swedish  Krona</t>
  </si>
  <si>
    <t>Sri Lankan Rupee</t>
  </si>
  <si>
    <t>Thai  Bhat</t>
  </si>
  <si>
    <t xml:space="preserve">   Index of Industrial Production     Base:  1988-89=100</t>
  </si>
  <si>
    <t>Foreign Banks</t>
  </si>
  <si>
    <t xml:space="preserve">SOME INDICATORS OF INCOME, EXPENDITURE &amp; </t>
  </si>
  <si>
    <t>APPRECIATION / DEPRECIATION OF SELECTED</t>
  </si>
  <si>
    <t xml:space="preserve"> 30.05.12</t>
  </si>
  <si>
    <t xml:space="preserve"> 27.06.12</t>
  </si>
  <si>
    <t xml:space="preserve"> 25.07.12</t>
  </si>
  <si>
    <t xml:space="preserve"> 30.05.32</t>
  </si>
  <si>
    <t xml:space="preserve"> 27.06.32</t>
  </si>
  <si>
    <t xml:space="preserve"> 25.07.32</t>
  </si>
  <si>
    <t xml:space="preserve"> Debt Management Department, Bangladesh Bank</t>
  </si>
  <si>
    <t xml:space="preserve">2011-12 </t>
  </si>
  <si>
    <t>Commercial                                                                    Banks</t>
  </si>
  <si>
    <t xml:space="preserve">     Total  Manpower</t>
  </si>
  <si>
    <t xml:space="preserve"> 29.08.12</t>
  </si>
  <si>
    <t xml:space="preserve"> 29.08.32</t>
  </si>
  <si>
    <t>Bangladesh Bank</t>
  </si>
  <si>
    <t xml:space="preserve">Monthly </t>
  </si>
  <si>
    <t>Economic Trends</t>
  </si>
  <si>
    <t>No interest</t>
  </si>
  <si>
    <t xml:space="preserve">No interest </t>
  </si>
  <si>
    <t xml:space="preserve"> No interest</t>
  </si>
  <si>
    <t>i) Before six months from the date of issue</t>
  </si>
  <si>
    <t>ii) On completion of six months but before one year</t>
  </si>
  <si>
    <t>iii) On completion of one year but before 1½ year</t>
  </si>
  <si>
    <t>iv) On completion of 1½ years but before two year</t>
  </si>
  <si>
    <t>v) On completion of two years and thereafter</t>
  </si>
  <si>
    <t xml:space="preserve">vi) On completion of five years and thereafter </t>
  </si>
  <si>
    <t>a) Ordinary Account</t>
  </si>
  <si>
    <t>a) Dhaka and Chittagong Metropolitan Cities</t>
  </si>
  <si>
    <t>b) Other Divisional/District Head Quarters.</t>
  </si>
  <si>
    <t>c) Fixed Deposit Account (Interest after 6 months)</t>
  </si>
  <si>
    <t xml:space="preserve">i) Within one year from the date of issue </t>
  </si>
  <si>
    <t>ii) After completion of one year but within two years</t>
  </si>
  <si>
    <t>iii) After completion of two years but within three years</t>
  </si>
  <si>
    <t>iii) For three years</t>
  </si>
  <si>
    <t>ii) For two years</t>
  </si>
  <si>
    <t>i) For one year</t>
  </si>
  <si>
    <t>b) Fixed Deposit Account (Interest after maturity)</t>
  </si>
  <si>
    <t xml:space="preserve">  Furniture, Furnishing   &amp; Others</t>
  </si>
  <si>
    <t xml:space="preserve">  Misc. Goods &amp; Services</t>
  </si>
  <si>
    <t>15-year (BD) Govt.  Treasury Bond</t>
  </si>
  <si>
    <t>20-year  (BD) Govt. Treasury Bond</t>
  </si>
  <si>
    <t xml:space="preserve"> 26.09.12</t>
  </si>
  <si>
    <t xml:space="preserve"> 29.09.32</t>
  </si>
  <si>
    <t xml:space="preserve">With effect from 01.07.06  </t>
  </si>
  <si>
    <t>Interest Rates on Deposits with Directorate of National Savings</t>
  </si>
  <si>
    <t>i) Tin Mas Antar Munafa Vittik Sanchayapatra</t>
  </si>
  <si>
    <t>ii) 5-year  Bangladesh Sanchayapatra</t>
  </si>
  <si>
    <t>iii) 5-year  Pensioner Sanchaya Patra after 3-month interest</t>
  </si>
  <si>
    <t>iv) 5-year  Paribar Sanchayapatra after monthly interest</t>
  </si>
  <si>
    <t>iv) After completion of three years</t>
  </si>
  <si>
    <t>With effect from   22.02.97</t>
  </si>
  <si>
    <t>With effect from 01.07.97</t>
  </si>
  <si>
    <t>With effect from  24.11.97</t>
  </si>
  <si>
    <t>With effect from 29.08.99</t>
  </si>
  <si>
    <t>With effect from 24.10.01</t>
  </si>
  <si>
    <t>With effect from 30.10.01</t>
  </si>
  <si>
    <t xml:space="preserve">    With effect from 01.11.02</t>
  </si>
  <si>
    <t>With effect from 08.11.03</t>
  </si>
  <si>
    <t xml:space="preserve">With effect from 17.07.04   </t>
  </si>
  <si>
    <t xml:space="preserve">With effect from 04.12.05   </t>
  </si>
  <si>
    <t xml:space="preserve">With effect from 13.06.07  </t>
  </si>
  <si>
    <t xml:space="preserve">With effect from 01.07.10  </t>
  </si>
  <si>
    <t xml:space="preserve">  With effect from 01.07.11  </t>
  </si>
  <si>
    <t>With effect from 01.03.12</t>
  </si>
  <si>
    <t>Interest Rates on Construction Loans Provided by House Building Finance Corporation</t>
  </si>
  <si>
    <t xml:space="preserve">INTEREST RATE STRUCTURE OF </t>
  </si>
  <si>
    <t xml:space="preserve">GOVERNMENT SECURITIES / BONDS </t>
  </si>
  <si>
    <t>INTEREST RATE STRUCTURE OF</t>
  </si>
  <si>
    <t xml:space="preserve"> GOVERNMENT SECURITIES/BONDS</t>
  </si>
  <si>
    <t xml:space="preserve">GOVERNMENT SECURITIES/BONDS </t>
  </si>
  <si>
    <t>GOVERNMENT SECURITIES/BONDS</t>
  </si>
  <si>
    <t>d)  Savings Bond (Islami Bond)</t>
  </si>
  <si>
    <t xml:space="preserve">      Total  Domestic         Credit </t>
  </si>
  <si>
    <t>13.00-16.00</t>
  </si>
  <si>
    <t>XC</t>
  </si>
  <si>
    <t>XCI</t>
  </si>
  <si>
    <t>XCII</t>
  </si>
  <si>
    <t>XCIII</t>
  </si>
  <si>
    <t>XCIV</t>
  </si>
  <si>
    <t>XCV</t>
  </si>
  <si>
    <t>XCVI</t>
  </si>
  <si>
    <t>XCVII</t>
  </si>
  <si>
    <t>XCIX</t>
  </si>
  <si>
    <t>C</t>
  </si>
  <si>
    <t xml:space="preserve"> 25.10.12</t>
  </si>
  <si>
    <t xml:space="preserve"> 25.10.32</t>
  </si>
  <si>
    <r>
      <t xml:space="preserve">       </t>
    </r>
    <r>
      <rPr>
        <b/>
        <sz val="5.5"/>
        <rFont val="Times New Roman"/>
        <family val="1"/>
      </rPr>
      <t>Note:</t>
    </r>
    <r>
      <rPr>
        <sz val="5.5"/>
        <rFont val="Times New Roman"/>
        <family val="1"/>
      </rPr>
      <t xml:space="preserve">  </t>
    </r>
  </si>
  <si>
    <r>
      <t>Note</t>
    </r>
    <r>
      <rPr>
        <sz val="5.5"/>
        <rFont val="Times New Roman"/>
        <family val="1"/>
      </rPr>
      <t xml:space="preserve">: </t>
    </r>
  </si>
  <si>
    <t xml:space="preserve"> 28.11.12</t>
  </si>
  <si>
    <t xml:space="preserve"> 28.11.32</t>
  </si>
  <si>
    <t>CI</t>
  </si>
  <si>
    <t>13.00-14.00</t>
  </si>
  <si>
    <t>15.00-18.00</t>
  </si>
  <si>
    <t>14.00-15.00</t>
  </si>
  <si>
    <t>14.00-17.00</t>
  </si>
  <si>
    <t>10.00-18.00</t>
  </si>
  <si>
    <t>11.00-14.00</t>
  </si>
  <si>
    <t>12.00-15.00</t>
  </si>
  <si>
    <t>14.00-16.00</t>
  </si>
  <si>
    <t>July - Sept.</t>
  </si>
  <si>
    <t>Income / Primary Income</t>
  </si>
  <si>
    <t>Current Transfers (Net)/ Secondary Income (Net)</t>
  </si>
  <si>
    <t>19=(15+16+17+18)</t>
  </si>
  <si>
    <t xml:space="preserve"> Financial    Account  (Net)</t>
  </si>
  <si>
    <t>Capital Account (Net)</t>
  </si>
  <si>
    <t>Direct  Investment</t>
  </si>
  <si>
    <t>2. As per BPM5, Net Errors &amp; Ommissions= -(Current Account Balance+Capital Account (Net)+Financial Account (Net))</t>
  </si>
  <si>
    <t>1. *As per BPM6, Net Errors &amp; Ommissions= -(Current Account Balance+Capital Account (Net)-Financial Account (Net))</t>
  </si>
  <si>
    <t xml:space="preserve"> 26.12.12</t>
  </si>
  <si>
    <t xml:space="preserve"> 26.12.32</t>
  </si>
  <si>
    <t>CII</t>
  </si>
  <si>
    <t xml:space="preserve"> 23.01.13</t>
  </si>
  <si>
    <t>CIII</t>
  </si>
  <si>
    <t>End            of        Period</t>
  </si>
  <si>
    <t>*Total       (4+5)</t>
  </si>
  <si>
    <t>Total          (7+8)</t>
  </si>
  <si>
    <t xml:space="preserve"> Private       Sector</t>
  </si>
  <si>
    <t xml:space="preserve"> Net          Other   Assets</t>
  </si>
  <si>
    <t>Net          Domestic      Assets     (11+12)</t>
  </si>
  <si>
    <t>End                   of             Period</t>
  </si>
  <si>
    <t>End                     of             Period</t>
  </si>
  <si>
    <t>Total Domestic Credit</t>
  </si>
  <si>
    <t>Local               Authorities</t>
  </si>
  <si>
    <t>End               of          Period</t>
  </si>
  <si>
    <t>End           of          Period</t>
  </si>
  <si>
    <t>Net  Other Assets</t>
  </si>
  <si>
    <t>End              of        Period</t>
  </si>
  <si>
    <r>
      <t xml:space="preserve">Total         Domestic        Credit       </t>
    </r>
    <r>
      <rPr>
        <sz val="8"/>
        <color indexed="8"/>
        <rFont val="Times New Roman"/>
        <family val="1"/>
      </rPr>
      <t>(8+11+14)</t>
    </r>
  </si>
  <si>
    <t>Net            Other      Assets</t>
  </si>
  <si>
    <t>Net            Domestic         Assets      (15+16)</t>
  </si>
  <si>
    <t xml:space="preserve">Export        (f.o.b) </t>
  </si>
  <si>
    <t>Import        (f.o.b)</t>
  </si>
  <si>
    <t xml:space="preserve">Trade       Balance </t>
  </si>
  <si>
    <t xml:space="preserve">Current            Account        Balance         </t>
  </si>
  <si>
    <t>Crude Petroleum</t>
  </si>
  <si>
    <t xml:space="preserve">Total     Imports        </t>
  </si>
  <si>
    <t>Total   (15 through 35)</t>
  </si>
  <si>
    <t xml:space="preserve">Balance   of Trade         </t>
  </si>
  <si>
    <t xml:space="preserve"> '000'          Metres </t>
  </si>
  <si>
    <t xml:space="preserve"> '000'          Bales</t>
  </si>
  <si>
    <t xml:space="preserve"> Metric      Tons</t>
  </si>
  <si>
    <t xml:space="preserve">  Lac            Sticks</t>
  </si>
  <si>
    <t xml:space="preserve">  Metric   Tons</t>
  </si>
  <si>
    <t xml:space="preserve"> '000'        Gross Box</t>
  </si>
  <si>
    <t xml:space="preserve"> Metric     Tons</t>
  </si>
  <si>
    <t xml:space="preserve"> Metric        Tons</t>
  </si>
  <si>
    <t>End of    Period</t>
  </si>
  <si>
    <t>End of        Period</t>
  </si>
  <si>
    <t xml:space="preserve">  End of          Period</t>
  </si>
  <si>
    <t xml:space="preserve"> Total Number             of Companies</t>
  </si>
  <si>
    <t>Total Number                of Companies</t>
  </si>
  <si>
    <t xml:space="preserve">  End of       Period</t>
  </si>
  <si>
    <t>Excise         Duty</t>
  </si>
  <si>
    <t>Land                 Revenue</t>
  </si>
  <si>
    <t>Other          Taxes</t>
  </si>
  <si>
    <t>Total              Tax</t>
  </si>
  <si>
    <t xml:space="preserve"> Forest       Revenue</t>
  </si>
  <si>
    <r>
      <t xml:space="preserve">  3) 5 years Wage Earners Development Bond</t>
    </r>
    <r>
      <rPr>
        <b/>
        <vertAlign val="superscript"/>
        <sz val="9"/>
        <color indexed="8"/>
        <rFont val="Times New Roman"/>
        <family val="1"/>
      </rPr>
      <t>(1)</t>
    </r>
  </si>
  <si>
    <r>
      <t xml:space="preserve">  4) 3 years USD Premium Bond</t>
    </r>
    <r>
      <rPr>
        <b/>
        <vertAlign val="superscript"/>
        <sz val="9"/>
        <color indexed="8"/>
        <rFont val="Arial Narrow"/>
        <family val="2"/>
      </rPr>
      <t xml:space="preserve"> </t>
    </r>
    <r>
      <rPr>
        <b/>
        <sz val="9"/>
        <color indexed="8"/>
        <rFont val="Arial Narrow"/>
        <family val="2"/>
      </rPr>
      <t>for non-resident Bangladeshi</t>
    </r>
    <r>
      <rPr>
        <b/>
        <vertAlign val="superscript"/>
        <sz val="9"/>
        <color indexed="8"/>
        <rFont val="Arial Narrow"/>
        <family val="2"/>
      </rPr>
      <t>(2)</t>
    </r>
  </si>
  <si>
    <r>
      <t xml:space="preserve">  5) 3 years USD Investment Bond for non-resident Bangladeshi</t>
    </r>
    <r>
      <rPr>
        <b/>
        <vertAlign val="superscript"/>
        <sz val="8.5"/>
        <color indexed="8"/>
        <rFont val="Arial Narrow"/>
        <family val="2"/>
      </rPr>
      <t>(3)</t>
    </r>
    <r>
      <rPr>
        <b/>
        <sz val="8.5"/>
        <color indexed="8"/>
        <rFont val="Arial Narrow"/>
        <family val="2"/>
      </rPr>
      <t xml:space="preserve"> </t>
    </r>
  </si>
  <si>
    <t>Foreign           Exchange       Reserves      (end period)</t>
  </si>
  <si>
    <t xml:space="preserve"> Raw Jute</t>
  </si>
  <si>
    <t>Total (1+2)</t>
  </si>
  <si>
    <t>End                  of             Period</t>
  </si>
  <si>
    <t xml:space="preserve"> 27.02.13</t>
  </si>
  <si>
    <t>CIV</t>
  </si>
  <si>
    <t xml:space="preserve">  1) Post Office Savings Deposits</t>
  </si>
  <si>
    <t xml:space="preserve">  2) Interest Rates on National Savings Certificates</t>
  </si>
  <si>
    <t>18.05.16</t>
  </si>
  <si>
    <t>22.06.16</t>
  </si>
  <si>
    <t>03.08.16</t>
  </si>
  <si>
    <t>07.09.16</t>
  </si>
  <si>
    <t>05.10.16</t>
  </si>
  <si>
    <t>02.11.16</t>
  </si>
  <si>
    <t>05.09.12</t>
  </si>
  <si>
    <t>03.10.12</t>
  </si>
  <si>
    <t>07.11.12</t>
  </si>
  <si>
    <t>07.11.17</t>
  </si>
  <si>
    <t>05.12.12</t>
  </si>
  <si>
    <t>02.01.13</t>
  </si>
  <si>
    <t>06.02.13</t>
  </si>
  <si>
    <t>06.03.13</t>
  </si>
  <si>
    <t>06.03.18</t>
  </si>
  <si>
    <t>23.10.11</t>
  </si>
  <si>
    <t>23.10.20</t>
  </si>
  <si>
    <t>11.04.12</t>
  </si>
  <si>
    <t>16.05.12</t>
  </si>
  <si>
    <t>11.04.22</t>
  </si>
  <si>
    <t>16.05.22</t>
  </si>
  <si>
    <t>13.06.12</t>
  </si>
  <si>
    <t>13.06.22</t>
  </si>
  <si>
    <t>11.07.12</t>
  </si>
  <si>
    <t>22.08.12</t>
  </si>
  <si>
    <t>22.08.22</t>
  </si>
  <si>
    <t>12.09.12</t>
  </si>
  <si>
    <t>10.10.12</t>
  </si>
  <si>
    <t>10.10.22</t>
  </si>
  <si>
    <t>14.11.12</t>
  </si>
  <si>
    <t>12.12.12</t>
  </si>
  <si>
    <t>09.01.13</t>
  </si>
  <si>
    <t>13.02.13</t>
  </si>
  <si>
    <t>13.03.13</t>
  </si>
  <si>
    <t>13.03.23</t>
  </si>
  <si>
    <t>23.10.23</t>
  </si>
  <si>
    <t>23.10.24</t>
  </si>
  <si>
    <t>18.04.12</t>
  </si>
  <si>
    <t>18.04.27</t>
  </si>
  <si>
    <t>23.05.12</t>
  </si>
  <si>
    <t>23.05.27</t>
  </si>
  <si>
    <t>20.06.12</t>
  </si>
  <si>
    <t>20.06.27</t>
  </si>
  <si>
    <t>18.07.12</t>
  </si>
  <si>
    <t>18.07.27</t>
  </si>
  <si>
    <t>19.09.12</t>
  </si>
  <si>
    <t>19.09.27</t>
  </si>
  <si>
    <t>17.10.12</t>
  </si>
  <si>
    <t>17.10.27</t>
  </si>
  <si>
    <t>21.11.12</t>
  </si>
  <si>
    <t>21.11.27</t>
  </si>
  <si>
    <t>19.12.12</t>
  </si>
  <si>
    <t>19.12.27</t>
  </si>
  <si>
    <t>16.01.13</t>
  </si>
  <si>
    <t>16.01.28</t>
  </si>
  <si>
    <t>20.02.13</t>
  </si>
  <si>
    <t>20.02.28</t>
  </si>
  <si>
    <t xml:space="preserve"> 24.08.31</t>
  </si>
  <si>
    <t>23.11.11</t>
  </si>
  <si>
    <t>23.11.31</t>
  </si>
  <si>
    <r>
      <t>SURVEY ( M2</t>
    </r>
    <r>
      <rPr>
        <b/>
        <vertAlign val="subscript"/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)</t>
    </r>
  </si>
  <si>
    <t xml:space="preserve"> Broad          Money        (M2)      (3+13)</t>
  </si>
  <si>
    <r>
      <t>SURVEY ( M3</t>
    </r>
    <r>
      <rPr>
        <b/>
        <vertAlign val="subscript"/>
        <sz val="12"/>
        <color indexed="8"/>
        <rFont val="Times New Roman"/>
        <family val="1"/>
      </rPr>
      <t xml:space="preserve"> </t>
    </r>
    <r>
      <rPr>
        <b/>
        <sz val="12"/>
        <color indexed="8"/>
        <rFont val="Times New Roman"/>
        <family val="1"/>
      </rPr>
      <t>)</t>
    </r>
  </si>
  <si>
    <t>Broad         Money         (M3)     (4+17)</t>
  </si>
  <si>
    <t>Currency    Outside       Banks        (3-4)</t>
  </si>
  <si>
    <t>End            of       Period</t>
  </si>
  <si>
    <t>From      Banks</t>
  </si>
  <si>
    <t>Time     Deposits</t>
  </si>
  <si>
    <t>Total   (8+9)</t>
  </si>
  <si>
    <t>Narrow         Money         (M1) (5+8+12)</t>
  </si>
  <si>
    <t>Broad          Money       (M2)      (9+13)</t>
  </si>
  <si>
    <t>Post     Office Deposits</t>
  </si>
  <si>
    <t>Inter          Bank    Bills</t>
  </si>
  <si>
    <t xml:space="preserve"> Private    Bills</t>
  </si>
  <si>
    <t>Inter         Bank          Invest-   ment</t>
  </si>
  <si>
    <t>To       Public</t>
  </si>
  <si>
    <t>To         Private</t>
  </si>
  <si>
    <t>To          Public      (18+22+26) </t>
  </si>
  <si>
    <t>To             Private     (19+23+27)</t>
  </si>
  <si>
    <t>From      Govern-   ment</t>
  </si>
  <si>
    <t xml:space="preserve">  From        BB</t>
  </si>
  <si>
    <t>From      Other Financial Institutions</t>
  </si>
  <si>
    <t xml:space="preserve">                           DMBs  Credit                            (Advances + Bills + Investment) </t>
  </si>
  <si>
    <t xml:space="preserve">  From        Inter-    Banks</t>
  </si>
  <si>
    <t>14.09.11</t>
  </si>
  <si>
    <t>14.09.21</t>
  </si>
  <si>
    <t>12.10.11</t>
  </si>
  <si>
    <t>12.10.21</t>
  </si>
  <si>
    <t>10.11.11</t>
  </si>
  <si>
    <t>10.11.21</t>
  </si>
  <si>
    <t>14.12.11</t>
  </si>
  <si>
    <t>14.12.21</t>
  </si>
  <si>
    <t>11.01.12</t>
  </si>
  <si>
    <t>11.01.22</t>
  </si>
  <si>
    <t>15.02.12</t>
  </si>
  <si>
    <t>15.02.22</t>
  </si>
  <si>
    <t>14.03.12</t>
  </si>
  <si>
    <t>14.03.22</t>
  </si>
  <si>
    <t>11.05.11</t>
  </si>
  <si>
    <t>11.05.26</t>
  </si>
  <si>
    <t>15.06.11</t>
  </si>
  <si>
    <t>15.06.26</t>
  </si>
  <si>
    <t>17.08.11</t>
  </si>
  <si>
    <t>17.08.26</t>
  </si>
  <si>
    <t>21.09.11</t>
  </si>
  <si>
    <t>21.09.26</t>
  </si>
  <si>
    <t>19.10.11</t>
  </si>
  <si>
    <t>19.10.26</t>
  </si>
  <si>
    <t>16.11.11</t>
  </si>
  <si>
    <t>16.11.26</t>
  </si>
  <si>
    <t>21.12.11</t>
  </si>
  <si>
    <t>21.12.26</t>
  </si>
  <si>
    <t>18.01.12</t>
  </si>
  <si>
    <t>18.01.27</t>
  </si>
  <si>
    <t>22.02.12</t>
  </si>
  <si>
    <t>22.02.27</t>
  </si>
  <si>
    <t>21.03.12</t>
  </si>
  <si>
    <t>21.03.27</t>
  </si>
  <si>
    <t xml:space="preserve">Note  : </t>
  </si>
  <si>
    <t xml:space="preserve">      Turn Over            (Tk. in crore)                                        </t>
  </si>
  <si>
    <t xml:space="preserve">    Total Issued          Capital  (Tk. in crore)</t>
  </si>
  <si>
    <t>03.04.13</t>
  </si>
  <si>
    <t>03.04.18</t>
  </si>
  <si>
    <t>CV</t>
  </si>
  <si>
    <t>10.04.13</t>
  </si>
  <si>
    <t>10.04.23</t>
  </si>
  <si>
    <t>20.03.13</t>
  </si>
  <si>
    <t>20.03.28</t>
  </si>
  <si>
    <t xml:space="preserve"> 27.03.13</t>
  </si>
  <si>
    <t>13.24*</t>
  </si>
  <si>
    <t>08.05.13</t>
  </si>
  <si>
    <t>08.05.18</t>
  </si>
  <si>
    <t>CVI</t>
  </si>
  <si>
    <t>15.05.13</t>
  </si>
  <si>
    <t>15.05.23</t>
  </si>
  <si>
    <t>17.04.13</t>
  </si>
  <si>
    <t>17.04.28</t>
  </si>
  <si>
    <t xml:space="preserve"> 24.04.13</t>
  </si>
  <si>
    <t>15.24</t>
  </si>
  <si>
    <t>6.23</t>
  </si>
  <si>
    <t>05.06.13</t>
  </si>
  <si>
    <t>05.06.18</t>
  </si>
  <si>
    <t>12.06.13</t>
  </si>
  <si>
    <t>12.06.23</t>
  </si>
  <si>
    <t>CVII</t>
  </si>
  <si>
    <t>22.05.13</t>
  </si>
  <si>
    <t>22.05.28</t>
  </si>
  <si>
    <t xml:space="preserve"> 29.05.13</t>
  </si>
  <si>
    <t xml:space="preserve"> 23.01.33</t>
  </si>
  <si>
    <t xml:space="preserve"> 27.02.33</t>
  </si>
  <si>
    <t xml:space="preserve"> 27.03.33</t>
  </si>
  <si>
    <t xml:space="preserve"> 24.04.33</t>
  </si>
  <si>
    <t xml:space="preserve"> 29.05.33</t>
  </si>
  <si>
    <t>448839</t>
  </si>
  <si>
    <t>225</t>
  </si>
  <si>
    <t>239</t>
  </si>
  <si>
    <t>26982</t>
  </si>
  <si>
    <t>29607</t>
  </si>
  <si>
    <t>4.00-5.00</t>
  </si>
  <si>
    <t>09.07.13</t>
  </si>
  <si>
    <t>09.07.18</t>
  </si>
  <si>
    <t>19.06.13</t>
  </si>
  <si>
    <t>19.06.28</t>
  </si>
  <si>
    <t xml:space="preserve"> 26.06.13</t>
  </si>
  <si>
    <t xml:space="preserve"> 26.06.33</t>
  </si>
  <si>
    <t xml:space="preserve">2-year (BD)Govt. Treasury Bond </t>
  </si>
  <si>
    <t>10 years (Agrani Bank) SPTB</t>
  </si>
  <si>
    <t>29.06.13</t>
  </si>
  <si>
    <t>29.06.23</t>
  </si>
  <si>
    <t>10 years (Janata Bank) SPTB</t>
  </si>
  <si>
    <t>10 years (Sonali Bank) SPTB</t>
  </si>
  <si>
    <t>7 years (BPC)(Agrani Bank) SPTB</t>
  </si>
  <si>
    <t>29.06.20</t>
  </si>
  <si>
    <t>29.06.21</t>
  </si>
  <si>
    <t>8 years (Agrani Bank) SPTB</t>
  </si>
  <si>
    <t>09.07.08</t>
  </si>
  <si>
    <t>09.07.23</t>
  </si>
  <si>
    <t>7 years (BPC)(Janata Bank) SPTB</t>
  </si>
  <si>
    <t>7 years (BPC)(Sonali Bank) SPTB</t>
  </si>
  <si>
    <t>8 years (Janata Bank) SPTB</t>
  </si>
  <si>
    <t>8 years (Sonali Bank) SPTB</t>
  </si>
  <si>
    <t>Total    Liqui-      dity     (M2) </t>
  </si>
  <si>
    <t>No. of Instruments</t>
  </si>
  <si>
    <t>Total No. of Branches of State Owned Commerc-ial Banks </t>
  </si>
  <si>
    <t>Ratio of Cash in hand and balances with the BB to Deposits (in percent)</t>
  </si>
  <si>
    <t>Note  :</t>
  </si>
  <si>
    <t>1. Weighted average rates of interest on scheduled banks deposits &amp; advances have been introduced monthly basis instead of  quarterly</t>
  </si>
  <si>
    <t>2013-14</t>
  </si>
  <si>
    <t>2013 - 14</t>
  </si>
  <si>
    <t>CVIII</t>
  </si>
  <si>
    <t xml:space="preserve">  24.07.13</t>
  </si>
  <si>
    <t xml:space="preserve"> 24.07.13</t>
  </si>
  <si>
    <t xml:space="preserve"> 24.07.33</t>
  </si>
  <si>
    <t xml:space="preserve">   Urea        (US $/ MT)</t>
  </si>
  <si>
    <t xml:space="preserve">    Sugar                                              (US cents/pound)</t>
  </si>
  <si>
    <t>Rice             (US $/MT)</t>
  </si>
  <si>
    <t xml:space="preserve">  Petroleum              (US$/ Barrel)</t>
  </si>
  <si>
    <t>General Index/ DSE Broad Index*</t>
  </si>
  <si>
    <t xml:space="preserve"> DSE Broad                   Index</t>
  </si>
  <si>
    <t>14.08.13</t>
  </si>
  <si>
    <t>11.09.13</t>
  </si>
  <si>
    <t>11.09.18</t>
  </si>
  <si>
    <t>17.07.13</t>
  </si>
  <si>
    <t>17.07.23</t>
  </si>
  <si>
    <t>21.08.13</t>
  </si>
  <si>
    <t>21.08.23</t>
  </si>
  <si>
    <t xml:space="preserve">  29.08.13</t>
  </si>
  <si>
    <t xml:space="preserve">  24.07.28</t>
  </si>
  <si>
    <t xml:space="preserve"> 29.08.28</t>
  </si>
  <si>
    <t xml:space="preserve"> 29.08.13</t>
  </si>
  <si>
    <t xml:space="preserve"> 29.08.33</t>
  </si>
  <si>
    <t>Gold (Guinea)        (Tk. per 10 gms.) </t>
  </si>
  <si>
    <t>Cow Hides Raw                     (Tk. per piece)</t>
  </si>
  <si>
    <t>White Middle           (Kutcha bales)                (Tk. per 100 kg.) </t>
  </si>
  <si>
    <t>Aman Rice               (Medium)                     (Tk. per kg.)</t>
  </si>
  <si>
    <t>Export of Tea                 (Average Quality)                      (Tk. per kg.)</t>
  </si>
  <si>
    <t>Goat Skins                           (Tk. per piece)</t>
  </si>
  <si>
    <t xml:space="preserve"> Total                        (1+2)</t>
  </si>
  <si>
    <t>Midland Bank</t>
  </si>
  <si>
    <t>NRB Bank</t>
  </si>
  <si>
    <t>NRB Commercial Bank</t>
  </si>
  <si>
    <t xml:space="preserve"> Trust Bank</t>
  </si>
  <si>
    <t xml:space="preserve">                      BANK WISE ANNOUNCED INTEREST RATE STRUCTURE </t>
  </si>
  <si>
    <t>Meghna Bank</t>
  </si>
  <si>
    <t xml:space="preserve"> Rice                 (US $/MT) </t>
  </si>
  <si>
    <t xml:space="preserve">  Super        phosphate       (US $/ MT)</t>
  </si>
  <si>
    <t>Period      Average</t>
  </si>
  <si>
    <t>End          Period</t>
  </si>
  <si>
    <t xml:space="preserve"> End                  Period</t>
  </si>
  <si>
    <t>End Period</t>
  </si>
  <si>
    <t>Period Average</t>
  </si>
  <si>
    <t>09.10.13</t>
  </si>
  <si>
    <t>09.10.18</t>
  </si>
  <si>
    <t xml:space="preserve">  25.09.13</t>
  </si>
  <si>
    <t xml:space="preserve">  25.09.28</t>
  </si>
  <si>
    <t xml:space="preserve">  23.10.13</t>
  </si>
  <si>
    <t xml:space="preserve"> 23.10.28</t>
  </si>
  <si>
    <t xml:space="preserve"> 25.09.13</t>
  </si>
  <si>
    <t xml:space="preserve"> 25.09.33</t>
  </si>
  <si>
    <t xml:space="preserve"> 23.10.13</t>
  </si>
  <si>
    <t xml:space="preserve"> 23.10.33</t>
  </si>
  <si>
    <t>SBACBL</t>
  </si>
  <si>
    <t>FBL</t>
  </si>
  <si>
    <t>MONTHLY AVERAGE CALL MONEY MARKET RATES (Weighted Average)</t>
  </si>
  <si>
    <t xml:space="preserve">         SOME INDICATORS OF INCOME, EXPENDITURE &amp; </t>
  </si>
  <si>
    <t xml:space="preserve">   PROFITABILITY  OF THE BANKING SECTOR</t>
  </si>
  <si>
    <t>13.11.13</t>
  </si>
  <si>
    <t>13.11.18</t>
  </si>
  <si>
    <t>20.11.13</t>
  </si>
  <si>
    <t>20.11.23</t>
  </si>
  <si>
    <t xml:space="preserve">  27.11.13</t>
  </si>
  <si>
    <t xml:space="preserve"> 27.11.28</t>
  </si>
  <si>
    <t xml:space="preserve"> 27.11.13</t>
  </si>
  <si>
    <t xml:space="preserve"> 27.11.33</t>
  </si>
  <si>
    <t>11.12.13</t>
  </si>
  <si>
    <t>11.12.18</t>
  </si>
  <si>
    <t>2012-13*</t>
  </si>
  <si>
    <t>15.12.13</t>
  </si>
  <si>
    <t>15.12.18</t>
  </si>
  <si>
    <t>15.01.14</t>
  </si>
  <si>
    <t>15.01.19</t>
  </si>
  <si>
    <t>26.12.13</t>
  </si>
  <si>
    <t>26.12.28</t>
  </si>
  <si>
    <t>26.12.33</t>
  </si>
  <si>
    <t xml:space="preserve">Figures relating to Islamic Investment Bond is re-classified as claims on other public sector instead of other assets </t>
  </si>
  <si>
    <t>12.02.14</t>
  </si>
  <si>
    <t>12.02.19</t>
  </si>
  <si>
    <t>29.01.14</t>
  </si>
  <si>
    <t>29.01.34</t>
  </si>
  <si>
    <t>29.01.29</t>
  </si>
  <si>
    <t>26.02.14</t>
  </si>
  <si>
    <t>26.02.34</t>
  </si>
  <si>
    <t>26.02.29</t>
  </si>
  <si>
    <t>19.03.14</t>
  </si>
  <si>
    <t>19.03.24</t>
  </si>
  <si>
    <t>12.03.14</t>
  </si>
  <si>
    <t>12.03.19</t>
  </si>
  <si>
    <t>8.00-11.00</t>
  </si>
  <si>
    <t>Short Term FC Deposit Liabilities</t>
  </si>
  <si>
    <t>09.04.14</t>
  </si>
  <si>
    <t>09.04.19</t>
  </si>
  <si>
    <t>27.03.14</t>
  </si>
  <si>
    <t>27.03.29</t>
  </si>
  <si>
    <t>23.04.14</t>
  </si>
  <si>
    <t>23.04.29</t>
  </si>
  <si>
    <t>27.03.34</t>
  </si>
  <si>
    <t>23.04.34</t>
  </si>
  <si>
    <t>6.00-7.00</t>
  </si>
  <si>
    <t>9.00-12.00</t>
  </si>
  <si>
    <t>14.05.14</t>
  </si>
  <si>
    <t>14.05.19</t>
  </si>
  <si>
    <t>06.10.20</t>
  </si>
  <si>
    <t>LXXXI</t>
  </si>
  <si>
    <t>28.05.14</t>
  </si>
  <si>
    <t>28.05.34</t>
  </si>
  <si>
    <t>25.06.34</t>
  </si>
  <si>
    <t>25.06.14</t>
  </si>
  <si>
    <t>28.05.29</t>
  </si>
  <si>
    <t>25.06.29</t>
  </si>
  <si>
    <t>11.06.14</t>
  </si>
  <si>
    <t>11.06.19</t>
  </si>
  <si>
    <t>2011-12*</t>
  </si>
  <si>
    <t>646342</t>
  </si>
  <si>
    <t>14.83</t>
  </si>
  <si>
    <t>6.46</t>
  </si>
  <si>
    <t>688493</t>
  </si>
  <si>
    <t>15.22</t>
  </si>
  <si>
    <t>6.52</t>
  </si>
  <si>
    <t>729897</t>
  </si>
  <si>
    <t>6.01</t>
  </si>
  <si>
    <t>13.62</t>
  </si>
  <si>
    <t>15.37</t>
  </si>
  <si>
    <t>15.58</t>
  </si>
  <si>
    <t>09.07.14</t>
  </si>
  <si>
    <t>09.07.19</t>
  </si>
  <si>
    <t>16.07.14</t>
  </si>
  <si>
    <t>16.07.24</t>
  </si>
  <si>
    <t>9.00-11.00</t>
  </si>
  <si>
    <t>2014-15</t>
  </si>
  <si>
    <t>13.08.14</t>
  </si>
  <si>
    <t>13.08.19</t>
  </si>
  <si>
    <t>23.07.14</t>
  </si>
  <si>
    <t>23.07.29</t>
  </si>
  <si>
    <t>27.08.14</t>
  </si>
  <si>
    <t>27.08.29</t>
  </si>
  <si>
    <t>23.07.34</t>
  </si>
  <si>
    <t>27.08.34</t>
  </si>
  <si>
    <t>10.09.14</t>
  </si>
  <si>
    <t>10.09.19</t>
  </si>
  <si>
    <t>24.09.14</t>
  </si>
  <si>
    <t>24.09.29</t>
  </si>
  <si>
    <t>24.09.34</t>
  </si>
  <si>
    <t>4.00-6.00</t>
  </si>
  <si>
    <t>788602</t>
  </si>
  <si>
    <t>746761</t>
  </si>
  <si>
    <t>697469</t>
  </si>
  <si>
    <t>51311</t>
  </si>
  <si>
    <t>49265</t>
  </si>
  <si>
    <t>46610</t>
  </si>
  <si>
    <t>12.59**</t>
  </si>
  <si>
    <t>13.19***</t>
  </si>
  <si>
    <t>13.45****</t>
  </si>
  <si>
    <t>11.80*****</t>
  </si>
  <si>
    <t>12.00*****</t>
  </si>
  <si>
    <t>15.10.14</t>
  </si>
  <si>
    <t>15.10.19</t>
  </si>
  <si>
    <t>9.00-10.00</t>
  </si>
  <si>
    <t xml:space="preserve">                                                                  BANK WISE ANNOUNCED INTEREST RATE STRUCTURE </t>
  </si>
  <si>
    <t>MMBL</t>
  </si>
  <si>
    <t>NRBGBL</t>
  </si>
  <si>
    <t xml:space="preserve">Joint Director            </t>
  </si>
  <si>
    <t>2012**</t>
  </si>
  <si>
    <t>12.11.14</t>
  </si>
  <si>
    <t>12.11.19</t>
  </si>
  <si>
    <t>19.11.14</t>
  </si>
  <si>
    <t>19.11.24</t>
  </si>
  <si>
    <t>29.10.14</t>
  </si>
  <si>
    <t>29.10.29</t>
  </si>
  <si>
    <t>26.11.14</t>
  </si>
  <si>
    <t>26.11.29</t>
  </si>
  <si>
    <t>26.11.34</t>
  </si>
  <si>
    <t>29.10.34</t>
  </si>
  <si>
    <t>29.12.30</t>
  </si>
  <si>
    <t>Iron Ore (US $ /MT)</t>
  </si>
  <si>
    <t>China (CFR Tianjin Port)</t>
  </si>
  <si>
    <t>10.12.14</t>
  </si>
  <si>
    <t>10.12.19</t>
  </si>
  <si>
    <t>Union Bank Ltd.</t>
  </si>
  <si>
    <t>IIG</t>
  </si>
  <si>
    <t>E-Banking &amp; E-Commerce Statistics</t>
  </si>
  <si>
    <t>IXA</t>
  </si>
  <si>
    <t>IXB</t>
  </si>
  <si>
    <t>IXC</t>
  </si>
  <si>
    <t>XIIA</t>
  </si>
  <si>
    <t>XIIB</t>
  </si>
  <si>
    <t>TABLE-VI</t>
  </si>
  <si>
    <t xml:space="preserve">TABLE- VII </t>
  </si>
  <si>
    <t>TABLE-VIII</t>
  </si>
  <si>
    <t>TABLE-IXA</t>
  </si>
  <si>
    <t>TABLE-IXB</t>
  </si>
  <si>
    <t>TABLE-IXC</t>
  </si>
  <si>
    <t>TABLE-XI</t>
  </si>
  <si>
    <t>TABLE-XIIA (Contd.)</t>
  </si>
  <si>
    <t>TABLE-XIIA (Concld.)</t>
  </si>
  <si>
    <t>TABLE-XIIB</t>
  </si>
  <si>
    <t>TABLE-XIII (Contd.)</t>
  </si>
  <si>
    <t>TABLE-XIII (Concld.)</t>
  </si>
  <si>
    <t>TABLE-XIV</t>
  </si>
  <si>
    <t xml:space="preserve">TABLE-XVII (Contd.) </t>
  </si>
  <si>
    <t xml:space="preserve">TABLE-XVII (Concld.) </t>
  </si>
  <si>
    <t>TABLE-XIX</t>
  </si>
  <si>
    <t>TABLE-XX (Contd.)</t>
  </si>
  <si>
    <t>TABLE-XX (Concld.)</t>
  </si>
  <si>
    <t>TABLE-XXI (Contd.)</t>
  </si>
  <si>
    <t>TABLE-XXI (Concld.)</t>
  </si>
  <si>
    <t>TABLE-XXII</t>
  </si>
  <si>
    <t>Table-XXIII</t>
  </si>
  <si>
    <t xml:space="preserve">                E-BANKING &amp;  E-COMMERCE STATISTICS                   </t>
  </si>
  <si>
    <t xml:space="preserve">Period /Cluster of Banks </t>
  </si>
  <si>
    <t>Cheque Clearing</t>
  </si>
  <si>
    <t>Electronic Fund Transfers (Outward)</t>
  </si>
  <si>
    <t>Cards Transactions</t>
  </si>
  <si>
    <t>Mobile Banking</t>
  </si>
  <si>
    <t>Agent Banking</t>
  </si>
  <si>
    <t>Credit Cards</t>
  </si>
  <si>
    <t>Debit Cards</t>
  </si>
  <si>
    <t>Prepaid Cards Transactions</t>
  </si>
  <si>
    <t xml:space="preserve">Internationally Issued Cards Transactions                   </t>
  </si>
  <si>
    <t>Internationally Issued Cards Transactions</t>
  </si>
  <si>
    <t>MICR Clearing</t>
  </si>
  <si>
    <t>Non-MICR Clearing</t>
  </si>
  <si>
    <t>Usage at POS</t>
  </si>
  <si>
    <t>E-commerce</t>
  </si>
  <si>
    <t>Outstanding Credit (as on)</t>
  </si>
  <si>
    <t>Usage at ATMs</t>
  </si>
  <si>
    <t xml:space="preserve">    E-Commerce          </t>
  </si>
  <si>
    <t>Prepaid Cards</t>
  </si>
  <si>
    <t>No. of Internet Banking Customers (as on)</t>
  </si>
  <si>
    <t>Internet Banking Transactions</t>
  </si>
  <si>
    <t>No. of Mobile Banking Agents (as on)</t>
  </si>
  <si>
    <t>Mobile Banking Transactions</t>
  </si>
  <si>
    <t>No. of Mobile Banking Subscribers (as on)</t>
  </si>
  <si>
    <t>No. of Agents (as on)</t>
  </si>
  <si>
    <t>Agent Banking Transactions</t>
  </si>
  <si>
    <t>No. of Agent Banking Subscribers (as on)</t>
  </si>
  <si>
    <t>Local Transac-tions  (Issuing)</t>
  </si>
  <si>
    <t>Abroad Transac-tions (Issuing)</t>
  </si>
  <si>
    <t>Local Transac-tions (Issuing)</t>
  </si>
  <si>
    <t>Local Transactions (Issuing)</t>
  </si>
  <si>
    <t>Abroad Transactions (Issuing)</t>
  </si>
  <si>
    <t>ATM Transactions (Acquiring)</t>
  </si>
  <si>
    <t>POS Transactions (Acquiring)</t>
  </si>
  <si>
    <t>E-Commerce Transactions (Acquiring)</t>
  </si>
  <si>
    <t xml:space="preserve">No. of Transac-tions </t>
  </si>
  <si>
    <t xml:space="preserve">Amount (Tk. in Crore) </t>
  </si>
  <si>
    <t>No. of Transac-tions</t>
  </si>
  <si>
    <t>Amount (Tk. in Crore)</t>
  </si>
  <si>
    <t>No. of Transactions</t>
  </si>
  <si>
    <t>Number</t>
  </si>
  <si>
    <t>3=1+2</t>
  </si>
  <si>
    <t>11=5+6+7+8+9+10</t>
  </si>
  <si>
    <t>19=13+14+15+16+17+18</t>
  </si>
  <si>
    <t>25=22+23+24</t>
  </si>
  <si>
    <t>26=11+19+20+21+25</t>
  </si>
  <si>
    <t xml:space="preserve">             Usage at     ATMs</t>
  </si>
  <si>
    <t xml:space="preserve">              E-BANKING &amp;  E-COMMERCE STATISTICS                   </t>
  </si>
  <si>
    <t xml:space="preserve">Note: </t>
  </si>
  <si>
    <t>SCBs</t>
  </si>
  <si>
    <t>SBs</t>
  </si>
  <si>
    <t>PCBs</t>
  </si>
  <si>
    <t>Table IIG (Contd.)</t>
  </si>
  <si>
    <t>Cards   Transactions</t>
  </si>
  <si>
    <t>Internet   Banking</t>
  </si>
  <si>
    <t>No. of POS (in actual) (as on)</t>
  </si>
  <si>
    <t xml:space="preserve">                 E-BANKING &amp; ECOMMERCE STATISTICS                   </t>
  </si>
  <si>
    <t>Table IIG (Concld.)</t>
  </si>
  <si>
    <t>No. of ATMs (in actual) (as on)</t>
  </si>
  <si>
    <t xml:space="preserve">                  Cards    Transactions                                                                                                                                                             </t>
  </si>
  <si>
    <t>14.01.15</t>
  </si>
  <si>
    <t>14.01.20</t>
  </si>
  <si>
    <t>No. of Transa-ctions</t>
  </si>
  <si>
    <t>No. of Transacti-ons</t>
  </si>
  <si>
    <t>11.02.15</t>
  </si>
  <si>
    <t>11.02.20</t>
  </si>
  <si>
    <t>Exports (fob)</t>
  </si>
  <si>
    <t>Tk/US Dollar</t>
  </si>
  <si>
    <t xml:space="preserve">Million US $ </t>
  </si>
  <si>
    <t>UK Pound Sterling</t>
  </si>
  <si>
    <t>11.03.15</t>
  </si>
  <si>
    <t>11.03.20</t>
  </si>
  <si>
    <t>FCBs</t>
  </si>
  <si>
    <t>15.04.15</t>
  </si>
  <si>
    <t>15.04.20</t>
  </si>
  <si>
    <t>22.04.15</t>
  </si>
  <si>
    <t>22.04.25</t>
  </si>
  <si>
    <t>08.09.10</t>
  </si>
  <si>
    <t xml:space="preserve">With effect from 01.07.12  </t>
  </si>
  <si>
    <t>With effect from 23.05.15  &amp; onwards</t>
  </si>
  <si>
    <t>11.28*</t>
  </si>
  <si>
    <t>11.04**</t>
  </si>
  <si>
    <t>11.28***</t>
  </si>
  <si>
    <t>11.76***</t>
  </si>
  <si>
    <t>11.52****</t>
  </si>
  <si>
    <t>774136</t>
  </si>
  <si>
    <t>12.07</t>
  </si>
  <si>
    <t>6.06</t>
  </si>
  <si>
    <t>15.79</t>
  </si>
  <si>
    <t>XXVl</t>
  </si>
  <si>
    <t>2005-06*</t>
  </si>
  <si>
    <t>482337</t>
  </si>
  <si>
    <t>516383</t>
  </si>
  <si>
    <t>547437</t>
  </si>
  <si>
    <t>575056</t>
  </si>
  <si>
    <t>607097</t>
  </si>
  <si>
    <t>509545</t>
  </si>
  <si>
    <t>549505</t>
  </si>
  <si>
    <t>589547</t>
  </si>
  <si>
    <t>620614</t>
  </si>
  <si>
    <t>656241</t>
  </si>
  <si>
    <t>13.99</t>
  </si>
  <si>
    <t>14.35</t>
  </si>
  <si>
    <t>12.15</t>
  </si>
  <si>
    <t>13.11</t>
  </si>
  <si>
    <t>6.67</t>
  </si>
  <si>
    <t>7.06</t>
  </si>
  <si>
    <t>5.05</t>
  </si>
  <si>
    <t>5.57</t>
  </si>
  <si>
    <t>13.98</t>
  </si>
  <si>
    <t>14.18</t>
  </si>
  <si>
    <t>14.38</t>
  </si>
  <si>
    <t>14.58</t>
  </si>
  <si>
    <t>14.78</t>
  </si>
  <si>
    <t>36448</t>
  </si>
  <si>
    <t>34502</t>
  </si>
  <si>
    <t>36416</t>
  </si>
  <si>
    <t>41000</t>
  </si>
  <si>
    <t>42569</t>
  </si>
  <si>
    <t>44403</t>
  </si>
  <si>
    <t>38753</t>
  </si>
  <si>
    <t>38069</t>
  </si>
  <si>
    <t>39441</t>
  </si>
  <si>
    <t>41076</t>
  </si>
  <si>
    <t>30=27+28+29</t>
  </si>
  <si>
    <t xml:space="preserve">Number </t>
  </si>
  <si>
    <t>Number of Cards (net) (as on)</t>
  </si>
  <si>
    <t>16.07.15</t>
  </si>
  <si>
    <t>16.07.20</t>
  </si>
  <si>
    <t>2015-16</t>
  </si>
  <si>
    <t>12.08.15</t>
  </si>
  <si>
    <t>12.08.20</t>
  </si>
  <si>
    <t>29.07.15</t>
  </si>
  <si>
    <t>29.07.35</t>
  </si>
  <si>
    <t>22.07.15</t>
  </si>
  <si>
    <t>22.07.25</t>
  </si>
  <si>
    <t xml:space="preserve">SCBs=State-Owned Commercial Banks; SBs = Specialized Banks; PCBs = Private Commercial Banks; FCBs= Foreign Commercial Banks </t>
  </si>
  <si>
    <t>02.09.15</t>
  </si>
  <si>
    <t>02.09.17</t>
  </si>
  <si>
    <t>09.09.15</t>
  </si>
  <si>
    <t>09.09.20</t>
  </si>
  <si>
    <t>26.08.15</t>
  </si>
  <si>
    <t>26.08.30</t>
  </si>
  <si>
    <t>16.09.15</t>
  </si>
  <si>
    <t>16.09.25</t>
  </si>
  <si>
    <t>26.08.35</t>
  </si>
  <si>
    <t>16.00-17.00</t>
  </si>
  <si>
    <t>23.09.15</t>
  </si>
  <si>
    <t>23.09.35</t>
  </si>
  <si>
    <t>23.09.30</t>
  </si>
  <si>
    <t>07.10.15</t>
  </si>
  <si>
    <t>07.10.17</t>
  </si>
  <si>
    <t>14.10.15</t>
  </si>
  <si>
    <t>14.10.20</t>
  </si>
  <si>
    <t xml:space="preserve"> Spread   (66-65)</t>
  </si>
  <si>
    <t xml:space="preserve"> Spread   (69-68)</t>
  </si>
  <si>
    <t xml:space="preserve">... = Not Available </t>
  </si>
  <si>
    <r>
      <t>Total Expenditure</t>
    </r>
    <r>
      <rPr>
        <sz val="8"/>
        <color indexed="8"/>
        <rFont val="Times New Roman"/>
        <family val="1"/>
      </rPr>
      <t>***</t>
    </r>
  </si>
  <si>
    <t>04.11.15</t>
  </si>
  <si>
    <t>04.11.17</t>
  </si>
  <si>
    <t>11.11.15</t>
  </si>
  <si>
    <t>28.10.15</t>
  </si>
  <si>
    <t>28.10.35</t>
  </si>
  <si>
    <t>28.10.30</t>
  </si>
  <si>
    <t>18.11.15</t>
  </si>
  <si>
    <t>18.11.25</t>
  </si>
  <si>
    <t>7.00-10.00</t>
  </si>
  <si>
    <t>02.12.15</t>
  </si>
  <si>
    <t>02.12.17</t>
  </si>
  <si>
    <t>09.12.15</t>
  </si>
  <si>
    <t>09.12.20</t>
  </si>
  <si>
    <t>17.12.15</t>
  </si>
  <si>
    <t>25.11.15</t>
  </si>
  <si>
    <t>LXXXVIl</t>
  </si>
  <si>
    <t>LXXXVIIl</t>
  </si>
  <si>
    <t>XCl</t>
  </si>
  <si>
    <t>25.11.35</t>
  </si>
  <si>
    <t>25.11.30</t>
  </si>
  <si>
    <t>17.12.25</t>
  </si>
  <si>
    <t xml:space="preserve">…= Not available      </t>
  </si>
  <si>
    <t>0.00-4.00</t>
  </si>
  <si>
    <t>Jan-Mar</t>
  </si>
  <si>
    <t>Apr-Jun</t>
  </si>
  <si>
    <t>Jul-Sep</t>
  </si>
  <si>
    <t>4.00-4.50</t>
  </si>
  <si>
    <t>6.00-6.50</t>
  </si>
  <si>
    <t>9.50-10.50</t>
  </si>
  <si>
    <t>16.00-18.00</t>
  </si>
  <si>
    <t xml:space="preserve">    </t>
  </si>
  <si>
    <t>5.50-5.75</t>
  </si>
  <si>
    <t>11.00-13.00</t>
  </si>
  <si>
    <t>4.25-4.75</t>
  </si>
  <si>
    <t>06.01.16</t>
  </si>
  <si>
    <t>06.01.18</t>
  </si>
  <si>
    <t>03.02.16</t>
  </si>
  <si>
    <t>03.02.18</t>
  </si>
  <si>
    <t>13.01.16</t>
  </si>
  <si>
    <t>10.02.16</t>
  </si>
  <si>
    <t>20.01.16</t>
  </si>
  <si>
    <t>20.01.26</t>
  </si>
  <si>
    <t>27.01.16</t>
  </si>
  <si>
    <t>27.01.31</t>
  </si>
  <si>
    <t>27.01.36</t>
  </si>
  <si>
    <t>Fabruary</t>
  </si>
  <si>
    <t>02.03.16</t>
  </si>
  <si>
    <t>17.02.16</t>
  </si>
  <si>
    <t>17.02.26</t>
  </si>
  <si>
    <t>LXLI</t>
  </si>
  <si>
    <t>24.02.16</t>
  </si>
  <si>
    <t>24.02.31</t>
  </si>
  <si>
    <t>24.02.36</t>
  </si>
  <si>
    <t>31.1034768 gms.</t>
  </si>
  <si>
    <t>3.50-4.50</t>
  </si>
  <si>
    <t>10.00-14.00</t>
  </si>
  <si>
    <t>4.25-4.50</t>
  </si>
  <si>
    <t>16.00-19.00</t>
  </si>
  <si>
    <t>0.75-5.00</t>
  </si>
  <si>
    <t>5.50-8.50</t>
  </si>
  <si>
    <t>8.50-11.50</t>
  </si>
  <si>
    <t>6.50-9.50</t>
  </si>
  <si>
    <t xml:space="preserve">… = Not available  </t>
  </si>
  <si>
    <t>Local        Authorities</t>
  </si>
  <si>
    <t>824862</t>
  </si>
  <si>
    <t>878410</t>
  </si>
  <si>
    <t>12.81</t>
  </si>
  <si>
    <t>6.55</t>
  </si>
  <si>
    <t>53013</t>
  </si>
  <si>
    <t>09.03.16</t>
  </si>
  <si>
    <t>11.11.20</t>
  </si>
  <si>
    <t>13.01.21</t>
  </si>
  <si>
    <t>10.02.21</t>
  </si>
  <si>
    <t>09.03.21</t>
  </si>
  <si>
    <t>16.03.26</t>
  </si>
  <si>
    <t>23.03.16</t>
  </si>
  <si>
    <t>23.03.36</t>
  </si>
  <si>
    <t>12.25-12.75</t>
  </si>
  <si>
    <t>9.50-12.50</t>
  </si>
  <si>
    <t>10.50-13.50</t>
  </si>
  <si>
    <t>11.50-14.50</t>
  </si>
  <si>
    <t>12.00-12.50</t>
  </si>
  <si>
    <t>12.75-13.00</t>
  </si>
  <si>
    <t>12.50-12.75</t>
  </si>
  <si>
    <t>12.50-13.00</t>
  </si>
  <si>
    <t>13.50-16.50</t>
  </si>
  <si>
    <t>12.50-15.50</t>
  </si>
  <si>
    <t>13.00-15.50</t>
  </si>
  <si>
    <t>13.50-14.50</t>
  </si>
  <si>
    <t>11.50-14.00</t>
  </si>
  <si>
    <t>3.25-4.00</t>
  </si>
  <si>
    <t>9.00-17.50</t>
  </si>
  <si>
    <t>9.00-15.00</t>
  </si>
  <si>
    <t>3.00-4.00</t>
  </si>
  <si>
    <t>12.75-15.75</t>
  </si>
  <si>
    <t>14.25-17.25</t>
  </si>
  <si>
    <t>12.50-14.50</t>
  </si>
  <si>
    <t>14.75-17.75</t>
  </si>
  <si>
    <t>7.50-10.50</t>
  </si>
  <si>
    <t xml:space="preserve">   Milk &amp;      Dairy  Products</t>
  </si>
  <si>
    <t xml:space="preserve">   Deputy Director</t>
  </si>
  <si>
    <t>04.05.16</t>
  </si>
  <si>
    <t>02.03.18</t>
  </si>
  <si>
    <t>04.05.18</t>
  </si>
  <si>
    <t>06.04.16</t>
  </si>
  <si>
    <t>06.04.18</t>
  </si>
  <si>
    <t>13.04.16</t>
  </si>
  <si>
    <t>13.04.21</t>
  </si>
  <si>
    <t>20.04.26</t>
  </si>
  <si>
    <t>27.04.16</t>
  </si>
  <si>
    <t>27.04.36</t>
  </si>
  <si>
    <t>6.00-9.00</t>
  </si>
  <si>
    <t>5.00-13.00</t>
  </si>
  <si>
    <t>12.00-13.50</t>
  </si>
  <si>
    <t>10.00-16.50</t>
  </si>
  <si>
    <t>10.00-12.00</t>
  </si>
  <si>
    <t>8.75-11.75</t>
  </si>
  <si>
    <t>08.06.16</t>
  </si>
  <si>
    <t>08.06.18</t>
  </si>
  <si>
    <t>11.05.16</t>
  </si>
  <si>
    <t>11.05.21</t>
  </si>
  <si>
    <t>18.05.26</t>
  </si>
  <si>
    <t>25.05.16</t>
  </si>
  <si>
    <t>25.05.31</t>
  </si>
  <si>
    <t>LXXXL</t>
  </si>
  <si>
    <t>25.05.36</t>
  </si>
  <si>
    <t>12.00-16.00</t>
  </si>
  <si>
    <t>2.00-3.50</t>
  </si>
  <si>
    <t>4.00-4.25</t>
  </si>
  <si>
    <t>2016-17</t>
  </si>
  <si>
    <t>3.50-4.00</t>
  </si>
  <si>
    <t>Note: From period 2015 BDBL &amp; BASIC banks are treated as State Owned Banks</t>
  </si>
  <si>
    <t>13.07.16</t>
  </si>
  <si>
    <t>13.07.18</t>
  </si>
  <si>
    <t>03.08.18</t>
  </si>
  <si>
    <t>15.06.16</t>
  </si>
  <si>
    <t>15.06.21</t>
  </si>
  <si>
    <t>10.08.16</t>
  </si>
  <si>
    <t>20.07.16</t>
  </si>
  <si>
    <t>20.07.26</t>
  </si>
  <si>
    <t>22.06.26</t>
  </si>
  <si>
    <t>29.06.16</t>
  </si>
  <si>
    <t>29.06.31</t>
  </si>
  <si>
    <t>27.07.16</t>
  </si>
  <si>
    <t>27.07.31</t>
  </si>
  <si>
    <t>25.05.11</t>
  </si>
  <si>
    <t>29.06.11</t>
  </si>
  <si>
    <t>27.07.11</t>
  </si>
  <si>
    <t xml:space="preserve"> 28.09.31</t>
  </si>
  <si>
    <t>29.06.36</t>
  </si>
  <si>
    <t>27.07.36</t>
  </si>
  <si>
    <t>7.50-8.00</t>
  </si>
  <si>
    <r>
      <t>2016-17</t>
    </r>
    <r>
      <rPr>
        <b/>
        <vertAlign val="superscript"/>
        <sz val="8"/>
        <color indexed="8"/>
        <rFont val="Times New Roman"/>
        <family val="1"/>
      </rPr>
      <t>p</t>
    </r>
  </si>
  <si>
    <t>07.09.18</t>
  </si>
  <si>
    <t>17.08.16</t>
  </si>
  <si>
    <t>24.08.16</t>
  </si>
  <si>
    <t>24.08.31</t>
  </si>
  <si>
    <t>Rate of interest of Scheduled Banks (Weighted Average)</t>
  </si>
  <si>
    <t>Rate of interest of NBFIs (Weighted Average)</t>
  </si>
  <si>
    <t xml:space="preserve">2016-17 </t>
  </si>
  <si>
    <t xml:space="preserve">July </t>
  </si>
  <si>
    <t>COMPANY /SECTOR                                                                                                                                             GROUPS</t>
  </si>
  <si>
    <t>5.50-7.00</t>
  </si>
  <si>
    <t>6.25-7.00</t>
  </si>
  <si>
    <t>9.00-14.00</t>
  </si>
  <si>
    <t>7.00-15.00</t>
  </si>
  <si>
    <t>11.50-13.50</t>
  </si>
  <si>
    <t>2.88-5.88</t>
  </si>
  <si>
    <r>
      <t>2016-17</t>
    </r>
    <r>
      <rPr>
        <b/>
        <vertAlign val="superscript"/>
        <sz val="8"/>
        <color indexed="8"/>
        <rFont val="Times New Roman"/>
        <family val="1"/>
      </rPr>
      <t>(p)</t>
    </r>
  </si>
  <si>
    <t xml:space="preserve">    --- = Not Available</t>
  </si>
  <si>
    <t xml:space="preserve">Figures relating to Islamic Investment Bond are re-classified as claims on other public sector instead of other assets  </t>
  </si>
  <si>
    <t xml:space="preserve"> By NBDCs       In Taka A/C</t>
  </si>
  <si>
    <t>2016-17(p)</t>
  </si>
  <si>
    <t>05.10.18</t>
  </si>
  <si>
    <t>13.10.16</t>
  </si>
  <si>
    <t>13.10.21</t>
  </si>
  <si>
    <t>26.12.11</t>
  </si>
  <si>
    <t>26.12.17</t>
  </si>
  <si>
    <t>XCVIII</t>
  </si>
  <si>
    <t>29.09.16</t>
  </si>
  <si>
    <t>19.10.16</t>
  </si>
  <si>
    <t>28.09.16</t>
  </si>
  <si>
    <t>28.09.31</t>
  </si>
  <si>
    <t>28.09.36</t>
  </si>
  <si>
    <t>26.10.11</t>
  </si>
  <si>
    <t>24.08.11</t>
  </si>
  <si>
    <t>28.09.11</t>
  </si>
  <si>
    <t>5.00-5.25</t>
  </si>
  <si>
    <t>5.50-6.00</t>
  </si>
  <si>
    <t>5.00-8.00</t>
  </si>
  <si>
    <t>3.80-6.80</t>
  </si>
  <si>
    <t>*= New base year 2005-06</t>
  </si>
  <si>
    <t>Total       Invest-ments at Current Market Price</t>
  </si>
  <si>
    <t>02.11.18</t>
  </si>
  <si>
    <t>09.11.16</t>
  </si>
  <si>
    <t>09.11.21</t>
  </si>
  <si>
    <t>26.10.16</t>
  </si>
  <si>
    <t>26.10.31</t>
  </si>
  <si>
    <t>28.12.11</t>
  </si>
  <si>
    <t>26.10.36</t>
  </si>
  <si>
    <t>11.50-12.50</t>
  </si>
  <si>
    <t>15.00-16.50</t>
  </si>
  <si>
    <t>6.50-7.00</t>
  </si>
  <si>
    <t>11.00-11.50</t>
  </si>
  <si>
    <t>14.12.16</t>
  </si>
  <si>
    <t>16.11.16</t>
  </si>
  <si>
    <t>LXLII</t>
  </si>
  <si>
    <t>23.11.16</t>
  </si>
  <si>
    <t>23.11.36</t>
  </si>
  <si>
    <t>5.75-7.00</t>
  </si>
  <si>
    <t>3.55-6.00</t>
  </si>
  <si>
    <t>3.50-6.25</t>
  </si>
  <si>
    <t>4.75-5.00</t>
  </si>
  <si>
    <t>14.50-15.00</t>
  </si>
  <si>
    <t>5.00-15.00</t>
  </si>
  <si>
    <t xml:space="preserve">3. Md. Rafiqul Islam                                 Joint Director      </t>
  </si>
  <si>
    <t>55631</t>
  </si>
  <si>
    <t>United States (Kansas City)</t>
  </si>
  <si>
    <t>Palm Oil                         (US $/MT)</t>
  </si>
  <si>
    <t>Wheat                                                   (US $/MT)</t>
  </si>
  <si>
    <t>03.01.17</t>
  </si>
  <si>
    <t>03.01.19</t>
  </si>
  <si>
    <t>11.01.17</t>
  </si>
  <si>
    <t>21.12.16</t>
  </si>
  <si>
    <t>LXLIII</t>
  </si>
  <si>
    <t>28.12.16</t>
  </si>
  <si>
    <t>28.12.31</t>
  </si>
  <si>
    <t>28.12.36</t>
  </si>
  <si>
    <t>Import Payments</t>
  </si>
  <si>
    <t>5.00-5.75</t>
  </si>
  <si>
    <t>3.00-3.20</t>
  </si>
  <si>
    <t>3.25-3.35</t>
  </si>
  <si>
    <t>3.40-3.50</t>
  </si>
  <si>
    <t>3.80-4.00</t>
  </si>
  <si>
    <t>4.30-4.50</t>
  </si>
  <si>
    <t>9.00-11.95</t>
  </si>
  <si>
    <t>15.02.17</t>
  </si>
  <si>
    <t>05.02.22</t>
  </si>
  <si>
    <t>18.01.17</t>
  </si>
  <si>
    <t>LXLIV</t>
  </si>
  <si>
    <t>25.01.17</t>
  </si>
  <si>
    <t>25.01.32</t>
  </si>
  <si>
    <t>XCX</t>
  </si>
  <si>
    <t>25.01.37</t>
  </si>
  <si>
    <t>Government Notes &amp; Coins</t>
  </si>
  <si>
    <t>=100 &amp; new base 2005-06=100)</t>
  </si>
  <si>
    <t>=100 &amp; new base 2005-16=100)</t>
  </si>
  <si>
    <t xml:space="preserve">Import data are on C&amp;F/CIF basis upto June 2014 and fob basis from July 2014 &amp; onwards                                                                                                       </t>
  </si>
  <si>
    <t>from October 2004 to December 2015 and again reclassified as claims on Govt. from January 2016 &amp; onwards</t>
  </si>
  <si>
    <t>3. Export data are shipment based &amp; Import data are on C&amp;F/CIF basis upto June 2014 and fob basis from July 2014 &amp; onwards</t>
  </si>
  <si>
    <t>Statistics Department,  Bangladesh Bank  </t>
  </si>
  <si>
    <t>Statistics Department , Bangladesh Bank  </t>
  </si>
  <si>
    <t>Statistics Department, Bangladesh Bank  </t>
  </si>
  <si>
    <t>Statistics Department, Bangladesh Bank</t>
  </si>
  <si>
    <r>
      <t xml:space="preserve">Source : </t>
    </r>
    <r>
      <rPr>
        <sz val="7"/>
        <rFont val="Times New Roman"/>
        <family val="1"/>
      </rPr>
      <t xml:space="preserve"> Statistics Department, Bangladesh Bank</t>
    </r>
  </si>
  <si>
    <t xml:space="preserve">     Source: Statistics Department, Bangladesh Bank</t>
  </si>
  <si>
    <t xml:space="preserve">Source: Statistics Department, Bangladesh Bank   </t>
  </si>
  <si>
    <t xml:space="preserve">Statistics Department,   Bangladesh Bank      </t>
  </si>
  <si>
    <r>
      <rPr>
        <b/>
        <sz val="8"/>
        <rFont val="Times New Roman"/>
        <family val="1"/>
      </rPr>
      <t>Source  :</t>
    </r>
    <r>
      <rPr>
        <sz val="8"/>
        <rFont val="Times New Roman"/>
        <family val="1"/>
      </rPr>
      <t xml:space="preserve">  Bangladesh Bureau of Statistics</t>
    </r>
  </si>
  <si>
    <r>
      <rPr>
        <b/>
        <sz val="8"/>
        <color indexed="8"/>
        <rFont val="Times New Roman"/>
        <family val="1"/>
      </rPr>
      <t xml:space="preserve">Source : </t>
    </r>
    <r>
      <rPr>
        <sz val="8"/>
        <color indexed="8"/>
        <rFont val="Times New Roman"/>
        <family val="1"/>
      </rPr>
      <t xml:space="preserve"> Bangladesh Bureau of Statistics</t>
    </r>
  </si>
  <si>
    <t>Bangladesh Bureau of Statistics</t>
  </si>
  <si>
    <t xml:space="preserve"> *= New base Year 2005-06</t>
  </si>
  <si>
    <r>
      <t>Source</t>
    </r>
    <r>
      <rPr>
        <sz val="8"/>
        <rFont val="Times New Roman"/>
        <family val="1"/>
      </rPr>
      <t xml:space="preserve"> : Bangladesh Bureau of Statistics</t>
    </r>
  </si>
  <si>
    <t xml:space="preserve">   *= New base year 2005-06</t>
  </si>
  <si>
    <t xml:space="preserve">Source  :  Banking Regulation &amp; Policy Department, Bangladesh Bank                                                                                                                                  </t>
  </si>
  <si>
    <r>
      <t xml:space="preserve">Source  :  Banking Regulation &amp; Policy Department, Bangladesh Bank                            </t>
    </r>
    <r>
      <rPr>
        <sz val="8.5"/>
        <rFont val="Times New Roman"/>
        <family val="1"/>
      </rPr>
      <t xml:space="preserve">          </t>
    </r>
    <r>
      <rPr>
        <sz val="10"/>
        <rFont val="Arial"/>
        <family val="2"/>
      </rPr>
      <t xml:space="preserve">                                                                                            </t>
    </r>
  </si>
  <si>
    <r>
      <t xml:space="preserve">Source  :  Banking Regulation &amp; Policy Department, Bangladesh Bank                           </t>
    </r>
    <r>
      <rPr>
        <sz val="8.5"/>
        <rFont val="Times New Roman"/>
        <family val="1"/>
      </rPr>
      <t xml:space="preserve">          </t>
    </r>
    <r>
      <rPr>
        <sz val="10"/>
        <rFont val="Arial"/>
        <family val="2"/>
      </rPr>
      <t xml:space="preserve">                                                                                            </t>
    </r>
  </si>
  <si>
    <r>
      <t>Source :</t>
    </r>
    <r>
      <rPr>
        <sz val="7"/>
        <color indexed="8"/>
        <rFont val="Times New Roman"/>
        <family val="1"/>
      </rPr>
      <t xml:space="preserve"> Statistics Department, Bangladesh Bank</t>
    </r>
  </si>
  <si>
    <t>Debt Management Department, Bangladesh Bank</t>
  </si>
  <si>
    <t>Source: Statistics Department, Bangladesh Bank</t>
  </si>
  <si>
    <t>Statistics Deparement, Bangladesh Bank</t>
  </si>
  <si>
    <t>International Financial Statistics</t>
  </si>
  <si>
    <t>6.00-8.00</t>
  </si>
  <si>
    <t>4.00-5.25</t>
  </si>
  <si>
    <t>3.00-3.25</t>
  </si>
  <si>
    <t>2.00-3.25</t>
  </si>
  <si>
    <t>9.00-13.00</t>
  </si>
  <si>
    <t>9.50-11.50</t>
  </si>
  <si>
    <t>11.00-12.00</t>
  </si>
  <si>
    <t>11.50-16.00</t>
  </si>
  <si>
    <t>9.75-12.75</t>
  </si>
  <si>
    <t>NSD</t>
  </si>
  <si>
    <t>1. Bangladesh Jute Association</t>
  </si>
  <si>
    <t>              2. Department of Agricultural Marketing</t>
  </si>
  <si>
    <t>              3. Bangladesh Bureau of Statistics</t>
  </si>
  <si>
    <t>              4. Bangladesh Tea Board</t>
  </si>
  <si>
    <t>Bangla white A           (Pucca  bales)              (Tk. per 182.25 kg.)</t>
  </si>
  <si>
    <t>22.02.17</t>
  </si>
  <si>
    <t>LXLV</t>
  </si>
  <si>
    <t>01.03.17</t>
  </si>
  <si>
    <t>01.03.32</t>
  </si>
  <si>
    <t>XCXI</t>
  </si>
  <si>
    <t>01.03.37</t>
  </si>
  <si>
    <t>27.08.28</t>
  </si>
  <si>
    <t>Pharmaceu-ticals &amp; Chemicals</t>
  </si>
  <si>
    <t>Fuel &amp; Power</t>
  </si>
  <si>
    <t>Food &amp; Allied Products</t>
  </si>
  <si>
    <t>Paper &amp; Printing</t>
  </si>
  <si>
    <t>Services &amp; Real Estate</t>
  </si>
  <si>
    <t>Import &amp; Inland Bills Purchased and Discounted</t>
  </si>
  <si>
    <t>Forex Reserves &amp; Exchange Rate)</t>
  </si>
  <si>
    <t xml:space="preserve">Selected Economic Indicators ( Inflation, Production Index, Foreign Trade, Forex Reserves &amp; Exchange Rate) </t>
  </si>
  <si>
    <t>Reserve Money &amp; its Components</t>
  </si>
  <si>
    <t>Reserve Money &amp; its Sources</t>
  </si>
  <si>
    <t>RESERVE MONEY &amp; ITS COMPONENTS</t>
  </si>
  <si>
    <t>RESERVE MONEY &amp; ITS SOURCES</t>
  </si>
  <si>
    <t xml:space="preserve">Net Errors &amp; Ommissions                                    </t>
  </si>
  <si>
    <t>FOREIGN DIRECT INVESTMENT (FDI) INFLOWS &amp; STOCKS BY COMPONENTS IN BANGLADESH</t>
  </si>
  <si>
    <t>Foreign Direct Investment (FDI) Inflows &amp; Stocks by Components in Bangladesh</t>
  </si>
  <si>
    <t>Naptha, Furnace oil &amp; Bitumen</t>
  </si>
  <si>
    <t xml:space="preserve">Plastic &amp; Rubber arti-cles thereof </t>
  </si>
  <si>
    <t>Textile &amp; articles thereof</t>
  </si>
  <si>
    <t>Iron &amp; Steel</t>
  </si>
  <si>
    <t>Consumer Price Index &amp; Inflation Rate in Bangladesh</t>
  </si>
  <si>
    <t xml:space="preserve">CONSUMER PRICE INDEX &amp; </t>
  </si>
  <si>
    <t>Medical care &amp; Health Expenses</t>
  </si>
  <si>
    <t>Hides &amp; Skins (wholesale)</t>
  </si>
  <si>
    <t>Mining &amp; Quarry-ing</t>
  </si>
  <si>
    <t>Whole-sale      &amp; Retail Trade</t>
  </si>
  <si>
    <t>Hotel &amp; Restau-rants</t>
  </si>
  <si>
    <t>Transport, Storage &amp; Commu-nication</t>
  </si>
  <si>
    <t>Real Estate, Renting &amp; Business Activities</t>
  </si>
  <si>
    <t>Public Adminis-tration     &amp; Defence</t>
  </si>
  <si>
    <t>Health &amp;      Social Works</t>
  </si>
  <si>
    <t>Commu-nity, Social &amp; Personal Services</t>
  </si>
  <si>
    <t>Agricul-ture &amp; Forestry</t>
  </si>
  <si>
    <t>Whole-sale     &amp; Retail Trade</t>
  </si>
  <si>
    <t xml:space="preserve">INDEX NUMBER OF ORDINARY SHARE PRICES, TURN OVER, ISSUED CAPITAL &amp; </t>
  </si>
  <si>
    <t>Index Number of  Ordinary Share Prices, Turn Over, Issued Capital &amp; Total Number of Companies Listed with the Dhaka Stock Exchange Ltd.</t>
  </si>
  <si>
    <t xml:space="preserve"> BANK RATE &amp; INTEREST RATE STRUCTURE OF POST OFFICE SAVINGS BANK, HOUSE  </t>
  </si>
  <si>
    <t xml:space="preserve"> BUILDING FINANCE CORPORATION &amp; NATIONAL SAVINGS CERTIFICATES     </t>
  </si>
  <si>
    <t>Bank Rate &amp; Interest Rate Structure of Post Office Savings Bank, House Building Finance Corporation &amp; National Savings Certificates</t>
  </si>
  <si>
    <t>100.00 crore &amp; above</t>
  </si>
  <si>
    <t>1)   Bureau of Manpower, Employment &amp; Training</t>
  </si>
  <si>
    <t>From July'14 Myanmar Kyat has been changed due to floating exchange rate</t>
  </si>
  <si>
    <t>UK  Pound   Sterling</t>
  </si>
  <si>
    <t>UAE  Derham</t>
  </si>
  <si>
    <t>OF THE GOVERNMENT UNDER NBR &amp; OTHERS</t>
  </si>
  <si>
    <t>Selected Tax Revenue Receipts of the Government Under NBR &amp; Others</t>
  </si>
  <si>
    <t>Number of Persons Left for Abroad on Employment &amp; Total Workers’ Remittances</t>
  </si>
  <si>
    <t>NUMBER OF PERSONS LEFT FOR ABROAD ON EMPLOYMENT  &amp;  TOTAL WORKERS'  REMITTANCES</t>
  </si>
  <si>
    <t>Selected Economic Indicators (Money &amp; Banking)</t>
  </si>
  <si>
    <t xml:space="preserve">(Money &amp; </t>
  </si>
  <si>
    <t>(Money &amp;</t>
  </si>
  <si>
    <t xml:space="preserve">            (Money &amp;</t>
  </si>
  <si>
    <t>Appendix : Weights &amp; Measures</t>
  </si>
  <si>
    <t>Weights &amp; Measures</t>
  </si>
  <si>
    <t>Note : F &amp; C indicate Fahrenheit &amp; Celsius Scale Respectively</t>
  </si>
  <si>
    <t>Statistics Department, Bangladesh Bank and EPB</t>
  </si>
  <si>
    <t>1. Upto June'12 data was complied on the basis of IMFs' BPM5 &amp; From July'12, BPM6 has been implemented</t>
  </si>
  <si>
    <t>2.  Weighted average rates of interest on deposits and advances of 28 deposits taking Non Bank Financial Institutions (NBFIs) have been introduced from June 2013</t>
  </si>
  <si>
    <t>2)  Upto May, 2016 Foreign Exchange Policy Department &amp; From June, 2016 Statistics Department, Bangladesh Bank</t>
  </si>
  <si>
    <t>Email: mansura.parvin@bb.org.bd</t>
  </si>
  <si>
    <t>Email: rafiqul.islam178@bb.org.bd</t>
  </si>
  <si>
    <t>Suggestions/Comments for improvement in the contents of this booklet would  highly be appreciated. Users may kindly contact the following email addresses with their suggestions/comments and queries, if any:</t>
  </si>
  <si>
    <t xml:space="preserve">Head Office, Dhaka          </t>
  </si>
  <si>
    <t xml:space="preserve">Head Office, Dhaka    </t>
  </si>
  <si>
    <t>Market price (f.o.b.) of Raw Jute of Narayangonj</t>
  </si>
  <si>
    <t>3.50-5.00</t>
  </si>
  <si>
    <t>5.00-6.75</t>
  </si>
  <si>
    <t>4.00-5.50</t>
  </si>
  <si>
    <t>7.00-7.25</t>
  </si>
  <si>
    <t>2.00-4.50</t>
  </si>
  <si>
    <t>8.25-11.25</t>
  </si>
  <si>
    <t>10.00-11.00</t>
  </si>
  <si>
    <t xml:space="preserve">ii)  Deposit Money Banks (DMBs) comprise 57 Scheduled Banks and BSBL </t>
  </si>
  <si>
    <t>iii)  9 percent of savings deposits are included in Demand Deposits with effect from July 2007</t>
  </si>
  <si>
    <t>Oct-Dec</t>
  </si>
  <si>
    <t>**** Excess Reserve  (42-40)</t>
  </si>
  <si>
    <t>****Based on last day of the month</t>
  </si>
  <si>
    <t>i)  DMBs advances to public &amp; private include balances with OFIs, NFIs, NBDCs and money at call &amp; short notice</t>
  </si>
  <si>
    <t xml:space="preserve"> currency held in BB &amp; counter entry for government currency    ***  Amount in Government over-draft A/C.  is included in loans &amp; advances by Bangladesh Bank </t>
  </si>
  <si>
    <t xml:space="preserve">1. Total number of Clearing House Centres are 39 of which 8 are managed by the Bangladesh Bank &amp; the rest by the Sonali Bank Ltd </t>
  </si>
  <si>
    <t xml:space="preserve">Scheduled banks' branches exclude branches outside Bangladesh        </t>
  </si>
  <si>
    <t xml:space="preserve">2. Due to inclusion of Table IIG (column 3) figure of column 56 &amp; 57  have been dropped from July 2014 </t>
  </si>
  <si>
    <t xml:space="preserve"> rates from July 2009 &amp; onwards</t>
  </si>
  <si>
    <t>Rate of inflation (Base: 1995-96) data discontinued from August 2013 due to dropping of BBS data</t>
  </si>
  <si>
    <t>Wholesale Price Indices data discontinued from 2006-07 due to dropping of BBS data</t>
  </si>
  <si>
    <t>2. 12- month average changes in CPI indicate the average change of the last  12- month over the corresponding previous 12- month</t>
  </si>
  <si>
    <t>1. Point- to- point changes in CPI indicate the changes over the corresponding month of the previous year</t>
  </si>
  <si>
    <t>1. Export figures  include that of EPZ</t>
  </si>
  <si>
    <t>2. Weighted average exchange rate represents the inter-bank exchange rate</t>
  </si>
  <si>
    <t>1. Export Promotion Bureau (EPB) for export data    2. Statistics Department, Bangladesh Bank for import data</t>
  </si>
  <si>
    <t>3. Accounts &amp; Budgeting Department, Bangladesh Bank for foreign exchange reserves</t>
  </si>
  <si>
    <t xml:space="preserve">      deposits held in the banking system (BB &amp; DMBs)</t>
  </si>
  <si>
    <t xml:space="preserve">Claims on resident sector exclude inter-bank claims      </t>
  </si>
  <si>
    <t>savings certificates and prize bonds for avoiding double counting</t>
  </si>
  <si>
    <t xml:space="preserve">NBDC  =  Non-Bank Depository Corporation </t>
  </si>
  <si>
    <t xml:space="preserve">NSD =  National Savings Directorate                                                                                                                                                                           </t>
  </si>
  <si>
    <t>The resident sector has been classified according to the IMF's Monetary and Financial Statistics Manual (MFSM)</t>
  </si>
  <si>
    <t xml:space="preserve">Claims on Resident Sector exclude BB &amp; ODCs    </t>
  </si>
  <si>
    <t>MICR= Magnetic Ink Character Recognition; ATM = Automated Teller Machine; POS = Point of Sale</t>
  </si>
  <si>
    <t>i) Data have been valued using the concept of the "Own Funds at Book Value (OFBV)", which may differ from market value of stocks</t>
  </si>
  <si>
    <t>ii) Inflow figures are recorded as during the period but stock figures are recorded as end period</t>
  </si>
  <si>
    <t>Export data are on fob basis</t>
  </si>
  <si>
    <t>Iron &amp; Steel = Steel Ingot + Billet 110/85 mm + Billet 50/85 mm + MS Plate (thin &amp; Heavy) + MS Rod &amp; Flat Bar</t>
  </si>
  <si>
    <t>Food Products = Atta, Maida &amp; Suji</t>
  </si>
  <si>
    <t>BSEC: Iron &amp; Steel</t>
  </si>
  <si>
    <t>BCIC: Paper, Newsprint, Fertilizers, Chemicals &amp; Glass sheet</t>
  </si>
  <si>
    <t>BBS: Cotton Yarn, Cotton Cloth, Cigarettes, Oil Products, Food Products &amp; Matches</t>
  </si>
  <si>
    <t>Figures within the parentheses indicate the percentage of sectoral share to total GDP at current market price</t>
  </si>
  <si>
    <t>Figures within the parentheses indicate the percentage of sectoral share to total GDP at constant market price</t>
  </si>
  <si>
    <r>
      <t>Note</t>
    </r>
    <r>
      <rPr>
        <sz val="8"/>
        <rFont val="Times New Roman"/>
        <family val="1"/>
      </rPr>
      <t xml:space="preserve">     : Figures within parentheses represent million US dollar</t>
    </r>
  </si>
  <si>
    <t xml:space="preserve">    Note:               * DSE Broad Index has been introduced instead of General Index from August 2013</t>
  </si>
  <si>
    <r>
      <t>Source</t>
    </r>
    <r>
      <rPr>
        <sz val="8"/>
        <rFont val="Times New Roman"/>
        <family val="1"/>
      </rPr>
      <t xml:space="preserve">    </t>
    </r>
    <r>
      <rPr>
        <b/>
        <sz val="8"/>
        <rFont val="Times New Roman"/>
        <family val="1"/>
      </rPr>
      <t xml:space="preserve">: </t>
    </r>
    <r>
      <rPr>
        <sz val="8"/>
        <rFont val="Times New Roman"/>
        <family val="1"/>
      </rPr>
      <t xml:space="preserve"> Dhaka Stock Exchange Ltd (DSE)</t>
    </r>
  </si>
  <si>
    <t>Dhaka Stock Exchange Ltd (DSE)</t>
  </si>
  <si>
    <r>
      <rPr>
        <vertAlign val="superscript"/>
        <sz val="6.5"/>
        <color indexed="8"/>
        <rFont val="Times New Roman"/>
        <family val="1"/>
      </rPr>
      <t>(1)</t>
    </r>
    <r>
      <rPr>
        <sz val="6.5"/>
        <color indexed="8"/>
        <rFont val="Times New Roman"/>
        <family val="1"/>
      </rPr>
      <t xml:space="preserve"> Both interest and principal amount are payable in BDT</t>
    </r>
  </si>
  <si>
    <r>
      <rPr>
        <vertAlign val="superscript"/>
        <sz val="6.5"/>
        <color indexed="8"/>
        <rFont val="Times New Roman"/>
        <family val="1"/>
      </rPr>
      <t>(2)</t>
    </r>
    <r>
      <rPr>
        <sz val="6.5"/>
        <color indexed="8"/>
        <rFont val="Times New Roman"/>
        <family val="1"/>
      </rPr>
      <t xml:space="preserve"> Interest is payable in BDT &amp; principal amount will be paid either in  USD or BDT as per option of the bond holder</t>
    </r>
  </si>
  <si>
    <r>
      <rPr>
        <vertAlign val="superscript"/>
        <sz val="6.5"/>
        <color indexed="8"/>
        <rFont val="Times New Roman"/>
        <family val="1"/>
      </rPr>
      <t>(3)</t>
    </r>
    <r>
      <rPr>
        <sz val="6.5"/>
        <color indexed="8"/>
        <rFont val="Times New Roman"/>
        <family val="1"/>
      </rPr>
      <t xml:space="preserve"> Both interest and principal amount are payable in USD</t>
    </r>
  </si>
  <si>
    <t>* including 0.84 %  social security premium (SSP) and will be payable on completion of 3 years</t>
  </si>
  <si>
    <t>** including 0.79 %  social security premium (SSP) and will be payable on completion of 3 years</t>
  </si>
  <si>
    <t>*** including 0.99 %  social security premium (SSP) and will be payable on completion of 5 years</t>
  </si>
  <si>
    <t>**** including 1.25 %  social security premium (SSP) and will be payable on completion of 5 years</t>
  </si>
  <si>
    <t>***** including 0.80 %  social security premium (SSP) and will be payable on completion of 5 years</t>
  </si>
  <si>
    <t>***Total expenditure includes foreign currency revaluation (loss)                        …= Not applicable/available</t>
  </si>
  <si>
    <t xml:space="preserve">** From period 2012 the income, expenditure and profitability of specialized banks (BDBL &amp; BASIC) are calculated on calendar year basis </t>
  </si>
  <si>
    <t>Six decimal places is used for conversion of US$ to Tk</t>
  </si>
  <si>
    <t>Upto May, 2016 Foreign Exchange Policy Department &amp; From June, 2016 Statistics Department, Bangladesh Bank</t>
  </si>
  <si>
    <t>2. Exchange rates between Taka &amp; other foreign currencies (except USD) are based on their cross rates with US dollar</t>
  </si>
  <si>
    <r>
      <t>Source:</t>
    </r>
    <r>
      <rPr>
        <sz val="8"/>
        <color indexed="8"/>
        <rFont val="Times New Roman"/>
        <family val="1"/>
      </rPr>
      <t xml:space="preserve"> National Board of Revenue and Bangladesh Bureau of Statistics</t>
    </r>
  </si>
  <si>
    <t xml:space="preserve">             ... = Not available                    P = Provisional   </t>
  </si>
  <si>
    <t>Oct- Dec</t>
  </si>
  <si>
    <t>Jan- Mar</t>
  </si>
  <si>
    <t>Apr- Jun</t>
  </si>
  <si>
    <t>Jul- Sep</t>
  </si>
  <si>
    <t>3.00-3.50</t>
  </si>
  <si>
    <t>7.00-7.50</t>
  </si>
  <si>
    <t>5.00-6.00</t>
  </si>
  <si>
    <t>6.00-7.50</t>
  </si>
  <si>
    <t>4.75-6.00</t>
  </si>
  <si>
    <t>4.75-5.75</t>
  </si>
  <si>
    <t xml:space="preserve">Al-Arafah  Islami Bank </t>
  </si>
  <si>
    <t>5. Asif Ahmed Mansur</t>
  </si>
  <si>
    <t>Profit Rate Structure of  the Islamic Banks, 2016</t>
  </si>
  <si>
    <t>PROFIT RATE STRUCTURE OF THE ISLAMIC BANKS, 2016</t>
  </si>
  <si>
    <t>4.  Masuma Binte Malek</t>
  </si>
  <si>
    <t xml:space="preserve">2. Mansura Parvin                              Deputy General Manager  </t>
  </si>
  <si>
    <t>Bangladesh Bank (BB) Notes</t>
  </si>
  <si>
    <t xml:space="preserve">Note: * From period 2011-12 the income, expenditure and profitability of specialized banks (BKB &amp; RAKUB) are calculated on fiscal year basis </t>
  </si>
  <si>
    <t xml:space="preserve">NBDC=Non-Bank Depository Corporation                             </t>
  </si>
  <si>
    <t>* Balance with BB excludes FC clearing A/C</t>
  </si>
  <si>
    <t>*Total credit to government (net) by the banking system equals to total claims on government (gross) excluding government</t>
  </si>
  <si>
    <t xml:space="preserve">Data on Net Foreign Assets &amp; Net Other Assets have been revised from 2004-05 &amp; onwards  </t>
  </si>
  <si>
    <t xml:space="preserve">1. Taka/USD exchange rate represents the mid-value of buying &amp; selling  rates of Bangladesh Bank ( up to May 30, 2003)   </t>
  </si>
  <si>
    <t>(+) indicates appreciation while (-) indicates depreciation</t>
  </si>
  <si>
    <t>14.08.18</t>
  </si>
  <si>
    <t>5.75-6.25</t>
  </si>
  <si>
    <t>4.00-6.50</t>
  </si>
  <si>
    <t>1.00-4.50</t>
  </si>
  <si>
    <t>3.00-6.50</t>
  </si>
  <si>
    <t>6.75-7.25</t>
  </si>
  <si>
    <t>7.25-7.50</t>
  </si>
  <si>
    <t>6.75-7.10</t>
  </si>
  <si>
    <t>2.00-4.00</t>
  </si>
  <si>
    <t>3.00-5.00</t>
  </si>
  <si>
    <t>4.50-5.00</t>
  </si>
  <si>
    <t>10.75-13.75</t>
  </si>
  <si>
    <t>5.90-8.90</t>
  </si>
  <si>
    <t>13.01-16.01</t>
  </si>
  <si>
    <t>07.06.17</t>
  </si>
  <si>
    <t>.07.06.19</t>
  </si>
  <si>
    <t>1. Mohammad Ballal Hossain                     General Manager</t>
  </si>
  <si>
    <t xml:space="preserve">and in the interbank market ( from May 31, 2003 &amp; &amp; onwards)   </t>
  </si>
  <si>
    <t>Banks have been subdivided into banks and financial institutions &amp; Investment has been renamed as mutual fund from January'10</t>
  </si>
  <si>
    <r>
      <t xml:space="preserve">Note     :      </t>
    </r>
    <r>
      <rPr>
        <sz val="7"/>
        <rFont val="Times New Roman"/>
        <family val="1"/>
      </rPr>
      <t xml:space="preserve">Miscellaneous includes IT-Sector, Tannery, Ceramic, Travel &amp; Corporate bond </t>
    </r>
  </si>
  <si>
    <t>i)   5 tk is considered as Govt. Currencies since June 2016 and  Demand &amp; Time Deposits under Columns 8 &amp; 9 exclude Restricted Deposits</t>
  </si>
  <si>
    <t>P=Provisional</t>
  </si>
  <si>
    <t>6.75-7.00</t>
  </si>
  <si>
    <t>5.75-6.50</t>
  </si>
  <si>
    <t>5.00-5.50</t>
  </si>
  <si>
    <t>8.50-10.50</t>
  </si>
  <si>
    <t>Shimanto Bnak</t>
  </si>
  <si>
    <t>3.15-6.00</t>
  </si>
  <si>
    <t>5.00-8.25</t>
  </si>
  <si>
    <t>5.00-10.50</t>
  </si>
  <si>
    <t>7.50-9.50</t>
  </si>
  <si>
    <t>05.07.17</t>
  </si>
  <si>
    <t>05.07.19</t>
  </si>
  <si>
    <t>12.07.17</t>
  </si>
  <si>
    <t>12.07.22</t>
  </si>
  <si>
    <t>21.06.17</t>
  </si>
  <si>
    <t>21.06.27</t>
  </si>
  <si>
    <t>LXLVI</t>
  </si>
  <si>
    <t>22.06.17</t>
  </si>
  <si>
    <t>22.06.32</t>
  </si>
  <si>
    <t>XCXII</t>
  </si>
  <si>
    <t>22.06.37</t>
  </si>
  <si>
    <t>2012-13(OB)</t>
  </si>
  <si>
    <t>2012-13(NB)</t>
  </si>
  <si>
    <t>(Base: 1995-96=100 upto 2012-13 and</t>
  </si>
  <si>
    <t>2005-06=100 from 2012-13 &amp; onwards)</t>
  </si>
  <si>
    <t>Note: OB= Old Base : 1995-96=100, NB=New Base :2005-06=100</t>
  </si>
  <si>
    <t xml:space="preserve">            From 2012-13 CPI and Inflation are calculated using new base 2005-06=100</t>
  </si>
  <si>
    <t xml:space="preserve">       Economic Adviser</t>
  </si>
  <si>
    <t>Dr. Md. Akhtaruzzaman</t>
  </si>
  <si>
    <t>19.07.17</t>
  </si>
  <si>
    <t>19.07.27</t>
  </si>
  <si>
    <t>CIX</t>
  </si>
  <si>
    <t>August 2017</t>
  </si>
  <si>
    <t>Bank-wise Announced Interest Rate Structure in Bangladesh (Except Islamic Banks), July 2017</t>
  </si>
  <si>
    <t>2017-18</t>
  </si>
  <si>
    <t>IN BANGLADESH (EXCEPT ISLAMIC BANKS), July 2017</t>
  </si>
  <si>
    <r>
      <t xml:space="preserve">IN BANGLADESH (EXCEPT ISLAMIC BANKS), </t>
    </r>
    <r>
      <rPr>
        <b/>
        <sz val="9"/>
        <rFont val="Times New Roman"/>
        <family val="1"/>
      </rPr>
      <t>July 2017</t>
    </r>
  </si>
  <si>
    <t>3.50-6.07</t>
  </si>
  <si>
    <t>7.10-7.25</t>
  </si>
  <si>
    <t>7.30-7.55</t>
  </si>
  <si>
    <t>6.50-8.00</t>
  </si>
  <si>
    <t>6.75-8.00</t>
  </si>
  <si>
    <t>6.00-7.75</t>
  </si>
  <si>
    <t>5.50-6.25</t>
  </si>
  <si>
    <t>4.50-6.00</t>
  </si>
  <si>
    <t xml:space="preserve">Dhaka Bank </t>
  </si>
  <si>
    <t>Prime Bank</t>
  </si>
  <si>
    <t>4.50-6.50</t>
  </si>
  <si>
    <t>5.00-6.50</t>
  </si>
  <si>
    <t>4.90-5.50</t>
  </si>
  <si>
    <t>5.25-7.00</t>
  </si>
  <si>
    <t>2.25-4.00</t>
  </si>
  <si>
    <t>0.75-3.75</t>
  </si>
  <si>
    <t>1.50-5.00</t>
  </si>
  <si>
    <t>1.50-5.50</t>
  </si>
  <si>
    <t>2.00-6.25</t>
  </si>
  <si>
    <t>4.00-9.00</t>
  </si>
  <si>
    <t>BKB</t>
  </si>
  <si>
    <t>10.25-13.25</t>
  </si>
  <si>
    <t>7.00-9.00</t>
  </si>
  <si>
    <t>7.50-9.00</t>
  </si>
  <si>
    <t>9.25-12.25</t>
  </si>
  <si>
    <t>10.50-11.50</t>
  </si>
  <si>
    <t>10.25-14.00</t>
  </si>
  <si>
    <t>8.50-9.00</t>
  </si>
  <si>
    <t>7.00-16.00</t>
  </si>
  <si>
    <t>7.00-13.50</t>
  </si>
  <si>
    <t>8.00-9.00</t>
  </si>
  <si>
    <t>2.00-9.00</t>
  </si>
  <si>
    <t>5.40-16.00</t>
  </si>
  <si>
    <t>14.06.17</t>
  </si>
  <si>
    <t>14.06.22</t>
  </si>
  <si>
    <t> 1355</t>
  </si>
  <si>
    <t>  1050</t>
  </si>
  <si>
    <t>2157 </t>
  </si>
  <si>
    <t>7735 </t>
  </si>
  <si>
    <t>3141 </t>
  </si>
  <si>
    <t>253 </t>
  </si>
  <si>
    <t>2035 </t>
  </si>
  <si>
    <t> 2414</t>
  </si>
  <si>
    <t>6876 </t>
  </si>
  <si>
    <t xml:space="preserve">2004-05 </t>
  </si>
  <si>
    <t xml:space="preserve">2005-06 </t>
  </si>
</sst>
</file>

<file path=xl/styles.xml><?xml version="1.0" encoding="utf-8"?>
<styleSheet xmlns="http://schemas.openxmlformats.org/spreadsheetml/2006/main">
  <numFmts count="20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\(0.00\)"/>
    <numFmt numFmtId="168" formatCode="0.00;[Red]0.00"/>
    <numFmt numFmtId="169" formatCode="00000"/>
    <numFmt numFmtId="170" formatCode="0.0;[Red]0.0"/>
    <numFmt numFmtId="171" formatCode="0;[Red]0"/>
    <numFmt numFmtId="172" formatCode="\(0\)"/>
    <numFmt numFmtId="173" formatCode="0_);\(0\)"/>
    <numFmt numFmtId="174" formatCode="dd/mm/yyyy;@"/>
    <numFmt numFmtId="175" formatCode="d\.m\.yy;@"/>
    <numFmt numFmtId="176" formatCode="B1mmm/yy"/>
    <numFmt numFmtId="177" formatCode="#,##0.000000000000"/>
    <numFmt numFmtId="178" formatCode="0.0000000000000_);\(0.0000000000000\)"/>
    <numFmt numFmtId="179" formatCode="0.000000000000_);\(0.000000000000\)"/>
    <numFmt numFmtId="180" formatCode="0.00000000000"/>
    <numFmt numFmtId="181" formatCode="dd\.mm\.yy;@"/>
    <numFmt numFmtId="182" formatCode="dd\.mm\.yyyy;@"/>
  </numFmts>
  <fonts count="156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color indexed="8"/>
      <name val="Arial"/>
      <family val="2"/>
    </font>
    <font>
      <sz val="9"/>
      <name val="Arial"/>
      <family val="2"/>
    </font>
    <font>
      <sz val="8"/>
      <color indexed="8"/>
      <name val="Times New Roman"/>
      <family val="1"/>
    </font>
    <font>
      <sz val="7"/>
      <name val="Times New Roman"/>
      <family val="1"/>
    </font>
    <font>
      <sz val="8"/>
      <name val="Times New Roman"/>
      <family val="1"/>
    </font>
    <font>
      <sz val="9"/>
      <color indexed="8"/>
      <name val="Times New Roman"/>
      <family val="1"/>
    </font>
    <font>
      <b/>
      <sz val="8"/>
      <color indexed="8"/>
      <name val="Times New Roman"/>
      <family val="1"/>
    </font>
    <font>
      <sz val="6"/>
      <color indexed="8"/>
      <name val="Times New Roman"/>
      <family val="1"/>
    </font>
    <font>
      <sz val="7"/>
      <color indexed="8"/>
      <name val="Times New Roman"/>
      <family val="1"/>
    </font>
    <font>
      <b/>
      <sz val="7"/>
      <color indexed="8"/>
      <name val="Times New Roman"/>
      <family val="1"/>
    </font>
    <font>
      <b/>
      <sz val="12"/>
      <name val="Times New Roman"/>
      <family val="1"/>
    </font>
    <font>
      <b/>
      <sz val="10"/>
      <color indexed="18"/>
      <name val="Times New Roman"/>
      <family val="1"/>
    </font>
    <font>
      <b/>
      <sz val="8"/>
      <name val="Times New Roman"/>
      <family val="1"/>
    </font>
    <font>
      <b/>
      <sz val="6.5"/>
      <name val="Times New Roman"/>
      <family val="1"/>
    </font>
    <font>
      <sz val="6.5"/>
      <name val="Times New Roman"/>
      <family val="1"/>
    </font>
    <font>
      <b/>
      <sz val="6.5"/>
      <color indexed="8"/>
      <name val="Times New Roman"/>
      <family val="1"/>
    </font>
    <font>
      <sz val="6.5"/>
      <color indexed="8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8.5"/>
      <color indexed="8"/>
      <name val="Times New Roman"/>
      <family val="1"/>
    </font>
    <font>
      <sz val="12"/>
      <name val="Times New Roman"/>
      <family val="1"/>
    </font>
    <font>
      <sz val="6"/>
      <name val="Times New Roman"/>
      <family val="1"/>
    </font>
    <font>
      <b/>
      <vertAlign val="subscript"/>
      <sz val="12"/>
      <color indexed="8"/>
      <name val="Times New Roman"/>
      <family val="1"/>
    </font>
    <font>
      <b/>
      <vertAlign val="subscript"/>
      <sz val="12"/>
      <name val="Times New Roman"/>
      <family val="1"/>
    </font>
    <font>
      <b/>
      <sz val="7"/>
      <name val="Times New Roman"/>
      <family val="1"/>
    </font>
    <font>
      <vertAlign val="subscript"/>
      <sz val="7"/>
      <name val="Times New Roman"/>
      <family val="1"/>
    </font>
    <font>
      <b/>
      <sz val="10.5"/>
      <color indexed="8"/>
      <name val="Times New Roman"/>
      <family val="1"/>
    </font>
    <font>
      <sz val="10.5"/>
      <color indexed="8"/>
      <name val="Times New Roman"/>
      <family val="1"/>
    </font>
    <font>
      <sz val="7.5"/>
      <name val="Times New Roman"/>
      <family val="1"/>
    </font>
    <font>
      <b/>
      <sz val="7.5"/>
      <name val="Times New Roman"/>
      <family val="1"/>
    </font>
    <font>
      <sz val="8"/>
      <color indexed="10"/>
      <name val="Times New Roman"/>
      <family val="1"/>
    </font>
    <font>
      <sz val="7.5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8"/>
      <name val="Arial"/>
      <family val="2"/>
    </font>
    <font>
      <b/>
      <sz val="8"/>
      <color indexed="18"/>
      <name val="Times New Roman"/>
      <family val="1"/>
    </font>
    <font>
      <sz val="8"/>
      <color indexed="18"/>
      <name val="Times New Roman"/>
      <family val="1"/>
    </font>
    <font>
      <b/>
      <sz val="11"/>
      <name val="Times New Roman"/>
      <family val="1"/>
    </font>
    <font>
      <sz val="8.5"/>
      <name val="Times New Roman"/>
      <family val="1"/>
    </font>
    <font>
      <b/>
      <sz val="6"/>
      <name val="Times New Roman"/>
      <family val="1"/>
    </font>
    <font>
      <vertAlign val="superscript"/>
      <sz val="6.5"/>
      <color indexed="8"/>
      <name val="Times New Roman"/>
      <family val="1"/>
    </font>
    <font>
      <b/>
      <sz val="7.5"/>
      <name val="Arial Narrow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sz val="8.5"/>
      <color indexed="8"/>
      <name val="Times New Roman"/>
      <family val="1"/>
    </font>
    <font>
      <sz val="8"/>
      <name val="Arial"/>
      <family val="2"/>
    </font>
    <font>
      <sz val="9"/>
      <color indexed="8"/>
      <name val="Arial Narrow"/>
      <family val="2"/>
    </font>
    <font>
      <vertAlign val="superscript"/>
      <sz val="9"/>
      <color indexed="8"/>
      <name val="Times New Roman"/>
      <family val="1"/>
    </font>
    <font>
      <sz val="5"/>
      <color indexed="8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6"/>
      <color indexed="8"/>
      <name val="Times New Roman"/>
      <family val="1"/>
    </font>
    <font>
      <sz val="5"/>
      <name val="Times New Roman"/>
      <family val="1"/>
    </font>
    <font>
      <b/>
      <sz val="16"/>
      <name val="Arial"/>
      <family val="2"/>
    </font>
    <font>
      <sz val="11"/>
      <name val="Arial"/>
      <family val="2"/>
    </font>
    <font>
      <sz val="52"/>
      <name val="Arial"/>
      <family val="2"/>
    </font>
    <font>
      <sz val="7"/>
      <name val="Arial"/>
      <family val="2"/>
    </font>
    <font>
      <b/>
      <sz val="7.5"/>
      <color indexed="8"/>
      <name val="Times New Roman"/>
      <family val="1"/>
    </font>
    <font>
      <b/>
      <sz val="20"/>
      <name val="Times New Roman"/>
      <family val="1"/>
    </font>
    <font>
      <sz val="16"/>
      <name val="Arial"/>
      <family val="2"/>
    </font>
    <font>
      <sz val="22"/>
      <name val="Times New Roman"/>
      <family val="1"/>
    </font>
    <font>
      <b/>
      <sz val="22"/>
      <name val="Times New Roman"/>
      <family val="1"/>
    </font>
    <font>
      <b/>
      <sz val="10"/>
      <name val="Arial"/>
      <family val="2"/>
    </font>
    <font>
      <b/>
      <sz val="18"/>
      <name val="Times New Roman"/>
      <family val="1"/>
    </font>
    <font>
      <sz val="8"/>
      <color indexed="8"/>
      <name val="Arial Narrow"/>
      <family val="2"/>
    </font>
    <font>
      <sz val="7"/>
      <name val="Arial Narrow"/>
      <family val="2"/>
    </font>
    <font>
      <sz val="8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7.5"/>
      <color indexed="8"/>
      <name val="Arial Narrow"/>
      <family val="2"/>
    </font>
    <font>
      <b/>
      <sz val="10.5"/>
      <color indexed="8"/>
      <name val="Arial Narrow"/>
      <family val="2"/>
    </font>
    <font>
      <b/>
      <sz val="6.5"/>
      <name val="Arial Narrow"/>
      <family val="2"/>
    </font>
    <font>
      <sz val="6.5"/>
      <name val="Arial Narrow"/>
      <family val="2"/>
    </font>
    <font>
      <b/>
      <vertAlign val="superscript"/>
      <sz val="9"/>
      <color indexed="8"/>
      <name val="Arial Narrow"/>
      <family val="2"/>
    </font>
    <font>
      <b/>
      <sz val="8"/>
      <color indexed="8"/>
      <name val="Arial Narrow"/>
      <family val="2"/>
    </font>
    <font>
      <sz val="5.5"/>
      <name val="Times New Roman"/>
      <family val="1"/>
    </font>
    <font>
      <b/>
      <sz val="5.5"/>
      <name val="Times New Roman"/>
      <family val="1"/>
    </font>
    <font>
      <sz val="7"/>
      <color indexed="8"/>
      <name val="Arial Narrow"/>
      <family val="2"/>
    </font>
    <font>
      <b/>
      <vertAlign val="superscript"/>
      <sz val="9"/>
      <color indexed="8"/>
      <name val="Times New Roman"/>
      <family val="1"/>
    </font>
    <font>
      <b/>
      <sz val="8.5"/>
      <color indexed="8"/>
      <name val="Arial Narrow"/>
      <family val="2"/>
    </font>
    <font>
      <b/>
      <vertAlign val="superscript"/>
      <sz val="8.5"/>
      <color indexed="8"/>
      <name val="Arial Narrow"/>
      <family val="2"/>
    </font>
    <font>
      <b/>
      <sz val="9.5"/>
      <color indexed="8"/>
      <name val="Arial Narrow"/>
      <family val="2"/>
    </font>
    <font>
      <b/>
      <vertAlign val="superscript"/>
      <sz val="8"/>
      <color indexed="8"/>
      <name val="Times New Roman"/>
      <family val="1"/>
    </font>
    <font>
      <b/>
      <sz val="8.25"/>
      <color indexed="8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u/>
      <sz val="8"/>
      <color rgb="FF800080"/>
      <name val="Calibri"/>
      <family val="2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u/>
      <sz val="8"/>
      <color rgb="FF0000FF"/>
      <name val="Calibri"/>
      <family val="2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7"/>
      <color rgb="FF000000"/>
      <name val="Times New Roman"/>
      <family val="1"/>
    </font>
    <font>
      <sz val="8"/>
      <color theme="1"/>
      <name val="Times New Roman"/>
      <family val="1"/>
    </font>
    <font>
      <sz val="11"/>
      <name val="Calibri"/>
      <family val="2"/>
      <scheme val="minor"/>
    </font>
    <font>
      <b/>
      <sz val="16"/>
      <color theme="0"/>
      <name val="Arial"/>
      <family val="2"/>
    </font>
    <font>
      <sz val="8"/>
      <color rgb="FFFF0000"/>
      <name val="Times New Roman"/>
      <family val="1"/>
    </font>
    <font>
      <sz val="7"/>
      <color rgb="FFFF0000"/>
      <name val="Times New Roman"/>
      <family val="1"/>
    </font>
    <font>
      <sz val="7.5"/>
      <color rgb="FFFF0000"/>
      <name val="Times New Roman"/>
      <family val="1"/>
    </font>
    <font>
      <sz val="6.25"/>
      <color rgb="FFFF0000"/>
      <name val="Arial Narrow"/>
      <family val="2"/>
    </font>
    <font>
      <sz val="6"/>
      <color rgb="FFFF0000"/>
      <name val="Arial Narrow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6.5"/>
      <color theme="1"/>
      <name val="Times New Roman"/>
      <family val="1"/>
    </font>
    <font>
      <sz val="6"/>
      <color theme="1"/>
      <name val="Times New Roman"/>
      <family val="1"/>
    </font>
    <font>
      <sz val="7.5"/>
      <color theme="1"/>
      <name val="Times New Roman"/>
      <family val="1"/>
    </font>
    <font>
      <b/>
      <sz val="7"/>
      <color theme="1"/>
      <name val="Arial Narrow"/>
      <family val="2"/>
    </font>
    <font>
      <b/>
      <sz val="6"/>
      <color theme="1"/>
      <name val="Arial Narrow"/>
      <family val="2"/>
    </font>
    <font>
      <sz val="7"/>
      <color theme="1"/>
      <name val="Arial Narrow"/>
      <family val="2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0"/>
      <name val="Times New Roman"/>
      <family val="1"/>
    </font>
    <font>
      <sz val="8"/>
      <color theme="1"/>
      <name val="Arial"/>
      <family val="2"/>
    </font>
    <font>
      <sz val="8"/>
      <color rgb="FF000066"/>
      <name val="Times New Roman"/>
      <family val="1"/>
    </font>
    <font>
      <sz val="8"/>
      <color rgb="FF000000"/>
      <name val="Arial"/>
      <family val="2"/>
    </font>
    <font>
      <b/>
      <sz val="7.5"/>
      <color theme="1"/>
      <name val="Times New Roman"/>
      <family val="1"/>
    </font>
    <font>
      <b/>
      <sz val="52"/>
      <color theme="0"/>
      <name val="Arial"/>
      <family val="2"/>
    </font>
    <font>
      <b/>
      <sz val="36"/>
      <color theme="0"/>
      <name val="Arial Narrow"/>
      <family val="2"/>
    </font>
    <font>
      <sz val="6"/>
      <color rgb="FF000000"/>
      <name val="Times New Roman"/>
      <family val="1"/>
    </font>
    <font>
      <b/>
      <sz val="7.5"/>
      <color theme="1"/>
      <name val="Arial Narrow"/>
      <family val="2"/>
    </font>
    <font>
      <sz val="8.5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2">
    <xf numFmtId="0" fontId="0" fillId="0" borderId="0"/>
    <xf numFmtId="0" fontId="103" fillId="3" borderId="0" applyNumberFormat="0" applyBorder="0" applyAlignment="0" applyProtection="0"/>
    <xf numFmtId="0" fontId="103" fillId="3" borderId="0" applyNumberFormat="0" applyBorder="0" applyAlignment="0" applyProtection="0"/>
    <xf numFmtId="0" fontId="103" fillId="3" borderId="0" applyNumberFormat="0" applyBorder="0" applyAlignment="0" applyProtection="0"/>
    <xf numFmtId="0" fontId="103" fillId="3" borderId="0" applyNumberFormat="0" applyBorder="0" applyAlignment="0" applyProtection="0"/>
    <xf numFmtId="0" fontId="103" fillId="3" borderId="0" applyNumberFormat="0" applyBorder="0" applyAlignment="0" applyProtection="0"/>
    <xf numFmtId="0" fontId="103" fillId="4" borderId="0" applyNumberFormat="0" applyBorder="0" applyAlignment="0" applyProtection="0"/>
    <xf numFmtId="0" fontId="103" fillId="4" borderId="0" applyNumberFormat="0" applyBorder="0" applyAlignment="0" applyProtection="0"/>
    <xf numFmtId="0" fontId="103" fillId="4" borderId="0" applyNumberFormat="0" applyBorder="0" applyAlignment="0" applyProtection="0"/>
    <xf numFmtId="0" fontId="103" fillId="4" borderId="0" applyNumberFormat="0" applyBorder="0" applyAlignment="0" applyProtection="0"/>
    <xf numFmtId="0" fontId="103" fillId="4" borderId="0" applyNumberFormat="0" applyBorder="0" applyAlignment="0" applyProtection="0"/>
    <xf numFmtId="0" fontId="103" fillId="5" borderId="0" applyNumberFormat="0" applyBorder="0" applyAlignment="0" applyProtection="0"/>
    <xf numFmtId="0" fontId="103" fillId="5" borderId="0" applyNumberFormat="0" applyBorder="0" applyAlignment="0" applyProtection="0"/>
    <xf numFmtId="0" fontId="103" fillId="5" borderId="0" applyNumberFormat="0" applyBorder="0" applyAlignment="0" applyProtection="0"/>
    <xf numFmtId="0" fontId="103" fillId="5" borderId="0" applyNumberFormat="0" applyBorder="0" applyAlignment="0" applyProtection="0"/>
    <xf numFmtId="0" fontId="103" fillId="5" borderId="0" applyNumberFormat="0" applyBorder="0" applyAlignment="0" applyProtection="0"/>
    <xf numFmtId="0" fontId="103" fillId="6" borderId="0" applyNumberFormat="0" applyBorder="0" applyAlignment="0" applyProtection="0"/>
    <xf numFmtId="0" fontId="103" fillId="6" borderId="0" applyNumberFormat="0" applyBorder="0" applyAlignment="0" applyProtection="0"/>
    <xf numFmtId="0" fontId="103" fillId="6" borderId="0" applyNumberFormat="0" applyBorder="0" applyAlignment="0" applyProtection="0"/>
    <xf numFmtId="0" fontId="103" fillId="6" borderId="0" applyNumberFormat="0" applyBorder="0" applyAlignment="0" applyProtection="0"/>
    <xf numFmtId="0" fontId="103" fillId="6" borderId="0" applyNumberFormat="0" applyBorder="0" applyAlignment="0" applyProtection="0"/>
    <xf numFmtId="0" fontId="103" fillId="7" borderId="0" applyNumberFormat="0" applyBorder="0" applyAlignment="0" applyProtection="0"/>
    <xf numFmtId="0" fontId="103" fillId="7" borderId="0" applyNumberFormat="0" applyBorder="0" applyAlignment="0" applyProtection="0"/>
    <xf numFmtId="0" fontId="103" fillId="7" borderId="0" applyNumberFormat="0" applyBorder="0" applyAlignment="0" applyProtection="0"/>
    <xf numFmtId="0" fontId="103" fillId="7" borderId="0" applyNumberFormat="0" applyBorder="0" applyAlignment="0" applyProtection="0"/>
    <xf numFmtId="0" fontId="103" fillId="7" borderId="0" applyNumberFormat="0" applyBorder="0" applyAlignment="0" applyProtection="0"/>
    <xf numFmtId="0" fontId="103" fillId="8" borderId="0" applyNumberFormat="0" applyBorder="0" applyAlignment="0" applyProtection="0"/>
    <xf numFmtId="0" fontId="103" fillId="8" borderId="0" applyNumberFormat="0" applyBorder="0" applyAlignment="0" applyProtection="0"/>
    <xf numFmtId="0" fontId="103" fillId="8" borderId="0" applyNumberFormat="0" applyBorder="0" applyAlignment="0" applyProtection="0"/>
    <xf numFmtId="0" fontId="103" fillId="8" borderId="0" applyNumberFormat="0" applyBorder="0" applyAlignment="0" applyProtection="0"/>
    <xf numFmtId="0" fontId="103" fillId="8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1" borderId="0" applyNumberFormat="0" applyBorder="0" applyAlignment="0" applyProtection="0"/>
    <xf numFmtId="0" fontId="103" fillId="11" borderId="0" applyNumberFormat="0" applyBorder="0" applyAlignment="0" applyProtection="0"/>
    <xf numFmtId="0" fontId="103" fillId="11" borderId="0" applyNumberFormat="0" applyBorder="0" applyAlignment="0" applyProtection="0"/>
    <xf numFmtId="0" fontId="103" fillId="11" borderId="0" applyNumberFormat="0" applyBorder="0" applyAlignment="0" applyProtection="0"/>
    <xf numFmtId="0" fontId="103" fillId="11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20" borderId="0" applyNumberFormat="0" applyBorder="0" applyAlignment="0" applyProtection="0"/>
    <xf numFmtId="0" fontId="104" fillId="20" borderId="0" applyNumberFormat="0" applyBorder="0" applyAlignment="0" applyProtection="0"/>
    <xf numFmtId="0" fontId="104" fillId="20" borderId="0" applyNumberFormat="0" applyBorder="0" applyAlignment="0" applyProtection="0"/>
    <xf numFmtId="0" fontId="104" fillId="20" borderId="0" applyNumberFormat="0" applyBorder="0" applyAlignment="0" applyProtection="0"/>
    <xf numFmtId="0" fontId="104" fillId="20" borderId="0" applyNumberFormat="0" applyBorder="0" applyAlignment="0" applyProtection="0"/>
    <xf numFmtId="0" fontId="104" fillId="21" borderId="0" applyNumberFormat="0" applyBorder="0" applyAlignment="0" applyProtection="0"/>
    <xf numFmtId="0" fontId="104" fillId="21" borderId="0" applyNumberFormat="0" applyBorder="0" applyAlignment="0" applyProtection="0"/>
    <xf numFmtId="0" fontId="104" fillId="21" borderId="0" applyNumberFormat="0" applyBorder="0" applyAlignment="0" applyProtection="0"/>
    <xf numFmtId="0" fontId="104" fillId="21" borderId="0" applyNumberFormat="0" applyBorder="0" applyAlignment="0" applyProtection="0"/>
    <xf numFmtId="0" fontId="104" fillId="21" borderId="0" applyNumberFormat="0" applyBorder="0" applyAlignment="0" applyProtection="0"/>
    <xf numFmtId="0" fontId="104" fillId="22" borderId="0" applyNumberFormat="0" applyBorder="0" applyAlignment="0" applyProtection="0"/>
    <xf numFmtId="0" fontId="104" fillId="22" borderId="0" applyNumberFormat="0" applyBorder="0" applyAlignment="0" applyProtection="0"/>
    <xf numFmtId="0" fontId="104" fillId="22" borderId="0" applyNumberFormat="0" applyBorder="0" applyAlignment="0" applyProtection="0"/>
    <xf numFmtId="0" fontId="104" fillId="22" borderId="0" applyNumberFormat="0" applyBorder="0" applyAlignment="0" applyProtection="0"/>
    <xf numFmtId="0" fontId="104" fillId="22" borderId="0" applyNumberFormat="0" applyBorder="0" applyAlignment="0" applyProtection="0"/>
    <xf numFmtId="0" fontId="104" fillId="23" borderId="0" applyNumberFormat="0" applyBorder="0" applyAlignment="0" applyProtection="0"/>
    <xf numFmtId="0" fontId="104" fillId="23" borderId="0" applyNumberFormat="0" applyBorder="0" applyAlignment="0" applyProtection="0"/>
    <xf numFmtId="0" fontId="104" fillId="23" borderId="0" applyNumberFormat="0" applyBorder="0" applyAlignment="0" applyProtection="0"/>
    <xf numFmtId="0" fontId="104" fillId="23" borderId="0" applyNumberFormat="0" applyBorder="0" applyAlignment="0" applyProtection="0"/>
    <xf numFmtId="0" fontId="104" fillId="23" borderId="0" applyNumberFormat="0" applyBorder="0" applyAlignment="0" applyProtection="0"/>
    <xf numFmtId="0" fontId="104" fillId="24" borderId="0" applyNumberFormat="0" applyBorder="0" applyAlignment="0" applyProtection="0"/>
    <xf numFmtId="0" fontId="104" fillId="24" borderId="0" applyNumberFormat="0" applyBorder="0" applyAlignment="0" applyProtection="0"/>
    <xf numFmtId="0" fontId="104" fillId="24" borderId="0" applyNumberFormat="0" applyBorder="0" applyAlignment="0" applyProtection="0"/>
    <xf numFmtId="0" fontId="104" fillId="24" borderId="0" applyNumberFormat="0" applyBorder="0" applyAlignment="0" applyProtection="0"/>
    <xf numFmtId="0" fontId="104" fillId="24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5" fillId="27" borderId="0" applyNumberFormat="0" applyBorder="0" applyAlignment="0" applyProtection="0"/>
    <xf numFmtId="0" fontId="105" fillId="27" borderId="0" applyNumberFormat="0" applyBorder="0" applyAlignment="0" applyProtection="0"/>
    <xf numFmtId="0" fontId="105" fillId="27" borderId="0" applyNumberFormat="0" applyBorder="0" applyAlignment="0" applyProtection="0"/>
    <xf numFmtId="0" fontId="105" fillId="27" borderId="0" applyNumberFormat="0" applyBorder="0" applyAlignment="0" applyProtection="0"/>
    <xf numFmtId="0" fontId="105" fillId="27" borderId="0" applyNumberFormat="0" applyBorder="0" applyAlignment="0" applyProtection="0"/>
    <xf numFmtId="0" fontId="106" fillId="28" borderId="42" applyNumberFormat="0" applyAlignment="0" applyProtection="0"/>
    <xf numFmtId="0" fontId="106" fillId="28" borderId="42" applyNumberFormat="0" applyAlignment="0" applyProtection="0"/>
    <xf numFmtId="0" fontId="106" fillId="28" borderId="42" applyNumberFormat="0" applyAlignment="0" applyProtection="0"/>
    <xf numFmtId="0" fontId="106" fillId="28" borderId="42" applyNumberFormat="0" applyAlignment="0" applyProtection="0"/>
    <xf numFmtId="0" fontId="106" fillId="28" borderId="42" applyNumberFormat="0" applyAlignment="0" applyProtection="0"/>
    <xf numFmtId="0" fontId="107" fillId="29" borderId="43" applyNumberFormat="0" applyAlignment="0" applyProtection="0"/>
    <xf numFmtId="0" fontId="107" fillId="29" borderId="43" applyNumberFormat="0" applyAlignment="0" applyProtection="0"/>
    <xf numFmtId="0" fontId="107" fillId="29" borderId="43" applyNumberFormat="0" applyAlignment="0" applyProtection="0"/>
    <xf numFmtId="0" fontId="107" fillId="29" borderId="43" applyNumberFormat="0" applyAlignment="0" applyProtection="0"/>
    <xf numFmtId="0" fontId="107" fillId="29" borderId="43" applyNumberFormat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30" borderId="0" applyNumberFormat="0" applyBorder="0" applyAlignment="0" applyProtection="0"/>
    <xf numFmtId="0" fontId="110" fillId="30" borderId="0" applyNumberFormat="0" applyBorder="0" applyAlignment="0" applyProtection="0"/>
    <xf numFmtId="0" fontId="110" fillId="30" borderId="0" applyNumberFormat="0" applyBorder="0" applyAlignment="0" applyProtection="0"/>
    <xf numFmtId="0" fontId="110" fillId="30" borderId="0" applyNumberFormat="0" applyBorder="0" applyAlignment="0" applyProtection="0"/>
    <xf numFmtId="0" fontId="110" fillId="30" borderId="0" applyNumberFormat="0" applyBorder="0" applyAlignment="0" applyProtection="0"/>
    <xf numFmtId="0" fontId="111" fillId="0" borderId="44" applyNumberFormat="0" applyFill="0" applyAlignment="0" applyProtection="0"/>
    <xf numFmtId="0" fontId="111" fillId="0" borderId="44" applyNumberFormat="0" applyFill="0" applyAlignment="0" applyProtection="0"/>
    <xf numFmtId="0" fontId="111" fillId="0" borderId="44" applyNumberFormat="0" applyFill="0" applyAlignment="0" applyProtection="0"/>
    <xf numFmtId="0" fontId="111" fillId="0" borderId="44" applyNumberFormat="0" applyFill="0" applyAlignment="0" applyProtection="0"/>
    <xf numFmtId="0" fontId="111" fillId="0" borderId="44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3" fillId="0" borderId="46" applyNumberFormat="0" applyFill="0" applyAlignment="0" applyProtection="0"/>
    <xf numFmtId="0" fontId="113" fillId="0" borderId="46" applyNumberFormat="0" applyFill="0" applyAlignment="0" applyProtection="0"/>
    <xf numFmtId="0" fontId="113" fillId="0" borderId="46" applyNumberFormat="0" applyFill="0" applyAlignment="0" applyProtection="0"/>
    <xf numFmtId="0" fontId="113" fillId="0" borderId="46" applyNumberFormat="0" applyFill="0" applyAlignment="0" applyProtection="0"/>
    <xf numFmtId="0" fontId="113" fillId="0" borderId="46" applyNumberFormat="0" applyFill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5" fillId="31" borderId="42" applyNumberFormat="0" applyAlignment="0" applyProtection="0"/>
    <xf numFmtId="0" fontId="115" fillId="31" borderId="42" applyNumberFormat="0" applyAlignment="0" applyProtection="0"/>
    <xf numFmtId="0" fontId="115" fillId="31" borderId="42" applyNumberFormat="0" applyAlignment="0" applyProtection="0"/>
    <xf numFmtId="0" fontId="115" fillId="31" borderId="42" applyNumberFormat="0" applyAlignment="0" applyProtection="0"/>
    <xf numFmtId="0" fontId="115" fillId="31" borderId="42" applyNumberFormat="0" applyAlignment="0" applyProtection="0"/>
    <xf numFmtId="0" fontId="116" fillId="0" borderId="47" applyNumberFormat="0" applyFill="0" applyAlignment="0" applyProtection="0"/>
    <xf numFmtId="0" fontId="116" fillId="0" borderId="47" applyNumberFormat="0" applyFill="0" applyAlignment="0" applyProtection="0"/>
    <xf numFmtId="0" fontId="116" fillId="0" borderId="47" applyNumberFormat="0" applyFill="0" applyAlignment="0" applyProtection="0"/>
    <xf numFmtId="0" fontId="116" fillId="0" borderId="47" applyNumberFormat="0" applyFill="0" applyAlignment="0" applyProtection="0"/>
    <xf numFmtId="0" fontId="116" fillId="0" borderId="47" applyNumberFormat="0" applyFill="0" applyAlignment="0" applyProtection="0"/>
    <xf numFmtId="0" fontId="117" fillId="32" borderId="0" applyNumberFormat="0" applyBorder="0" applyAlignment="0" applyProtection="0"/>
    <xf numFmtId="0" fontId="117" fillId="32" borderId="0" applyNumberFormat="0" applyBorder="0" applyAlignment="0" applyProtection="0"/>
    <xf numFmtId="0" fontId="117" fillId="32" borderId="0" applyNumberFormat="0" applyBorder="0" applyAlignment="0" applyProtection="0"/>
    <xf numFmtId="0" fontId="117" fillId="32" borderId="0" applyNumberFormat="0" applyBorder="0" applyAlignment="0" applyProtection="0"/>
    <xf numFmtId="0" fontId="117" fillId="32" borderId="0" applyNumberFormat="0" applyBorder="0" applyAlignment="0" applyProtection="0"/>
    <xf numFmtId="0" fontId="102" fillId="0" borderId="0"/>
    <xf numFmtId="0" fontId="4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4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3" fillId="33" borderId="48" applyNumberFormat="0" applyFont="0" applyAlignment="0" applyProtection="0"/>
    <xf numFmtId="0" fontId="103" fillId="33" borderId="48" applyNumberFormat="0" applyFont="0" applyAlignment="0" applyProtection="0"/>
    <xf numFmtId="0" fontId="103" fillId="33" borderId="48" applyNumberFormat="0" applyFont="0" applyAlignment="0" applyProtection="0"/>
    <xf numFmtId="0" fontId="103" fillId="33" borderId="48" applyNumberFormat="0" applyFont="0" applyAlignment="0" applyProtection="0"/>
    <xf numFmtId="0" fontId="103" fillId="33" borderId="48" applyNumberFormat="0" applyFont="0" applyAlignment="0" applyProtection="0"/>
    <xf numFmtId="0" fontId="118" fillId="28" borderId="49" applyNumberFormat="0" applyAlignment="0" applyProtection="0"/>
    <xf numFmtId="0" fontId="118" fillId="28" borderId="49" applyNumberFormat="0" applyAlignment="0" applyProtection="0"/>
    <xf numFmtId="0" fontId="118" fillId="28" borderId="49" applyNumberFormat="0" applyAlignment="0" applyProtection="0"/>
    <xf numFmtId="0" fontId="118" fillId="28" borderId="49" applyNumberFormat="0" applyAlignment="0" applyProtection="0"/>
    <xf numFmtId="0" fontId="118" fillId="28" borderId="49" applyNumberFormat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50" applyNumberFormat="0" applyFill="0" applyAlignment="0" applyProtection="0"/>
    <xf numFmtId="0" fontId="120" fillId="0" borderId="50" applyNumberFormat="0" applyFill="0" applyAlignment="0" applyProtection="0"/>
    <xf numFmtId="0" fontId="120" fillId="0" borderId="50" applyNumberFormat="0" applyFill="0" applyAlignment="0" applyProtection="0"/>
    <xf numFmtId="0" fontId="120" fillId="0" borderId="50" applyNumberFormat="0" applyFill="0" applyAlignment="0" applyProtection="0"/>
    <xf numFmtId="0" fontId="120" fillId="0" borderId="50" applyNumberFormat="0" applyFill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</cellStyleXfs>
  <cellXfs count="2121">
    <xf numFmtId="0" fontId="0" fillId="0" borderId="0" xfId="0"/>
    <xf numFmtId="0" fontId="3" fillId="0" borderId="0" xfId="0" applyFont="1"/>
    <xf numFmtId="0" fontId="6" fillId="0" borderId="0" xfId="0" applyFont="1"/>
    <xf numFmtId="0" fontId="10" fillId="0" borderId="0" xfId="0" applyFont="1"/>
    <xf numFmtId="0" fontId="11" fillId="0" borderId="0" xfId="0" applyFont="1"/>
    <xf numFmtId="0" fontId="8" fillId="0" borderId="0" xfId="0" applyFont="1"/>
    <xf numFmtId="2" fontId="13" fillId="0" borderId="0" xfId="0" applyNumberFormat="1" applyFont="1" applyBorder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0" fontId="13" fillId="0" borderId="0" xfId="0" applyFont="1" applyAlignment="1"/>
    <xf numFmtId="0" fontId="14" fillId="0" borderId="0" xfId="0" applyFont="1"/>
    <xf numFmtId="0" fontId="14" fillId="0" borderId="0" xfId="0" applyFont="1" applyBorder="1"/>
    <xf numFmtId="0" fontId="12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2" fillId="0" borderId="0" xfId="0" applyFont="1" applyAlignment="1">
      <alignment wrapText="1"/>
    </xf>
    <xf numFmtId="0" fontId="15" fillId="0" borderId="1" xfId="0" applyFont="1" applyBorder="1" applyAlignment="1">
      <alignment wrapText="1"/>
    </xf>
    <xf numFmtId="0" fontId="22" fillId="0" borderId="0" xfId="0" applyFont="1"/>
    <xf numFmtId="0" fontId="26" fillId="0" borderId="0" xfId="0" applyFont="1" applyAlignment="1">
      <alignment horizontal="left" wrapText="1"/>
    </xf>
    <xf numFmtId="0" fontId="24" fillId="0" borderId="0" xfId="0" applyFont="1"/>
    <xf numFmtId="2" fontId="12" fillId="0" borderId="0" xfId="0" applyNumberFormat="1" applyFont="1" applyBorder="1" applyAlignment="1">
      <alignment horizontal="center" wrapText="1"/>
    </xf>
    <xf numFmtId="2" fontId="12" fillId="0" borderId="0" xfId="0" applyNumberFormat="1" applyFont="1" applyFill="1" applyBorder="1" applyAlignment="1">
      <alignment horizontal="center" wrapText="1"/>
    </xf>
    <xf numFmtId="2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0" fontId="14" fillId="0" borderId="0" xfId="0" applyFont="1" applyBorder="1" applyAlignment="1">
      <alignment wrapText="1"/>
    </xf>
    <xf numFmtId="0" fontId="12" fillId="0" borderId="0" xfId="0" applyFont="1"/>
    <xf numFmtId="0" fontId="14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0" xfId="0" applyFont="1"/>
    <xf numFmtId="0" fontId="28" fillId="0" borderId="0" xfId="0" applyFont="1" applyBorder="1" applyAlignment="1">
      <alignment horizontal="center" wrapText="1"/>
    </xf>
    <xf numFmtId="0" fontId="30" fillId="0" borderId="0" xfId="0" applyFont="1"/>
    <xf numFmtId="0" fontId="31" fillId="0" borderId="0" xfId="0" applyFont="1"/>
    <xf numFmtId="0" fontId="30" fillId="0" borderId="0" xfId="0" applyFont="1" applyAlignment="1">
      <alignment wrapText="1"/>
    </xf>
    <xf numFmtId="164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164" fontId="14" fillId="0" borderId="0" xfId="0" applyNumberFormat="1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14" fillId="0" borderId="0" xfId="0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26" fillId="0" borderId="0" xfId="0" applyFont="1"/>
    <xf numFmtId="0" fontId="13" fillId="0" borderId="0" xfId="0" applyFont="1"/>
    <xf numFmtId="0" fontId="18" fillId="0" borderId="0" xfId="0" applyFont="1" applyBorder="1" applyAlignment="1">
      <alignment wrapText="1"/>
    </xf>
    <xf numFmtId="0" fontId="14" fillId="0" borderId="0" xfId="0" applyFont="1" applyBorder="1" applyAlignment="1">
      <alignment horizontal="center" wrapText="1"/>
    </xf>
    <xf numFmtId="0" fontId="33" fillId="0" borderId="0" xfId="0" applyFont="1"/>
    <xf numFmtId="0" fontId="33" fillId="0" borderId="0" xfId="0" applyFont="1" applyBorder="1"/>
    <xf numFmtId="0" fontId="14" fillId="0" borderId="2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34" fillId="0" borderId="0" xfId="0" applyFont="1" applyAlignment="1"/>
    <xf numFmtId="0" fontId="34" fillId="0" borderId="0" xfId="0" applyFont="1"/>
    <xf numFmtId="164" fontId="14" fillId="0" borderId="0" xfId="0" applyNumberFormat="1" applyFont="1"/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left" wrapText="1"/>
    </xf>
    <xf numFmtId="0" fontId="20" fillId="0" borderId="0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Border="1" applyAlignment="1">
      <alignment horizontal="right" wrapText="1"/>
    </xf>
    <xf numFmtId="0" fontId="34" fillId="0" borderId="0" xfId="0" applyFont="1" applyBorder="1"/>
    <xf numFmtId="49" fontId="34" fillId="0" borderId="0" xfId="0" applyNumberFormat="1" applyFont="1"/>
    <xf numFmtId="49" fontId="34" fillId="0" borderId="0" xfId="0" applyNumberFormat="1" applyFont="1" applyAlignment="1"/>
    <xf numFmtId="0" fontId="12" fillId="0" borderId="0" xfId="0" applyFont="1" applyBorder="1"/>
    <xf numFmtId="0" fontId="14" fillId="0" borderId="0" xfId="0" applyFont="1" applyAlignment="1">
      <alignment horizontal="right" wrapText="1"/>
    </xf>
    <xf numFmtId="0" fontId="29" fillId="0" borderId="5" xfId="0" applyFont="1" applyBorder="1" applyAlignment="1">
      <alignment horizontal="center" vertical="center" wrapText="1"/>
    </xf>
    <xf numFmtId="0" fontId="29" fillId="0" borderId="5" xfId="0" applyFont="1" applyBorder="1" applyAlignment="1">
      <alignment wrapText="1"/>
    </xf>
    <xf numFmtId="0" fontId="29" fillId="0" borderId="6" xfId="0" applyFont="1" applyBorder="1" applyAlignment="1">
      <alignment wrapText="1"/>
    </xf>
    <xf numFmtId="0" fontId="22" fillId="0" borderId="2" xfId="0" applyFont="1" applyBorder="1" applyAlignment="1">
      <alignment horizontal="center" wrapText="1"/>
    </xf>
    <xf numFmtId="0" fontId="14" fillId="0" borderId="0" xfId="0" applyFont="1" applyBorder="1" applyAlignment="1">
      <alignment horizontal="justify" wrapText="1"/>
    </xf>
    <xf numFmtId="0" fontId="37" fillId="0" borderId="0" xfId="0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22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center"/>
    </xf>
    <xf numFmtId="0" fontId="29" fillId="0" borderId="0" xfId="0" applyFont="1" applyAlignment="1">
      <alignment vertical="center"/>
    </xf>
    <xf numFmtId="0" fontId="22" fillId="0" borderId="0" xfId="0" applyFont="1" applyBorder="1" applyAlignment="1">
      <alignment wrapText="1"/>
    </xf>
    <xf numFmtId="49" fontId="14" fillId="0" borderId="0" xfId="0" applyNumberFormat="1" applyFont="1"/>
    <xf numFmtId="0" fontId="30" fillId="0" borderId="0" xfId="0" applyFont="1" applyBorder="1" applyAlignment="1">
      <alignment wrapText="1"/>
    </xf>
    <xf numFmtId="0" fontId="13" fillId="0" borderId="0" xfId="0" applyFont="1" applyBorder="1" applyAlignment="1">
      <alignment horizontal="center"/>
    </xf>
    <xf numFmtId="0" fontId="18" fillId="0" borderId="0" xfId="0" applyFont="1" applyBorder="1"/>
    <xf numFmtId="0" fontId="19" fillId="0" borderId="2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6" fillId="0" borderId="0" xfId="0" applyFont="1" applyBorder="1"/>
    <xf numFmtId="0" fontId="13" fillId="0" borderId="0" xfId="0" applyFont="1" applyBorder="1" applyAlignment="1"/>
    <xf numFmtId="164" fontId="14" fillId="0" borderId="0" xfId="0" applyNumberFormat="1" applyFont="1" applyFill="1" applyBorder="1" applyAlignment="1">
      <alignment horizontal="center"/>
    </xf>
    <xf numFmtId="0" fontId="29" fillId="0" borderId="2" xfId="0" applyFont="1" applyBorder="1" applyAlignment="1">
      <alignment horizontal="center" vertical="center" wrapText="1"/>
    </xf>
    <xf numFmtId="0" fontId="14" fillId="0" borderId="0" xfId="0" applyFont="1" applyAlignment="1"/>
    <xf numFmtId="0" fontId="20" fillId="0" borderId="0" xfId="0" applyFont="1" applyBorder="1" applyAlignment="1">
      <alignment horizontal="right" wrapText="1"/>
    </xf>
    <xf numFmtId="0" fontId="20" fillId="0" borderId="0" xfId="0" applyFont="1" applyBorder="1" applyAlignment="1">
      <alignment wrapText="1"/>
    </xf>
    <xf numFmtId="0" fontId="29" fillId="0" borderId="0" xfId="0" applyFont="1" applyBorder="1"/>
    <xf numFmtId="0" fontId="18" fillId="0" borderId="2" xfId="0" applyFont="1" applyBorder="1" applyAlignment="1">
      <alignment horizontal="center" vertical="center" wrapText="1"/>
    </xf>
    <xf numFmtId="0" fontId="30" fillId="0" borderId="0" xfId="0" applyFont="1" applyBorder="1" applyAlignment="1"/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/>
    <xf numFmtId="0" fontId="15" fillId="0" borderId="0" xfId="0" applyFont="1" applyBorder="1"/>
    <xf numFmtId="0" fontId="12" fillId="0" borderId="0" xfId="0" applyFont="1" applyBorder="1" applyAlignment="1">
      <alignment horizontal="left"/>
    </xf>
    <xf numFmtId="0" fontId="18" fillId="0" borderId="0" xfId="0" applyFont="1" applyAlignment="1">
      <alignment vertical="center"/>
    </xf>
    <xf numFmtId="0" fontId="18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wrapText="1"/>
    </xf>
    <xf numFmtId="0" fontId="13" fillId="0" borderId="0" xfId="0" applyFont="1" applyBorder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9" fillId="0" borderId="8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 wrapText="1"/>
    </xf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0" fontId="28" fillId="0" borderId="0" xfId="0" applyFont="1" applyBorder="1" applyAlignment="1">
      <alignment wrapText="1"/>
    </xf>
    <xf numFmtId="0" fontId="28" fillId="0" borderId="0" xfId="0" applyFont="1" applyAlignment="1">
      <alignment wrapText="1"/>
    </xf>
    <xf numFmtId="0" fontId="12" fillId="0" borderId="1" xfId="0" applyFont="1" applyBorder="1" applyAlignment="1">
      <alignment horizontal="right" wrapText="1"/>
    </xf>
    <xf numFmtId="0" fontId="9" fillId="0" borderId="0" xfId="0" applyFont="1" applyAlignment="1">
      <alignment horizontal="center" vertical="center"/>
    </xf>
    <xf numFmtId="0" fontId="40" fillId="0" borderId="0" xfId="0" applyFont="1"/>
    <xf numFmtId="0" fontId="16" fillId="0" borderId="0" xfId="0" applyFont="1" applyBorder="1" applyAlignment="1">
      <alignment wrapText="1"/>
    </xf>
    <xf numFmtId="0" fontId="12" fillId="0" borderId="0" xfId="0" applyFont="1" applyAlignment="1">
      <alignment vertical="center"/>
    </xf>
    <xf numFmtId="0" fontId="15" fillId="0" borderId="0" xfId="0" applyFont="1" applyBorder="1" applyAlignment="1">
      <alignment horizontal="left" wrapText="1"/>
    </xf>
    <xf numFmtId="0" fontId="15" fillId="0" borderId="0" xfId="0" applyFont="1" applyBorder="1" applyAlignment="1">
      <alignment vertical="center"/>
    </xf>
    <xf numFmtId="0" fontId="16" fillId="0" borderId="0" xfId="0" applyFont="1"/>
    <xf numFmtId="0" fontId="29" fillId="0" borderId="2" xfId="0" applyFont="1" applyFill="1" applyBorder="1" applyAlignment="1">
      <alignment horizontal="center" vertical="center" wrapText="1"/>
    </xf>
    <xf numFmtId="0" fontId="41" fillId="0" borderId="0" xfId="0" applyFont="1"/>
    <xf numFmtId="0" fontId="13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2" fillId="0" borderId="2" xfId="0" applyFont="1" applyBorder="1" applyAlignment="1">
      <alignment wrapText="1"/>
    </xf>
    <xf numFmtId="2" fontId="14" fillId="0" borderId="0" xfId="0" applyNumberFormat="1" applyFont="1"/>
    <xf numFmtId="0" fontId="8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6" fillId="0" borderId="1" xfId="0" applyFont="1" applyBorder="1" applyAlignment="1">
      <alignment wrapText="1"/>
    </xf>
    <xf numFmtId="0" fontId="12" fillId="0" borderId="0" xfId="0" applyFont="1" applyBorder="1" applyAlignment="1"/>
    <xf numFmtId="49" fontId="14" fillId="0" borderId="0" xfId="0" applyNumberFormat="1" applyFont="1" applyBorder="1"/>
    <xf numFmtId="0" fontId="15" fillId="0" borderId="7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15" fillId="0" borderId="0" xfId="0" applyFont="1" applyBorder="1" applyAlignment="1">
      <alignment wrapText="1"/>
    </xf>
    <xf numFmtId="0" fontId="15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wrapText="1"/>
    </xf>
    <xf numFmtId="0" fontId="16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16" fillId="0" borderId="0" xfId="0" applyFont="1" applyAlignment="1">
      <alignment wrapText="1"/>
    </xf>
    <xf numFmtId="49" fontId="29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14" fillId="0" borderId="1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center"/>
    </xf>
    <xf numFmtId="49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0" fontId="37" fillId="0" borderId="2" xfId="0" applyFont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49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46" fillId="0" borderId="0" xfId="0" applyFont="1"/>
    <xf numFmtId="0" fontId="29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15" fillId="0" borderId="1" xfId="0" applyFont="1" applyBorder="1" applyAlignment="1">
      <alignment vertical="top" wrapText="1"/>
    </xf>
    <xf numFmtId="2" fontId="18" fillId="0" borderId="0" xfId="0" applyNumberFormat="1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right" wrapText="1"/>
    </xf>
    <xf numFmtId="0" fontId="34" fillId="0" borderId="0" xfId="0" applyFont="1" applyAlignment="1">
      <alignment horizontal="center"/>
    </xf>
    <xf numFmtId="2" fontId="17" fillId="0" borderId="0" xfId="0" applyNumberFormat="1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2" fontId="13" fillId="0" borderId="0" xfId="0" applyNumberFormat="1" applyFont="1" applyBorder="1" applyAlignment="1">
      <alignment horizontal="center" wrapText="1"/>
    </xf>
    <xf numFmtId="2" fontId="37" fillId="0" borderId="0" xfId="0" applyNumberFormat="1" applyFont="1" applyBorder="1" applyAlignment="1">
      <alignment horizontal="center" wrapText="1"/>
    </xf>
    <xf numFmtId="0" fontId="14" fillId="0" borderId="0" xfId="0" applyFont="1" applyAlignment="1">
      <alignment horizontal="right"/>
    </xf>
    <xf numFmtId="0" fontId="19" fillId="0" borderId="0" xfId="0" applyFont="1" applyBorder="1" applyAlignment="1">
      <alignment horizontal="left" wrapText="1"/>
    </xf>
    <xf numFmtId="0" fontId="8" fillId="0" borderId="1" xfId="0" applyFont="1" applyBorder="1" applyAlignment="1"/>
    <xf numFmtId="0" fontId="15" fillId="0" borderId="8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 wrapText="1"/>
    </xf>
    <xf numFmtId="2" fontId="12" fillId="0" borderId="0" xfId="0" applyNumberFormat="1" applyFont="1" applyBorder="1" applyAlignment="1">
      <alignment horizontal="center" vertical="top" wrapText="1"/>
    </xf>
    <xf numFmtId="0" fontId="12" fillId="0" borderId="0" xfId="0" applyFont="1" applyBorder="1" applyAlignment="1">
      <alignment vertical="top" wrapText="1"/>
    </xf>
    <xf numFmtId="0" fontId="48" fillId="0" borderId="0" xfId="0" applyFont="1" applyBorder="1" applyAlignment="1">
      <alignment wrapText="1"/>
    </xf>
    <xf numFmtId="0" fontId="12" fillId="0" borderId="0" xfId="0" applyFont="1" applyBorder="1" applyAlignment="1">
      <alignment horizontal="center" vertical="top" wrapText="1"/>
    </xf>
    <xf numFmtId="0" fontId="16" fillId="0" borderId="0" xfId="0" applyFont="1" applyBorder="1" applyAlignment="1"/>
    <xf numFmtId="0" fontId="18" fillId="0" borderId="0" xfId="0" applyFont="1" applyBorder="1" applyAlignment="1">
      <alignment horizontal="center" vertical="top" wrapText="1"/>
    </xf>
    <xf numFmtId="0" fontId="12" fillId="0" borderId="0" xfId="0" applyFont="1" applyAlignment="1"/>
    <xf numFmtId="0" fontId="31" fillId="0" borderId="0" xfId="0" applyFont="1" applyBorder="1"/>
    <xf numFmtId="0" fontId="12" fillId="0" borderId="1" xfId="0" applyFont="1" applyBorder="1" applyAlignment="1">
      <alignment wrapText="1"/>
    </xf>
    <xf numFmtId="0" fontId="49" fillId="0" borderId="0" xfId="0" applyFont="1" applyBorder="1" applyAlignment="1">
      <alignment wrapText="1"/>
    </xf>
    <xf numFmtId="0" fontId="28" fillId="0" borderId="0" xfId="0" applyFont="1" applyBorder="1" applyAlignment="1">
      <alignment vertical="center"/>
    </xf>
    <xf numFmtId="0" fontId="33" fillId="0" borderId="0" xfId="0" applyFont="1" applyBorder="1" applyAlignment="1">
      <alignment horizontal="right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vertical="center" wrapText="1" indent="1"/>
    </xf>
    <xf numFmtId="0" fontId="29" fillId="0" borderId="0" xfId="0" applyFont="1" applyBorder="1" applyAlignment="1">
      <alignment horizontal="right" vertical="center"/>
    </xf>
    <xf numFmtId="0" fontId="12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2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28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right" wrapText="1"/>
    </xf>
    <xf numFmtId="0" fontId="31" fillId="0" borderId="0" xfId="0" applyFont="1" applyAlignment="1">
      <alignment horizontal="center" vertical="center"/>
    </xf>
    <xf numFmtId="0" fontId="30" fillId="0" borderId="0" xfId="0" applyFont="1" applyBorder="1"/>
    <xf numFmtId="0" fontId="15" fillId="0" borderId="0" xfId="0" applyFont="1" applyBorder="1" applyAlignment="1">
      <alignment vertical="center" wrapText="1"/>
    </xf>
    <xf numFmtId="0" fontId="28" fillId="0" borderId="0" xfId="0" applyFont="1" applyBorder="1" applyAlignment="1">
      <alignment horizontal="center" vertical="center"/>
    </xf>
    <xf numFmtId="0" fontId="19" fillId="0" borderId="0" xfId="0" applyFont="1" applyBorder="1"/>
    <xf numFmtId="0" fontId="14" fillId="0" borderId="1" xfId="0" applyFont="1" applyBorder="1" applyAlignment="1">
      <alignment horizontal="right" wrapText="1"/>
    </xf>
    <xf numFmtId="0" fontId="37" fillId="0" borderId="2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right" vertical="top"/>
    </xf>
    <xf numFmtId="0" fontId="24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14" fillId="0" borderId="1" xfId="0" applyFont="1" applyBorder="1" applyAlignment="1">
      <alignment wrapText="1"/>
    </xf>
    <xf numFmtId="0" fontId="24" fillId="0" borderId="0" xfId="0" applyFont="1" applyAlignment="1">
      <alignment horizontal="left" wrapText="1"/>
    </xf>
    <xf numFmtId="0" fontId="24" fillId="0" borderId="0" xfId="0" applyFont="1" applyAlignment="1">
      <alignment wrapText="1"/>
    </xf>
    <xf numFmtId="2" fontId="32" fillId="0" borderId="0" xfId="0" applyNumberFormat="1" applyFont="1" applyBorder="1" applyAlignment="1">
      <alignment horizontal="center" wrapText="1"/>
    </xf>
    <xf numFmtId="0" fontId="52" fillId="0" borderId="0" xfId="0" applyFont="1" applyBorder="1" applyAlignment="1">
      <alignment wrapText="1"/>
    </xf>
    <xf numFmtId="49" fontId="34" fillId="0" borderId="0" xfId="0" applyNumberFormat="1" applyFont="1" applyBorder="1" applyAlignment="1">
      <alignment wrapText="1"/>
    </xf>
    <xf numFmtId="0" fontId="51" fillId="0" borderId="0" xfId="0" applyFont="1" applyBorder="1"/>
    <xf numFmtId="0" fontId="26" fillId="0" borderId="0" xfId="0" applyFont="1" applyAlignment="1">
      <alignment horizontal="center" wrapText="1"/>
    </xf>
    <xf numFmtId="0" fontId="14" fillId="0" borderId="2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0" fontId="22" fillId="0" borderId="0" xfId="0" applyFont="1" applyAlignment="1">
      <alignment horizontal="right" vertical="top"/>
    </xf>
    <xf numFmtId="0" fontId="15" fillId="0" borderId="0" xfId="0" applyFont="1" applyBorder="1" applyAlignment="1">
      <alignment horizontal="center" wrapText="1"/>
    </xf>
    <xf numFmtId="0" fontId="9" fillId="0" borderId="0" xfId="0" applyFont="1" applyBorder="1" applyAlignment="1">
      <alignment vertical="center"/>
    </xf>
    <xf numFmtId="2" fontId="15" fillId="0" borderId="0" xfId="0" applyNumberFormat="1" applyFont="1" applyBorder="1" applyAlignment="1">
      <alignment horizontal="center" wrapText="1"/>
    </xf>
    <xf numFmtId="2" fontId="29" fillId="0" borderId="0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0" fontId="41" fillId="0" borderId="0" xfId="0" applyFont="1" applyBorder="1" applyAlignment="1">
      <alignment horizontal="center" wrapText="1"/>
    </xf>
    <xf numFmtId="2" fontId="41" fillId="0" borderId="0" xfId="0" applyNumberFormat="1" applyFont="1" applyBorder="1" applyAlignment="1">
      <alignment horizontal="center" wrapText="1"/>
    </xf>
    <xf numFmtId="2" fontId="42" fillId="0" borderId="0" xfId="0" applyNumberFormat="1" applyFont="1" applyBorder="1" applyAlignment="1">
      <alignment horizontal="center" wrapText="1"/>
    </xf>
    <xf numFmtId="0" fontId="27" fillId="0" borderId="0" xfId="0" applyFont="1" applyAlignment="1">
      <alignment vertical="center"/>
    </xf>
    <xf numFmtId="164" fontId="14" fillId="0" borderId="0" xfId="0" applyNumberFormat="1" applyFont="1" applyBorder="1"/>
    <xf numFmtId="1" fontId="15" fillId="0" borderId="0" xfId="0" applyNumberFormat="1" applyFont="1" applyBorder="1" applyAlignment="1">
      <alignment horizontal="center" wrapText="1"/>
    </xf>
    <xf numFmtId="2" fontId="14" fillId="0" borderId="0" xfId="0" applyNumberFormat="1" applyFont="1" applyBorder="1" applyAlignment="1">
      <alignment horizontal="left"/>
    </xf>
    <xf numFmtId="0" fontId="34" fillId="0" borderId="0" xfId="0" applyFont="1" applyBorder="1" applyAlignment="1">
      <alignment horizontal="left"/>
    </xf>
    <xf numFmtId="49" fontId="34" fillId="0" borderId="0" xfId="0" applyNumberFormat="1" applyFont="1" applyBorder="1" applyAlignment="1">
      <alignment horizontal="right" vertical="center" wrapText="1"/>
    </xf>
    <xf numFmtId="49" fontId="34" fillId="0" borderId="0" xfId="0" applyNumberFormat="1" applyFont="1" applyAlignment="1">
      <alignment horizontal="right"/>
    </xf>
    <xf numFmtId="0" fontId="34" fillId="0" borderId="0" xfId="0" applyFont="1" applyBorder="1" applyAlignment="1">
      <alignment vertical="center" wrapText="1"/>
    </xf>
    <xf numFmtId="0" fontId="20" fillId="0" borderId="0" xfId="196" applyFont="1" applyAlignment="1">
      <alignment wrapText="1"/>
    </xf>
    <xf numFmtId="0" fontId="20" fillId="0" borderId="0" xfId="196" applyFont="1" applyAlignment="1">
      <alignment horizontal="right"/>
    </xf>
    <xf numFmtId="0" fontId="6" fillId="0" borderId="1" xfId="196" applyFont="1" applyBorder="1" applyAlignment="1">
      <alignment horizontal="left"/>
    </xf>
    <xf numFmtId="0" fontId="6" fillId="0" borderId="1" xfId="196" applyFont="1" applyBorder="1"/>
    <xf numFmtId="0" fontId="55" fillId="0" borderId="0" xfId="196" applyFont="1"/>
    <xf numFmtId="0" fontId="56" fillId="0" borderId="0" xfId="0" applyFont="1"/>
    <xf numFmtId="0" fontId="27" fillId="0" borderId="7" xfId="196" applyFont="1" applyBorder="1" applyAlignment="1">
      <alignment horizontal="center" vertical="center" wrapText="1"/>
    </xf>
    <xf numFmtId="0" fontId="57" fillId="0" borderId="0" xfId="0" applyFont="1"/>
    <xf numFmtId="0" fontId="44" fillId="0" borderId="0" xfId="0" applyFont="1" applyBorder="1" applyAlignment="1">
      <alignment horizontal="left" wrapText="1"/>
    </xf>
    <xf numFmtId="0" fontId="22" fillId="0" borderId="0" xfId="196" applyFont="1" applyBorder="1" applyAlignment="1">
      <alignment horizontal="left"/>
    </xf>
    <xf numFmtId="2" fontId="22" fillId="0" borderId="0" xfId="196" applyNumberFormat="1" applyFont="1" applyBorder="1" applyAlignment="1">
      <alignment horizontal="center"/>
    </xf>
    <xf numFmtId="0" fontId="14" fillId="0" borderId="0" xfId="196" applyFont="1" applyBorder="1" applyAlignment="1">
      <alignment horizontal="left"/>
    </xf>
    <xf numFmtId="2" fontId="14" fillId="0" borderId="0" xfId="196" applyNumberFormat="1" applyFont="1" applyBorder="1" applyAlignment="1">
      <alignment horizontal="center"/>
    </xf>
    <xf numFmtId="2" fontId="14" fillId="0" borderId="0" xfId="196" applyNumberFormat="1" applyFont="1" applyAlignment="1">
      <alignment horizontal="center"/>
    </xf>
    <xf numFmtId="2" fontId="22" fillId="0" borderId="0" xfId="196" applyNumberFormat="1" applyFont="1" applyAlignment="1">
      <alignment horizontal="center"/>
    </xf>
    <xf numFmtId="2" fontId="22" fillId="0" borderId="0" xfId="196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2" fontId="14" fillId="0" borderId="0" xfId="196" applyNumberFormat="1" applyFont="1" applyFill="1" applyAlignment="1">
      <alignment horizontal="center"/>
    </xf>
    <xf numFmtId="2" fontId="16" fillId="0" borderId="0" xfId="196" applyNumberFormat="1" applyFont="1" applyFill="1" applyBorder="1" applyAlignment="1">
      <alignment horizontal="center"/>
    </xf>
    <xf numFmtId="2" fontId="12" fillId="0" borderId="0" xfId="196" applyNumberFormat="1" applyFont="1" applyFill="1" applyBorder="1" applyAlignment="1">
      <alignment horizontal="center" wrapText="1"/>
    </xf>
    <xf numFmtId="0" fontId="44" fillId="0" borderId="0" xfId="0" applyFont="1" applyBorder="1" applyAlignment="1">
      <alignment horizontal="center" wrapText="1"/>
    </xf>
    <xf numFmtId="2" fontId="44" fillId="0" borderId="0" xfId="0" applyNumberFormat="1" applyFont="1" applyBorder="1" applyAlignment="1">
      <alignment horizontal="center" wrapText="1"/>
    </xf>
    <xf numFmtId="0" fontId="44" fillId="0" borderId="0" xfId="0" applyFont="1" applyBorder="1" applyAlignment="1">
      <alignment horizontal="right" wrapText="1"/>
    </xf>
    <xf numFmtId="0" fontId="41" fillId="0" borderId="0" xfId="0" applyFont="1" applyBorder="1"/>
    <xf numFmtId="2" fontId="12" fillId="0" borderId="0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 wrapText="1"/>
    </xf>
    <xf numFmtId="0" fontId="19" fillId="0" borderId="0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29" fillId="0" borderId="5" xfId="0" applyFont="1" applyBorder="1" applyAlignment="1">
      <alignment vertical="center" wrapText="1"/>
    </xf>
    <xf numFmtId="0" fontId="29" fillId="0" borderId="6" xfId="0" applyFont="1" applyBorder="1" applyAlignment="1">
      <alignment vertical="center" wrapText="1"/>
    </xf>
    <xf numFmtId="0" fontId="29" fillId="0" borderId="3" xfId="0" applyFont="1" applyBorder="1" applyAlignment="1">
      <alignment vertical="center" wrapText="1"/>
    </xf>
    <xf numFmtId="0" fontId="29" fillId="0" borderId="13" xfId="0" applyFont="1" applyBorder="1" applyAlignment="1">
      <alignment vertical="center" wrapText="1"/>
    </xf>
    <xf numFmtId="2" fontId="14" fillId="0" borderId="0" xfId="0" applyNumberFormat="1" applyFont="1" applyBorder="1"/>
    <xf numFmtId="0" fontId="34" fillId="0" borderId="0" xfId="0" applyFont="1" applyBorder="1" applyAlignment="1">
      <alignment horizontal="left" wrapText="1"/>
    </xf>
    <xf numFmtId="2" fontId="41" fillId="0" borderId="0" xfId="0" applyNumberFormat="1" applyFont="1" applyBorder="1" applyAlignment="1">
      <alignment horizontal="center" vertical="center" wrapText="1"/>
    </xf>
    <xf numFmtId="2" fontId="13" fillId="0" borderId="0" xfId="0" applyNumberFormat="1" applyFont="1" applyBorder="1" applyAlignment="1">
      <alignment horizontal="center" vertical="center" wrapText="1"/>
    </xf>
    <xf numFmtId="0" fontId="52" fillId="0" borderId="0" xfId="0" applyFont="1" applyBorder="1" applyAlignment="1">
      <alignment horizontal="center" wrapText="1"/>
    </xf>
    <xf numFmtId="0" fontId="6" fillId="0" borderId="0" xfId="0" applyFont="1" applyAlignment="1">
      <alignment horizontal="left"/>
    </xf>
    <xf numFmtId="0" fontId="26" fillId="0" borderId="0" xfId="0" applyFont="1" applyFill="1" applyBorder="1" applyAlignment="1">
      <alignment wrapText="1"/>
    </xf>
    <xf numFmtId="0" fontId="29" fillId="0" borderId="7" xfId="0" applyFont="1" applyFill="1" applyBorder="1" applyAlignment="1">
      <alignment horizontal="center" vertical="center" wrapText="1"/>
    </xf>
    <xf numFmtId="0" fontId="14" fillId="0" borderId="0" xfId="0" applyFont="1" applyFill="1" applyBorder="1"/>
    <xf numFmtId="0" fontId="14" fillId="0" borderId="0" xfId="0" applyFont="1" applyFill="1" applyBorder="1" applyAlignment="1">
      <alignment horizontal="left" wrapText="1"/>
    </xf>
    <xf numFmtId="0" fontId="14" fillId="0" borderId="0" xfId="0" applyFont="1" applyFill="1"/>
    <xf numFmtId="0" fontId="20" fillId="0" borderId="0" xfId="0" applyFont="1" applyFill="1" applyBorder="1" applyAlignment="1">
      <alignment horizontal="right" wrapText="1"/>
    </xf>
    <xf numFmtId="0" fontId="20" fillId="0" borderId="0" xfId="0" applyFont="1" applyFill="1" applyBorder="1" applyAlignment="1">
      <alignment wrapText="1"/>
    </xf>
    <xf numFmtId="0" fontId="33" fillId="0" borderId="0" xfId="0" applyFont="1" applyFill="1"/>
    <xf numFmtId="0" fontId="27" fillId="0" borderId="0" xfId="0" applyFont="1" applyFill="1" applyBorder="1" applyAlignment="1">
      <alignment horizontal="center" wrapText="1"/>
    </xf>
    <xf numFmtId="0" fontId="27" fillId="0" borderId="0" xfId="0" applyFont="1" applyFill="1" applyBorder="1" applyAlignment="1">
      <alignment wrapText="1"/>
    </xf>
    <xf numFmtId="0" fontId="29" fillId="0" borderId="0" xfId="0" applyFont="1" applyFill="1"/>
    <xf numFmtId="0" fontId="29" fillId="0" borderId="1" xfId="0" applyFont="1" applyFill="1" applyBorder="1" applyAlignment="1">
      <alignment vertical="top" wrapText="1"/>
    </xf>
    <xf numFmtId="0" fontId="29" fillId="0" borderId="0" xfId="0" applyFont="1" applyFill="1" applyBorder="1"/>
    <xf numFmtId="0" fontId="2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22" fillId="0" borderId="0" xfId="0" applyFont="1" applyFill="1" applyBorder="1" applyAlignment="1">
      <alignment horizontal="left" wrapText="1"/>
    </xf>
    <xf numFmtId="0" fontId="22" fillId="0" borderId="0" xfId="0" applyFont="1" applyFill="1" applyBorder="1" applyAlignment="1"/>
    <xf numFmtId="0" fontId="22" fillId="0" borderId="0" xfId="0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wrapText="1"/>
    </xf>
    <xf numFmtId="0" fontId="13" fillId="0" borderId="0" xfId="0" applyFont="1" applyFill="1" applyBorder="1"/>
    <xf numFmtId="164" fontId="14" fillId="0" borderId="0" xfId="0" applyNumberFormat="1" applyFont="1" applyFill="1"/>
    <xf numFmtId="0" fontId="5" fillId="0" borderId="0" xfId="0" applyFont="1" applyFill="1"/>
    <xf numFmtId="2" fontId="14" fillId="0" borderId="0" xfId="0" applyNumberFormat="1" applyFont="1" applyBorder="1" applyAlignment="1"/>
    <xf numFmtId="0" fontId="29" fillId="0" borderId="0" xfId="0" applyFont="1" applyAlignment="1">
      <alignment vertical="center" wrapText="1"/>
    </xf>
    <xf numFmtId="2" fontId="6" fillId="0" borderId="0" xfId="0" applyNumberFormat="1" applyFont="1" applyBorder="1" applyAlignment="1">
      <alignment horizontal="center"/>
    </xf>
    <xf numFmtId="0" fontId="21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 vertical="justify" wrapText="1"/>
    </xf>
    <xf numFmtId="0" fontId="15" fillId="0" borderId="0" xfId="0" applyFont="1" applyAlignment="1">
      <alignment vertical="justify" wrapText="1"/>
    </xf>
    <xf numFmtId="0" fontId="6" fillId="0" borderId="0" xfId="0" applyFont="1" applyAlignment="1">
      <alignment vertical="justify"/>
    </xf>
    <xf numFmtId="0" fontId="15" fillId="0" borderId="0" xfId="0" applyFont="1" applyFill="1" applyAlignment="1">
      <alignment vertical="justify" wrapText="1"/>
    </xf>
    <xf numFmtId="0" fontId="0" fillId="0" borderId="0" xfId="0" applyFill="1"/>
    <xf numFmtId="0" fontId="0" fillId="0" borderId="0" xfId="0" applyFill="1" applyBorder="1"/>
    <xf numFmtId="0" fontId="29" fillId="0" borderId="0" xfId="0" applyFont="1" applyAlignment="1"/>
    <xf numFmtId="0" fontId="6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64" fillId="0" borderId="0" xfId="0" applyFont="1" applyAlignment="1"/>
    <xf numFmtId="0" fontId="65" fillId="0" borderId="0" xfId="0" applyFont="1" applyAlignment="1"/>
    <xf numFmtId="0" fontId="22" fillId="0" borderId="0" xfId="0" applyFont="1" applyFill="1"/>
    <xf numFmtId="0" fontId="22" fillId="0" borderId="0" xfId="0" applyFont="1" applyFill="1" applyBorder="1"/>
    <xf numFmtId="0" fontId="62" fillId="0" borderId="0" xfId="0" applyFont="1" applyAlignment="1"/>
    <xf numFmtId="0" fontId="2" fillId="0" borderId="0" xfId="173" applyAlignment="1" applyProtection="1"/>
    <xf numFmtId="0" fontId="0" fillId="2" borderId="0" xfId="0" applyFill="1"/>
    <xf numFmtId="0" fontId="0" fillId="2" borderId="0" xfId="0" applyFill="1" applyBorder="1"/>
    <xf numFmtId="0" fontId="30" fillId="0" borderId="0" xfId="0" applyFont="1" applyBorder="1" applyAlignment="1">
      <alignment horizontal="left"/>
    </xf>
    <xf numFmtId="0" fontId="122" fillId="0" borderId="0" xfId="0" applyFont="1"/>
    <xf numFmtId="0" fontId="66" fillId="0" borderId="0" xfId="0" applyFont="1" applyBorder="1" applyAlignment="1">
      <alignment wrapText="1"/>
    </xf>
    <xf numFmtId="0" fontId="33" fillId="0" borderId="0" xfId="0" applyFont="1" applyBorder="1" applyAlignment="1">
      <alignment wrapText="1"/>
    </xf>
    <xf numFmtId="0" fontId="33" fillId="2" borderId="0" xfId="0" applyFont="1" applyFill="1" applyBorder="1"/>
    <xf numFmtId="0" fontId="62" fillId="0" borderId="0" xfId="0" applyFont="1" applyBorder="1" applyAlignment="1">
      <alignment horizontal="center"/>
    </xf>
    <xf numFmtId="0" fontId="0" fillId="0" borderId="0" xfId="0" applyBorder="1"/>
    <xf numFmtId="0" fontId="18" fillId="0" borderId="2" xfId="0" applyFont="1" applyBorder="1" applyAlignment="1">
      <alignment vertical="center" wrapText="1"/>
    </xf>
    <xf numFmtId="0" fontId="68" fillId="0" borderId="0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0" fontId="68" fillId="0" borderId="0" xfId="0" applyFont="1" applyBorder="1" applyAlignment="1">
      <alignment horizontal="center" wrapText="1"/>
    </xf>
    <xf numFmtId="0" fontId="17" fillId="0" borderId="0" xfId="0" applyFont="1"/>
    <xf numFmtId="0" fontId="17" fillId="0" borderId="0" xfId="0" applyFont="1" applyBorder="1" applyAlignment="1">
      <alignment wrapText="1"/>
    </xf>
    <xf numFmtId="0" fontId="69" fillId="0" borderId="0" xfId="0" applyFont="1"/>
    <xf numFmtId="0" fontId="61" fillId="0" borderId="0" xfId="0" applyFont="1" applyBorder="1" applyAlignment="1">
      <alignment wrapText="1"/>
    </xf>
    <xf numFmtId="0" fontId="34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18" fillId="0" borderId="0" xfId="0" applyFont="1" applyAlignment="1"/>
    <xf numFmtId="0" fontId="52" fillId="0" borderId="0" xfId="0" applyFont="1" applyBorder="1" applyAlignment="1">
      <alignment horizontal="left"/>
    </xf>
    <xf numFmtId="0" fontId="52" fillId="0" borderId="0" xfId="0" applyFont="1" applyBorder="1" applyAlignment="1">
      <alignment horizontal="center"/>
    </xf>
    <xf numFmtId="0" fontId="17" fillId="0" borderId="0" xfId="0" applyFont="1" applyBorder="1"/>
    <xf numFmtId="49" fontId="17" fillId="0" borderId="0" xfId="0" applyNumberFormat="1" applyFont="1" applyBorder="1" applyAlignment="1"/>
    <xf numFmtId="0" fontId="25" fillId="0" borderId="0" xfId="0" applyFont="1" applyBorder="1" applyAlignment="1">
      <alignment horizontal="center" wrapText="1"/>
    </xf>
    <xf numFmtId="0" fontId="26" fillId="0" borderId="0" xfId="0" applyFont="1" applyBorder="1" applyAlignment="1">
      <alignment horizontal="left"/>
    </xf>
    <xf numFmtId="0" fontId="69" fillId="0" borderId="0" xfId="0" applyFont="1" applyAlignment="1">
      <alignment vertical="center"/>
    </xf>
    <xf numFmtId="0" fontId="23" fillId="0" borderId="0" xfId="0" applyFont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54" fillId="0" borderId="7" xfId="0" applyFont="1" applyFill="1" applyBorder="1" applyAlignment="1">
      <alignment horizontal="right" vertical="center" wrapText="1"/>
    </xf>
    <xf numFmtId="0" fontId="4" fillId="0" borderId="0" xfId="0" applyFont="1" applyFill="1" applyBorder="1"/>
    <xf numFmtId="0" fontId="4" fillId="2" borderId="0" xfId="0" applyFont="1" applyFill="1"/>
    <xf numFmtId="0" fontId="4" fillId="2" borderId="0" xfId="0" applyFont="1" applyFill="1" applyBorder="1"/>
    <xf numFmtId="0" fontId="4" fillId="0" borderId="0" xfId="0" applyFont="1"/>
    <xf numFmtId="0" fontId="123" fillId="0" borderId="2" xfId="0" applyFont="1" applyBorder="1" applyAlignment="1">
      <alignment horizontal="center" vertical="center" wrapText="1"/>
    </xf>
    <xf numFmtId="2" fontId="123" fillId="0" borderId="0" xfId="0" applyNumberFormat="1" applyFont="1" applyFill="1" applyBorder="1" applyAlignment="1">
      <alignment horizontal="center"/>
    </xf>
    <xf numFmtId="164" fontId="14" fillId="0" borderId="0" xfId="0" applyNumberFormat="1" applyFont="1" applyFill="1" applyBorder="1"/>
    <xf numFmtId="0" fontId="33" fillId="2" borderId="0" xfId="0" applyFont="1" applyFill="1" applyBorder="1" applyAlignment="1">
      <alignment horizontal="right"/>
    </xf>
    <xf numFmtId="0" fontId="37" fillId="0" borderId="0" xfId="0" applyFont="1" applyBorder="1" applyAlignment="1">
      <alignment horizontal="left" vertical="top" wrapText="1"/>
    </xf>
    <xf numFmtId="2" fontId="13" fillId="0" borderId="0" xfId="0" applyNumberFormat="1" applyFont="1" applyFill="1" applyBorder="1" applyAlignment="1">
      <alignment horizontal="center" wrapText="1"/>
    </xf>
    <xf numFmtId="0" fontId="20" fillId="0" borderId="0" xfId="0" applyFont="1"/>
    <xf numFmtId="0" fontId="20" fillId="0" borderId="0" xfId="0" applyFont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0" xfId="0" applyNumberFormat="1" applyFont="1" applyBorder="1" applyAlignment="1">
      <alignment horizontal="center" wrapText="1"/>
    </xf>
    <xf numFmtId="0" fontId="27" fillId="0" borderId="0" xfId="0" applyFont="1" applyBorder="1" applyAlignment="1">
      <alignment horizontal="right" wrapText="1"/>
    </xf>
    <xf numFmtId="0" fontId="27" fillId="0" borderId="0" xfId="0" applyFont="1" applyAlignment="1">
      <alignment horizontal="center" wrapText="1"/>
    </xf>
    <xf numFmtId="0" fontId="27" fillId="0" borderId="0" xfId="0" applyFont="1" applyBorder="1" applyAlignment="1">
      <alignment horizontal="center" wrapText="1"/>
    </xf>
    <xf numFmtId="0" fontId="29" fillId="0" borderId="0" xfId="0" applyFont="1" applyAlignment="1">
      <alignment horizontal="left" wrapText="1"/>
    </xf>
    <xf numFmtId="0" fontId="27" fillId="0" borderId="1" xfId="0" applyFont="1" applyBorder="1" applyAlignment="1">
      <alignment horizontal="center" wrapText="1"/>
    </xf>
    <xf numFmtId="0" fontId="29" fillId="0" borderId="1" xfId="0" applyFont="1" applyBorder="1" applyAlignment="1">
      <alignment horizontal="center" wrapText="1"/>
    </xf>
    <xf numFmtId="0" fontId="19" fillId="0" borderId="0" xfId="0" applyFont="1" applyAlignment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2" fontId="14" fillId="0" borderId="0" xfId="0" applyNumberFormat="1" applyFont="1" applyAlignment="1">
      <alignment horizontal="center" vertical="center"/>
    </xf>
    <xf numFmtId="21" fontId="14" fillId="0" borderId="0" xfId="0" applyNumberFormat="1" applyFont="1" applyFill="1" applyBorder="1" applyAlignment="1">
      <alignment horizontal="center"/>
    </xf>
    <xf numFmtId="46" fontId="14" fillId="0" borderId="0" xfId="0" applyNumberFormat="1" applyFont="1" applyFill="1" applyBorder="1" applyAlignment="1">
      <alignment horizontal="center"/>
    </xf>
    <xf numFmtId="0" fontId="14" fillId="0" borderId="14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wrapText="1"/>
    </xf>
    <xf numFmtId="0" fontId="22" fillId="0" borderId="0" xfId="0" applyFont="1" applyFill="1" applyAlignment="1">
      <alignment horizontal="right" vertical="center"/>
    </xf>
    <xf numFmtId="0" fontId="13" fillId="0" borderId="0" xfId="0" applyFont="1" applyFill="1"/>
    <xf numFmtId="0" fontId="14" fillId="0" borderId="0" xfId="0" applyNumberFormat="1" applyFont="1" applyBorder="1" applyAlignment="1">
      <alignment horizontal="center"/>
    </xf>
    <xf numFmtId="0" fontId="57" fillId="0" borderId="0" xfId="0" applyFont="1" applyBorder="1"/>
    <xf numFmtId="164" fontId="14" fillId="0" borderId="0" xfId="0" applyNumberFormat="1" applyFont="1" applyBorder="1" applyAlignment="1">
      <alignment horizontal="left" vertical="center" wrapText="1"/>
    </xf>
    <xf numFmtId="164" fontId="14" fillId="0" borderId="0" xfId="0" applyNumberFormat="1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horizontal="center" vertical="center"/>
    </xf>
    <xf numFmtId="171" fontId="14" fillId="0" borderId="0" xfId="0" applyNumberFormat="1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64" fontId="14" fillId="0" borderId="0" xfId="0" applyNumberFormat="1" applyFont="1" applyFill="1" applyBorder="1" applyAlignment="1">
      <alignment horizontal="left" vertical="center" wrapText="1"/>
    </xf>
    <xf numFmtId="164" fontId="14" fillId="0" borderId="0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4" fillId="0" borderId="0" xfId="0" applyNumberFormat="1" applyFont="1" applyFill="1" applyAlignment="1">
      <alignment horizontal="center" vertical="center"/>
    </xf>
    <xf numFmtId="164" fontId="14" fillId="0" borderId="0" xfId="0" applyNumberFormat="1" applyFont="1" applyBorder="1" applyAlignment="1">
      <alignment horizontal="left" wrapText="1"/>
    </xf>
    <xf numFmtId="2" fontId="14" fillId="0" borderId="0" xfId="0" applyNumberFormat="1" applyFont="1" applyBorder="1" applyAlignment="1">
      <alignment horizontal="center" wrapText="1"/>
    </xf>
    <xf numFmtId="164" fontId="14" fillId="0" borderId="0" xfId="0" applyNumberFormat="1" applyFont="1" applyFill="1" applyBorder="1" applyAlignment="1">
      <alignment horizontal="center" wrapText="1"/>
    </xf>
    <xf numFmtId="0" fontId="22" fillId="0" borderId="0" xfId="0" applyFont="1" applyFill="1" applyBorder="1" applyAlignment="1">
      <alignment wrapText="1"/>
    </xf>
    <xf numFmtId="2" fontId="22" fillId="0" borderId="0" xfId="196" applyNumberFormat="1" applyFont="1" applyFill="1" applyBorder="1" applyAlignment="1">
      <alignment horizontal="center"/>
    </xf>
    <xf numFmtId="0" fontId="73" fillId="0" borderId="0" xfId="0" applyFont="1"/>
    <xf numFmtId="0" fontId="22" fillId="0" borderId="0" xfId="196" applyFont="1" applyFill="1" applyBorder="1" applyAlignment="1">
      <alignment horizontal="left"/>
    </xf>
    <xf numFmtId="0" fontId="14" fillId="0" borderId="0" xfId="196" applyFont="1" applyFill="1" applyBorder="1" applyAlignment="1">
      <alignment horizontal="left" vertical="center"/>
    </xf>
    <xf numFmtId="0" fontId="14" fillId="0" borderId="0" xfId="0" applyFont="1" applyFill="1" applyBorder="1" applyAlignment="1"/>
    <xf numFmtId="0" fontId="12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NumberFormat="1" applyFont="1" applyBorder="1" applyAlignment="1" applyProtection="1">
      <alignment horizontal="center"/>
      <protection locked="0"/>
    </xf>
    <xf numFmtId="49" fontId="14" fillId="0" borderId="0" xfId="0" applyNumberFormat="1" applyFont="1" applyAlignment="1">
      <alignment horizontal="center"/>
    </xf>
    <xf numFmtId="173" fontId="14" fillId="0" borderId="0" xfId="0" applyNumberFormat="1" applyFont="1" applyBorder="1" applyAlignment="1">
      <alignment horizontal="center"/>
    </xf>
    <xf numFmtId="49" fontId="14" fillId="0" borderId="0" xfId="0" applyNumberFormat="1" applyFont="1" applyAlignment="1"/>
    <xf numFmtId="2" fontId="14" fillId="0" borderId="0" xfId="0" applyNumberFormat="1" applyFont="1" applyAlignment="1">
      <alignment vertical="top"/>
    </xf>
    <xf numFmtId="49" fontId="14" fillId="0" borderId="0" xfId="0" applyNumberFormat="1" applyFont="1" applyAlignment="1">
      <alignment vertical="top"/>
    </xf>
    <xf numFmtId="0" fontId="14" fillId="0" borderId="0" xfId="0" applyFont="1" applyAlignment="1">
      <alignment vertical="top"/>
    </xf>
    <xf numFmtId="2" fontId="14" fillId="0" borderId="0" xfId="0" applyNumberFormat="1" applyFont="1" applyAlignment="1"/>
    <xf numFmtId="0" fontId="14" fillId="0" borderId="0" xfId="0" applyFont="1" applyBorder="1" applyAlignment="1">
      <alignment vertical="top"/>
    </xf>
    <xf numFmtId="0" fontId="14" fillId="0" borderId="0" xfId="0" applyNumberFormat="1" applyFont="1" applyBorder="1" applyAlignment="1"/>
    <xf numFmtId="49" fontId="14" fillId="0" borderId="0" xfId="0" applyNumberFormat="1" applyFont="1" applyBorder="1" applyAlignment="1">
      <alignment vertical="top"/>
    </xf>
    <xf numFmtId="0" fontId="26" fillId="0" borderId="0" xfId="0" applyFont="1" applyFill="1" applyBorder="1" applyAlignment="1">
      <alignment horizontal="left" wrapText="1"/>
    </xf>
    <xf numFmtId="0" fontId="12" fillId="0" borderId="0" xfId="0" applyFont="1" applyBorder="1" applyAlignment="1">
      <alignment horizontal="left" vertical="center" wrapText="1"/>
    </xf>
    <xf numFmtId="2" fontId="12" fillId="0" borderId="0" xfId="0" applyNumberFormat="1" applyFont="1" applyBorder="1" applyAlignment="1">
      <alignment horizontal="left" wrapText="1"/>
    </xf>
    <xf numFmtId="0" fontId="43" fillId="0" borderId="0" xfId="0" applyFont="1"/>
    <xf numFmtId="2" fontId="14" fillId="0" borderId="0" xfId="0" applyNumberFormat="1" applyFont="1" applyFill="1" applyBorder="1"/>
    <xf numFmtId="0" fontId="12" fillId="0" borderId="0" xfId="0" applyFont="1" applyFill="1" applyBorder="1" applyAlignment="1">
      <alignment wrapText="1"/>
    </xf>
    <xf numFmtId="37" fontId="34" fillId="0" borderId="0" xfId="0" applyNumberFormat="1" applyFont="1" applyFill="1" applyBorder="1" applyAlignment="1">
      <alignment wrapText="1"/>
    </xf>
    <xf numFmtId="0" fontId="17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wrapText="1"/>
    </xf>
    <xf numFmtId="0" fontId="19" fillId="0" borderId="2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vertical="center"/>
    </xf>
    <xf numFmtId="2" fontId="12" fillId="0" borderId="0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vertical="center"/>
    </xf>
    <xf numFmtId="37" fontId="13" fillId="0" borderId="0" xfId="0" applyNumberFormat="1" applyFont="1" applyFill="1" applyBorder="1" applyAlignment="1">
      <alignment wrapText="1"/>
    </xf>
    <xf numFmtId="0" fontId="14" fillId="0" borderId="0" xfId="0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18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vertical="center" wrapText="1"/>
    </xf>
    <xf numFmtId="21" fontId="12" fillId="0" borderId="0" xfId="0" applyNumberFormat="1" applyFont="1" applyFill="1" applyBorder="1" applyAlignment="1">
      <alignment horizontal="center" vertical="center" wrapText="1"/>
    </xf>
    <xf numFmtId="46" fontId="12" fillId="0" borderId="0" xfId="0" applyNumberFormat="1" applyFont="1" applyFill="1" applyBorder="1" applyAlignment="1">
      <alignment horizontal="center" wrapText="1"/>
    </xf>
    <xf numFmtId="0" fontId="13" fillId="0" borderId="0" xfId="0" applyFont="1" applyFill="1" applyBorder="1" applyAlignment="1"/>
    <xf numFmtId="0" fontId="13" fillId="0" borderId="0" xfId="0" applyFont="1" applyFill="1" applyAlignment="1"/>
    <xf numFmtId="0" fontId="34" fillId="0" borderId="0" xfId="0" applyFont="1" applyFill="1"/>
    <xf numFmtId="0" fontId="14" fillId="0" borderId="0" xfId="0" applyFont="1" applyFill="1" applyAlignment="1"/>
    <xf numFmtId="0" fontId="34" fillId="0" borderId="0" xfId="0" applyFont="1" applyFill="1" applyAlignment="1">
      <alignment vertical="center"/>
    </xf>
    <xf numFmtId="0" fontId="69" fillId="0" borderId="0" xfId="0" applyFont="1" applyFill="1"/>
    <xf numFmtId="0" fontId="69" fillId="0" borderId="0" xfId="0" applyFont="1" applyFill="1" applyAlignment="1"/>
    <xf numFmtId="0" fontId="34" fillId="0" borderId="0" xfId="0" applyFont="1" applyFill="1" applyAlignment="1"/>
    <xf numFmtId="0" fontId="34" fillId="0" borderId="0" xfId="0" applyFont="1" applyFill="1" applyBorder="1" applyAlignment="1">
      <alignment vertical="center"/>
    </xf>
    <xf numFmtId="0" fontId="34" fillId="0" borderId="0" xfId="0" applyFont="1" applyFill="1" applyBorder="1" applyAlignment="1"/>
    <xf numFmtId="0" fontId="61" fillId="0" borderId="0" xfId="0" applyFont="1" applyFill="1" applyBorder="1" applyAlignment="1">
      <alignment horizontal="center" wrapText="1"/>
    </xf>
    <xf numFmtId="0" fontId="61" fillId="0" borderId="0" xfId="0" applyFont="1" applyFill="1" applyBorder="1" applyAlignment="1">
      <alignment horizontal="left" wrapText="1"/>
    </xf>
    <xf numFmtId="0" fontId="41" fillId="0" borderId="0" xfId="0" applyFont="1" applyFill="1"/>
    <xf numFmtId="0" fontId="41" fillId="0" borderId="0" xfId="0" applyFont="1" applyFill="1" applyAlignment="1"/>
    <xf numFmtId="0" fontId="41" fillId="0" borderId="0" xfId="0" applyFont="1" applyFill="1" applyBorder="1"/>
    <xf numFmtId="0" fontId="41" fillId="0" borderId="0" xfId="0" applyFont="1" applyFill="1" applyBorder="1" applyAlignment="1"/>
    <xf numFmtId="0" fontId="34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 wrapText="1"/>
    </xf>
    <xf numFmtId="2" fontId="18" fillId="0" borderId="0" xfId="0" applyNumberFormat="1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right" wrapText="1"/>
    </xf>
    <xf numFmtId="0" fontId="13" fillId="0" borderId="0" xfId="0" applyFont="1" applyFill="1" applyAlignment="1">
      <alignment horizontal="center"/>
    </xf>
    <xf numFmtId="2" fontId="13" fillId="0" borderId="0" xfId="0" applyNumberFormat="1" applyFont="1" applyFill="1" applyAlignment="1">
      <alignment horizontal="center"/>
    </xf>
    <xf numFmtId="0" fontId="24" fillId="0" borderId="0" xfId="0" applyFont="1" applyFill="1"/>
    <xf numFmtId="0" fontId="24" fillId="0" borderId="0" xfId="0" applyFont="1" applyFill="1" applyAlignment="1"/>
    <xf numFmtId="0" fontId="17" fillId="0" borderId="0" xfId="0" applyFont="1" applyFill="1" applyBorder="1" applyAlignment="1">
      <alignment horizontal="left" wrapText="1"/>
    </xf>
    <xf numFmtId="0" fontId="34" fillId="0" borderId="0" xfId="0" applyFont="1" applyFill="1" applyAlignment="1">
      <alignment horizontal="center"/>
    </xf>
    <xf numFmtId="2" fontId="34" fillId="0" borderId="0" xfId="0" applyNumberFormat="1" applyFont="1" applyFill="1" applyAlignment="1">
      <alignment horizontal="center"/>
    </xf>
    <xf numFmtId="164" fontId="14" fillId="34" borderId="0" xfId="0" applyNumberFormat="1" applyFont="1" applyFill="1" applyBorder="1" applyAlignment="1">
      <alignment horizontal="left" vertical="center" wrapText="1"/>
    </xf>
    <xf numFmtId="164" fontId="14" fillId="34" borderId="0" xfId="0" applyNumberFormat="1" applyFont="1" applyFill="1" applyBorder="1" applyAlignment="1">
      <alignment horizontal="center" vertical="center" wrapText="1"/>
    </xf>
    <xf numFmtId="164" fontId="14" fillId="34" borderId="0" xfId="0" applyNumberFormat="1" applyFont="1" applyFill="1" applyBorder="1" applyAlignment="1">
      <alignment horizontal="center" vertical="center"/>
    </xf>
    <xf numFmtId="2" fontId="14" fillId="34" borderId="0" xfId="0" applyNumberFormat="1" applyFont="1" applyFill="1" applyBorder="1" applyAlignment="1">
      <alignment horizontal="center" vertical="center" wrapText="1"/>
    </xf>
    <xf numFmtId="1" fontId="14" fillId="34" borderId="0" xfId="0" applyNumberFormat="1" applyFont="1" applyFill="1" applyBorder="1" applyAlignment="1">
      <alignment horizontal="center" vertical="center" wrapText="1"/>
    </xf>
    <xf numFmtId="0" fontId="14" fillId="34" borderId="0" xfId="0" applyFont="1" applyFill="1" applyBorder="1" applyAlignment="1">
      <alignment horizontal="center" vertical="center" wrapText="1"/>
    </xf>
    <xf numFmtId="2" fontId="14" fillId="34" borderId="0" xfId="0" applyNumberFormat="1" applyFont="1" applyFill="1" applyAlignment="1">
      <alignment horizontal="center" vertical="center"/>
    </xf>
    <xf numFmtId="164" fontId="14" fillId="34" borderId="0" xfId="0" applyNumberFormat="1" applyFont="1" applyFill="1" applyBorder="1" applyAlignment="1">
      <alignment horizontal="center"/>
    </xf>
    <xf numFmtId="0" fontId="14" fillId="34" borderId="0" xfId="0" applyFont="1" applyFill="1" applyBorder="1" applyAlignment="1">
      <alignment horizontal="center" vertical="center"/>
    </xf>
    <xf numFmtId="2" fontId="14" fillId="34" borderId="0" xfId="0" applyNumberFormat="1" applyFont="1" applyFill="1" applyBorder="1" applyAlignment="1">
      <alignment horizontal="center" vertical="center"/>
    </xf>
    <xf numFmtId="1" fontId="14" fillId="34" borderId="0" xfId="0" applyNumberFormat="1" applyFont="1" applyFill="1" applyBorder="1" applyAlignment="1">
      <alignment horizontal="center" vertical="center"/>
    </xf>
    <xf numFmtId="164" fontId="14" fillId="34" borderId="0" xfId="0" applyNumberFormat="1" applyFont="1" applyFill="1" applyBorder="1" applyAlignment="1">
      <alignment horizontal="left" wrapText="1"/>
    </xf>
    <xf numFmtId="0" fontId="14" fillId="34" borderId="0" xfId="0" applyFont="1" applyFill="1" applyBorder="1" applyAlignment="1">
      <alignment horizontal="center"/>
    </xf>
    <xf numFmtId="164" fontId="14" fillId="34" borderId="0" xfId="0" applyNumberFormat="1" applyFont="1" applyFill="1" applyBorder="1" applyAlignment="1">
      <alignment horizontal="center" wrapText="1"/>
    </xf>
    <xf numFmtId="2" fontId="14" fillId="34" borderId="0" xfId="0" applyNumberFormat="1" applyFont="1" applyFill="1" applyBorder="1" applyAlignment="1">
      <alignment horizontal="center" wrapText="1"/>
    </xf>
    <xf numFmtId="2" fontId="14" fillId="34" borderId="0" xfId="0" applyNumberFormat="1" applyFont="1" applyFill="1" applyBorder="1" applyAlignment="1">
      <alignment horizontal="center"/>
    </xf>
    <xf numFmtId="1" fontId="14" fillId="34" borderId="0" xfId="0" applyNumberFormat="1" applyFont="1" applyFill="1" applyBorder="1" applyAlignment="1">
      <alignment horizontal="center"/>
    </xf>
    <xf numFmtId="0" fontId="14" fillId="34" borderId="0" xfId="0" applyFont="1" applyFill="1" applyBorder="1" applyAlignment="1">
      <alignment horizontal="center" wrapText="1"/>
    </xf>
    <xf numFmtId="2" fontId="14" fillId="34" borderId="0" xfId="0" applyNumberFormat="1" applyFont="1" applyFill="1" applyAlignment="1">
      <alignment horizontal="center"/>
    </xf>
    <xf numFmtId="164" fontId="22" fillId="34" borderId="0" xfId="0" applyNumberFormat="1" applyFont="1" applyFill="1" applyBorder="1" applyAlignment="1">
      <alignment horizontal="center"/>
    </xf>
    <xf numFmtId="2" fontId="22" fillId="34" borderId="0" xfId="0" applyNumberFormat="1" applyFont="1" applyFill="1" applyBorder="1" applyAlignment="1">
      <alignment horizontal="center"/>
    </xf>
    <xf numFmtId="0" fontId="14" fillId="34" borderId="0" xfId="0" applyFont="1" applyFill="1" applyBorder="1"/>
    <xf numFmtId="0" fontId="14" fillId="34" borderId="0" xfId="0" applyFont="1" applyFill="1" applyBorder="1" applyAlignment="1">
      <alignment horizontal="right"/>
    </xf>
    <xf numFmtId="0" fontId="22" fillId="34" borderId="0" xfId="0" applyFont="1" applyFill="1" applyBorder="1"/>
    <xf numFmtId="0" fontId="22" fillId="34" borderId="0" xfId="0" applyFont="1" applyFill="1" applyBorder="1" applyAlignment="1">
      <alignment horizontal="right"/>
    </xf>
    <xf numFmtId="0" fontId="14" fillId="34" borderId="0" xfId="0" applyFont="1" applyFill="1" applyBorder="1" applyAlignment="1">
      <alignment horizontal="justify" wrapText="1"/>
    </xf>
    <xf numFmtId="0" fontId="14" fillId="34" borderId="0" xfId="0" applyFont="1" applyFill="1" applyBorder="1" applyAlignment="1">
      <alignment horizontal="right" wrapText="1"/>
    </xf>
    <xf numFmtId="0" fontId="14" fillId="34" borderId="0" xfId="0" applyFont="1" applyFill="1"/>
    <xf numFmtId="0" fontId="14" fillId="34" borderId="0" xfId="0" applyFont="1" applyFill="1" applyAlignment="1">
      <alignment horizontal="center"/>
    </xf>
    <xf numFmtId="49" fontId="14" fillId="34" borderId="0" xfId="0" applyNumberFormat="1" applyFont="1" applyFill="1" applyBorder="1" applyAlignment="1">
      <alignment horizontal="center"/>
    </xf>
    <xf numFmtId="0" fontId="12" fillId="34" borderId="0" xfId="0" applyFont="1" applyFill="1" applyBorder="1" applyAlignment="1">
      <alignment horizontal="left" wrapText="1"/>
    </xf>
    <xf numFmtId="0" fontId="12" fillId="34" borderId="0" xfId="0" applyFont="1" applyFill="1" applyBorder="1" applyAlignment="1">
      <alignment horizontal="right" wrapText="1"/>
    </xf>
    <xf numFmtId="0" fontId="14" fillId="34" borderId="0" xfId="0" applyFont="1" applyFill="1" applyBorder="1" applyAlignment="1">
      <alignment horizontal="left"/>
    </xf>
    <xf numFmtId="0" fontId="22" fillId="34" borderId="0" xfId="0" applyFont="1" applyFill="1" applyBorder="1" applyAlignment="1">
      <alignment horizontal="left"/>
    </xf>
    <xf numFmtId="0" fontId="14" fillId="34" borderId="0" xfId="0" applyFont="1" applyFill="1" applyBorder="1" applyAlignment="1">
      <alignment horizontal="left" wrapText="1"/>
    </xf>
    <xf numFmtId="0" fontId="22" fillId="34" borderId="0" xfId="0" applyFont="1" applyFill="1" applyBorder="1" applyAlignment="1">
      <alignment horizontal="left" wrapText="1"/>
    </xf>
    <xf numFmtId="0" fontId="22" fillId="34" borderId="0" xfId="196" applyFont="1" applyFill="1" applyBorder="1" applyAlignment="1">
      <alignment horizontal="left"/>
    </xf>
    <xf numFmtId="2" fontId="22" fillId="34" borderId="0" xfId="196" applyNumberFormat="1" applyFont="1" applyFill="1" applyBorder="1" applyAlignment="1">
      <alignment horizontal="center"/>
    </xf>
    <xf numFmtId="2" fontId="22" fillId="34" borderId="0" xfId="196" applyNumberFormat="1" applyFont="1" applyFill="1" applyAlignment="1">
      <alignment horizontal="center"/>
    </xf>
    <xf numFmtId="0" fontId="14" fillId="34" borderId="0" xfId="196" applyFont="1" applyFill="1" applyBorder="1" applyAlignment="1">
      <alignment horizontal="left"/>
    </xf>
    <xf numFmtId="2" fontId="14" fillId="34" borderId="0" xfId="196" applyNumberFormat="1" applyFont="1" applyFill="1" applyBorder="1" applyAlignment="1">
      <alignment horizontal="center"/>
    </xf>
    <xf numFmtId="2" fontId="14" fillId="34" borderId="0" xfId="196" applyNumberFormat="1" applyFont="1" applyFill="1" applyAlignment="1">
      <alignment horizontal="center"/>
    </xf>
    <xf numFmtId="2" fontId="16" fillId="34" borderId="0" xfId="0" applyNumberFormat="1" applyFont="1" applyFill="1" applyAlignment="1">
      <alignment horizontal="center"/>
    </xf>
    <xf numFmtId="2" fontId="12" fillId="34" borderId="0" xfId="0" applyNumberFormat="1" applyFont="1" applyFill="1" applyAlignment="1">
      <alignment horizontal="center"/>
    </xf>
    <xf numFmtId="2" fontId="16" fillId="34" borderId="0" xfId="196" applyNumberFormat="1" applyFont="1" applyFill="1" applyBorder="1" applyAlignment="1">
      <alignment horizontal="center"/>
    </xf>
    <xf numFmtId="2" fontId="16" fillId="34" borderId="0" xfId="196" applyNumberFormat="1" applyFont="1" applyFill="1" applyBorder="1" applyAlignment="1">
      <alignment horizontal="center" wrapText="1"/>
    </xf>
    <xf numFmtId="2" fontId="12" fillId="34" borderId="0" xfId="196" applyNumberFormat="1" applyFont="1" applyFill="1" applyBorder="1" applyAlignment="1">
      <alignment horizontal="center" wrapText="1"/>
    </xf>
    <xf numFmtId="2" fontId="12" fillId="34" borderId="0" xfId="0" applyNumberFormat="1" applyFont="1" applyFill="1" applyBorder="1" applyAlignment="1">
      <alignment horizontal="center"/>
    </xf>
    <xf numFmtId="1" fontId="12" fillId="34" borderId="0" xfId="0" applyNumberFormat="1" applyFont="1" applyFill="1" applyBorder="1" applyAlignment="1">
      <alignment horizontal="left" wrapText="1"/>
    </xf>
    <xf numFmtId="1" fontId="12" fillId="34" borderId="0" xfId="0" applyNumberFormat="1" applyFont="1" applyFill="1" applyBorder="1" applyAlignment="1">
      <alignment horizontal="center" wrapText="1"/>
    </xf>
    <xf numFmtId="1" fontId="12" fillId="34" borderId="0" xfId="0" applyNumberFormat="1" applyFont="1" applyFill="1" applyBorder="1" applyAlignment="1">
      <alignment horizontal="right" wrapText="1"/>
    </xf>
    <xf numFmtId="0" fontId="12" fillId="34" borderId="0" xfId="0" applyFont="1" applyFill="1" applyBorder="1" applyAlignment="1">
      <alignment horizontal="center" wrapText="1"/>
    </xf>
    <xf numFmtId="1" fontId="14" fillId="34" borderId="0" xfId="0" applyNumberFormat="1" applyFont="1" applyFill="1" applyBorder="1" applyAlignment="1">
      <alignment horizontal="center" wrapText="1"/>
    </xf>
    <xf numFmtId="0" fontId="12" fillId="34" borderId="0" xfId="0" applyFont="1" applyFill="1" applyBorder="1" applyAlignment="1">
      <alignment horizontal="left"/>
    </xf>
    <xf numFmtId="2" fontId="12" fillId="34" borderId="0" xfId="0" applyNumberFormat="1" applyFont="1" applyFill="1" applyBorder="1" applyAlignment="1">
      <alignment horizontal="center" vertical="center" wrapText="1"/>
    </xf>
    <xf numFmtId="2" fontId="12" fillId="34" borderId="0" xfId="0" applyNumberFormat="1" applyFont="1" applyFill="1" applyBorder="1" applyAlignment="1">
      <alignment horizontal="center" wrapText="1"/>
    </xf>
    <xf numFmtId="0" fontId="12" fillId="34" borderId="0" xfId="0" applyFont="1" applyFill="1" applyBorder="1" applyAlignment="1">
      <alignment wrapText="1"/>
    </xf>
    <xf numFmtId="0" fontId="14" fillId="34" borderId="0" xfId="0" applyFont="1" applyFill="1" applyBorder="1" applyAlignment="1">
      <alignment horizontal="left" vertical="center" wrapText="1"/>
    </xf>
    <xf numFmtId="0" fontId="22" fillId="34" borderId="0" xfId="0" applyFont="1" applyFill="1" applyBorder="1" applyAlignment="1">
      <alignment horizontal="left" vertical="center" wrapText="1"/>
    </xf>
    <xf numFmtId="0" fontId="14" fillId="34" borderId="0" xfId="0" applyFont="1" applyFill="1" applyBorder="1" applyAlignment="1">
      <alignment horizontal="right" vertical="center" wrapText="1"/>
    </xf>
    <xf numFmtId="0" fontId="22" fillId="34" borderId="0" xfId="0" applyFont="1" applyFill="1" applyBorder="1" applyAlignment="1">
      <alignment horizontal="right" vertical="center" wrapText="1"/>
    </xf>
    <xf numFmtId="0" fontId="14" fillId="35" borderId="0" xfId="0" applyFont="1" applyFill="1" applyBorder="1" applyAlignment="1">
      <alignment horizontal="center"/>
    </xf>
    <xf numFmtId="0" fontId="12" fillId="34" borderId="0" xfId="0" applyNumberFormat="1" applyFont="1" applyFill="1" applyBorder="1" applyAlignment="1">
      <alignment horizontal="center" wrapText="1"/>
    </xf>
    <xf numFmtId="0" fontId="14" fillId="34" borderId="0" xfId="0" applyNumberFormat="1" applyFont="1" applyFill="1" applyBorder="1" applyAlignment="1">
      <alignment horizontal="center"/>
    </xf>
    <xf numFmtId="167" fontId="14" fillId="34" borderId="0" xfId="0" applyNumberFormat="1" applyFont="1" applyFill="1" applyBorder="1" applyAlignment="1">
      <alignment horizontal="center"/>
    </xf>
    <xf numFmtId="49" fontId="14" fillId="34" borderId="0" xfId="0" applyNumberFormat="1" applyFont="1" applyFill="1" applyBorder="1"/>
    <xf numFmtId="0" fontId="14" fillId="35" borderId="0" xfId="0" applyFont="1" applyFill="1" applyBorder="1" applyAlignment="1">
      <alignment horizontal="left"/>
    </xf>
    <xf numFmtId="0" fontId="14" fillId="35" borderId="0" xfId="0" applyFont="1" applyFill="1" applyBorder="1" applyAlignment="1">
      <alignment horizontal="right"/>
    </xf>
    <xf numFmtId="0" fontId="14" fillId="34" borderId="0" xfId="0" applyFont="1" applyFill="1" applyBorder="1" applyAlignment="1">
      <alignment horizontal="left" vertical="top"/>
    </xf>
    <xf numFmtId="0" fontId="14" fillId="34" borderId="0" xfId="0" applyFont="1" applyFill="1" applyBorder="1" applyAlignment="1">
      <alignment horizontal="right" vertical="top"/>
    </xf>
    <xf numFmtId="0" fontId="14" fillId="34" borderId="0" xfId="0" applyFont="1" applyFill="1" applyBorder="1" applyAlignment="1">
      <alignment vertical="top"/>
    </xf>
    <xf numFmtId="0" fontId="14" fillId="34" borderId="0" xfId="0" applyNumberFormat="1" applyFont="1" applyFill="1" applyBorder="1" applyAlignment="1">
      <alignment vertical="top"/>
    </xf>
    <xf numFmtId="168" fontId="12" fillId="34" borderId="0" xfId="0" applyNumberFormat="1" applyFont="1" applyFill="1" applyBorder="1" applyAlignment="1">
      <alignment horizontal="center" wrapText="1"/>
    </xf>
    <xf numFmtId="168" fontId="14" fillId="34" borderId="0" xfId="0" applyNumberFormat="1" applyFont="1" applyFill="1" applyAlignment="1">
      <alignment horizontal="center"/>
    </xf>
    <xf numFmtId="0" fontId="12" fillId="34" borderId="0" xfId="0" applyFont="1" applyFill="1"/>
    <xf numFmtId="0" fontId="12" fillId="34" borderId="0" xfId="0" applyFont="1" applyFill="1" applyAlignment="1">
      <alignment horizontal="right"/>
    </xf>
    <xf numFmtId="0" fontId="26" fillId="34" borderId="0" xfId="0" applyFont="1" applyFill="1" applyBorder="1" applyAlignment="1">
      <alignment horizontal="left" wrapText="1"/>
    </xf>
    <xf numFmtId="0" fontId="12" fillId="34" borderId="0" xfId="0" applyFont="1" applyFill="1" applyBorder="1" applyAlignment="1">
      <alignment horizontal="right" vertical="center" wrapText="1"/>
    </xf>
    <xf numFmtId="0" fontId="14" fillId="34" borderId="0" xfId="0" applyFont="1" applyFill="1" applyBorder="1" applyAlignment="1">
      <alignment vertical="center"/>
    </xf>
    <xf numFmtId="0" fontId="18" fillId="34" borderId="0" xfId="0" applyFont="1" applyFill="1" applyBorder="1" applyAlignment="1">
      <alignment horizontal="left" wrapText="1"/>
    </xf>
    <xf numFmtId="2" fontId="41" fillId="34" borderId="0" xfId="0" applyNumberFormat="1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center" wrapText="1"/>
    </xf>
    <xf numFmtId="0" fontId="13" fillId="34" borderId="0" xfId="0" applyFont="1" applyFill="1" applyBorder="1" applyAlignment="1">
      <alignment horizontal="center" wrapText="1"/>
    </xf>
    <xf numFmtId="2" fontId="13" fillId="34" borderId="0" xfId="0" applyNumberFormat="1" applyFont="1" applyFill="1" applyBorder="1" applyAlignment="1">
      <alignment horizontal="center" wrapText="1"/>
    </xf>
    <xf numFmtId="0" fontId="41" fillId="34" borderId="0" xfId="0" applyFont="1" applyFill="1" applyBorder="1" applyAlignment="1">
      <alignment horizontal="center" wrapText="1"/>
    </xf>
    <xf numFmtId="0" fontId="24" fillId="34" borderId="0" xfId="0" applyFont="1" applyFill="1" applyAlignment="1">
      <alignment horizontal="right" vertical="top"/>
    </xf>
    <xf numFmtId="0" fontId="24" fillId="34" borderId="0" xfId="0" applyFont="1" applyFill="1" applyBorder="1" applyAlignment="1">
      <alignment horizontal="left" vertical="center" wrapText="1"/>
    </xf>
    <xf numFmtId="0" fontId="42" fillId="34" borderId="0" xfId="0" applyFont="1" applyFill="1" applyBorder="1" applyAlignment="1">
      <alignment wrapText="1"/>
    </xf>
    <xf numFmtId="0" fontId="41" fillId="34" borderId="0" xfId="0" applyFont="1" applyFill="1" applyBorder="1" applyAlignment="1">
      <alignment wrapText="1"/>
    </xf>
    <xf numFmtId="2" fontId="42" fillId="34" borderId="0" xfId="0" applyNumberFormat="1" applyFont="1" applyFill="1" applyBorder="1" applyAlignment="1">
      <alignment horizontal="center" wrapText="1"/>
    </xf>
    <xf numFmtId="2" fontId="37" fillId="34" borderId="0" xfId="0" applyNumberFormat="1" applyFont="1" applyFill="1" applyBorder="1" applyAlignment="1">
      <alignment horizontal="center" wrapText="1"/>
    </xf>
    <xf numFmtId="0" fontId="13" fillId="34" borderId="0" xfId="0" applyFont="1" applyFill="1"/>
    <xf numFmtId="0" fontId="41" fillId="34" borderId="0" xfId="0" applyFont="1" applyFill="1"/>
    <xf numFmtId="0" fontId="22" fillId="34" borderId="0" xfId="0" applyFont="1" applyFill="1" applyAlignment="1">
      <alignment horizontal="right" vertical="top"/>
    </xf>
    <xf numFmtId="165" fontId="41" fillId="34" borderId="0" xfId="0" applyNumberFormat="1" applyFont="1" applyFill="1" applyBorder="1" applyAlignment="1">
      <alignment horizontal="center" wrapText="1"/>
    </xf>
    <xf numFmtId="0" fontId="19" fillId="34" borderId="0" xfId="0" applyFont="1" applyFill="1" applyBorder="1" applyAlignment="1">
      <alignment horizontal="left" wrapText="1"/>
    </xf>
    <xf numFmtId="0" fontId="18" fillId="34" borderId="0" xfId="0" applyFont="1" applyFill="1" applyBorder="1" applyAlignment="1">
      <alignment horizontal="left" vertical="top" wrapText="1"/>
    </xf>
    <xf numFmtId="0" fontId="12" fillId="34" borderId="0" xfId="0" applyFont="1" applyFill="1" applyBorder="1" applyAlignment="1">
      <alignment horizontal="left" vertical="top" wrapText="1"/>
    </xf>
    <xf numFmtId="2" fontId="12" fillId="34" borderId="0" xfId="0" applyNumberFormat="1" applyFont="1" applyFill="1" applyBorder="1" applyAlignment="1">
      <alignment horizontal="center" vertical="top" wrapText="1"/>
    </xf>
    <xf numFmtId="0" fontId="12" fillId="34" borderId="0" xfId="0" applyFont="1" applyFill="1" applyBorder="1" applyAlignment="1">
      <alignment horizontal="left" vertical="center" wrapText="1"/>
    </xf>
    <xf numFmtId="0" fontId="15" fillId="34" borderId="0" xfId="0" applyFont="1" applyFill="1" applyBorder="1" applyAlignment="1">
      <alignment horizontal="center" wrapText="1"/>
    </xf>
    <xf numFmtId="2" fontId="15" fillId="34" borderId="0" xfId="0" applyNumberFormat="1" applyFont="1" applyFill="1" applyBorder="1" applyAlignment="1">
      <alignment horizontal="center" wrapText="1"/>
    </xf>
    <xf numFmtId="0" fontId="15" fillId="34" borderId="0" xfId="0" applyFont="1" applyFill="1" applyBorder="1" applyAlignment="1">
      <alignment horizontal="left" wrapText="1"/>
    </xf>
    <xf numFmtId="0" fontId="29" fillId="34" borderId="0" xfId="0" applyFont="1" applyFill="1" applyBorder="1"/>
    <xf numFmtId="0" fontId="29" fillId="34" borderId="0" xfId="0" applyFont="1" applyFill="1" applyBorder="1" applyAlignment="1">
      <alignment horizontal="center"/>
    </xf>
    <xf numFmtId="2" fontId="29" fillId="34" borderId="0" xfId="0" applyNumberFormat="1" applyFont="1" applyFill="1" applyBorder="1" applyAlignment="1">
      <alignment horizontal="center"/>
    </xf>
    <xf numFmtId="2" fontId="29" fillId="34" borderId="0" xfId="0" applyNumberFormat="1" applyFont="1" applyFill="1" applyBorder="1" applyAlignment="1">
      <alignment horizontal="center" wrapText="1"/>
    </xf>
    <xf numFmtId="1" fontId="15" fillId="34" borderId="0" xfId="0" applyNumberFormat="1" applyFont="1" applyFill="1" applyBorder="1" applyAlignment="1">
      <alignment horizontal="center" wrapText="1"/>
    </xf>
    <xf numFmtId="2" fontId="12" fillId="34" borderId="0" xfId="0" applyNumberFormat="1" applyFont="1" applyFill="1" applyBorder="1" applyAlignment="1">
      <alignment horizontal="left" wrapText="1"/>
    </xf>
    <xf numFmtId="2" fontId="123" fillId="0" borderId="0" xfId="0" applyNumberFormat="1" applyFont="1" applyFill="1" applyBorder="1" applyAlignment="1">
      <alignment horizontal="center" wrapText="1"/>
    </xf>
    <xf numFmtId="164" fontId="22" fillId="34" borderId="0" xfId="0" applyNumberFormat="1" applyFont="1" applyFill="1" applyBorder="1" applyAlignment="1">
      <alignment horizontal="left" vertical="center" wrapText="1"/>
    </xf>
    <xf numFmtId="164" fontId="22" fillId="34" borderId="0" xfId="0" applyNumberFormat="1" applyFont="1" applyFill="1" applyBorder="1" applyAlignment="1">
      <alignment horizontal="center" vertical="center"/>
    </xf>
    <xf numFmtId="2" fontId="22" fillId="34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 vertical="center"/>
    </xf>
    <xf numFmtId="0" fontId="14" fillId="0" borderId="15" xfId="0" applyFont="1" applyFill="1" applyBorder="1" applyAlignment="1">
      <alignment horizontal="center"/>
    </xf>
    <xf numFmtId="0" fontId="14" fillId="34" borderId="15" xfId="0" applyFont="1" applyFill="1" applyBorder="1"/>
    <xf numFmtId="0" fontId="14" fillId="34" borderId="15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 vertical="center" wrapText="1"/>
    </xf>
    <xf numFmtId="2" fontId="12" fillId="34" borderId="15" xfId="0" applyNumberFormat="1" applyFont="1" applyFill="1" applyBorder="1" applyAlignment="1">
      <alignment horizontal="center" vertical="center" wrapText="1"/>
    </xf>
    <xf numFmtId="167" fontId="14" fillId="34" borderId="15" xfId="0" applyNumberFormat="1" applyFont="1" applyFill="1" applyBorder="1" applyAlignment="1">
      <alignment horizontal="center"/>
    </xf>
    <xf numFmtId="49" fontId="14" fillId="34" borderId="15" xfId="0" applyNumberFormat="1" applyFont="1" applyFill="1" applyBorder="1"/>
    <xf numFmtId="0" fontId="15" fillId="0" borderId="15" xfId="0" applyFont="1" applyBorder="1" applyAlignment="1">
      <alignment wrapText="1"/>
    </xf>
    <xf numFmtId="0" fontId="15" fillId="0" borderId="15" xfId="0" applyFont="1" applyBorder="1" applyAlignment="1">
      <alignment vertical="justify" wrapText="1"/>
    </xf>
    <xf numFmtId="0" fontId="12" fillId="0" borderId="0" xfId="0" applyFont="1" applyFill="1" applyBorder="1" applyAlignment="1">
      <alignment horizontal="left" vertical="top" wrapText="1"/>
    </xf>
    <xf numFmtId="2" fontId="12" fillId="0" borderId="0" xfId="0" applyNumberFormat="1" applyFont="1" applyFill="1" applyBorder="1" applyAlignment="1">
      <alignment horizontal="center" vertical="top" wrapText="1"/>
    </xf>
    <xf numFmtId="164" fontId="22" fillId="0" borderId="0" xfId="0" applyNumberFormat="1" applyFont="1" applyFill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 vertical="center"/>
    </xf>
    <xf numFmtId="0" fontId="40" fillId="0" borderId="0" xfId="0" applyFont="1" applyBorder="1"/>
    <xf numFmtId="0" fontId="14" fillId="34" borderId="0" xfId="136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30" fillId="0" borderId="0" xfId="0" applyFont="1" applyAlignment="1">
      <alignment vertical="center" wrapText="1"/>
    </xf>
    <xf numFmtId="2" fontId="12" fillId="0" borderId="0" xfId="0" applyNumberFormat="1" applyFont="1" applyBorder="1" applyAlignment="1">
      <alignment horizontal="left"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41" fillId="0" borderId="0" xfId="0" applyFont="1" applyFill="1" applyBorder="1" applyAlignment="1">
      <alignment vertical="center"/>
    </xf>
    <xf numFmtId="0" fontId="44" fillId="0" borderId="0" xfId="0" applyFont="1" applyFill="1" applyBorder="1" applyAlignment="1">
      <alignment horizontal="left" wrapText="1"/>
    </xf>
    <xf numFmtId="0" fontId="44" fillId="0" borderId="0" xfId="0" applyFont="1" applyFill="1" applyBorder="1" applyAlignment="1">
      <alignment horizontal="left" vertical="center" wrapText="1"/>
    </xf>
    <xf numFmtId="0" fontId="14" fillId="0" borderId="0" xfId="0" applyFont="1" applyBorder="1" applyAlignment="1">
      <alignment vertical="center"/>
    </xf>
    <xf numFmtId="21" fontId="14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6" fontId="14" fillId="34" borderId="0" xfId="0" applyNumberFormat="1" applyFont="1" applyFill="1" applyBorder="1" applyAlignment="1">
      <alignment horizontal="center" vertical="center"/>
    </xf>
    <xf numFmtId="0" fontId="14" fillId="34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71" fillId="0" borderId="0" xfId="0" applyFont="1" applyFill="1" applyBorder="1"/>
    <xf numFmtId="0" fontId="124" fillId="0" borderId="0" xfId="0" applyFont="1" applyFill="1" applyBorder="1"/>
    <xf numFmtId="0" fontId="72" fillId="0" borderId="0" xfId="0" applyFont="1" applyFill="1" applyBorder="1"/>
    <xf numFmtId="0" fontId="4" fillId="0" borderId="0" xfId="0" applyFont="1" applyBorder="1"/>
    <xf numFmtId="0" fontId="125" fillId="0" borderId="0" xfId="0" applyFont="1" applyFill="1" applyBorder="1" applyAlignment="1">
      <alignment vertical="center" textRotation="180"/>
    </xf>
    <xf numFmtId="0" fontId="39" fillId="0" borderId="0" xfId="0" applyFont="1" applyBorder="1" applyAlignment="1">
      <alignment horizontal="right" wrapText="1"/>
    </xf>
    <xf numFmtId="0" fontId="14" fillId="0" borderId="0" xfId="0" applyFont="1" applyBorder="1" applyAlignment="1">
      <alignment horizontal="right" vertical="center"/>
    </xf>
    <xf numFmtId="166" fontId="14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34" borderId="0" xfId="0" applyFont="1" applyFill="1" applyBorder="1" applyAlignment="1">
      <alignment vertical="center"/>
    </xf>
    <xf numFmtId="0" fontId="22" fillId="34" borderId="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166" fontId="14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right" vertical="center"/>
    </xf>
    <xf numFmtId="0" fontId="52" fillId="0" borderId="0" xfId="0" applyFont="1" applyBorder="1" applyAlignment="1">
      <alignment horizontal="left" vertical="center" wrapText="1"/>
    </xf>
    <xf numFmtId="0" fontId="52" fillId="0" borderId="0" xfId="0" applyFont="1" applyBorder="1" applyAlignment="1">
      <alignment horizontal="center" vertical="center" wrapText="1"/>
    </xf>
    <xf numFmtId="0" fontId="123" fillId="0" borderId="0" xfId="0" applyFont="1" applyFill="1" applyBorder="1" applyAlignment="1">
      <alignment horizontal="center" vertical="center" wrapText="1"/>
    </xf>
    <xf numFmtId="2" fontId="12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/>
    <xf numFmtId="0" fontId="29" fillId="0" borderId="0" xfId="0" applyFont="1" applyFill="1" applyBorder="1" applyAlignment="1">
      <alignment horizontal="center"/>
    </xf>
    <xf numFmtId="0" fontId="78" fillId="0" borderId="0" xfId="0" applyFont="1" applyFill="1" applyBorder="1" applyAlignment="1">
      <alignment horizontal="center" vertical="center"/>
    </xf>
    <xf numFmtId="0" fontId="77" fillId="0" borderId="0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67" fillId="2" borderId="0" xfId="0" applyFont="1" applyFill="1" applyBorder="1"/>
    <xf numFmtId="0" fontId="63" fillId="0" borderId="0" xfId="0" applyFont="1" applyBorder="1" applyAlignment="1">
      <alignment horizontal="center"/>
    </xf>
    <xf numFmtId="0" fontId="0" fillId="2" borderId="21" xfId="0" applyFill="1" applyBorder="1"/>
    <xf numFmtId="0" fontId="0" fillId="2" borderId="15" xfId="0" applyFill="1" applyBorder="1"/>
    <xf numFmtId="0" fontId="0" fillId="2" borderId="22" xfId="0" applyFill="1" applyBorder="1"/>
    <xf numFmtId="0" fontId="0" fillId="0" borderId="17" xfId="0" applyFill="1" applyBorder="1"/>
    <xf numFmtId="0" fontId="0" fillId="0" borderId="18" xfId="0" applyFill="1" applyBorder="1"/>
    <xf numFmtId="0" fontId="77" fillId="2" borderId="0" xfId="0" applyFont="1" applyFill="1" applyBorder="1"/>
    <xf numFmtId="0" fontId="66" fillId="0" borderId="19" xfId="0" applyFont="1" applyBorder="1" applyAlignment="1">
      <alignment wrapText="1"/>
    </xf>
    <xf numFmtId="0" fontId="77" fillId="0" borderId="0" xfId="0" applyFont="1" applyFill="1" applyBorder="1" applyAlignment="1"/>
    <xf numFmtId="176" fontId="77" fillId="0" borderId="0" xfId="0" applyNumberFormat="1" applyFont="1" applyFill="1" applyBorder="1" applyAlignment="1"/>
    <xf numFmtId="49" fontId="77" fillId="0" borderId="0" xfId="0" applyNumberFormat="1" applyFont="1" applyFill="1" applyBorder="1" applyAlignment="1"/>
    <xf numFmtId="0" fontId="77" fillId="2" borderId="0" xfId="0" applyFont="1" applyFill="1" applyBorder="1" applyAlignment="1"/>
    <xf numFmtId="0" fontId="0" fillId="0" borderId="16" xfId="0" applyFill="1" applyBorder="1"/>
    <xf numFmtId="0" fontId="124" fillId="0" borderId="17" xfId="0" applyFont="1" applyFill="1" applyBorder="1"/>
    <xf numFmtId="0" fontId="79" fillId="0" borderId="19" xfId="0" applyFont="1" applyFill="1" applyBorder="1"/>
    <xf numFmtId="0" fontId="78" fillId="0" borderId="0" xfId="0" applyFont="1" applyFill="1" applyBorder="1"/>
    <xf numFmtId="0" fontId="78" fillId="0" borderId="20" xfId="0" applyFont="1" applyFill="1" applyBorder="1"/>
    <xf numFmtId="0" fontId="79" fillId="2" borderId="19" xfId="0" applyFont="1" applyFill="1" applyBorder="1"/>
    <xf numFmtId="0" fontId="78" fillId="2" borderId="0" xfId="0" applyFont="1" applyFill="1" applyBorder="1"/>
    <xf numFmtId="0" fontId="78" fillId="2" borderId="20" xfId="0" applyFont="1" applyFill="1" applyBorder="1"/>
    <xf numFmtId="0" fontId="123" fillId="34" borderId="0" xfId="0" applyFont="1" applyFill="1" applyBorder="1" applyAlignment="1">
      <alignment horizontal="center" vertical="center" wrapText="1"/>
    </xf>
    <xf numFmtId="2" fontId="123" fillId="34" borderId="0" xfId="0" applyNumberFormat="1" applyFont="1" applyFill="1" applyBorder="1" applyAlignment="1">
      <alignment horizontal="center" vertical="center" wrapText="1"/>
    </xf>
    <xf numFmtId="2" fontId="123" fillId="34" borderId="0" xfId="0" applyNumberFormat="1" applyFont="1" applyFill="1" applyBorder="1" applyAlignment="1">
      <alignment horizontal="center"/>
    </xf>
    <xf numFmtId="164" fontId="14" fillId="34" borderId="0" xfId="0" applyNumberFormat="1" applyFont="1" applyFill="1" applyBorder="1" applyAlignment="1">
      <alignment horizontal="right" vertical="center" wrapText="1"/>
    </xf>
    <xf numFmtId="0" fontId="14" fillId="0" borderId="0" xfId="0" applyFont="1" applyFill="1" applyBorder="1" applyAlignment="1">
      <alignment horizontal="right" vertical="center"/>
    </xf>
    <xf numFmtId="1" fontId="12" fillId="0" borderId="0" xfId="0" applyNumberFormat="1" applyFont="1" applyFill="1" applyBorder="1" applyAlignment="1">
      <alignment horizontal="left" vertical="center" wrapText="1"/>
    </xf>
    <xf numFmtId="1" fontId="12" fillId="0" borderId="0" xfId="0" applyNumberFormat="1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center" vertical="center"/>
    </xf>
    <xf numFmtId="2" fontId="29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 vertical="center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justify"/>
    </xf>
    <xf numFmtId="2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right" vertical="center" wrapText="1"/>
    </xf>
    <xf numFmtId="2" fontId="29" fillId="0" borderId="0" xfId="0" applyNumberFormat="1" applyFont="1" applyFill="1" applyAlignment="1">
      <alignment horizontal="center" vertical="center"/>
    </xf>
    <xf numFmtId="2" fontId="29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2" fontId="15" fillId="34" borderId="0" xfId="0" applyNumberFormat="1" applyFont="1" applyFill="1" applyBorder="1" applyAlignment="1">
      <alignment horizontal="center" vertical="center" wrapText="1"/>
    </xf>
    <xf numFmtId="0" fontId="15" fillId="34" borderId="0" xfId="0" applyFont="1" applyFill="1" applyBorder="1" applyAlignment="1">
      <alignment horizontal="right" vertical="center" wrapText="1"/>
    </xf>
    <xf numFmtId="2" fontId="29" fillId="34" borderId="0" xfId="0" applyNumberFormat="1" applyFont="1" applyFill="1" applyBorder="1" applyAlignment="1">
      <alignment horizontal="center" vertical="center"/>
    </xf>
    <xf numFmtId="0" fontId="29" fillId="34" borderId="0" xfId="0" applyFont="1" applyFill="1"/>
    <xf numFmtId="0" fontId="70" fillId="0" borderId="0" xfId="0" applyFont="1" applyFill="1" applyBorder="1" applyAlignment="1">
      <alignment vertical="center" textRotation="180"/>
    </xf>
    <xf numFmtId="0" fontId="76" fillId="0" borderId="0" xfId="0" applyFont="1" applyFill="1" applyBorder="1" applyAlignment="1">
      <alignment vertical="center" textRotation="180"/>
    </xf>
    <xf numFmtId="0" fontId="14" fillId="34" borderId="0" xfId="0" applyFont="1" applyFill="1" applyBorder="1" applyAlignment="1">
      <alignment horizontal="left" vertical="center"/>
    </xf>
    <xf numFmtId="0" fontId="12" fillId="0" borderId="0" xfId="0" applyFont="1" applyFill="1" applyBorder="1"/>
    <xf numFmtId="164" fontId="12" fillId="0" borderId="0" xfId="0" applyNumberFormat="1" applyFont="1" applyFill="1" applyBorder="1" applyAlignment="1">
      <alignment horizontal="center" wrapText="1"/>
    </xf>
    <xf numFmtId="164" fontId="14" fillId="0" borderId="0" xfId="0" applyNumberFormat="1" applyFont="1" applyFill="1" applyBorder="1" applyAlignment="1">
      <alignment horizontal="right" vertical="center" wrapText="1"/>
    </xf>
    <xf numFmtId="1" fontId="12" fillId="34" borderId="0" xfId="0" applyNumberFormat="1" applyFont="1" applyFill="1" applyBorder="1" applyAlignment="1">
      <alignment horizontal="center" vertical="center" wrapText="1"/>
    </xf>
    <xf numFmtId="0" fontId="12" fillId="34" borderId="0" xfId="0" applyFont="1" applyFill="1" applyBorder="1" applyAlignment="1">
      <alignment horizontal="center" vertical="center"/>
    </xf>
    <xf numFmtId="21" fontId="126" fillId="0" borderId="0" xfId="0" applyNumberFormat="1" applyFont="1" applyFill="1" applyBorder="1" applyAlignment="1">
      <alignment horizontal="center" vertical="center" wrapText="1"/>
    </xf>
    <xf numFmtId="2" fontId="126" fillId="0" borderId="0" xfId="0" applyNumberFormat="1" applyFont="1" applyFill="1" applyBorder="1" applyAlignment="1">
      <alignment horizontal="center" vertical="center"/>
    </xf>
    <xf numFmtId="0" fontId="126" fillId="0" borderId="0" xfId="0" applyFont="1" applyFill="1" applyBorder="1" applyAlignment="1">
      <alignment horizontal="center" vertical="center" wrapText="1"/>
    </xf>
    <xf numFmtId="0" fontId="127" fillId="0" borderId="0" xfId="0" applyFont="1" applyFill="1" applyBorder="1" applyAlignment="1">
      <alignment horizontal="center" vertical="center" wrapText="1"/>
    </xf>
    <xf numFmtId="0" fontId="126" fillId="0" borderId="0" xfId="0" applyFont="1" applyFill="1" applyBorder="1" applyAlignment="1">
      <alignment vertical="center" wrapText="1"/>
    </xf>
    <xf numFmtId="0" fontId="126" fillId="0" borderId="0" xfId="0" applyFont="1" applyFill="1" applyBorder="1"/>
    <xf numFmtId="0" fontId="128" fillId="0" borderId="0" xfId="0" applyFont="1" applyFill="1" applyBorder="1" applyAlignment="1">
      <alignment horizontal="left" vertical="center" wrapText="1"/>
    </xf>
    <xf numFmtId="0" fontId="127" fillId="0" borderId="0" xfId="0" applyFont="1" applyFill="1" applyBorder="1" applyAlignment="1">
      <alignment horizontal="left"/>
    </xf>
    <xf numFmtId="0" fontId="129" fillId="0" borderId="0" xfId="0" applyFont="1" applyFill="1" applyBorder="1" applyAlignment="1">
      <alignment horizontal="left" vertical="center" wrapText="1"/>
    </xf>
    <xf numFmtId="0" fontId="126" fillId="0" borderId="0" xfId="0" applyFont="1" applyFill="1" applyBorder="1" applyAlignment="1">
      <alignment vertical="center"/>
    </xf>
    <xf numFmtId="0" fontId="130" fillId="0" borderId="0" xfId="0" applyFont="1" applyFill="1" applyBorder="1" applyAlignment="1">
      <alignment horizontal="left" vertical="center" wrapText="1"/>
    </xf>
    <xf numFmtId="0" fontId="126" fillId="0" borderId="0" xfId="0" applyFont="1" applyFill="1" applyBorder="1" applyAlignment="1">
      <alignment horizontal="center" vertical="center"/>
    </xf>
    <xf numFmtId="0" fontId="126" fillId="0" borderId="0" xfId="0" applyFont="1" applyBorder="1"/>
    <xf numFmtId="2" fontId="126" fillId="0" borderId="0" xfId="0" applyNumberFormat="1" applyFont="1" applyBorder="1" applyAlignment="1">
      <alignment horizontal="center"/>
    </xf>
    <xf numFmtId="0" fontId="82" fillId="34" borderId="0" xfId="0" applyFont="1" applyFill="1" applyAlignment="1">
      <alignment horizontal="center" vertical="center"/>
    </xf>
    <xf numFmtId="0" fontId="82" fillId="34" borderId="0" xfId="0" applyFont="1" applyFill="1" applyBorder="1" applyAlignment="1">
      <alignment vertical="center"/>
    </xf>
    <xf numFmtId="0" fontId="84" fillId="34" borderId="0" xfId="0" applyFont="1" applyFill="1" applyBorder="1" applyAlignment="1">
      <alignment horizontal="left" vertical="center" wrapText="1"/>
    </xf>
    <xf numFmtId="0" fontId="84" fillId="0" borderId="0" xfId="0" applyFont="1" applyFill="1" applyBorder="1" applyAlignment="1">
      <alignment horizontal="left" vertical="top" wrapText="1"/>
    </xf>
    <xf numFmtId="0" fontId="59" fillId="34" borderId="0" xfId="0" applyFont="1" applyFill="1" applyBorder="1" applyAlignment="1">
      <alignment horizontal="left" vertical="center" wrapText="1"/>
    </xf>
    <xf numFmtId="0" fontId="59" fillId="0" borderId="0" xfId="0" applyFont="1" applyFill="1" applyBorder="1" applyAlignment="1">
      <alignment horizontal="left" vertical="center" wrapText="1"/>
    </xf>
    <xf numFmtId="0" fontId="85" fillId="34" borderId="0" xfId="0" applyFont="1" applyFill="1" applyBorder="1" applyAlignment="1">
      <alignment horizontal="left" vertical="top" wrapText="1"/>
    </xf>
    <xf numFmtId="0" fontId="85" fillId="0" borderId="0" xfId="0" applyFont="1" applyFill="1" applyBorder="1" applyAlignment="1">
      <alignment horizontal="left" vertical="top" wrapText="1"/>
    </xf>
    <xf numFmtId="0" fontId="86" fillId="34" borderId="0" xfId="0" applyFont="1" applyFill="1" applyAlignment="1">
      <alignment horizontal="left"/>
    </xf>
    <xf numFmtId="0" fontId="83" fillId="0" borderId="0" xfId="0" applyFont="1" applyAlignment="1">
      <alignment horizontal="left"/>
    </xf>
    <xf numFmtId="0" fontId="29" fillId="0" borderId="0" xfId="0" applyFont="1" applyFill="1" applyAlignment="1">
      <alignment horizontal="center"/>
    </xf>
    <xf numFmtId="0" fontId="82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left"/>
    </xf>
    <xf numFmtId="0" fontId="59" fillId="34" borderId="0" xfId="0" applyFont="1" applyFill="1" applyBorder="1" applyAlignment="1">
      <alignment horizontal="left" vertical="justify" wrapText="1"/>
    </xf>
    <xf numFmtId="2" fontId="15" fillId="34" borderId="0" xfId="0" applyNumberFormat="1" applyFont="1" applyFill="1" applyBorder="1" applyAlignment="1">
      <alignment horizontal="center" vertical="justify" wrapText="1"/>
    </xf>
    <xf numFmtId="0" fontId="29" fillId="34" borderId="0" xfId="0" applyFont="1" applyFill="1" applyAlignment="1">
      <alignment vertical="center"/>
    </xf>
    <xf numFmtId="0" fontId="84" fillId="34" borderId="0" xfId="0" applyFont="1" applyFill="1" applyBorder="1" applyAlignment="1">
      <alignment horizontal="left" vertical="justify" wrapText="1"/>
    </xf>
    <xf numFmtId="2" fontId="29" fillId="34" borderId="0" xfId="0" applyNumberFormat="1" applyFont="1" applyFill="1" applyAlignment="1">
      <alignment horizontal="center" vertical="justify"/>
    </xf>
    <xf numFmtId="0" fontId="59" fillId="34" borderId="15" xfId="0" applyFont="1" applyFill="1" applyBorder="1" applyAlignment="1">
      <alignment horizontal="left" vertical="center" wrapText="1"/>
    </xf>
    <xf numFmtId="2" fontId="15" fillId="34" borderId="15" xfId="0" applyNumberFormat="1" applyFont="1" applyFill="1" applyBorder="1" applyAlignment="1">
      <alignment horizontal="center" vertical="center" wrapText="1"/>
    </xf>
    <xf numFmtId="0" fontId="89" fillId="0" borderId="0" xfId="0" applyFont="1" applyAlignment="1">
      <alignment vertical="center"/>
    </xf>
    <xf numFmtId="0" fontId="89" fillId="0" borderId="0" xfId="0" applyFont="1" applyFill="1"/>
    <xf numFmtId="49" fontId="26" fillId="0" borderId="0" xfId="0" applyNumberFormat="1" applyFont="1" applyFill="1" applyBorder="1" applyAlignment="1">
      <alignment vertical="center" wrapText="1"/>
    </xf>
    <xf numFmtId="0" fontId="90" fillId="0" borderId="0" xfId="0" applyFont="1" applyAlignment="1">
      <alignment horizontal="left"/>
    </xf>
    <xf numFmtId="0" fontId="24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2" fontId="14" fillId="0" borderId="0" xfId="0" applyNumberFormat="1" applyFont="1" applyFill="1" applyAlignment="1">
      <alignment horizontal="center"/>
    </xf>
    <xf numFmtId="0" fontId="18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right"/>
    </xf>
    <xf numFmtId="0" fontId="14" fillId="0" borderId="0" xfId="0" applyFont="1" applyFill="1" applyAlignment="1">
      <alignment horizontal="right"/>
    </xf>
    <xf numFmtId="0" fontId="6" fillId="0" borderId="0" xfId="0" applyFont="1" applyFill="1"/>
    <xf numFmtId="0" fontId="42" fillId="0" borderId="0" xfId="0" applyFont="1" applyBorder="1" applyAlignment="1">
      <alignment wrapText="1"/>
    </xf>
    <xf numFmtId="1" fontId="12" fillId="34" borderId="0" xfId="0" applyNumberFormat="1" applyFont="1" applyFill="1" applyBorder="1" applyAlignment="1">
      <alignment horizontal="left" vertical="center" wrapText="1"/>
    </xf>
    <xf numFmtId="1" fontId="12" fillId="34" borderId="0" xfId="0" applyNumberFormat="1" applyFont="1" applyFill="1" applyBorder="1" applyAlignment="1">
      <alignment horizontal="right" vertical="center" wrapText="1"/>
    </xf>
    <xf numFmtId="0" fontId="12" fillId="34" borderId="0" xfId="0" applyFont="1" applyFill="1" applyAlignment="1">
      <alignment vertical="center"/>
    </xf>
    <xf numFmtId="168" fontId="12" fillId="34" borderId="0" xfId="0" applyNumberFormat="1" applyFont="1" applyFill="1" applyBorder="1" applyAlignment="1">
      <alignment horizontal="center" vertical="center" wrapText="1"/>
    </xf>
    <xf numFmtId="0" fontId="12" fillId="34" borderId="0" xfId="0" applyFont="1" applyFill="1" applyAlignment="1">
      <alignment horizontal="right" vertical="center"/>
    </xf>
    <xf numFmtId="0" fontId="16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right" vertical="center" wrapText="1"/>
    </xf>
    <xf numFmtId="0" fontId="131" fillId="34" borderId="0" xfId="0" applyFont="1" applyFill="1" applyBorder="1" applyAlignment="1">
      <alignment horizontal="center" vertical="center" wrapText="1"/>
    </xf>
    <xf numFmtId="0" fontId="37" fillId="0" borderId="0" xfId="0" applyFont="1" applyFill="1" applyAlignment="1"/>
    <xf numFmtId="0" fontId="37" fillId="0" borderId="0" xfId="0" applyFont="1" applyFill="1" applyBorder="1" applyAlignment="1">
      <alignment horizontal="right" wrapText="1"/>
    </xf>
    <xf numFmtId="2" fontId="131" fillId="34" borderId="0" xfId="0" applyNumberFormat="1" applyFont="1" applyFill="1" applyBorder="1" applyAlignment="1">
      <alignment horizontal="center" vertical="center" wrapText="1"/>
    </xf>
    <xf numFmtId="164" fontId="123" fillId="0" borderId="0" xfId="0" applyNumberFormat="1" applyFont="1" applyFill="1" applyBorder="1" applyAlignment="1">
      <alignment horizontal="center" vertical="center"/>
    </xf>
    <xf numFmtId="0" fontId="123" fillId="0" borderId="0" xfId="0" applyFont="1" applyFill="1" applyBorder="1" applyAlignment="1">
      <alignment horizontal="center" vertical="center"/>
    </xf>
    <xf numFmtId="0" fontId="93" fillId="0" borderId="0" xfId="0" applyFont="1" applyBorder="1"/>
    <xf numFmtId="0" fontId="94" fillId="0" borderId="0" xfId="0" applyFont="1" applyBorder="1" applyAlignment="1">
      <alignment wrapText="1"/>
    </xf>
    <xf numFmtId="0" fontId="93" fillId="0" borderId="0" xfId="0" applyFont="1" applyBorder="1" applyAlignment="1"/>
    <xf numFmtId="0" fontId="93" fillId="0" borderId="0" xfId="0" applyFont="1" applyBorder="1" applyAlignment="1">
      <alignment horizontal="left" wrapText="1"/>
    </xf>
    <xf numFmtId="0" fontId="94" fillId="0" borderId="0" xfId="0" applyFont="1" applyBorder="1" applyAlignment="1">
      <alignment horizontal="left" wrapText="1"/>
    </xf>
    <xf numFmtId="49" fontId="94" fillId="0" borderId="0" xfId="0" applyNumberFormat="1" applyFont="1" applyBorder="1" applyAlignment="1">
      <alignment horizontal="left" wrapText="1"/>
    </xf>
    <xf numFmtId="164" fontId="93" fillId="0" borderId="0" xfId="0" applyNumberFormat="1" applyFont="1" applyBorder="1" applyAlignment="1">
      <alignment horizontal="left" wrapText="1"/>
    </xf>
    <xf numFmtId="0" fontId="93" fillId="0" borderId="0" xfId="0" applyFont="1" applyBorder="1" applyAlignment="1">
      <alignment horizontal="center"/>
    </xf>
    <xf numFmtId="0" fontId="94" fillId="0" borderId="0" xfId="0" applyFont="1" applyBorder="1" applyAlignment="1">
      <alignment horizontal="center" wrapText="1"/>
    </xf>
    <xf numFmtId="0" fontId="94" fillId="0" borderId="0" xfId="0" applyFont="1" applyBorder="1" applyAlignment="1">
      <alignment horizontal="center"/>
    </xf>
    <xf numFmtId="0" fontId="93" fillId="0" borderId="0" xfId="0" applyFont="1" applyBorder="1" applyAlignment="1">
      <alignment horizontal="right" wrapText="1"/>
    </xf>
    <xf numFmtId="0" fontId="93" fillId="0" borderId="0" xfId="0" applyFont="1"/>
    <xf numFmtId="0" fontId="93" fillId="0" borderId="0" xfId="0" applyFont="1" applyAlignment="1">
      <alignment wrapText="1"/>
    </xf>
    <xf numFmtId="0" fontId="93" fillId="0" borderId="0" xfId="0" applyFont="1" applyAlignment="1">
      <alignment horizontal="left" wrapText="1"/>
    </xf>
    <xf numFmtId="0" fontId="93" fillId="0" borderId="0" xfId="0" applyFont="1" applyBorder="1" applyAlignment="1">
      <alignment horizontal="center" wrapText="1"/>
    </xf>
    <xf numFmtId="164" fontId="93" fillId="0" borderId="0" xfId="0" applyNumberFormat="1" applyFont="1" applyBorder="1" applyAlignment="1">
      <alignment horizontal="center"/>
    </xf>
    <xf numFmtId="0" fontId="93" fillId="0" borderId="0" xfId="0" applyFont="1" applyAlignment="1"/>
    <xf numFmtId="0" fontId="14" fillId="35" borderId="0" xfId="0" applyFont="1" applyFill="1" applyBorder="1"/>
    <xf numFmtId="164" fontId="131" fillId="34" borderId="0" xfId="0" applyNumberFormat="1" applyFont="1" applyFill="1" applyBorder="1" applyAlignment="1">
      <alignment horizontal="center" vertical="center" wrapText="1"/>
    </xf>
    <xf numFmtId="164" fontId="131" fillId="0" borderId="0" xfId="0" applyNumberFormat="1" applyFont="1" applyFill="1" applyBorder="1" applyAlignment="1">
      <alignment horizontal="center" wrapText="1"/>
    </xf>
    <xf numFmtId="164" fontId="131" fillId="34" borderId="0" xfId="0" applyNumberFormat="1" applyFont="1" applyFill="1" applyBorder="1" applyAlignment="1">
      <alignment horizontal="center" wrapText="1"/>
    </xf>
    <xf numFmtId="0" fontId="14" fillId="0" borderId="15" xfId="0" applyFont="1" applyFill="1" applyBorder="1" applyAlignment="1">
      <alignment horizontal="center" vertical="center"/>
    </xf>
    <xf numFmtId="164" fontId="123" fillId="34" borderId="0" xfId="0" applyNumberFormat="1" applyFont="1" applyFill="1" applyBorder="1" applyAlignment="1">
      <alignment horizontal="center" vertical="center" wrapText="1"/>
    </xf>
    <xf numFmtId="164" fontId="123" fillId="34" borderId="0" xfId="0" applyNumberFormat="1" applyFont="1" applyFill="1" applyBorder="1" applyAlignment="1">
      <alignment horizontal="center" vertical="center"/>
    </xf>
    <xf numFmtId="164" fontId="131" fillId="0" borderId="0" xfId="0" applyNumberFormat="1" applyFont="1" applyFill="1" applyBorder="1" applyAlignment="1">
      <alignment horizontal="center" vertical="center" wrapText="1"/>
    </xf>
    <xf numFmtId="0" fontId="131" fillId="0" borderId="0" xfId="0" applyFont="1" applyFill="1" applyBorder="1" applyAlignment="1">
      <alignment horizontal="center" wrapText="1"/>
    </xf>
    <xf numFmtId="164" fontId="22" fillId="0" borderId="0" xfId="0" applyNumberFormat="1" applyFont="1" applyFill="1" applyBorder="1" applyAlignment="1">
      <alignment horizontal="center"/>
    </xf>
    <xf numFmtId="0" fontId="131" fillId="34" borderId="0" xfId="0" applyFont="1" applyFill="1" applyBorder="1" applyAlignment="1">
      <alignment horizontal="center" wrapText="1"/>
    </xf>
    <xf numFmtId="0" fontId="131" fillId="0" borderId="0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left" vertical="center" wrapText="1"/>
    </xf>
    <xf numFmtId="0" fontId="75" fillId="0" borderId="0" xfId="0" applyFont="1" applyAlignment="1">
      <alignment vertical="center"/>
    </xf>
    <xf numFmtId="49" fontId="14" fillId="0" borderId="0" xfId="0" applyNumberFormat="1" applyFont="1" applyFill="1"/>
    <xf numFmtId="0" fontId="20" fillId="0" borderId="0" xfId="0" applyFont="1" applyFill="1" applyBorder="1" applyAlignment="1"/>
    <xf numFmtId="0" fontId="33" fillId="0" borderId="0" xfId="0" applyFont="1" applyFill="1" applyBorder="1"/>
    <xf numFmtId="0" fontId="29" fillId="0" borderId="0" xfId="0" applyFont="1" applyFill="1" applyAlignment="1">
      <alignment horizontal="right"/>
    </xf>
    <xf numFmtId="0" fontId="29" fillId="0" borderId="2" xfId="0" quotePrefix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right"/>
    </xf>
    <xf numFmtId="0" fontId="23" fillId="0" borderId="0" xfId="0" applyFont="1" applyFill="1"/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/>
    <xf numFmtId="0" fontId="26" fillId="0" borderId="0" xfId="0" applyFont="1" applyFill="1" applyAlignment="1">
      <alignment wrapText="1"/>
    </xf>
    <xf numFmtId="175" fontId="14" fillId="0" borderId="0" xfId="0" applyNumberFormat="1" applyFont="1" applyFill="1" applyBorder="1" applyAlignment="1">
      <alignment horizontal="center"/>
    </xf>
    <xf numFmtId="0" fontId="44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center"/>
    </xf>
    <xf numFmtId="21" fontId="14" fillId="0" borderId="0" xfId="0" applyNumberFormat="1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left" vertical="center" wrapText="1"/>
    </xf>
    <xf numFmtId="2" fontId="12" fillId="0" borderId="15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justify" wrapText="1"/>
    </xf>
    <xf numFmtId="2" fontId="12" fillId="0" borderId="0" xfId="0" applyNumberFormat="1" applyFont="1" applyFill="1" applyBorder="1" applyAlignment="1">
      <alignment horizontal="center" vertical="justify" wrapText="1"/>
    </xf>
    <xf numFmtId="0" fontId="14" fillId="0" borderId="0" xfId="0" applyFont="1" applyFill="1" applyAlignment="1">
      <alignment horizontal="center" vertical="justify"/>
    </xf>
    <xf numFmtId="0" fontId="13" fillId="0" borderId="0" xfId="0" applyFont="1" applyFill="1" applyAlignment="1">
      <alignment vertical="center"/>
    </xf>
    <xf numFmtId="164" fontId="123" fillId="0" borderId="0" xfId="0" applyNumberFormat="1" applyFont="1" applyFill="1" applyBorder="1" applyAlignment="1">
      <alignment horizontal="center" vertical="center" wrapText="1"/>
    </xf>
    <xf numFmtId="164" fontId="123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 wrapText="1"/>
    </xf>
    <xf numFmtId="2" fontId="3" fillId="0" borderId="0" xfId="0" applyNumberFormat="1" applyFont="1"/>
    <xf numFmtId="2" fontId="14" fillId="34" borderId="15" xfId="0" applyNumberFormat="1" applyFont="1" applyFill="1" applyBorder="1" applyAlignment="1">
      <alignment horizontal="center" vertical="center"/>
    </xf>
    <xf numFmtId="1" fontId="14" fillId="0" borderId="0" xfId="0" applyNumberFormat="1" applyFont="1" applyBorder="1" applyAlignment="1">
      <alignment horizontal="center" vertical="center"/>
    </xf>
    <xf numFmtId="49" fontId="26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/>
    <xf numFmtId="2" fontId="16" fillId="34" borderId="0" xfId="0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2" fontId="12" fillId="34" borderId="0" xfId="0" applyNumberFormat="1" applyFont="1" applyFill="1" applyBorder="1" applyAlignment="1">
      <alignment horizontal="center" vertical="justify" wrapText="1"/>
    </xf>
    <xf numFmtId="2" fontId="14" fillId="0" borderId="0" xfId="0" quotePrefix="1" applyNumberFormat="1" applyFont="1" applyFill="1" applyBorder="1" applyAlignment="1">
      <alignment horizontal="center" vertical="center" wrapText="1"/>
    </xf>
    <xf numFmtId="2" fontId="14" fillId="34" borderId="0" xfId="0" quotePrefix="1" applyNumberFormat="1" applyFont="1" applyFill="1" applyBorder="1" applyAlignment="1">
      <alignment horizontal="center" vertical="center" wrapText="1"/>
    </xf>
    <xf numFmtId="2" fontId="14" fillId="0" borderId="0" xfId="0" applyNumberFormat="1" applyFont="1" applyFill="1"/>
    <xf numFmtId="2" fontId="14" fillId="34" borderId="0" xfId="0" applyNumberFormat="1" applyFont="1" applyFill="1" applyAlignment="1">
      <alignment horizontal="right"/>
    </xf>
    <xf numFmtId="2" fontId="14" fillId="0" borderId="0" xfId="0" applyNumberFormat="1" applyFont="1" applyFill="1" applyAlignment="1">
      <alignment horizontal="right"/>
    </xf>
    <xf numFmtId="2" fontId="14" fillId="34" borderId="0" xfId="0" applyNumberFormat="1" applyFont="1" applyFill="1" applyBorder="1"/>
    <xf numFmtId="1" fontId="22" fillId="34" borderId="0" xfId="0" applyNumberFormat="1" applyFont="1" applyFill="1" applyBorder="1" applyAlignment="1">
      <alignment horizontal="center" vertical="center"/>
    </xf>
    <xf numFmtId="1" fontId="22" fillId="34" borderId="0" xfId="0" applyNumberFormat="1" applyFont="1" applyFill="1" applyBorder="1" applyAlignment="1">
      <alignment horizontal="center" wrapText="1"/>
    </xf>
    <xf numFmtId="2" fontId="22" fillId="34" borderId="0" xfId="0" applyNumberFormat="1" applyFont="1" applyFill="1" applyBorder="1" applyAlignment="1">
      <alignment horizontal="center" wrapText="1"/>
    </xf>
    <xf numFmtId="0" fontId="14" fillId="0" borderId="0" xfId="0" applyNumberFormat="1" applyFont="1" applyBorder="1" applyAlignment="1">
      <alignment horizontal="center" wrapText="1"/>
    </xf>
    <xf numFmtId="1" fontId="12" fillId="0" borderId="0" xfId="0" applyNumberFormat="1" applyFont="1" applyFill="1" applyBorder="1" applyAlignment="1">
      <alignment horizontal="left" wrapText="1"/>
    </xf>
    <xf numFmtId="1" fontId="12" fillId="0" borderId="0" xfId="0" applyNumberFormat="1" applyFont="1" applyFill="1" applyBorder="1" applyAlignment="1">
      <alignment horizontal="right" wrapText="1"/>
    </xf>
    <xf numFmtId="164" fontId="131" fillId="0" borderId="0" xfId="0" applyNumberFormat="1" applyFont="1" applyFill="1" applyBorder="1" applyAlignment="1">
      <alignment horizontal="center" vertical="center"/>
    </xf>
    <xf numFmtId="0" fontId="33" fillId="0" borderId="0" xfId="0" applyFont="1" applyBorder="1" applyAlignment="1">
      <alignment horizontal="left" wrapText="1"/>
    </xf>
    <xf numFmtId="0" fontId="14" fillId="0" borderId="0" xfId="0" applyNumberFormat="1" applyFont="1" applyFill="1" applyBorder="1" applyAlignment="1">
      <alignment horizontal="center" wrapText="1"/>
    </xf>
    <xf numFmtId="0" fontId="14" fillId="0" borderId="0" xfId="0" applyNumberFormat="1" applyFont="1" applyFill="1" applyBorder="1" applyAlignment="1">
      <alignment horizontal="center"/>
    </xf>
    <xf numFmtId="169" fontId="14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166" fontId="22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93" fillId="0" borderId="0" xfId="0" applyFont="1" applyBorder="1" applyAlignment="1">
      <alignment horizontal="left" vertical="center"/>
    </xf>
    <xf numFmtId="164" fontId="14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0" fontId="94" fillId="0" borderId="0" xfId="0" applyFont="1" applyBorder="1" applyAlignment="1">
      <alignment horizontal="right" wrapText="1"/>
    </xf>
    <xf numFmtId="0" fontId="29" fillId="0" borderId="0" xfId="0" applyFont="1" applyBorder="1" applyAlignment="1">
      <alignment wrapText="1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right" vertical="center" wrapText="1"/>
    </xf>
    <xf numFmtId="164" fontId="22" fillId="34" borderId="0" xfId="0" applyNumberFormat="1" applyFont="1" applyFill="1" applyBorder="1" applyAlignment="1">
      <alignment horizontal="right" vertical="center" wrapText="1"/>
    </xf>
    <xf numFmtId="164" fontId="22" fillId="0" borderId="0" xfId="0" applyNumberFormat="1" applyFont="1" applyFill="1" applyBorder="1" applyAlignment="1">
      <alignment horizontal="left" vertical="center" wrapText="1"/>
    </xf>
    <xf numFmtId="164" fontId="22" fillId="0" borderId="0" xfId="0" applyNumberFormat="1" applyFont="1" applyFill="1" applyBorder="1" applyAlignment="1">
      <alignment horizontal="right" vertical="center" wrapText="1"/>
    </xf>
    <xf numFmtId="0" fontId="22" fillId="0" borderId="0" xfId="0" applyFont="1" applyFill="1" applyBorder="1" applyAlignment="1">
      <alignment horizontal="left" vertical="center"/>
    </xf>
    <xf numFmtId="0" fontId="131" fillId="34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 wrapText="1"/>
    </xf>
    <xf numFmtId="2" fontId="15" fillId="0" borderId="0" xfId="0" applyNumberFormat="1" applyFont="1" applyFill="1" applyBorder="1" applyAlignment="1">
      <alignment horizontal="center" wrapText="1"/>
    </xf>
    <xf numFmtId="1" fontId="15" fillId="0" borderId="0" xfId="0" applyNumberFormat="1" applyFont="1" applyFill="1" applyBorder="1" applyAlignment="1">
      <alignment horizontal="center" wrapText="1"/>
    </xf>
    <xf numFmtId="0" fontId="16" fillId="34" borderId="0" xfId="0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 wrapText="1"/>
    </xf>
    <xf numFmtId="2" fontId="14" fillId="0" borderId="0" xfId="0" applyNumberFormat="1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right" wrapText="1"/>
    </xf>
    <xf numFmtId="0" fontId="131" fillId="0" borderId="0" xfId="0" applyFont="1" applyFill="1" applyBorder="1" applyAlignment="1">
      <alignment horizontal="left" vertical="center" wrapText="1"/>
    </xf>
    <xf numFmtId="2" fontId="13" fillId="34" borderId="0" xfId="0" applyNumberFormat="1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vertical="center"/>
    </xf>
    <xf numFmtId="0" fontId="12" fillId="34" borderId="0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left" vertical="center" wrapText="1"/>
    </xf>
    <xf numFmtId="164" fontId="14" fillId="0" borderId="0" xfId="0" applyNumberFormat="1" applyFont="1" applyFill="1" applyBorder="1" applyAlignment="1">
      <alignment horizontal="left" wrapText="1"/>
    </xf>
    <xf numFmtId="164" fontId="14" fillId="0" borderId="0" xfId="0" applyNumberFormat="1" applyFont="1" applyFill="1" applyAlignment="1">
      <alignment horizontal="center" vertical="center"/>
    </xf>
    <xf numFmtId="0" fontId="14" fillId="0" borderId="0" xfId="0" applyFont="1" applyFill="1" applyBorder="1" applyAlignment="1">
      <alignment horizontal="justify" wrapText="1"/>
    </xf>
    <xf numFmtId="2" fontId="12" fillId="0" borderId="0" xfId="0" applyNumberFormat="1" applyFont="1" applyFill="1" applyBorder="1" applyAlignment="1">
      <alignment horizontal="center"/>
    </xf>
    <xf numFmtId="46" fontId="14" fillId="0" borderId="0" xfId="0" applyNumberFormat="1" applyFont="1" applyFill="1" applyBorder="1" applyAlignment="1">
      <alignment horizontal="center" vertical="center"/>
    </xf>
    <xf numFmtId="2" fontId="14" fillId="0" borderId="15" xfId="0" applyNumberFormat="1" applyFont="1" applyFill="1" applyBorder="1" applyAlignment="1">
      <alignment horizontal="center" vertical="center"/>
    </xf>
    <xf numFmtId="37" fontId="13" fillId="0" borderId="0" xfId="0" applyNumberFormat="1" applyFont="1" applyFill="1" applyBorder="1" applyAlignment="1">
      <alignment vertical="center" wrapText="1"/>
    </xf>
    <xf numFmtId="174" fontId="123" fillId="34" borderId="0" xfId="0" applyNumberFormat="1" applyFont="1" applyFill="1" applyBorder="1" applyAlignment="1">
      <alignment horizontal="center" wrapText="1"/>
    </xf>
    <xf numFmtId="174" fontId="123" fillId="0" borderId="0" xfId="0" applyNumberFormat="1" applyFont="1" applyFill="1" applyBorder="1" applyAlignment="1">
      <alignment horizontal="center" wrapText="1"/>
    </xf>
    <xf numFmtId="164" fontId="131" fillId="36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Alignment="1">
      <alignment horizontal="center"/>
    </xf>
    <xf numFmtId="164" fontId="131" fillId="34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right"/>
    </xf>
    <xf numFmtId="0" fontId="27" fillId="0" borderId="8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right"/>
    </xf>
    <xf numFmtId="0" fontId="22" fillId="0" borderId="8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4" fontId="131" fillId="0" borderId="0" xfId="0" applyNumberFormat="1" applyFont="1" applyFill="1" applyBorder="1" applyAlignment="1">
      <alignment horizontal="center" vertical="top" wrapText="1"/>
    </xf>
    <xf numFmtId="0" fontId="37" fillId="0" borderId="0" xfId="0" applyFont="1" applyFill="1" applyBorder="1" applyAlignment="1">
      <alignment wrapText="1"/>
    </xf>
    <xf numFmtId="0" fontId="31" fillId="0" borderId="0" xfId="0" applyFont="1" applyFill="1"/>
    <xf numFmtId="0" fontId="30" fillId="0" borderId="0" xfId="0" applyFont="1" applyFill="1" applyBorder="1" applyAlignment="1">
      <alignment wrapText="1"/>
    </xf>
    <xf numFmtId="0" fontId="30" fillId="0" borderId="0" xfId="0" applyFont="1" applyFill="1" applyBorder="1" applyAlignment="1">
      <alignment horizontal="center" wrapText="1"/>
    </xf>
    <xf numFmtId="0" fontId="30" fillId="0" borderId="0" xfId="0" applyFont="1" applyFill="1" applyAlignment="1">
      <alignment wrapText="1"/>
    </xf>
    <xf numFmtId="0" fontId="12" fillId="0" borderId="0" xfId="0" applyFont="1" applyFill="1"/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top" wrapText="1"/>
    </xf>
    <xf numFmtId="0" fontId="28" fillId="0" borderId="8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81" fillId="0" borderId="2" xfId="0" applyFont="1" applyFill="1" applyBorder="1" applyAlignment="1">
      <alignment horizontal="center" vertical="center" wrapText="1"/>
    </xf>
    <xf numFmtId="0" fontId="95" fillId="0" borderId="2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164" fontId="131" fillId="0" borderId="0" xfId="0" applyNumberFormat="1" applyFont="1" applyFill="1" applyAlignment="1">
      <alignment horizontal="right"/>
    </xf>
    <xf numFmtId="164" fontId="131" fillId="0" borderId="0" xfId="0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vertical="top" wrapText="1"/>
    </xf>
    <xf numFmtId="0" fontId="14" fillId="0" borderId="0" xfId="0" applyFont="1" applyFill="1" applyAlignment="1">
      <alignment horizontal="left"/>
    </xf>
    <xf numFmtId="0" fontId="20" fillId="0" borderId="0" xfId="0" applyFont="1" applyFill="1" applyAlignment="1"/>
    <xf numFmtId="0" fontId="22" fillId="0" borderId="2" xfId="0" applyFont="1" applyFill="1" applyBorder="1" applyAlignment="1">
      <alignment horizontal="center"/>
    </xf>
    <xf numFmtId="0" fontId="7" fillId="0" borderId="0" xfId="0" applyFont="1" applyFill="1"/>
    <xf numFmtId="164" fontId="6" fillId="0" borderId="0" xfId="0" applyNumberFormat="1" applyFont="1" applyFill="1"/>
    <xf numFmtId="0" fontId="37" fillId="0" borderId="0" xfId="0" applyFont="1" applyFill="1" applyBorder="1" applyAlignment="1"/>
    <xf numFmtId="0" fontId="37" fillId="0" borderId="0" xfId="0" applyFont="1" applyFill="1" applyBorder="1" applyAlignment="1">
      <alignment horizontal="left"/>
    </xf>
    <xf numFmtId="164" fontId="13" fillId="0" borderId="0" xfId="0" applyNumberFormat="1" applyFont="1" applyFill="1" applyBorder="1" applyAlignment="1"/>
    <xf numFmtId="164" fontId="132" fillId="0" borderId="0" xfId="0" applyNumberFormat="1" applyFont="1" applyFill="1" applyBorder="1" applyAlignment="1">
      <alignment horizontal="center" wrapText="1"/>
    </xf>
    <xf numFmtId="37" fontId="34" fillId="0" borderId="0" xfId="0" applyNumberFormat="1" applyFont="1" applyFill="1" applyBorder="1" applyAlignment="1">
      <alignment vertical="center" wrapText="1"/>
    </xf>
    <xf numFmtId="164" fontId="6" fillId="0" borderId="0" xfId="0" applyNumberFormat="1" applyFont="1" applyFill="1" applyBorder="1" applyAlignment="1">
      <alignment horizontal="center" vertical="center"/>
    </xf>
    <xf numFmtId="0" fontId="14" fillId="34" borderId="15" xfId="0" applyFont="1" applyFill="1" applyBorder="1" applyAlignment="1">
      <alignment horizontal="center" vertical="center"/>
    </xf>
    <xf numFmtId="164" fontId="6" fillId="0" borderId="0" xfId="0" applyNumberFormat="1" applyFont="1" applyFill="1" applyBorder="1"/>
    <xf numFmtId="2" fontId="41" fillId="0" borderId="15" xfId="0" applyNumberFormat="1" applyFont="1" applyFill="1" applyBorder="1" applyAlignment="1">
      <alignment horizontal="center" vertical="center" wrapText="1"/>
    </xf>
    <xf numFmtId="0" fontId="41" fillId="0" borderId="15" xfId="0" applyFont="1" applyFill="1" applyBorder="1" applyAlignment="1">
      <alignment horizontal="center" vertical="center" wrapText="1"/>
    </xf>
    <xf numFmtId="2" fontId="34" fillId="0" borderId="15" xfId="0" applyNumberFormat="1" applyFont="1" applyFill="1" applyBorder="1" applyAlignment="1">
      <alignment horizontal="center" vertical="center" wrapText="1"/>
    </xf>
    <xf numFmtId="2" fontId="13" fillId="0" borderId="15" xfId="0" applyNumberFormat="1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2" fontId="41" fillId="0" borderId="15" xfId="0" applyNumberFormat="1" applyFont="1" applyFill="1" applyBorder="1" applyAlignment="1">
      <alignment horizontal="center" wrapText="1"/>
    </xf>
    <xf numFmtId="2" fontId="22" fillId="0" borderId="0" xfId="0" applyNumberFormat="1" applyFont="1" applyFill="1" applyBorder="1"/>
    <xf numFmtId="2" fontId="41" fillId="0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66" fontId="22" fillId="34" borderId="0" xfId="0" applyNumberFormat="1" applyFont="1" applyFill="1" applyBorder="1" applyAlignment="1">
      <alignment horizontal="center" vertical="center"/>
    </xf>
    <xf numFmtId="0" fontId="22" fillId="34" borderId="0" xfId="0" applyFont="1" applyFill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right" vertical="center"/>
    </xf>
    <xf numFmtId="3" fontId="7" fillId="0" borderId="0" xfId="137" applyNumberFormat="1" applyFont="1" applyFill="1" applyBorder="1" applyAlignment="1" applyProtection="1">
      <alignment horizontal="right"/>
    </xf>
    <xf numFmtId="3" fontId="7" fillId="0" borderId="0" xfId="137" applyNumberFormat="1" applyFont="1" applyFill="1" applyBorder="1" applyProtection="1"/>
    <xf numFmtId="3" fontId="7" fillId="0" borderId="0" xfId="137" applyNumberFormat="1" applyFont="1" applyFill="1" applyBorder="1" applyProtection="1">
      <protection locked="0"/>
    </xf>
    <xf numFmtId="177" fontId="7" fillId="0" borderId="0" xfId="137" applyNumberFormat="1" applyFont="1" applyFill="1" applyBorder="1" applyAlignment="1" applyProtection="1">
      <alignment horizontal="right"/>
    </xf>
    <xf numFmtId="0" fontId="14" fillId="34" borderId="15" xfId="0" applyFont="1" applyFill="1" applyBorder="1" applyAlignment="1">
      <alignment horizontal="right"/>
    </xf>
    <xf numFmtId="0" fontId="14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right"/>
    </xf>
    <xf numFmtId="2" fontId="14" fillId="0" borderId="0" xfId="196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right" vertical="center"/>
    </xf>
    <xf numFmtId="0" fontId="14" fillId="0" borderId="0" xfId="0" applyNumberFormat="1" applyFont="1" applyFill="1" applyBorder="1" applyAlignment="1">
      <alignment horizontal="left" vertical="center"/>
    </xf>
    <xf numFmtId="0" fontId="22" fillId="34" borderId="0" xfId="0" applyFont="1" applyFill="1" applyBorder="1" applyAlignment="1">
      <alignment horizontal="left" vertical="center" wrapText="1"/>
    </xf>
    <xf numFmtId="0" fontId="22" fillId="34" borderId="0" xfId="0" applyFont="1" applyFill="1" applyBorder="1" applyAlignment="1">
      <alignment horizontal="left" vertical="center"/>
    </xf>
    <xf numFmtId="2" fontId="123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6" fillId="34" borderId="0" xfId="0" applyFont="1" applyFill="1" applyBorder="1" applyAlignment="1">
      <alignment vertical="center"/>
    </xf>
    <xf numFmtId="0" fontId="16" fillId="34" borderId="0" xfId="0" applyFont="1" applyFill="1" applyBorder="1" applyAlignment="1">
      <alignment horizontal="right" vertical="center"/>
    </xf>
    <xf numFmtId="2" fontId="42" fillId="34" borderId="0" xfId="0" applyNumberFormat="1" applyFont="1" applyFill="1" applyBorder="1" applyAlignment="1">
      <alignment horizontal="center" vertical="center"/>
    </xf>
    <xf numFmtId="0" fontId="22" fillId="34" borderId="0" xfId="0" applyFont="1" applyFill="1" applyBorder="1" applyAlignment="1">
      <alignment horizontal="center" vertical="center" wrapText="1"/>
    </xf>
    <xf numFmtId="0" fontId="132" fillId="34" borderId="0" xfId="0" applyFont="1" applyFill="1" applyBorder="1" applyAlignment="1">
      <alignment horizontal="left" vertical="center" wrapText="1"/>
    </xf>
    <xf numFmtId="2" fontId="133" fillId="34" borderId="0" xfId="0" applyNumberFormat="1" applyFont="1" applyFill="1" applyBorder="1" applyAlignment="1">
      <alignment horizontal="center" vertical="center" wrapText="1"/>
    </xf>
    <xf numFmtId="0" fontId="132" fillId="34" borderId="0" xfId="0" applyFont="1" applyFill="1" applyBorder="1" applyAlignment="1">
      <alignment vertical="center" wrapText="1"/>
    </xf>
    <xf numFmtId="2" fontId="132" fillId="0" borderId="0" xfId="0" applyNumberFormat="1" applyFont="1" applyFill="1" applyBorder="1" applyAlignment="1">
      <alignment horizontal="center" vertical="center" wrapText="1"/>
    </xf>
    <xf numFmtId="164" fontId="132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0" fontId="16" fillId="34" borderId="0" xfId="0" applyFont="1" applyFill="1" applyBorder="1" applyAlignment="1">
      <alignment horizontal="right" vertical="center" wrapText="1"/>
    </xf>
    <xf numFmtId="0" fontId="132" fillId="34" borderId="0" xfId="0" applyFont="1" applyFill="1" applyBorder="1" applyAlignment="1">
      <alignment horizontal="center" wrapText="1"/>
    </xf>
    <xf numFmtId="164" fontId="132" fillId="34" borderId="0" xfId="0" applyNumberFormat="1" applyFont="1" applyFill="1" applyBorder="1" applyAlignment="1">
      <alignment horizontal="center" vertical="center" wrapText="1"/>
    </xf>
    <xf numFmtId="164" fontId="132" fillId="34" borderId="0" xfId="0" applyNumberFormat="1" applyFont="1" applyFill="1" applyBorder="1" applyAlignment="1">
      <alignment horizontal="center" wrapText="1"/>
    </xf>
    <xf numFmtId="0" fontId="44" fillId="34" borderId="0" xfId="0" applyFont="1" applyFill="1" applyBorder="1" applyAlignment="1">
      <alignment horizontal="left" vertical="center" wrapText="1"/>
    </xf>
    <xf numFmtId="0" fontId="12" fillId="34" borderId="0" xfId="0" applyFont="1" applyFill="1" applyBorder="1" applyAlignment="1">
      <alignment vertical="center"/>
    </xf>
    <xf numFmtId="0" fontId="12" fillId="34" borderId="0" xfId="0" applyFont="1" applyFill="1" applyBorder="1" applyAlignment="1">
      <alignment horizontal="right" vertical="center"/>
    </xf>
    <xf numFmtId="2" fontId="131" fillId="0" borderId="0" xfId="0" applyNumberFormat="1" applyFont="1" applyFill="1" applyBorder="1" applyAlignment="1">
      <alignment horizontal="center" vertical="center" wrapText="1"/>
    </xf>
    <xf numFmtId="0" fontId="14" fillId="35" borderId="0" xfId="0" applyFont="1" applyFill="1" applyBorder="1" applyAlignment="1">
      <alignment horizontal="center" vertical="center"/>
    </xf>
    <xf numFmtId="2" fontId="44" fillId="34" borderId="0" xfId="0" applyNumberFormat="1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left" vertical="center"/>
    </xf>
    <xf numFmtId="2" fontId="41" fillId="34" borderId="0" xfId="0" applyNumberFormat="1" applyFont="1" applyFill="1" applyAlignment="1">
      <alignment horizontal="center" vertical="center"/>
    </xf>
    <xf numFmtId="2" fontId="42" fillId="0" borderId="0" xfId="0" applyNumberFormat="1" applyFont="1" applyFill="1" applyBorder="1" applyAlignment="1">
      <alignment horizontal="center" vertical="center"/>
    </xf>
    <xf numFmtId="0" fontId="41" fillId="34" borderId="0" xfId="0" applyFont="1" applyFill="1" applyBorder="1" applyAlignment="1">
      <alignment horizontal="left" vertical="center" wrapText="1"/>
    </xf>
    <xf numFmtId="0" fontId="44" fillId="34" borderId="0" xfId="0" applyFont="1" applyFill="1" applyBorder="1" applyAlignment="1">
      <alignment vertical="center"/>
    </xf>
    <xf numFmtId="0" fontId="44" fillId="34" borderId="0" xfId="0" applyFont="1" applyFill="1" applyBorder="1" applyAlignment="1">
      <alignment horizontal="left" vertical="center"/>
    </xf>
    <xf numFmtId="0" fontId="74" fillId="34" borderId="0" xfId="0" applyFont="1" applyFill="1" applyBorder="1" applyAlignment="1">
      <alignment horizontal="left" vertical="center"/>
    </xf>
    <xf numFmtId="0" fontId="74" fillId="0" borderId="0" xfId="0" applyFont="1" applyFill="1" applyBorder="1" applyAlignment="1">
      <alignment horizontal="left" vertical="center"/>
    </xf>
    <xf numFmtId="14" fontId="14" fillId="0" borderId="0" xfId="0" applyNumberFormat="1" applyFont="1" applyFill="1" applyBorder="1" applyAlignment="1">
      <alignment horizontal="center" vertical="center"/>
    </xf>
    <xf numFmtId="0" fontId="12" fillId="34" borderId="0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vertical="center"/>
    </xf>
    <xf numFmtId="0" fontId="62" fillId="0" borderId="19" xfId="0" applyFont="1" applyBorder="1" applyAlignment="1">
      <alignment vertical="top" wrapText="1"/>
    </xf>
    <xf numFmtId="0" fontId="20" fillId="0" borderId="20" xfId="0" applyFont="1" applyBorder="1" applyAlignment="1">
      <alignment wrapText="1"/>
    </xf>
    <xf numFmtId="0" fontId="29" fillId="0" borderId="0" xfId="0" applyFont="1" applyFill="1" applyBorder="1" applyAlignment="1">
      <alignment horizontal="left"/>
    </xf>
    <xf numFmtId="0" fontId="29" fillId="34" borderId="0" xfId="0" applyFont="1" applyFill="1" applyBorder="1" applyAlignment="1">
      <alignment horizontal="left"/>
    </xf>
    <xf numFmtId="0" fontId="16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164" fontId="132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64" fontId="7" fillId="0" borderId="0" xfId="0" applyNumberFormat="1" applyFont="1" applyFill="1" applyBorder="1"/>
    <xf numFmtId="0" fontId="14" fillId="0" borderId="0" xfId="196" applyFont="1" applyFill="1" applyBorder="1" applyAlignment="1">
      <alignment horizontal="left"/>
    </xf>
    <xf numFmtId="0" fontId="37" fillId="0" borderId="0" xfId="0" applyFont="1" applyBorder="1" applyAlignment="1">
      <alignment vertical="top" wrapText="1"/>
    </xf>
    <xf numFmtId="0" fontId="12" fillId="34" borderId="0" xfId="0" applyFont="1" applyFill="1" applyBorder="1" applyAlignment="1">
      <alignment horizontal="left" vertical="center" wrapText="1"/>
    </xf>
    <xf numFmtId="2" fontId="22" fillId="0" borderId="0" xfId="0" applyNumberFormat="1" applyFont="1" applyFill="1" applyBorder="1" applyAlignment="1">
      <alignment horizontal="center" vertical="center" wrapText="1"/>
    </xf>
    <xf numFmtId="0" fontId="134" fillId="0" borderId="0" xfId="0" applyFont="1" applyFill="1" applyBorder="1" applyAlignment="1">
      <alignment vertical="center"/>
    </xf>
    <xf numFmtId="0" fontId="134" fillId="0" borderId="0" xfId="0" applyFont="1" applyFill="1" applyBorder="1" applyAlignment="1">
      <alignment vertical="center" wrapText="1"/>
    </xf>
    <xf numFmtId="0" fontId="134" fillId="0" borderId="0" xfId="0" applyFont="1" applyFill="1" applyAlignment="1">
      <alignment vertical="center"/>
    </xf>
    <xf numFmtId="0" fontId="134" fillId="0" borderId="0" xfId="0" applyFont="1" applyFill="1" applyBorder="1" applyAlignment="1">
      <alignment horizontal="center" vertical="center"/>
    </xf>
    <xf numFmtId="0" fontId="134" fillId="0" borderId="1" xfId="0" applyFont="1" applyFill="1" applyBorder="1" applyAlignment="1">
      <alignment horizontal="center" vertical="center"/>
    </xf>
    <xf numFmtId="0" fontId="134" fillId="0" borderId="1" xfId="0" applyFont="1" applyFill="1" applyBorder="1" applyAlignment="1">
      <alignment vertical="center"/>
    </xf>
    <xf numFmtId="0" fontId="134" fillId="0" borderId="1" xfId="0" applyFont="1" applyFill="1" applyBorder="1" applyAlignment="1">
      <alignment horizontal="right" vertical="center"/>
    </xf>
    <xf numFmtId="0" fontId="134" fillId="0" borderId="0" xfId="0" applyFont="1" applyFill="1" applyBorder="1" applyAlignment="1">
      <alignment horizontal="right" vertical="center"/>
    </xf>
    <xf numFmtId="0" fontId="135" fillId="0" borderId="0" xfId="0" applyFont="1" applyFill="1" applyAlignment="1">
      <alignment vertical="center"/>
    </xf>
    <xf numFmtId="0" fontId="136" fillId="0" borderId="0" xfId="0" applyFont="1" applyFill="1" applyAlignment="1">
      <alignment horizontal="center" vertical="center"/>
    </xf>
    <xf numFmtId="0" fontId="137" fillId="0" borderId="0" xfId="0" applyFont="1" applyFill="1" applyAlignment="1">
      <alignment vertical="center" wrapText="1"/>
    </xf>
    <xf numFmtId="0" fontId="138" fillId="0" borderId="2" xfId="0" applyFont="1" applyFill="1" applyBorder="1" applyAlignment="1">
      <alignment horizontal="center" vertical="center" wrapText="1"/>
    </xf>
    <xf numFmtId="0" fontId="139" fillId="0" borderId="2" xfId="0" applyFont="1" applyFill="1" applyBorder="1" applyAlignment="1">
      <alignment horizontal="center" vertical="center" wrapText="1"/>
    </xf>
    <xf numFmtId="0" fontId="140" fillId="0" borderId="0" xfId="0" applyFont="1" applyFill="1" applyAlignment="1">
      <alignment vertical="center"/>
    </xf>
    <xf numFmtId="1" fontId="141" fillId="0" borderId="2" xfId="0" applyNumberFormat="1" applyFont="1" applyFill="1" applyBorder="1" applyAlignment="1">
      <alignment horizontal="center" vertical="center"/>
    </xf>
    <xf numFmtId="1" fontId="142" fillId="0" borderId="2" xfId="0" applyNumberFormat="1" applyFont="1" applyFill="1" applyBorder="1" applyAlignment="1">
      <alignment horizontal="center" vertical="center" wrapText="1"/>
    </xf>
    <xf numFmtId="0" fontId="143" fillId="0" borderId="0" xfId="0" applyFont="1" applyFill="1" applyAlignment="1">
      <alignment vertical="center"/>
    </xf>
    <xf numFmtId="0" fontId="144" fillId="0" borderId="0" xfId="0" applyFont="1" applyFill="1"/>
    <xf numFmtId="0" fontId="131" fillId="0" borderId="11" xfId="0" applyFont="1" applyFill="1" applyBorder="1" applyAlignment="1">
      <alignment horizontal="left" wrapText="1"/>
    </xf>
    <xf numFmtId="0" fontId="123" fillId="0" borderId="0" xfId="0" applyFont="1" applyFill="1" applyBorder="1"/>
    <xf numFmtId="0" fontId="14" fillId="34" borderId="24" xfId="0" applyFont="1" applyFill="1" applyBorder="1" applyAlignment="1">
      <alignment horizontal="left" wrapText="1"/>
    </xf>
    <xf numFmtId="0" fontId="131" fillId="0" borderId="24" xfId="0" applyFont="1" applyFill="1" applyBorder="1" applyAlignment="1">
      <alignment horizontal="left" wrapText="1"/>
    </xf>
    <xf numFmtId="0" fontId="131" fillId="34" borderId="24" xfId="0" applyFont="1" applyFill="1" applyBorder="1" applyAlignment="1">
      <alignment horizontal="left" wrapText="1"/>
    </xf>
    <xf numFmtId="0" fontId="123" fillId="0" borderId="0" xfId="0" applyFont="1" applyFill="1"/>
    <xf numFmtId="0" fontId="133" fillId="0" borderId="9" xfId="0" applyFont="1" applyFill="1" applyBorder="1"/>
    <xf numFmtId="0" fontId="133" fillId="0" borderId="0" xfId="0" applyFont="1" applyFill="1"/>
    <xf numFmtId="0" fontId="145" fillId="0" borderId="0" xfId="0" applyFont="1" applyFill="1"/>
    <xf numFmtId="0" fontId="14" fillId="34" borderId="0" xfId="0" applyFont="1" applyFill="1" applyAlignment="1">
      <alignment horizontal="right"/>
    </xf>
    <xf numFmtId="0" fontId="146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168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right" vertical="center"/>
    </xf>
    <xf numFmtId="0" fontId="12" fillId="34" borderId="0" xfId="0" applyFont="1" applyFill="1" applyBorder="1" applyAlignment="1">
      <alignment horizontal="left" vertical="center" wrapText="1"/>
    </xf>
    <xf numFmtId="0" fontId="14" fillId="0" borderId="0" xfId="136" applyNumberFormat="1" applyFont="1" applyFill="1" applyBorder="1" applyAlignment="1">
      <alignment horizontal="center" vertical="center"/>
    </xf>
    <xf numFmtId="2" fontId="51" fillId="0" borderId="0" xfId="0" applyNumberFormat="1" applyFont="1" applyFill="1" applyBorder="1" applyAlignment="1">
      <alignment horizontal="center" vertical="center"/>
    </xf>
    <xf numFmtId="1" fontId="16" fillId="34" borderId="0" xfId="0" applyNumberFormat="1" applyFont="1" applyFill="1" applyBorder="1" applyAlignment="1">
      <alignment horizontal="left" wrapText="1"/>
    </xf>
    <xf numFmtId="1" fontId="16" fillId="34" borderId="0" xfId="0" applyNumberFormat="1" applyFont="1" applyFill="1" applyBorder="1" applyAlignment="1">
      <alignment horizontal="center" wrapText="1"/>
    </xf>
    <xf numFmtId="1" fontId="16" fillId="34" borderId="0" xfId="0" applyNumberFormat="1" applyFont="1" applyFill="1" applyBorder="1" applyAlignment="1">
      <alignment horizontal="right" wrapText="1"/>
    </xf>
    <xf numFmtId="0" fontId="16" fillId="34" borderId="0" xfId="0" applyFont="1" applyFill="1" applyBorder="1" applyAlignment="1">
      <alignment horizontal="center"/>
    </xf>
    <xf numFmtId="0" fontId="93" fillId="0" borderId="0" xfId="0" applyFont="1" applyAlignment="1">
      <alignment horizontal="left"/>
    </xf>
    <xf numFmtId="0" fontId="12" fillId="34" borderId="0" xfId="0" applyFont="1" applyFill="1" applyBorder="1" applyAlignment="1">
      <alignment horizontal="left" vertical="center"/>
    </xf>
    <xf numFmtId="0" fontId="14" fillId="34" borderId="0" xfId="136" applyNumberFormat="1" applyFont="1" applyFill="1" applyBorder="1" applyAlignment="1">
      <alignment horizontal="center" vertical="center"/>
    </xf>
    <xf numFmtId="2" fontId="51" fillId="34" borderId="0" xfId="0" applyNumberFormat="1" applyFont="1" applyFill="1" applyBorder="1" applyAlignment="1">
      <alignment horizontal="center" vertical="center"/>
    </xf>
    <xf numFmtId="0" fontId="12" fillId="34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vertical="center" wrapText="1"/>
    </xf>
    <xf numFmtId="164" fontId="14" fillId="0" borderId="0" xfId="0" applyNumberFormat="1" applyFont="1" applyAlignment="1"/>
    <xf numFmtId="164" fontId="14" fillId="0" borderId="0" xfId="0" applyNumberFormat="1" applyFont="1" applyFill="1" applyBorder="1" applyAlignment="1"/>
    <xf numFmtId="0" fontId="133" fillId="34" borderId="0" xfId="0" applyFont="1" applyFill="1" applyBorder="1" applyAlignment="1">
      <alignment horizontal="center" wrapText="1"/>
    </xf>
    <xf numFmtId="0" fontId="123" fillId="0" borderId="0" xfId="0" applyFont="1" applyFill="1" applyBorder="1" applyAlignment="1">
      <alignment horizontal="center"/>
    </xf>
    <xf numFmtId="0" fontId="14" fillId="34" borderId="0" xfId="0" applyFont="1" applyFill="1" applyBorder="1" applyAlignment="1"/>
    <xf numFmtId="164" fontId="22" fillId="34" borderId="0" xfId="0" applyNumberFormat="1" applyFont="1" applyFill="1" applyBorder="1" applyAlignment="1">
      <alignment horizontal="left" wrapText="1"/>
    </xf>
    <xf numFmtId="0" fontId="133" fillId="0" borderId="0" xfId="0" applyFont="1" applyFill="1" applyBorder="1" applyAlignment="1">
      <alignment horizontal="center"/>
    </xf>
    <xf numFmtId="164" fontId="133" fillId="0" borderId="0" xfId="0" applyNumberFormat="1" applyFont="1" applyFill="1" applyBorder="1" applyAlignment="1">
      <alignment horizontal="center"/>
    </xf>
    <xf numFmtId="0" fontId="133" fillId="0" borderId="0" xfId="0" applyFont="1" applyFill="1" applyBorder="1" applyAlignment="1">
      <alignment horizontal="center" vertical="center" wrapText="1"/>
    </xf>
    <xf numFmtId="2" fontId="41" fillId="0" borderId="0" xfId="0" quotePrefix="1" applyNumberFormat="1" applyFont="1" applyBorder="1" applyAlignment="1">
      <alignment horizontal="center" wrapText="1"/>
    </xf>
    <xf numFmtId="2" fontId="41" fillId="34" borderId="0" xfId="0" quotePrefix="1" applyNumberFormat="1" applyFont="1" applyFill="1" applyBorder="1" applyAlignment="1">
      <alignment horizontal="center" wrapText="1"/>
    </xf>
    <xf numFmtId="2" fontId="41" fillId="0" borderId="15" xfId="0" quotePrefix="1" applyNumberFormat="1" applyFont="1" applyFill="1" applyBorder="1" applyAlignment="1">
      <alignment horizontal="center" vertical="center" wrapText="1"/>
    </xf>
    <xf numFmtId="0" fontId="14" fillId="34" borderId="0" xfId="0" applyFont="1" applyFill="1" applyBorder="1" applyAlignment="1">
      <alignment vertical="center" wrapText="1"/>
    </xf>
    <xf numFmtId="0" fontId="22" fillId="35" borderId="0" xfId="0" applyFont="1" applyFill="1" applyBorder="1" applyAlignment="1">
      <alignment horizontal="left" vertical="center" wrapText="1"/>
    </xf>
    <xf numFmtId="0" fontId="44" fillId="0" borderId="0" xfId="0" applyFont="1" applyFill="1" applyBorder="1" applyAlignment="1">
      <alignment vertical="center"/>
    </xf>
    <xf numFmtId="0" fontId="123" fillId="0" borderId="0" xfId="0" applyFont="1" applyFill="1" applyAlignment="1">
      <alignment horizontal="right" vertical="center" readingOrder="1"/>
    </xf>
    <xf numFmtId="164" fontId="123" fillId="0" borderId="0" xfId="0" applyNumberFormat="1" applyFont="1" applyFill="1" applyAlignment="1">
      <alignment horizontal="right" vertical="center" readingOrder="1"/>
    </xf>
    <xf numFmtId="0" fontId="133" fillId="0" borderId="1" xfId="0" applyFont="1" applyFill="1" applyBorder="1" applyAlignment="1">
      <alignment horizontal="right" readingOrder="1"/>
    </xf>
    <xf numFmtId="164" fontId="133" fillId="0" borderId="1" xfId="0" applyNumberFormat="1" applyFont="1" applyFill="1" applyBorder="1" applyAlignment="1">
      <alignment horizontal="right" readingOrder="1"/>
    </xf>
    <xf numFmtId="0" fontId="133" fillId="0" borderId="12" xfId="0" applyFont="1" applyFill="1" applyBorder="1" applyAlignment="1">
      <alignment horizontal="right" readingOrder="1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167" fontId="14" fillId="34" borderId="15" xfId="0" applyNumberFormat="1" applyFont="1" applyFill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 wrapText="1"/>
    </xf>
    <xf numFmtId="49" fontId="14" fillId="34" borderId="0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center" vertical="center"/>
    </xf>
    <xf numFmtId="49" fontId="14" fillId="34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173" fontId="14" fillId="34" borderId="0" xfId="0" applyNumberFormat="1" applyFont="1" applyFill="1" applyBorder="1" applyAlignment="1">
      <alignment horizontal="center" vertical="center"/>
    </xf>
    <xf numFmtId="0" fontId="14" fillId="34" borderId="0" xfId="0" applyNumberFormat="1" applyFont="1" applyFill="1" applyBorder="1" applyAlignment="1">
      <alignment horizontal="center" vertical="center"/>
    </xf>
    <xf numFmtId="172" fontId="14" fillId="34" borderId="0" xfId="0" applyNumberFormat="1" applyFont="1" applyFill="1" applyBorder="1" applyAlignment="1">
      <alignment horizontal="center" vertical="center"/>
    </xf>
    <xf numFmtId="173" fontId="14" fillId="0" borderId="0" xfId="0" applyNumberFormat="1" applyFont="1" applyBorder="1" applyAlignment="1">
      <alignment horizontal="right" vertical="center"/>
    </xf>
    <xf numFmtId="173" fontId="14" fillId="0" borderId="0" xfId="0" applyNumberFormat="1" applyFont="1" applyBorder="1" applyAlignment="1">
      <alignment horizontal="center" vertical="center"/>
    </xf>
    <xf numFmtId="49" fontId="123" fillId="0" borderId="0" xfId="0" applyNumberFormat="1" applyFont="1" applyBorder="1" applyAlignment="1">
      <alignment horizontal="center" vertical="center"/>
    </xf>
    <xf numFmtId="1" fontId="123" fillId="0" borderId="0" xfId="0" applyNumberFormat="1" applyFont="1" applyBorder="1" applyAlignment="1">
      <alignment horizontal="center" vertical="center"/>
    </xf>
    <xf numFmtId="172" fontId="14" fillId="34" borderId="15" xfId="0" applyNumberFormat="1" applyFont="1" applyFill="1" applyBorder="1" applyAlignment="1">
      <alignment horizontal="center" vertical="center"/>
    </xf>
    <xf numFmtId="49" fontId="14" fillId="34" borderId="15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1" fontId="141" fillId="0" borderId="2" xfId="0" applyNumberFormat="1" applyFont="1" applyFill="1" applyBorder="1" applyAlignment="1">
      <alignment horizontal="center" vertical="center"/>
    </xf>
    <xf numFmtId="2" fontId="123" fillId="0" borderId="0" xfId="0" applyNumberFormat="1" applyFont="1" applyFill="1" applyAlignment="1">
      <alignment horizontal="right" vertical="center" readingOrder="1"/>
    </xf>
    <xf numFmtId="2" fontId="133" fillId="0" borderId="1" xfId="0" applyNumberFormat="1" applyFont="1" applyFill="1" applyBorder="1" applyAlignment="1">
      <alignment horizontal="right" readingOrder="1"/>
    </xf>
    <xf numFmtId="0" fontId="12" fillId="34" borderId="0" xfId="0" applyFont="1" applyFill="1" applyBorder="1" applyAlignment="1">
      <alignment horizontal="left" vertical="center" wrapText="1"/>
    </xf>
    <xf numFmtId="0" fontId="12" fillId="34" borderId="0" xfId="0" applyFont="1" applyFill="1" applyBorder="1" applyAlignment="1">
      <alignment horizontal="left" vertical="center" wrapText="1"/>
    </xf>
    <xf numFmtId="0" fontId="133" fillId="34" borderId="0" xfId="0" applyFont="1" applyFill="1" applyBorder="1" applyAlignment="1">
      <alignment horizontal="center" vertical="center" wrapText="1"/>
    </xf>
    <xf numFmtId="0" fontId="123" fillId="34" borderId="0" xfId="0" applyFont="1" applyFill="1" applyBorder="1" applyAlignment="1">
      <alignment horizontal="center" vertical="center"/>
    </xf>
    <xf numFmtId="2" fontId="123" fillId="36" borderId="0" xfId="0" applyNumberFormat="1" applyFont="1" applyFill="1" applyBorder="1" applyAlignment="1">
      <alignment horizontal="center" vertical="center" wrapText="1"/>
    </xf>
    <xf numFmtId="0" fontId="123" fillId="0" borderId="0" xfId="0" applyFont="1" applyFill="1" applyBorder="1" applyAlignment="1">
      <alignment horizontal="right" readingOrder="1"/>
    </xf>
    <xf numFmtId="164" fontId="123" fillId="0" borderId="0" xfId="0" applyNumberFormat="1" applyFont="1" applyFill="1" applyBorder="1" applyAlignment="1">
      <alignment horizontal="right" readingOrder="1"/>
    </xf>
    <xf numFmtId="2" fontId="123" fillId="0" borderId="0" xfId="0" applyNumberFormat="1" applyFont="1" applyFill="1" applyBorder="1" applyAlignment="1">
      <alignment horizontal="right" readingOrder="1"/>
    </xf>
    <xf numFmtId="0" fontId="133" fillId="34" borderId="1" xfId="0" applyFont="1" applyFill="1" applyBorder="1" applyAlignment="1">
      <alignment horizontal="right" readingOrder="1"/>
    </xf>
    <xf numFmtId="164" fontId="133" fillId="34" borderId="1" xfId="0" applyNumberFormat="1" applyFont="1" applyFill="1" applyBorder="1" applyAlignment="1">
      <alignment horizontal="right" readingOrder="1"/>
    </xf>
    <xf numFmtId="0" fontId="123" fillId="34" borderId="0" xfId="0" applyFont="1" applyFill="1" applyBorder="1" applyAlignment="1">
      <alignment horizontal="right" readingOrder="1"/>
    </xf>
    <xf numFmtId="164" fontId="123" fillId="34" borderId="0" xfId="0" applyNumberFormat="1" applyFont="1" applyFill="1" applyBorder="1" applyAlignment="1">
      <alignment horizontal="right" readingOrder="1"/>
    </xf>
    <xf numFmtId="2" fontId="123" fillId="34" borderId="0" xfId="0" applyNumberFormat="1" applyFont="1" applyFill="1" applyBorder="1" applyAlignment="1">
      <alignment horizontal="right" readingOrder="1"/>
    </xf>
    <xf numFmtId="0" fontId="123" fillId="34" borderId="0" xfId="0" applyFont="1" applyFill="1" applyBorder="1"/>
    <xf numFmtId="0" fontId="137" fillId="0" borderId="0" xfId="0" applyFont="1" applyFill="1"/>
    <xf numFmtId="0" fontId="136" fillId="0" borderId="0" xfId="0" applyFont="1" applyFill="1" applyBorder="1" applyAlignment="1">
      <alignment vertical="center"/>
    </xf>
    <xf numFmtId="0" fontId="136" fillId="0" borderId="0" xfId="0" applyFont="1" applyFill="1" applyAlignment="1">
      <alignment vertical="center"/>
    </xf>
    <xf numFmtId="0" fontId="123" fillId="34" borderId="25" xfId="0" applyFont="1" applyFill="1" applyBorder="1" applyAlignment="1">
      <alignment horizontal="right" readingOrder="1"/>
    </xf>
    <xf numFmtId="0" fontId="123" fillId="0" borderId="26" xfId="0" applyFont="1" applyFill="1" applyBorder="1" applyAlignment="1">
      <alignment horizontal="right" readingOrder="1"/>
    </xf>
    <xf numFmtId="0" fontId="123" fillId="34" borderId="26" xfId="0" applyFont="1" applyFill="1" applyBorder="1" applyAlignment="1">
      <alignment horizontal="right" readingOrder="1"/>
    </xf>
    <xf numFmtId="0" fontId="133" fillId="34" borderId="12" xfId="0" applyFont="1" applyFill="1" applyBorder="1" applyAlignment="1">
      <alignment horizontal="right" readingOrder="1"/>
    </xf>
    <xf numFmtId="2" fontId="13" fillId="0" borderId="0" xfId="0" quotePrefix="1" applyNumberFormat="1" applyFont="1" applyBorder="1" applyAlignment="1">
      <alignment horizontal="center" wrapText="1"/>
    </xf>
    <xf numFmtId="2" fontId="13" fillId="34" borderId="0" xfId="0" quotePrefix="1" applyNumberFormat="1" applyFont="1" applyFill="1" applyBorder="1" applyAlignment="1">
      <alignment horizontal="center" wrapText="1"/>
    </xf>
    <xf numFmtId="0" fontId="13" fillId="34" borderId="0" xfId="0" quotePrefix="1" applyFont="1" applyFill="1" applyBorder="1" applyAlignment="1">
      <alignment horizontal="center" wrapText="1"/>
    </xf>
    <xf numFmtId="2" fontId="133" fillId="34" borderId="1" xfId="0" applyNumberFormat="1" applyFont="1" applyFill="1" applyBorder="1" applyAlignment="1">
      <alignment horizontal="right" readingOrder="1"/>
    </xf>
    <xf numFmtId="1" fontId="14" fillId="35" borderId="0" xfId="0" applyNumberFormat="1" applyFont="1" applyFill="1" applyBorder="1" applyAlignment="1">
      <alignment horizontal="center" vertical="center"/>
    </xf>
    <xf numFmtId="0" fontId="14" fillId="0" borderId="15" xfId="0" applyFont="1" applyFill="1" applyBorder="1"/>
    <xf numFmtId="0" fontId="132" fillId="34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0" fontId="52" fillId="0" borderId="0" xfId="0" applyFont="1" applyBorder="1"/>
    <xf numFmtId="1" fontId="16" fillId="34" borderId="0" xfId="0" applyNumberFormat="1" applyFont="1" applyFill="1" applyBorder="1" applyAlignment="1">
      <alignment horizontal="center"/>
    </xf>
    <xf numFmtId="0" fontId="132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vertical="center" wrapText="1"/>
    </xf>
    <xf numFmtId="0" fontId="123" fillId="34" borderId="23" xfId="0" applyFont="1" applyFill="1" applyBorder="1"/>
    <xf numFmtId="0" fontId="123" fillId="34" borderId="23" xfId="0" applyFont="1" applyFill="1" applyBorder="1" applyAlignment="1">
      <alignment horizontal="right" readingOrder="1"/>
    </xf>
    <xf numFmtId="164" fontId="123" fillId="34" borderId="23" xfId="0" applyNumberFormat="1" applyFont="1" applyFill="1" applyBorder="1" applyAlignment="1">
      <alignment horizontal="right" readingOrder="1"/>
    </xf>
    <xf numFmtId="0" fontId="133" fillId="34" borderId="1" xfId="0" applyFont="1" applyFill="1" applyBorder="1"/>
    <xf numFmtId="2" fontId="123" fillId="34" borderId="23" xfId="0" applyNumberFormat="1" applyFont="1" applyFill="1" applyBorder="1" applyAlignment="1">
      <alignment horizontal="right" readingOrder="1"/>
    </xf>
    <xf numFmtId="0" fontId="123" fillId="0" borderId="23" xfId="0" applyFont="1" applyFill="1" applyBorder="1" applyAlignment="1">
      <alignment horizontal="right" vertical="center" readingOrder="1"/>
    </xf>
    <xf numFmtId="164" fontId="123" fillId="0" borderId="23" xfId="0" applyNumberFormat="1" applyFont="1" applyFill="1" applyBorder="1" applyAlignment="1">
      <alignment horizontal="right" vertical="center" readingOrder="1"/>
    </xf>
    <xf numFmtId="0" fontId="123" fillId="0" borderId="23" xfId="0" applyFont="1" applyFill="1" applyBorder="1" applyAlignment="1">
      <alignment horizontal="right" vertical="center"/>
    </xf>
    <xf numFmtId="164" fontId="123" fillId="0" borderId="23" xfId="0" applyNumberFormat="1" applyFont="1" applyFill="1" applyBorder="1" applyAlignment="1">
      <alignment horizontal="right" vertical="center"/>
    </xf>
    <xf numFmtId="2" fontId="123" fillId="0" borderId="23" xfId="0" applyNumberFormat="1" applyFont="1" applyFill="1" applyBorder="1" applyAlignment="1">
      <alignment horizontal="right" vertical="center"/>
    </xf>
    <xf numFmtId="0" fontId="123" fillId="0" borderId="25" xfId="0" applyFont="1" applyFill="1" applyBorder="1" applyAlignment="1">
      <alignment horizontal="right" vertical="center" readingOrder="1"/>
    </xf>
    <xf numFmtId="0" fontId="14" fillId="34" borderId="0" xfId="0" applyFont="1" applyFill="1" applyBorder="1" applyAlignment="1">
      <alignment horizontal="right" vertical="center" readingOrder="1"/>
    </xf>
    <xf numFmtId="164" fontId="14" fillId="34" borderId="0" xfId="0" applyNumberFormat="1" applyFont="1" applyFill="1" applyBorder="1" applyAlignment="1">
      <alignment horizontal="right" vertical="center" readingOrder="1"/>
    </xf>
    <xf numFmtId="164" fontId="14" fillId="34" borderId="0" xfId="0" applyNumberFormat="1" applyFont="1" applyFill="1" applyBorder="1" applyAlignment="1">
      <alignment horizontal="right" vertical="center"/>
    </xf>
    <xf numFmtId="2" fontId="14" fillId="34" borderId="0" xfId="0" applyNumberFormat="1" applyFont="1" applyFill="1" applyBorder="1" applyAlignment="1">
      <alignment horizontal="right" vertical="center"/>
    </xf>
    <xf numFmtId="0" fontId="14" fillId="34" borderId="26" xfId="0" applyFont="1" applyFill="1" applyBorder="1" applyAlignment="1">
      <alignment horizontal="right" vertical="center" readingOrder="1"/>
    </xf>
    <xf numFmtId="0" fontId="123" fillId="0" borderId="0" xfId="0" applyFont="1" applyFill="1" applyBorder="1" applyAlignment="1">
      <alignment horizontal="right" vertical="center" readingOrder="1"/>
    </xf>
    <xf numFmtId="164" fontId="123" fillId="0" borderId="0" xfId="0" applyNumberFormat="1" applyFont="1" applyFill="1" applyBorder="1" applyAlignment="1">
      <alignment horizontal="right" vertical="center" readingOrder="1"/>
    </xf>
    <xf numFmtId="0" fontId="123" fillId="0" borderId="0" xfId="0" applyFont="1" applyFill="1" applyBorder="1" applyAlignment="1">
      <alignment horizontal="right" vertical="center"/>
    </xf>
    <xf numFmtId="164" fontId="123" fillId="0" borderId="0" xfId="0" applyNumberFormat="1" applyFont="1" applyFill="1" applyBorder="1" applyAlignment="1">
      <alignment horizontal="right" vertical="center"/>
    </xf>
    <xf numFmtId="2" fontId="123" fillId="0" borderId="0" xfId="0" applyNumberFormat="1" applyFont="1" applyFill="1" applyBorder="1" applyAlignment="1">
      <alignment horizontal="right" vertical="center"/>
    </xf>
    <xf numFmtId="0" fontId="123" fillId="0" borderId="26" xfId="0" applyFont="1" applyFill="1" applyBorder="1" applyAlignment="1">
      <alignment horizontal="right" vertical="center" readingOrder="1"/>
    </xf>
    <xf numFmtId="0" fontId="123" fillId="34" borderId="0" xfId="0" applyFont="1" applyFill="1" applyBorder="1" applyAlignment="1">
      <alignment horizontal="right" vertical="center" readingOrder="1"/>
    </xf>
    <xf numFmtId="164" fontId="123" fillId="34" borderId="0" xfId="0" applyNumberFormat="1" applyFont="1" applyFill="1" applyBorder="1" applyAlignment="1">
      <alignment horizontal="right" vertical="center" readingOrder="1"/>
    </xf>
    <xf numFmtId="0" fontId="123" fillId="34" borderId="0" xfId="0" applyFont="1" applyFill="1" applyBorder="1" applyAlignment="1">
      <alignment horizontal="right" vertical="center"/>
    </xf>
    <xf numFmtId="164" fontId="123" fillId="34" borderId="0" xfId="0" applyNumberFormat="1" applyFont="1" applyFill="1" applyBorder="1" applyAlignment="1">
      <alignment horizontal="right" vertical="center"/>
    </xf>
    <xf numFmtId="2" fontId="123" fillId="34" borderId="0" xfId="0" applyNumberFormat="1" applyFont="1" applyFill="1" applyBorder="1" applyAlignment="1">
      <alignment horizontal="right" vertical="center"/>
    </xf>
    <xf numFmtId="0" fontId="123" fillId="34" borderId="26" xfId="0" applyFont="1" applyFill="1" applyBorder="1" applyAlignment="1">
      <alignment horizontal="right" vertical="center" readingOrder="1"/>
    </xf>
    <xf numFmtId="2" fontId="140" fillId="34" borderId="0" xfId="198" applyNumberFormat="1" applyFont="1" applyFill="1" applyBorder="1" applyAlignment="1">
      <alignment horizontal="center"/>
    </xf>
    <xf numFmtId="2" fontId="140" fillId="0" borderId="0" xfId="198" applyNumberFormat="1" applyFont="1" applyFill="1" applyBorder="1" applyAlignment="1">
      <alignment horizontal="center"/>
    </xf>
    <xf numFmtId="0" fontId="14" fillId="34" borderId="0" xfId="196" applyFont="1" applyFill="1" applyBorder="1" applyAlignment="1">
      <alignment horizontal="left" vertical="center"/>
    </xf>
    <xf numFmtId="2" fontId="14" fillId="34" borderId="0" xfId="196" applyNumberFormat="1" applyFont="1" applyFill="1" applyBorder="1" applyAlignment="1">
      <alignment horizontal="center" vertical="center"/>
    </xf>
    <xf numFmtId="2" fontId="12" fillId="34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4" fillId="34" borderId="0" xfId="0" applyNumberFormat="1" applyFont="1" applyFill="1" applyBorder="1" applyAlignment="1">
      <alignment horizontal="center" vertical="center" wrapText="1"/>
    </xf>
    <xf numFmtId="1" fontId="16" fillId="0" borderId="0" xfId="0" applyNumberFormat="1" applyFont="1" applyFill="1" applyBorder="1" applyAlignment="1">
      <alignment horizontal="left" vertical="center" wrapText="1"/>
    </xf>
    <xf numFmtId="1" fontId="16" fillId="0" borderId="0" xfId="0" applyNumberFormat="1" applyFont="1" applyFill="1" applyBorder="1" applyAlignment="1">
      <alignment horizontal="right" vertical="center" wrapText="1"/>
    </xf>
    <xf numFmtId="37" fontId="34" fillId="34" borderId="0" xfId="0" applyNumberFormat="1" applyFont="1" applyFill="1" applyBorder="1" applyAlignment="1">
      <alignment wrapText="1"/>
    </xf>
    <xf numFmtId="21" fontId="12" fillId="34" borderId="0" xfId="0" applyNumberFormat="1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  <xf numFmtId="21" fontId="14" fillId="34" borderId="0" xfId="0" applyNumberFormat="1" applyFont="1" applyFill="1" applyBorder="1" applyAlignment="1">
      <alignment horizontal="center" vertical="center"/>
    </xf>
    <xf numFmtId="0" fontId="17" fillId="34" borderId="0" xfId="0" applyFont="1" applyFill="1" applyBorder="1" applyAlignment="1">
      <alignment wrapText="1"/>
    </xf>
    <xf numFmtId="0" fontId="18" fillId="34" borderId="0" xfId="0" applyFont="1" applyFill="1" applyBorder="1" applyAlignment="1">
      <alignment vertical="center" wrapText="1"/>
    </xf>
    <xf numFmtId="37" fontId="13" fillId="34" borderId="0" xfId="0" applyNumberFormat="1" applyFont="1" applyFill="1" applyBorder="1" applyAlignment="1">
      <alignment vertical="center" wrapText="1"/>
    </xf>
    <xf numFmtId="0" fontId="18" fillId="34" borderId="0" xfId="0" applyFont="1" applyFill="1" applyBorder="1" applyAlignment="1">
      <alignment horizontal="left" vertical="center" wrapText="1"/>
    </xf>
    <xf numFmtId="0" fontId="24" fillId="34" borderId="0" xfId="0" applyFont="1" applyFill="1" applyBorder="1" applyAlignment="1">
      <alignment vertical="center"/>
    </xf>
    <xf numFmtId="0" fontId="18" fillId="34" borderId="0" xfId="0" applyFont="1" applyFill="1" applyBorder="1" applyAlignment="1">
      <alignment horizontal="center" wrapText="1"/>
    </xf>
    <xf numFmtId="37" fontId="13" fillId="34" borderId="0" xfId="0" applyNumberFormat="1" applyFont="1" applyFill="1" applyBorder="1" applyAlignment="1">
      <alignment wrapText="1"/>
    </xf>
    <xf numFmtId="0" fontId="41" fillId="34" borderId="0" xfId="0" applyFont="1" applyFill="1" applyBorder="1" applyAlignment="1">
      <alignment vertical="center"/>
    </xf>
    <xf numFmtId="0" fontId="44" fillId="34" borderId="0" xfId="0" applyFont="1" applyFill="1" applyBorder="1" applyAlignment="1">
      <alignment horizontal="left" wrapText="1"/>
    </xf>
    <xf numFmtId="46" fontId="14" fillId="34" borderId="0" xfId="0" applyNumberFormat="1" applyFont="1" applyFill="1" applyBorder="1" applyAlignment="1">
      <alignment horizontal="center"/>
    </xf>
    <xf numFmtId="37" fontId="34" fillId="34" borderId="0" xfId="0" applyNumberFormat="1" applyFont="1" applyFill="1" applyBorder="1" applyAlignment="1">
      <alignment vertical="center" wrapText="1"/>
    </xf>
    <xf numFmtId="46" fontId="14" fillId="34" borderId="0" xfId="0" applyNumberFormat="1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wrapText="1"/>
    </xf>
    <xf numFmtId="0" fontId="12" fillId="34" borderId="0" xfId="0" applyFont="1" applyFill="1" applyBorder="1" applyAlignment="1">
      <alignment vertical="center" wrapText="1"/>
    </xf>
    <xf numFmtId="21" fontId="14" fillId="34" borderId="0" xfId="0" applyNumberFormat="1" applyFont="1" applyFill="1" applyBorder="1" applyAlignment="1">
      <alignment horizontal="center" vertical="center" wrapText="1"/>
    </xf>
    <xf numFmtId="0" fontId="13" fillId="34" borderId="0" xfId="0" applyFont="1" applyFill="1" applyBorder="1" applyAlignment="1">
      <alignment vertical="center" wrapText="1"/>
    </xf>
    <xf numFmtId="21" fontId="14" fillId="34" borderId="0" xfId="0" applyNumberFormat="1" applyFont="1" applyFill="1" applyBorder="1" applyAlignment="1">
      <alignment horizontal="center"/>
    </xf>
    <xf numFmtId="0" fontId="44" fillId="34" borderId="0" xfId="0" applyFont="1" applyFill="1" applyBorder="1" applyAlignment="1">
      <alignment vertical="center" wrapText="1"/>
    </xf>
    <xf numFmtId="0" fontId="34" fillId="34" borderId="0" xfId="0" applyFont="1" applyFill="1" applyBorder="1" applyAlignment="1">
      <alignment vertical="center"/>
    </xf>
    <xf numFmtId="14" fontId="14" fillId="34" borderId="0" xfId="0" applyNumberFormat="1" applyFont="1" applyFill="1" applyBorder="1" applyAlignment="1">
      <alignment horizontal="center" vertical="center"/>
    </xf>
    <xf numFmtId="14" fontId="14" fillId="34" borderId="0" xfId="0" applyNumberFormat="1" applyFont="1" applyFill="1" applyBorder="1" applyAlignment="1">
      <alignment horizontal="center"/>
    </xf>
    <xf numFmtId="0" fontId="13" fillId="34" borderId="0" xfId="0" applyFont="1" applyFill="1" applyBorder="1" applyAlignment="1">
      <alignment vertical="center"/>
    </xf>
    <xf numFmtId="0" fontId="16" fillId="34" borderId="0" xfId="0" applyFont="1" applyFill="1" applyBorder="1" applyAlignment="1">
      <alignment vertical="center" wrapText="1"/>
    </xf>
    <xf numFmtId="0" fontId="41" fillId="34" borderId="0" xfId="0" applyFont="1" applyFill="1" applyBorder="1"/>
    <xf numFmtId="175" fontId="14" fillId="34" borderId="0" xfId="0" applyNumberFormat="1" applyFont="1" applyFill="1" applyBorder="1" applyAlignment="1">
      <alignment horizontal="center"/>
    </xf>
    <xf numFmtId="46" fontId="12" fillId="34" borderId="0" xfId="0" applyNumberFormat="1" applyFont="1" applyFill="1" applyBorder="1" applyAlignment="1">
      <alignment horizontal="center" wrapText="1"/>
    </xf>
    <xf numFmtId="2" fontId="18" fillId="0" borderId="0" xfId="0" applyNumberFormat="1" applyFont="1" applyFill="1" applyBorder="1" applyAlignment="1">
      <alignment wrapText="1"/>
    </xf>
    <xf numFmtId="2" fontId="18" fillId="34" borderId="0" xfId="0" applyNumberFormat="1" applyFont="1" applyFill="1" applyBorder="1" applyAlignment="1">
      <alignment wrapText="1"/>
    </xf>
    <xf numFmtId="2" fontId="18" fillId="34" borderId="0" xfId="0" applyNumberFormat="1" applyFont="1" applyFill="1" applyBorder="1" applyAlignment="1">
      <alignment horizontal="left" wrapText="1"/>
    </xf>
    <xf numFmtId="2" fontId="12" fillId="0" borderId="0" xfId="0" applyNumberFormat="1" applyFont="1" applyFill="1" applyBorder="1" applyAlignment="1">
      <alignment horizontal="center" vertical="center"/>
    </xf>
    <xf numFmtId="0" fontId="12" fillId="34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 wrapText="1"/>
    </xf>
    <xf numFmtId="0" fontId="122" fillId="0" borderId="0" xfId="0" applyFont="1" applyBorder="1"/>
    <xf numFmtId="0" fontId="19" fillId="0" borderId="0" xfId="0" applyFont="1" applyBorder="1" applyAlignment="1">
      <alignment horizontal="right" wrapText="1"/>
    </xf>
    <xf numFmtId="0" fontId="19" fillId="0" borderId="0" xfId="0" applyFont="1" applyBorder="1" applyAlignment="1">
      <alignment wrapText="1"/>
    </xf>
    <xf numFmtId="0" fontId="147" fillId="0" borderId="0" xfId="0" applyFont="1" applyBorder="1"/>
    <xf numFmtId="0" fontId="148" fillId="0" borderId="0" xfId="0" applyFont="1" applyFill="1" applyBorder="1" applyAlignment="1">
      <alignment horizontal="left" wrapText="1"/>
    </xf>
    <xf numFmtId="0" fontId="133" fillId="34" borderId="9" xfId="0" applyFont="1" applyFill="1" applyBorder="1"/>
    <xf numFmtId="22" fontId="12" fillId="0" borderId="0" xfId="0" applyNumberFormat="1" applyFont="1" applyFill="1" applyBorder="1" applyAlignment="1">
      <alignment horizontal="center" wrapText="1"/>
    </xf>
    <xf numFmtId="2" fontId="18" fillId="0" borderId="0" xfId="0" applyNumberFormat="1" applyFont="1" applyFill="1" applyBorder="1" applyAlignment="1">
      <alignment horizontal="left" wrapText="1"/>
    </xf>
    <xf numFmtId="0" fontId="41" fillId="34" borderId="0" xfId="195" applyFont="1" applyFill="1" applyBorder="1"/>
    <xf numFmtId="0" fontId="18" fillId="34" borderId="15" xfId="0" applyFont="1" applyFill="1" applyBorder="1" applyAlignment="1">
      <alignment horizontal="center" vertical="center" wrapText="1"/>
    </xf>
    <xf numFmtId="0" fontId="16" fillId="34" borderId="0" xfId="0" applyFont="1" applyFill="1" applyBorder="1" applyAlignment="1">
      <alignment horizontal="left" vertical="center" wrapText="1"/>
    </xf>
    <xf numFmtId="0" fontId="6" fillId="34" borderId="0" xfId="0" applyFont="1" applyFill="1" applyBorder="1"/>
    <xf numFmtId="1" fontId="141" fillId="0" borderId="2" xfId="0" applyNumberFormat="1" applyFont="1" applyFill="1" applyBorder="1" applyAlignment="1">
      <alignment horizontal="center" vertical="center"/>
    </xf>
    <xf numFmtId="178" fontId="14" fillId="0" borderId="0" xfId="0" applyNumberFormat="1" applyFont="1"/>
    <xf numFmtId="178" fontId="6" fillId="0" borderId="0" xfId="0" applyNumberFormat="1" applyFont="1" applyBorder="1"/>
    <xf numFmtId="179" fontId="6" fillId="0" borderId="0" xfId="0" applyNumberFormat="1" applyFont="1" applyBorder="1"/>
    <xf numFmtId="0" fontId="14" fillId="0" borderId="0" xfId="196" applyFont="1" applyFill="1" applyBorder="1" applyAlignment="1"/>
    <xf numFmtId="2" fontId="14" fillId="0" borderId="0" xfId="196" applyNumberFormat="1" applyFont="1" applyFill="1" applyBorder="1" applyAlignment="1">
      <alignment horizontal="center" vertical="center"/>
    </xf>
    <xf numFmtId="2" fontId="0" fillId="0" borderId="0" xfId="0" applyNumberFormat="1"/>
    <xf numFmtId="0" fontId="22" fillId="34" borderId="0" xfId="196" applyFont="1" applyFill="1" applyBorder="1" applyAlignment="1">
      <alignment horizontal="left" vertical="center"/>
    </xf>
    <xf numFmtId="0" fontId="12" fillId="34" borderId="0" xfId="0" applyFont="1" applyFill="1" applyBorder="1" applyAlignment="1">
      <alignment horizontal="center" vertical="center" wrapText="1"/>
    </xf>
    <xf numFmtId="0" fontId="12" fillId="34" borderId="0" xfId="0" applyFont="1" applyFill="1" applyBorder="1" applyAlignment="1">
      <alignment horizontal="left" vertical="center" wrapText="1"/>
    </xf>
    <xf numFmtId="0" fontId="149" fillId="0" borderId="0" xfId="0" applyFont="1" applyAlignment="1">
      <alignment wrapText="1"/>
    </xf>
    <xf numFmtId="0" fontId="12" fillId="34" borderId="0" xfId="0" applyFont="1" applyFill="1" applyBorder="1" applyAlignment="1">
      <alignment horizontal="center" vertical="center" wrapText="1"/>
    </xf>
    <xf numFmtId="0" fontId="12" fillId="34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22" fillId="0" borderId="0" xfId="136" applyNumberFormat="1" applyFont="1" applyFill="1" applyBorder="1" applyAlignment="1">
      <alignment horizontal="center" vertical="center"/>
    </xf>
    <xf numFmtId="2" fontId="22" fillId="0" borderId="0" xfId="136" applyNumberFormat="1" applyFont="1" applyFill="1" applyBorder="1" applyAlignment="1">
      <alignment horizontal="center" vertical="center"/>
    </xf>
    <xf numFmtId="165" fontId="14" fillId="0" borderId="0" xfId="0" applyNumberFormat="1" applyFont="1"/>
    <xf numFmtId="1" fontId="12" fillId="0" borderId="0" xfId="0" applyNumberFormat="1" applyFont="1" applyFill="1" applyBorder="1" applyAlignment="1">
      <alignment horizontal="center" vertical="center"/>
    </xf>
    <xf numFmtId="1" fontId="17" fillId="0" borderId="0" xfId="0" applyNumberFormat="1" applyFont="1" applyBorder="1" applyAlignment="1">
      <alignment horizontal="left" wrapText="1"/>
    </xf>
    <xf numFmtId="0" fontId="12" fillId="34" borderId="0" xfId="0" applyFont="1" applyFill="1" applyBorder="1" applyAlignment="1">
      <alignment horizontal="center" vertical="center" wrapText="1"/>
    </xf>
    <xf numFmtId="0" fontId="12" fillId="34" borderId="0" xfId="0" applyFont="1" applyFill="1" applyBorder="1" applyAlignment="1">
      <alignment horizontal="left" vertical="center" wrapText="1"/>
    </xf>
    <xf numFmtId="167" fontId="14" fillId="34" borderId="0" xfId="0" applyNumberFormat="1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top"/>
    </xf>
    <xf numFmtId="1" fontId="12" fillId="34" borderId="0" xfId="0" applyNumberFormat="1" applyFont="1" applyFill="1" applyBorder="1" applyAlignment="1">
      <alignment horizontal="center" vertical="center"/>
    </xf>
    <xf numFmtId="0" fontId="12" fillId="34" borderId="0" xfId="0" applyFont="1" applyFill="1" applyBorder="1" applyAlignment="1">
      <alignment horizontal="center" vertical="center" wrapText="1"/>
    </xf>
    <xf numFmtId="0" fontId="12" fillId="34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right" vertical="center" wrapText="1"/>
    </xf>
    <xf numFmtId="1" fontId="13" fillId="0" borderId="0" xfId="0" applyNumberFormat="1" applyFont="1"/>
    <xf numFmtId="2" fontId="13" fillId="34" borderId="0" xfId="0" applyNumberFormat="1" applyFont="1" applyFill="1" applyBorder="1" applyAlignment="1">
      <alignment horizontal="center"/>
    </xf>
    <xf numFmtId="0" fontId="23" fillId="0" borderId="0" xfId="0" applyFont="1" applyBorder="1" applyAlignment="1">
      <alignment horizontal="left" vertical="top" wrapText="1"/>
    </xf>
    <xf numFmtId="2" fontId="13" fillId="0" borderId="0" xfId="0" applyNumberFormat="1" applyFont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  <xf numFmtId="0" fontId="123" fillId="0" borderId="11" xfId="0" applyFont="1" applyFill="1" applyBorder="1"/>
    <xf numFmtId="0" fontId="123" fillId="0" borderId="23" xfId="0" applyFont="1" applyFill="1" applyBorder="1" applyAlignment="1">
      <alignment horizontal="right" readingOrder="1"/>
    </xf>
    <xf numFmtId="164" fontId="123" fillId="0" borderId="23" xfId="0" applyNumberFormat="1" applyFont="1" applyFill="1" applyBorder="1" applyAlignment="1">
      <alignment horizontal="right" readingOrder="1"/>
    </xf>
    <xf numFmtId="2" fontId="123" fillId="0" borderId="23" xfId="0" applyNumberFormat="1" applyFont="1" applyFill="1" applyBorder="1" applyAlignment="1">
      <alignment horizontal="right" readingOrder="1"/>
    </xf>
    <xf numFmtId="0" fontId="123" fillId="0" borderId="25" xfId="0" applyFont="1" applyFill="1" applyBorder="1" applyAlignment="1">
      <alignment horizontal="right" readingOrder="1"/>
    </xf>
    <xf numFmtId="0" fontId="12" fillId="34" borderId="0" xfId="0" applyFont="1" applyFill="1" applyBorder="1" applyAlignment="1">
      <alignment horizontal="center" vertical="center" wrapText="1"/>
    </xf>
    <xf numFmtId="0" fontId="12" fillId="34" borderId="0" xfId="0" applyFont="1" applyFill="1" applyBorder="1" applyAlignment="1">
      <alignment horizontal="left" vertical="center" wrapText="1"/>
    </xf>
    <xf numFmtId="164" fontId="14" fillId="34" borderId="0" xfId="0" applyNumberFormat="1" applyFont="1" applyFill="1" applyBorder="1" applyAlignment="1">
      <alignment horizontal="left" vertical="top" wrapText="1"/>
    </xf>
    <xf numFmtId="0" fontId="133" fillId="34" borderId="0" xfId="0" applyFont="1" applyFill="1" applyBorder="1" applyAlignment="1">
      <alignment horizontal="center" vertical="top" wrapText="1"/>
    </xf>
    <xf numFmtId="164" fontId="131" fillId="34" borderId="0" xfId="0" applyNumberFormat="1" applyFont="1" applyFill="1" applyBorder="1" applyAlignment="1">
      <alignment horizontal="center" vertical="top" wrapText="1"/>
    </xf>
    <xf numFmtId="164" fontId="14" fillId="0" borderId="0" xfId="0" applyNumberFormat="1" applyFont="1" applyFill="1" applyBorder="1" applyAlignment="1">
      <alignment horizontal="left" vertical="top" wrapText="1"/>
    </xf>
    <xf numFmtId="0" fontId="133" fillId="0" borderId="0" xfId="0" applyFont="1" applyFill="1" applyBorder="1" applyAlignment="1">
      <alignment horizontal="center" vertical="top" wrapText="1"/>
    </xf>
    <xf numFmtId="0" fontId="14" fillId="34" borderId="0" xfId="0" quotePrefix="1" applyFont="1" applyFill="1" applyBorder="1" applyAlignment="1">
      <alignment horizontal="center"/>
    </xf>
    <xf numFmtId="0" fontId="14" fillId="0" borderId="15" xfId="0" applyFont="1" applyFill="1" applyBorder="1" applyAlignment="1">
      <alignment horizontal="right"/>
    </xf>
    <xf numFmtId="0" fontId="12" fillId="34" borderId="0" xfId="0" applyFont="1" applyFill="1" applyBorder="1" applyAlignment="1">
      <alignment horizontal="center" vertical="center" wrapText="1"/>
    </xf>
    <xf numFmtId="0" fontId="12" fillId="34" borderId="0" xfId="0" applyFont="1" applyFill="1" applyBorder="1" applyAlignment="1">
      <alignment horizontal="left" vertical="center" wrapText="1"/>
    </xf>
    <xf numFmtId="0" fontId="16" fillId="34" borderId="0" xfId="0" applyFont="1" applyFill="1" applyBorder="1" applyAlignment="1">
      <alignment horizontal="left" vertical="center"/>
    </xf>
    <xf numFmtId="1" fontId="16" fillId="0" borderId="0" xfId="0" applyNumberFormat="1" applyFont="1" applyFill="1" applyBorder="1" applyAlignment="1">
      <alignment horizontal="center" wrapText="1"/>
    </xf>
    <xf numFmtId="0" fontId="22" fillId="34" borderId="0" xfId="0" applyFont="1" applyFill="1" applyBorder="1" applyAlignment="1">
      <alignment vertical="center" wrapText="1"/>
    </xf>
    <xf numFmtId="0" fontId="22" fillId="34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right" vertical="center" wrapText="1"/>
    </xf>
    <xf numFmtId="1" fontId="22" fillId="0" borderId="0" xfId="0" applyNumberFormat="1" applyFont="1" applyFill="1" applyBorder="1" applyAlignment="1">
      <alignment horizontal="center" vertical="center" wrapText="1"/>
    </xf>
    <xf numFmtId="0" fontId="13" fillId="34" borderId="0" xfId="0" applyFont="1" applyFill="1" applyBorder="1" applyAlignment="1">
      <alignment horizontal="center" vertical="center" wrapText="1"/>
    </xf>
    <xf numFmtId="2" fontId="132" fillId="34" borderId="0" xfId="0" applyNumberFormat="1" applyFont="1" applyFill="1" applyBorder="1" applyAlignment="1">
      <alignment horizontal="center" vertical="center" wrapText="1"/>
    </xf>
    <xf numFmtId="2" fontId="133" fillId="0" borderId="0" xfId="0" applyNumberFormat="1" applyFont="1" applyFill="1" applyBorder="1" applyAlignment="1">
      <alignment horizontal="center" vertical="center" wrapText="1"/>
    </xf>
    <xf numFmtId="1" fontId="132" fillId="0" borderId="0" xfId="0" applyNumberFormat="1" applyFont="1" applyFill="1" applyBorder="1" applyAlignment="1">
      <alignment horizontal="center" vertical="center" wrapText="1"/>
    </xf>
    <xf numFmtId="1" fontId="16" fillId="34" borderId="0" xfId="0" applyNumberFormat="1" applyFont="1" applyFill="1" applyBorder="1" applyAlignment="1">
      <alignment horizontal="left" vertical="center" wrapText="1"/>
    </xf>
    <xf numFmtId="1" fontId="16" fillId="34" borderId="0" xfId="0" applyNumberFormat="1" applyFont="1" applyFill="1" applyBorder="1" applyAlignment="1">
      <alignment horizontal="right" vertical="center" wrapText="1"/>
    </xf>
    <xf numFmtId="0" fontId="18" fillId="34" borderId="15" xfId="0" applyFont="1" applyFill="1" applyBorder="1" applyAlignment="1">
      <alignment horizontal="left" vertical="center" wrapText="1"/>
    </xf>
    <xf numFmtId="2" fontId="123" fillId="34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 wrapText="1"/>
    </xf>
    <xf numFmtId="2" fontId="15" fillId="0" borderId="15" xfId="0" applyNumberFormat="1" applyFont="1" applyFill="1" applyBorder="1" applyAlignment="1">
      <alignment horizontal="center" vertical="center" wrapText="1"/>
    </xf>
    <xf numFmtId="1" fontId="15" fillId="0" borderId="15" xfId="0" applyNumberFormat="1" applyFont="1" applyFill="1" applyBorder="1" applyAlignment="1">
      <alignment horizontal="center" vertical="center" wrapText="1"/>
    </xf>
    <xf numFmtId="2" fontId="15" fillId="0" borderId="15" xfId="0" applyNumberFormat="1" applyFont="1" applyFill="1" applyBorder="1" applyAlignment="1">
      <alignment horizontal="center" wrapText="1"/>
    </xf>
    <xf numFmtId="1" fontId="15" fillId="0" borderId="15" xfId="0" applyNumberFormat="1" applyFont="1" applyFill="1" applyBorder="1" applyAlignment="1">
      <alignment horizontal="center" wrapText="1"/>
    </xf>
    <xf numFmtId="0" fontId="29" fillId="34" borderId="15" xfId="0" applyFont="1" applyFill="1" applyBorder="1" applyAlignment="1">
      <alignment horizontal="center"/>
    </xf>
    <xf numFmtId="2" fontId="29" fillId="34" borderId="15" xfId="0" applyNumberFormat="1" applyFont="1" applyFill="1" applyBorder="1" applyAlignment="1">
      <alignment horizontal="center"/>
    </xf>
    <xf numFmtId="0" fontId="29" fillId="34" borderId="15" xfId="0" applyFont="1" applyFill="1" applyBorder="1"/>
    <xf numFmtId="0" fontId="29" fillId="0" borderId="15" xfId="0" applyFont="1" applyBorder="1" applyAlignment="1">
      <alignment horizontal="center"/>
    </xf>
    <xf numFmtId="164" fontId="13" fillId="0" borderId="0" xfId="0" applyNumberFormat="1" applyFont="1" applyFill="1"/>
    <xf numFmtId="49" fontId="18" fillId="0" borderId="0" xfId="0" applyNumberFormat="1" applyFont="1" applyFill="1" applyBorder="1" applyAlignment="1">
      <alignment horizontal="center" vertical="center" wrapText="1"/>
    </xf>
    <xf numFmtId="49" fontId="18" fillId="34" borderId="0" xfId="0" applyNumberFormat="1" applyFont="1" applyFill="1" applyBorder="1" applyAlignment="1">
      <alignment horizontal="center" vertical="center" wrapText="1"/>
    </xf>
    <xf numFmtId="0" fontId="16" fillId="34" borderId="0" xfId="0" applyFont="1" applyFill="1" applyBorder="1" applyAlignment="1">
      <alignment horizontal="left" vertical="center" wrapText="1"/>
    </xf>
    <xf numFmtId="0" fontId="12" fillId="34" borderId="0" xfId="0" applyFont="1" applyFill="1" applyBorder="1" applyAlignment="1">
      <alignment horizontal="center" vertical="center" wrapText="1"/>
    </xf>
    <xf numFmtId="0" fontId="14" fillId="34" borderId="0" xfId="136" quotePrefix="1" applyNumberFormat="1" applyFont="1" applyFill="1" applyBorder="1" applyAlignment="1">
      <alignment horizontal="center" vertical="center"/>
    </xf>
    <xf numFmtId="4" fontId="14" fillId="34" borderId="0" xfId="0" applyNumberFormat="1" applyFont="1" applyFill="1" applyBorder="1" applyAlignment="1">
      <alignment horizontal="center" vertical="center" wrapText="1"/>
    </xf>
    <xf numFmtId="2" fontId="14" fillId="34" borderId="0" xfId="0" applyNumberFormat="1" applyFont="1" applyFill="1" applyBorder="1" applyAlignment="1">
      <alignment vertical="center" wrapText="1"/>
    </xf>
    <xf numFmtId="2" fontId="14" fillId="0" borderId="0" xfId="0" applyNumberFormat="1" applyFont="1" applyFill="1" applyBorder="1" applyAlignment="1">
      <alignment vertical="center" wrapText="1"/>
    </xf>
    <xf numFmtId="0" fontId="123" fillId="34" borderId="11" xfId="0" applyFont="1" applyFill="1" applyBorder="1"/>
    <xf numFmtId="0" fontId="89" fillId="0" borderId="0" xfId="0" applyFont="1" applyAlignment="1">
      <alignment horizontal="left"/>
    </xf>
    <xf numFmtId="0" fontId="12" fillId="34" borderId="0" xfId="0" applyFont="1" applyFill="1" applyBorder="1" applyAlignment="1">
      <alignment horizontal="center" vertical="center" wrapText="1"/>
    </xf>
    <xf numFmtId="0" fontId="15" fillId="0" borderId="1" xfId="0" applyFont="1" applyBorder="1" applyAlignment="1"/>
    <xf numFmtId="21" fontId="14" fillId="34" borderId="15" xfId="0" applyNumberFormat="1" applyFont="1" applyFill="1" applyBorder="1" applyAlignment="1">
      <alignment horizontal="center" vertical="center"/>
    </xf>
    <xf numFmtId="0" fontId="12" fillId="34" borderId="0" xfId="0" applyFont="1" applyFill="1" applyBorder="1" applyAlignment="1">
      <alignment horizontal="center" vertical="center" wrapText="1"/>
    </xf>
    <xf numFmtId="0" fontId="12" fillId="34" borderId="0" xfId="0" applyFont="1" applyFill="1" applyBorder="1" applyAlignment="1">
      <alignment horizontal="left" vertical="center" wrapText="1"/>
    </xf>
    <xf numFmtId="2" fontId="13" fillId="0" borderId="15" xfId="0" applyNumberFormat="1" applyFont="1" applyFill="1" applyBorder="1" applyAlignment="1">
      <alignment horizontal="center" vertical="center"/>
    </xf>
    <xf numFmtId="0" fontId="14" fillId="0" borderId="0" xfId="136" quotePrefix="1" applyNumberFormat="1" applyFont="1" applyFill="1" applyBorder="1" applyAlignment="1">
      <alignment horizontal="center" vertical="center"/>
    </xf>
    <xf numFmtId="2" fontId="16" fillId="34" borderId="0" xfId="0" applyNumberFormat="1" applyFont="1" applyFill="1" applyBorder="1" applyAlignment="1">
      <alignment horizontal="center" vertical="center"/>
    </xf>
    <xf numFmtId="4" fontId="14" fillId="0" borderId="0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center" vertical="top" wrapText="1"/>
    </xf>
    <xf numFmtId="0" fontId="14" fillId="0" borderId="0" xfId="0" applyFont="1" applyFill="1" applyBorder="1" applyAlignment="1">
      <alignment vertical="top"/>
    </xf>
    <xf numFmtId="0" fontId="150" fillId="0" borderId="1" xfId="0" applyFont="1" applyFill="1" applyBorder="1" applyAlignment="1">
      <alignment horizontal="right" readingOrder="1"/>
    </xf>
    <xf numFmtId="37" fontId="13" fillId="34" borderId="15" xfId="0" applyNumberFormat="1" applyFont="1" applyFill="1" applyBorder="1" applyAlignment="1">
      <alignment vertical="center" wrapText="1"/>
    </xf>
    <xf numFmtId="0" fontId="12" fillId="34" borderId="15" xfId="0" applyFont="1" applyFill="1" applyBorder="1" applyAlignment="1">
      <alignment horizontal="center" vertical="center" wrapText="1"/>
    </xf>
    <xf numFmtId="180" fontId="14" fillId="0" borderId="0" xfId="0" applyNumberFormat="1" applyFont="1"/>
    <xf numFmtId="0" fontId="22" fillId="34" borderId="0" xfId="136" applyNumberFormat="1" applyFont="1" applyFill="1" applyBorder="1" applyAlignment="1">
      <alignment horizontal="center" vertical="center"/>
    </xf>
    <xf numFmtId="2" fontId="22" fillId="34" borderId="0" xfId="136" applyNumberFormat="1" applyFont="1" applyFill="1" applyBorder="1" applyAlignment="1">
      <alignment horizontal="center" vertical="center"/>
    </xf>
    <xf numFmtId="2" fontId="41" fillId="0" borderId="0" xfId="0" applyNumberFormat="1" applyFont="1" applyBorder="1" applyAlignment="1">
      <alignment horizontal="center"/>
    </xf>
    <xf numFmtId="0" fontId="14" fillId="0" borderId="2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1" fontId="14" fillId="34" borderId="0" xfId="0" applyNumberFormat="1" applyFont="1" applyFill="1" applyBorder="1" applyAlignment="1">
      <alignment horizontal="right" vertical="center" wrapText="1"/>
    </xf>
    <xf numFmtId="1" fontId="14" fillId="34" borderId="0" xfId="0" applyNumberFormat="1" applyFont="1" applyFill="1" applyBorder="1" applyAlignment="1">
      <alignment horizontal="left" vertical="center" wrapText="1"/>
    </xf>
    <xf numFmtId="164" fontId="14" fillId="0" borderId="0" xfId="0" applyNumberFormat="1" applyFont="1" applyAlignment="1">
      <alignment vertical="center"/>
    </xf>
    <xf numFmtId="0" fontId="131" fillId="34" borderId="15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0" xfId="0" applyFont="1"/>
    <xf numFmtId="1" fontId="22" fillId="34" borderId="0" xfId="0" applyNumberFormat="1" applyFont="1" applyFill="1" applyBorder="1" applyAlignment="1">
      <alignment horizontal="center" vertical="center" wrapText="1"/>
    </xf>
    <xf numFmtId="2" fontId="22" fillId="34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18" fillId="0" borderId="27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22" fillId="0" borderId="0" xfId="196" applyFont="1" applyFill="1" applyBorder="1" applyAlignment="1">
      <alignment horizontal="left" vertical="center"/>
    </xf>
    <xf numFmtId="46" fontId="12" fillId="34" borderId="0" xfId="0" applyNumberFormat="1" applyFont="1" applyFill="1" applyBorder="1" applyAlignment="1">
      <alignment horizontal="center" vertical="center"/>
    </xf>
    <xf numFmtId="0" fontId="44" fillId="34" borderId="15" xfId="0" applyFont="1" applyFill="1" applyBorder="1" applyAlignment="1">
      <alignment horizontal="left" vertical="center" wrapText="1"/>
    </xf>
    <xf numFmtId="2" fontId="12" fillId="0" borderId="0" xfId="0" applyNumberFormat="1" applyFont="1" applyBorder="1" applyAlignment="1">
      <alignment horizontal="right"/>
    </xf>
    <xf numFmtId="2" fontId="24" fillId="0" borderId="0" xfId="0" applyNumberFormat="1" applyFont="1"/>
    <xf numFmtId="2" fontId="14" fillId="0" borderId="0" xfId="0" applyNumberFormat="1" applyFont="1" applyAlignment="1">
      <alignment horizontal="right"/>
    </xf>
    <xf numFmtId="0" fontId="26" fillId="0" borderId="27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 wrapText="1"/>
    </xf>
    <xf numFmtId="0" fontId="16" fillId="34" borderId="0" xfId="0" applyFont="1" applyFill="1" applyBorder="1" applyAlignment="1">
      <alignment horizontal="left" vertical="center" wrapText="1"/>
    </xf>
    <xf numFmtId="0" fontId="29" fillId="0" borderId="2" xfId="0" applyFont="1" applyFill="1" applyBorder="1" applyAlignment="1">
      <alignment horizontal="center" vertical="center" wrapText="1"/>
    </xf>
    <xf numFmtId="2" fontId="123" fillId="34" borderId="0" xfId="0" applyNumberFormat="1" applyFont="1" applyFill="1" applyBorder="1" applyAlignment="1">
      <alignment horizontal="center" wrapText="1"/>
    </xf>
    <xf numFmtId="1" fontId="14" fillId="0" borderId="0" xfId="0" applyNumberFormat="1" applyFont="1" applyFill="1" applyBorder="1" applyAlignment="1">
      <alignment horizontal="right" vertical="center" wrapText="1"/>
    </xf>
    <xf numFmtId="1" fontId="14" fillId="0" borderId="0" xfId="0" applyNumberFormat="1" applyFont="1" applyFill="1" applyBorder="1" applyAlignment="1">
      <alignment horizontal="left" vertical="center" wrapText="1"/>
    </xf>
    <xf numFmtId="0" fontId="29" fillId="0" borderId="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right"/>
    </xf>
    <xf numFmtId="0" fontId="29" fillId="0" borderId="4" xfId="0" applyFont="1" applyFill="1" applyBorder="1" applyAlignment="1">
      <alignment wrapText="1"/>
    </xf>
    <xf numFmtId="2" fontId="14" fillId="0" borderId="0" xfId="0" applyNumberFormat="1" applyFont="1" applyFill="1" applyBorder="1" applyAlignment="1">
      <alignment horizontal="right"/>
    </xf>
    <xf numFmtId="0" fontId="12" fillId="34" borderId="0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37" fontId="34" fillId="34" borderId="15" xfId="0" applyNumberFormat="1" applyFont="1" applyFill="1" applyBorder="1" applyAlignment="1">
      <alignment wrapText="1"/>
    </xf>
    <xf numFmtId="0" fontId="44" fillId="34" borderId="15" xfId="0" applyFont="1" applyFill="1" applyBorder="1" applyAlignment="1">
      <alignment horizontal="left" wrapText="1"/>
    </xf>
    <xf numFmtId="0" fontId="34" fillId="34" borderId="0" xfId="0" applyFont="1" applyFill="1" applyAlignment="1"/>
    <xf numFmtId="0" fontId="17" fillId="0" borderId="0" xfId="0" applyFont="1" applyFill="1" applyBorder="1" applyAlignment="1">
      <alignment vertical="center" wrapText="1"/>
    </xf>
    <xf numFmtId="0" fontId="18" fillId="34" borderId="15" xfId="0" applyFont="1" applyFill="1" applyBorder="1" applyAlignment="1">
      <alignment horizontal="center" wrapText="1"/>
    </xf>
    <xf numFmtId="0" fontId="34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 vertical="center"/>
    </xf>
    <xf numFmtId="0" fontId="41" fillId="34" borderId="15" xfId="0" applyFont="1" applyFill="1" applyBorder="1" applyAlignment="1">
      <alignment vertical="center"/>
    </xf>
    <xf numFmtId="37" fontId="13" fillId="34" borderId="15" xfId="0" applyNumberFormat="1" applyFont="1" applyFill="1" applyBorder="1" applyAlignment="1">
      <alignment wrapText="1"/>
    </xf>
    <xf numFmtId="164" fontId="131" fillId="0" borderId="15" xfId="0" applyNumberFormat="1" applyFont="1" applyFill="1" applyBorder="1" applyAlignment="1">
      <alignment horizontal="center" vertical="center" wrapText="1"/>
    </xf>
    <xf numFmtId="164" fontId="14" fillId="0" borderId="15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left" vertical="center"/>
    </xf>
    <xf numFmtId="164" fontId="14" fillId="0" borderId="0" xfId="0" applyNumberFormat="1" applyFont="1" applyFill="1" applyBorder="1" applyAlignment="1">
      <alignment horizontal="right" vertical="center"/>
    </xf>
    <xf numFmtId="0" fontId="14" fillId="34" borderId="15" xfId="0" applyFont="1" applyFill="1" applyBorder="1" applyAlignment="1">
      <alignment vertical="center"/>
    </xf>
    <xf numFmtId="164" fontId="16" fillId="0" borderId="0" xfId="0" applyNumberFormat="1" applyFont="1" applyFill="1" applyBorder="1" applyAlignment="1">
      <alignment horizontal="center" wrapText="1"/>
    </xf>
    <xf numFmtId="0" fontId="22" fillId="35" borderId="0" xfId="0" applyFont="1" applyFill="1" applyBorder="1" applyAlignment="1">
      <alignment horizontal="right" vertical="center" wrapText="1"/>
    </xf>
    <xf numFmtId="2" fontId="14" fillId="34" borderId="15" xfId="0" applyNumberFormat="1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top" wrapText="1"/>
    </xf>
    <xf numFmtId="0" fontId="18" fillId="0" borderId="0" xfId="0" applyFont="1" applyFill="1"/>
    <xf numFmtId="0" fontId="12" fillId="34" borderId="15" xfId="0" applyFont="1" applyFill="1" applyBorder="1" applyAlignment="1">
      <alignment horizontal="left" vertical="center" wrapText="1"/>
    </xf>
    <xf numFmtId="0" fontId="12" fillId="34" borderId="0" xfId="0" applyFont="1" applyFill="1" applyBorder="1" applyAlignment="1">
      <alignment horizontal="center" vertical="center" wrapText="1"/>
    </xf>
    <xf numFmtId="0" fontId="14" fillId="34" borderId="15" xfId="0" applyFont="1" applyFill="1" applyBorder="1" applyAlignment="1"/>
    <xf numFmtId="0" fontId="12" fillId="34" borderId="15" xfId="0" applyFont="1" applyFill="1" applyBorder="1" applyAlignment="1">
      <alignment horizontal="right" vertical="center" wrapText="1"/>
    </xf>
    <xf numFmtId="0" fontId="12" fillId="34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/>
    </xf>
    <xf numFmtId="0" fontId="12" fillId="34" borderId="0" xfId="0" applyFont="1" applyFill="1" applyBorder="1" applyAlignment="1">
      <alignment horizontal="center" vertical="center" wrapText="1"/>
    </xf>
    <xf numFmtId="0" fontId="37" fillId="34" borderId="0" xfId="0" applyFont="1" applyFill="1" applyBorder="1" applyAlignment="1">
      <alignment vertical="center"/>
    </xf>
    <xf numFmtId="0" fontId="18" fillId="34" borderId="15" xfId="0" applyFont="1" applyFill="1" applyBorder="1" applyAlignment="1">
      <alignment horizontal="left" wrapText="1"/>
    </xf>
    <xf numFmtId="14" fontId="14" fillId="34" borderId="15" xfId="0" applyNumberFormat="1" applyFont="1" applyFill="1" applyBorder="1" applyAlignment="1">
      <alignment horizontal="center"/>
    </xf>
    <xf numFmtId="21" fontId="12" fillId="34" borderId="15" xfId="0" applyNumberFormat="1" applyFont="1" applyFill="1" applyBorder="1" applyAlignment="1">
      <alignment horizontal="center" vertical="center" wrapText="1"/>
    </xf>
    <xf numFmtId="21" fontId="14" fillId="34" borderId="15" xfId="0" applyNumberFormat="1" applyFont="1" applyFill="1" applyBorder="1" applyAlignment="1">
      <alignment horizontal="center" vertical="center" wrapText="1"/>
    </xf>
    <xf numFmtId="0" fontId="26" fillId="34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/>
    </xf>
    <xf numFmtId="0" fontId="18" fillId="34" borderId="15" xfId="0" applyFont="1" applyFill="1" applyBorder="1" applyAlignment="1">
      <alignment vertical="center" wrapText="1"/>
    </xf>
    <xf numFmtId="0" fontId="44" fillId="34" borderId="15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center" wrapText="1"/>
    </xf>
    <xf numFmtId="0" fontId="12" fillId="34" borderId="15" xfId="0" applyFont="1" applyFill="1" applyBorder="1" applyAlignment="1">
      <alignment horizontal="right" wrapText="1"/>
    </xf>
    <xf numFmtId="21" fontId="14" fillId="34" borderId="15" xfId="0" applyNumberFormat="1" applyFont="1" applyFill="1" applyBorder="1" applyAlignment="1">
      <alignment horizontal="center"/>
    </xf>
    <xf numFmtId="0" fontId="12" fillId="34" borderId="15" xfId="0" applyFont="1" applyFill="1" applyBorder="1" applyAlignment="1">
      <alignment horizontal="center" wrapText="1"/>
    </xf>
    <xf numFmtId="2" fontId="12" fillId="34" borderId="15" xfId="0" applyNumberFormat="1" applyFont="1" applyFill="1" applyBorder="1" applyAlignment="1">
      <alignment horizontal="center" wrapText="1"/>
    </xf>
    <xf numFmtId="46" fontId="14" fillId="34" borderId="15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right" vertical="center" wrapText="1"/>
    </xf>
    <xf numFmtId="0" fontId="17" fillId="0" borderId="0" xfId="0" applyFont="1" applyAlignment="1"/>
    <xf numFmtId="1" fontId="22" fillId="0" borderId="0" xfId="0" applyNumberFormat="1" applyFont="1" applyFill="1" applyBorder="1" applyAlignment="1">
      <alignment horizontal="center" wrapText="1"/>
    </xf>
    <xf numFmtId="164" fontId="14" fillId="34" borderId="15" xfId="0" applyNumberFormat="1" applyFont="1" applyFill="1" applyBorder="1" applyAlignment="1">
      <alignment horizontal="center" vertical="center" wrapText="1"/>
    </xf>
    <xf numFmtId="164" fontId="14" fillId="34" borderId="15" xfId="0" applyNumberFormat="1" applyFont="1" applyFill="1" applyBorder="1" applyAlignment="1">
      <alignment horizontal="center" vertical="center"/>
    </xf>
    <xf numFmtId="1" fontId="14" fillId="34" borderId="15" xfId="0" applyNumberFormat="1" applyFont="1" applyFill="1" applyBorder="1" applyAlignment="1">
      <alignment horizontal="center" vertical="center"/>
    </xf>
    <xf numFmtId="164" fontId="14" fillId="34" borderId="15" xfId="0" applyNumberFormat="1" applyFont="1" applyFill="1" applyBorder="1" applyAlignment="1">
      <alignment horizontal="center"/>
    </xf>
    <xf numFmtId="164" fontId="131" fillId="0" borderId="0" xfId="0" applyNumberFormat="1" applyFont="1" applyFill="1" applyBorder="1" applyAlignment="1">
      <alignment horizontal="left" vertical="top" wrapText="1"/>
    </xf>
    <xf numFmtId="0" fontId="13" fillId="34" borderId="0" xfId="0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/>
    </xf>
    <xf numFmtId="0" fontId="12" fillId="34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/>
    </xf>
    <xf numFmtId="0" fontId="34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 wrapText="1"/>
    </xf>
    <xf numFmtId="0" fontId="22" fillId="34" borderId="0" xfId="0" applyFont="1" applyFill="1" applyBorder="1" applyAlignment="1">
      <alignment horizontal="left" vertical="center" wrapText="1"/>
    </xf>
    <xf numFmtId="0" fontId="16" fillId="34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34" borderId="0" xfId="0" applyFont="1" applyFill="1" applyBorder="1" applyAlignment="1">
      <alignment horizontal="left" vertical="center" wrapText="1"/>
    </xf>
    <xf numFmtId="164" fontId="14" fillId="0" borderId="15" xfId="0" applyNumberFormat="1" applyFont="1" applyFill="1" applyBorder="1" applyAlignment="1">
      <alignment horizontal="center" vertical="center" wrapText="1"/>
    </xf>
    <xf numFmtId="164" fontId="14" fillId="0" borderId="15" xfId="0" applyNumberFormat="1" applyFont="1" applyFill="1" applyBorder="1" applyAlignment="1">
      <alignment horizontal="center"/>
    </xf>
    <xf numFmtId="164" fontId="14" fillId="34" borderId="0" xfId="0" applyNumberFormat="1" applyFont="1" applyFill="1" applyAlignment="1">
      <alignment horizontal="center"/>
    </xf>
    <xf numFmtId="164" fontId="12" fillId="34" borderId="0" xfId="0" applyNumberFormat="1" applyFont="1" applyFill="1" applyBorder="1" applyAlignment="1">
      <alignment horizontal="center" wrapText="1"/>
    </xf>
    <xf numFmtId="164" fontId="131" fillId="34" borderId="0" xfId="0" applyNumberFormat="1" applyFont="1" applyFill="1" applyAlignment="1">
      <alignment horizontal="right"/>
    </xf>
    <xf numFmtId="164" fontId="131" fillId="34" borderId="0" xfId="0" applyNumberFormat="1" applyFont="1" applyFill="1" applyBorder="1" applyAlignment="1">
      <alignment horizontal="right"/>
    </xf>
    <xf numFmtId="164" fontId="132" fillId="34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Border="1" applyAlignment="1">
      <alignment horizontal="left" wrapText="1"/>
    </xf>
    <xf numFmtId="1" fontId="12" fillId="0" borderId="0" xfId="0" applyNumberFormat="1" applyFont="1" applyBorder="1" applyAlignment="1">
      <alignment horizontal="center" wrapText="1"/>
    </xf>
    <xf numFmtId="1" fontId="12" fillId="0" borderId="0" xfId="0" applyNumberFormat="1" applyFont="1" applyBorder="1" applyAlignment="1">
      <alignment horizontal="right" wrapText="1"/>
    </xf>
    <xf numFmtId="1" fontId="12" fillId="0" borderId="0" xfId="0" applyNumberFormat="1" applyFont="1" applyBorder="1" applyAlignment="1">
      <alignment horizontal="center" vertical="center" wrapText="1"/>
    </xf>
    <xf numFmtId="0" fontId="16" fillId="34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34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vertical="center"/>
    </xf>
    <xf numFmtId="168" fontId="12" fillId="0" borderId="0" xfId="0" applyNumberFormat="1" applyFont="1" applyFill="1" applyBorder="1" applyAlignment="1">
      <alignment horizontal="center" wrapText="1"/>
    </xf>
    <xf numFmtId="168" fontId="14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right"/>
    </xf>
    <xf numFmtId="171" fontId="12" fillId="34" borderId="0" xfId="136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 wrapText="1"/>
    </xf>
    <xf numFmtId="0" fontId="12" fillId="0" borderId="0" xfId="0" applyNumberFormat="1" applyFont="1" applyFill="1" applyBorder="1" applyAlignment="1">
      <alignment horizontal="center"/>
    </xf>
    <xf numFmtId="0" fontId="22" fillId="0" borderId="0" xfId="136" applyNumberFormat="1" applyFont="1" applyFill="1" applyBorder="1" applyAlignment="1">
      <alignment horizontal="center"/>
    </xf>
    <xf numFmtId="2" fontId="22" fillId="0" borderId="0" xfId="136" applyNumberFormat="1" applyFont="1" applyFill="1" applyBorder="1" applyAlignment="1">
      <alignment horizontal="center"/>
    </xf>
    <xf numFmtId="2" fontId="44" fillId="0" borderId="0" xfId="0" applyNumberFormat="1" applyFont="1" applyFill="1" applyBorder="1" applyAlignment="1">
      <alignment horizontal="center" vertical="center" wrapText="1"/>
    </xf>
    <xf numFmtId="2" fontId="41" fillId="0" borderId="0" xfId="0" applyNumberFormat="1" applyFont="1" applyFill="1" applyAlignment="1">
      <alignment horizontal="center" vertical="center"/>
    </xf>
    <xf numFmtId="0" fontId="41" fillId="0" borderId="0" xfId="0" applyFont="1" applyFill="1" applyBorder="1" applyAlignment="1">
      <alignment horizontal="left" vertical="center" wrapText="1"/>
    </xf>
    <xf numFmtId="0" fontId="43" fillId="0" borderId="0" xfId="0" applyFont="1" applyFill="1"/>
    <xf numFmtId="43" fontId="14" fillId="0" borderId="0" xfId="136" applyFont="1" applyBorder="1"/>
    <xf numFmtId="1" fontId="51" fillId="34" borderId="0" xfId="0" applyNumberFormat="1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34" borderId="15" xfId="0" applyFont="1" applyFill="1" applyBorder="1" applyAlignment="1">
      <alignment horizontal="left" vertical="center" wrapText="1"/>
    </xf>
    <xf numFmtId="0" fontId="14" fillId="34" borderId="15" xfId="0" applyFont="1" applyFill="1" applyBorder="1" applyAlignment="1">
      <alignment horizontal="center" vertical="center" wrapText="1"/>
    </xf>
    <xf numFmtId="2" fontId="14" fillId="34" borderId="15" xfId="0" applyNumberFormat="1" applyFont="1" applyFill="1" applyBorder="1" applyAlignment="1">
      <alignment horizontal="center" vertical="center" wrapText="1"/>
    </xf>
    <xf numFmtId="3" fontId="14" fillId="34" borderId="15" xfId="0" applyNumberFormat="1" applyFont="1" applyFill="1" applyBorder="1" applyAlignment="1">
      <alignment horizontal="center" vertical="center" wrapText="1"/>
    </xf>
    <xf numFmtId="4" fontId="14" fillId="34" borderId="15" xfId="0" applyNumberFormat="1" applyFont="1" applyFill="1" applyBorder="1" applyAlignment="1">
      <alignment horizontal="center" vertical="center" wrapText="1"/>
    </xf>
    <xf numFmtId="0" fontId="14" fillId="34" borderId="15" xfId="0" applyFont="1" applyFill="1" applyBorder="1" applyAlignment="1">
      <alignment horizontal="right" vertical="center" wrapText="1"/>
    </xf>
    <xf numFmtId="0" fontId="133" fillId="34" borderId="0" xfId="0" applyFont="1" applyFill="1" applyBorder="1" applyAlignment="1">
      <alignment horizontal="right" readingOrder="1"/>
    </xf>
    <xf numFmtId="164" fontId="133" fillId="34" borderId="0" xfId="0" applyNumberFormat="1" applyFont="1" applyFill="1" applyBorder="1" applyAlignment="1">
      <alignment horizontal="right" readingOrder="1"/>
    </xf>
    <xf numFmtId="2" fontId="133" fillId="34" borderId="0" xfId="0" applyNumberFormat="1" applyFont="1" applyFill="1" applyBorder="1" applyAlignment="1">
      <alignment horizontal="right" readingOrder="1"/>
    </xf>
    <xf numFmtId="0" fontId="150" fillId="34" borderId="0" xfId="0" applyFont="1" applyFill="1" applyBorder="1" applyAlignment="1">
      <alignment horizontal="right" readingOrder="1"/>
    </xf>
    <xf numFmtId="0" fontId="133" fillId="34" borderId="26" xfId="0" applyFont="1" applyFill="1" applyBorder="1" applyAlignment="1">
      <alignment horizontal="right" readingOrder="1"/>
    </xf>
    <xf numFmtId="0" fontId="140" fillId="34" borderId="0" xfId="0" applyFont="1" applyFill="1" applyBorder="1" applyAlignment="1">
      <alignment horizontal="right" readingOrder="1"/>
    </xf>
    <xf numFmtId="0" fontId="140" fillId="0" borderId="0" xfId="0" applyFont="1" applyFill="1" applyBorder="1" applyAlignment="1">
      <alignment horizontal="right" readingOrder="1"/>
    </xf>
    <xf numFmtId="164" fontId="123" fillId="0" borderId="25" xfId="0" applyNumberFormat="1" applyFont="1" applyFill="1" applyBorder="1" applyAlignment="1">
      <alignment horizontal="right" readingOrder="1"/>
    </xf>
    <xf numFmtId="0" fontId="12" fillId="34" borderId="0" xfId="0" applyFont="1" applyFill="1" applyBorder="1" applyAlignment="1">
      <alignment horizontal="left" vertical="center" wrapText="1"/>
    </xf>
    <xf numFmtId="0" fontId="24" fillId="0" borderId="0" xfId="202" applyFont="1" applyAlignment="1"/>
    <xf numFmtId="164" fontId="131" fillId="34" borderId="15" xfId="0" applyNumberFormat="1" applyFont="1" applyFill="1" applyBorder="1" applyAlignment="1">
      <alignment horizontal="center" vertical="center" wrapText="1"/>
    </xf>
    <xf numFmtId="0" fontId="93" fillId="0" borderId="0" xfId="0" applyFont="1" applyFill="1" applyBorder="1" applyAlignment="1">
      <alignment wrapText="1"/>
    </xf>
    <xf numFmtId="0" fontId="13" fillId="0" borderId="0" xfId="0" applyFont="1" applyBorder="1" applyAlignment="1">
      <alignment wrapText="1"/>
    </xf>
    <xf numFmtId="181" fontId="14" fillId="0" borderId="0" xfId="0" applyNumberFormat="1" applyFont="1" applyFill="1" applyBorder="1" applyAlignment="1">
      <alignment horizontal="center"/>
    </xf>
    <xf numFmtId="181" fontId="14" fillId="34" borderId="0" xfId="0" applyNumberFormat="1" applyFont="1" applyFill="1" applyBorder="1" applyAlignment="1">
      <alignment horizontal="center"/>
    </xf>
    <xf numFmtId="0" fontId="12" fillId="34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vertical="center"/>
    </xf>
    <xf numFmtId="166" fontId="14" fillId="0" borderId="15" xfId="0" applyNumberFormat="1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right" vertical="center"/>
    </xf>
    <xf numFmtId="164" fontId="132" fillId="34" borderId="0" xfId="0" applyNumberFormat="1" applyFont="1" applyFill="1" applyBorder="1" applyAlignment="1">
      <alignment horizontal="left" wrapText="1"/>
    </xf>
    <xf numFmtId="164" fontId="131" fillId="0" borderId="0" xfId="0" applyNumberFormat="1" applyFont="1" applyFill="1" applyBorder="1" applyAlignment="1">
      <alignment horizontal="left" wrapText="1"/>
    </xf>
    <xf numFmtId="164" fontId="131" fillId="0" borderId="0" xfId="0" applyNumberFormat="1" applyFont="1" applyFill="1" applyBorder="1" applyAlignment="1">
      <alignment horizontal="right" vertical="center" wrapText="1"/>
    </xf>
    <xf numFmtId="170" fontId="14" fillId="34" borderId="0" xfId="0" applyNumberFormat="1" applyFont="1" applyFill="1" applyBorder="1" applyAlignment="1">
      <alignment horizontal="center"/>
    </xf>
    <xf numFmtId="0" fontId="133" fillId="34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left" vertical="center"/>
    </xf>
    <xf numFmtId="0" fontId="12" fillId="0" borderId="15" xfId="0" applyFont="1" applyFill="1" applyBorder="1" applyAlignment="1">
      <alignment vertical="center"/>
    </xf>
    <xf numFmtId="2" fontId="12" fillId="0" borderId="15" xfId="0" applyNumberFormat="1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right" vertical="center"/>
    </xf>
    <xf numFmtId="2" fontId="131" fillId="34" borderId="15" xfId="0" applyNumberFormat="1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left" vertical="center"/>
    </xf>
    <xf numFmtId="0" fontId="14" fillId="0" borderId="15" xfId="136" quotePrefix="1" applyNumberFormat="1" applyFont="1" applyFill="1" applyBorder="1" applyAlignment="1">
      <alignment horizontal="center" vertical="center"/>
    </xf>
    <xf numFmtId="0" fontId="14" fillId="0" borderId="15" xfId="136" applyNumberFormat="1" applyFont="1" applyFill="1" applyBorder="1" applyAlignment="1">
      <alignment horizontal="center" vertical="center"/>
    </xf>
    <xf numFmtId="2" fontId="51" fillId="0" borderId="15" xfId="0" applyNumberFormat="1" applyFont="1" applyFill="1" applyBorder="1" applyAlignment="1">
      <alignment horizontal="center" vertical="center"/>
    </xf>
    <xf numFmtId="0" fontId="44" fillId="0" borderId="15" xfId="0" applyFont="1" applyFill="1" applyBorder="1" applyAlignment="1">
      <alignment horizontal="left" vertical="center"/>
    </xf>
    <xf numFmtId="2" fontId="140" fillId="0" borderId="15" xfId="198" applyNumberFormat="1" applyFont="1" applyFill="1" applyBorder="1" applyAlignment="1">
      <alignment horizontal="center"/>
    </xf>
    <xf numFmtId="0" fontId="131" fillId="34" borderId="15" xfId="0" applyFont="1" applyFill="1" applyBorder="1" applyAlignment="1">
      <alignment horizontal="left" vertical="center" wrapText="1"/>
    </xf>
    <xf numFmtId="2" fontId="123" fillId="34" borderId="15" xfId="0" applyNumberFormat="1" applyFont="1" applyFill="1" applyBorder="1" applyAlignment="1">
      <alignment horizontal="center" vertical="center" wrapText="1"/>
    </xf>
    <xf numFmtId="2" fontId="14" fillId="34" borderId="15" xfId="0" applyNumberFormat="1" applyFont="1" applyFill="1" applyBorder="1" applyAlignment="1">
      <alignment vertical="center" wrapText="1"/>
    </xf>
    <xf numFmtId="0" fontId="14" fillId="0" borderId="0" xfId="0" applyFont="1" applyBorder="1" applyAlignment="1">
      <alignment horizontal="left"/>
    </xf>
    <xf numFmtId="2" fontId="13" fillId="0" borderId="0" xfId="0" applyNumberFormat="1" applyFont="1" applyBorder="1" applyAlignment="1"/>
    <xf numFmtId="2" fontId="13" fillId="0" borderId="0" xfId="0" applyNumberFormat="1" applyFont="1" applyFill="1" applyBorder="1" applyAlignment="1"/>
    <xf numFmtId="2" fontId="13" fillId="0" borderId="0" xfId="0" applyNumberFormat="1" applyFont="1" applyBorder="1" applyAlignment="1">
      <alignment horizontal="left"/>
    </xf>
    <xf numFmtId="0" fontId="14" fillId="0" borderId="0" xfId="0" applyFont="1" applyBorder="1" applyAlignment="1">
      <alignment wrapText="1"/>
    </xf>
    <xf numFmtId="49" fontId="14" fillId="0" borderId="0" xfId="0" applyNumberFormat="1" applyFont="1" applyFill="1" applyBorder="1"/>
    <xf numFmtId="0" fontId="18" fillId="0" borderId="17" xfId="0" applyFont="1" applyBorder="1" applyAlignment="1">
      <alignment wrapText="1"/>
    </xf>
    <xf numFmtId="0" fontId="41" fillId="0" borderId="17" xfId="0" applyFont="1" applyBorder="1" applyAlignment="1"/>
    <xf numFmtId="0" fontId="14" fillId="0" borderId="17" xfId="0" applyFont="1" applyBorder="1" applyAlignment="1"/>
    <xf numFmtId="0" fontId="14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14" fillId="0" borderId="1" xfId="0" applyFont="1" applyBorder="1" applyAlignment="1">
      <alignment horizontal="center" vertical="center" wrapText="1"/>
    </xf>
    <xf numFmtId="0" fontId="14" fillId="0" borderId="15" xfId="196" applyFont="1" applyFill="1" applyBorder="1" applyAlignment="1">
      <alignment horizontal="left" vertical="center"/>
    </xf>
    <xf numFmtId="2" fontId="14" fillId="0" borderId="15" xfId="196" applyNumberFormat="1" applyFont="1" applyFill="1" applyBorder="1" applyAlignment="1">
      <alignment horizontal="center" vertical="center"/>
    </xf>
    <xf numFmtId="2" fontId="14" fillId="0" borderId="15" xfId="196" applyNumberFormat="1" applyFont="1" applyFill="1" applyBorder="1" applyAlignment="1">
      <alignment horizontal="center"/>
    </xf>
    <xf numFmtId="0" fontId="27" fillId="0" borderId="2" xfId="196" applyFont="1" applyFill="1" applyBorder="1" applyAlignment="1">
      <alignment horizontal="center" vertical="center" wrapText="1"/>
    </xf>
    <xf numFmtId="2" fontId="22" fillId="0" borderId="0" xfId="0" applyNumberFormat="1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34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/>
    </xf>
    <xf numFmtId="0" fontId="1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34" fillId="0" borderId="0" xfId="0" applyFont="1" applyBorder="1" applyAlignment="1">
      <alignment horizontal="left" wrapText="1"/>
    </xf>
    <xf numFmtId="0" fontId="34" fillId="0" borderId="17" xfId="0" applyFont="1" applyBorder="1" applyAlignment="1">
      <alignment wrapText="1"/>
    </xf>
    <xf numFmtId="2" fontId="14" fillId="0" borderId="15" xfId="0" applyNumberFormat="1" applyFont="1" applyFill="1" applyBorder="1" applyAlignment="1">
      <alignment horizontal="center"/>
    </xf>
    <xf numFmtId="0" fontId="12" fillId="34" borderId="0" xfId="0" applyFont="1" applyFill="1" applyBorder="1" applyAlignment="1">
      <alignment horizontal="left" vertical="center" wrapText="1"/>
    </xf>
    <xf numFmtId="164" fontId="123" fillId="34" borderId="15" xfId="0" applyNumberFormat="1" applyFont="1" applyFill="1" applyBorder="1" applyAlignment="1">
      <alignment horizontal="center" vertical="center" wrapText="1"/>
    </xf>
    <xf numFmtId="164" fontId="123" fillId="34" borderId="15" xfId="0" applyNumberFormat="1" applyFont="1" applyFill="1" applyBorder="1" applyAlignment="1">
      <alignment horizontal="center" vertical="center"/>
    </xf>
    <xf numFmtId="1" fontId="132" fillId="34" borderId="0" xfId="0" applyNumberFormat="1" applyFont="1" applyFill="1" applyBorder="1" applyAlignment="1">
      <alignment horizontal="center" vertical="center" wrapText="1"/>
    </xf>
    <xf numFmtId="0" fontId="132" fillId="0" borderId="0" xfId="0" applyFont="1" applyFill="1" applyBorder="1" applyAlignment="1">
      <alignment horizontal="center" vertical="center" wrapText="1"/>
    </xf>
    <xf numFmtId="2" fontId="22" fillId="0" borderId="0" xfId="0" applyNumberFormat="1" applyFont="1" applyFill="1" applyBorder="1" applyAlignment="1">
      <alignment vertical="center" wrapText="1"/>
    </xf>
    <xf numFmtId="0" fontId="14" fillId="0" borderId="0" xfId="0" applyFont="1" applyFill="1" applyBorder="1" applyAlignment="1">
      <alignment wrapText="1"/>
    </xf>
    <xf numFmtId="0" fontId="22" fillId="0" borderId="0" xfId="0" applyFont="1" applyBorder="1"/>
    <xf numFmtId="0" fontId="14" fillId="34" borderId="15" xfId="0" applyFont="1" applyFill="1" applyBorder="1" applyAlignment="1">
      <alignment horizontal="left" vertical="center"/>
    </xf>
    <xf numFmtId="1" fontId="14" fillId="0" borderId="15" xfId="0" applyNumberFormat="1" applyFont="1" applyFill="1" applyBorder="1" applyAlignment="1">
      <alignment horizontal="center" vertical="center"/>
    </xf>
    <xf numFmtId="0" fontId="6" fillId="34" borderId="15" xfId="0" applyFont="1" applyFill="1" applyBorder="1"/>
    <xf numFmtId="164" fontId="131" fillId="34" borderId="15" xfId="0" applyNumberFormat="1" applyFont="1" applyFill="1" applyBorder="1" applyAlignment="1">
      <alignment horizontal="center" wrapText="1"/>
    </xf>
    <xf numFmtId="164" fontId="14" fillId="34" borderId="15" xfId="0" applyNumberFormat="1" applyFont="1" applyFill="1" applyBorder="1" applyAlignment="1">
      <alignment horizontal="left" vertical="top" wrapText="1"/>
    </xf>
    <xf numFmtId="164" fontId="131" fillId="34" borderId="15" xfId="0" applyNumberFormat="1" applyFont="1" applyFill="1" applyBorder="1" applyAlignment="1">
      <alignment horizontal="center" vertical="top" wrapText="1"/>
    </xf>
    <xf numFmtId="0" fontId="123" fillId="34" borderId="15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164" fontId="131" fillId="0" borderId="15" xfId="0" applyNumberFormat="1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vertical="top"/>
    </xf>
    <xf numFmtId="0" fontId="14" fillId="0" borderId="15" xfId="0" applyFont="1" applyFill="1" applyBorder="1" applyAlignment="1">
      <alignment horizontal="left" wrapText="1"/>
    </xf>
    <xf numFmtId="1" fontId="12" fillId="34" borderId="15" xfId="0" applyNumberFormat="1" applyFont="1" applyFill="1" applyBorder="1" applyAlignment="1">
      <alignment horizontal="left" vertical="center" wrapText="1"/>
    </xf>
    <xf numFmtId="1" fontId="12" fillId="34" borderId="15" xfId="0" applyNumberFormat="1" applyFont="1" applyFill="1" applyBorder="1" applyAlignment="1">
      <alignment horizontal="center" vertical="center" wrapText="1"/>
    </xf>
    <xf numFmtId="1" fontId="14" fillId="34" borderId="15" xfId="0" applyNumberFormat="1" applyFont="1" applyFill="1" applyBorder="1" applyAlignment="1">
      <alignment horizontal="center" vertical="center" wrapText="1"/>
    </xf>
    <xf numFmtId="1" fontId="14" fillId="34" borderId="15" xfId="0" applyNumberFormat="1" applyFont="1" applyFill="1" applyBorder="1" applyAlignment="1">
      <alignment horizontal="right" vertical="center" wrapText="1"/>
    </xf>
    <xf numFmtId="1" fontId="14" fillId="34" borderId="15" xfId="0" applyNumberFormat="1" applyFont="1" applyFill="1" applyBorder="1" applyAlignment="1">
      <alignment horizontal="left" vertical="center" wrapText="1"/>
    </xf>
    <xf numFmtId="164" fontId="16" fillId="34" borderId="0" xfId="0" applyNumberFormat="1" applyFont="1" applyFill="1" applyBorder="1" applyAlignment="1">
      <alignment horizont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2" fontId="24" fillId="0" borderId="0" xfId="0" applyNumberFormat="1" applyFont="1" applyBorder="1" applyAlignment="1">
      <alignment horizontal="center" wrapText="1"/>
    </xf>
    <xf numFmtId="2" fontId="24" fillId="34" borderId="0" xfId="0" applyNumberFormat="1" applyFont="1" applyFill="1" applyBorder="1" applyAlignment="1">
      <alignment horizontal="center" wrapText="1"/>
    </xf>
    <xf numFmtId="0" fontId="24" fillId="0" borderId="15" xfId="0" applyFont="1" applyFill="1" applyBorder="1" applyAlignment="1">
      <alignment horizontal="center" vertical="center" wrapText="1"/>
    </xf>
    <xf numFmtId="14" fontId="14" fillId="0" borderId="0" xfId="0" applyNumberFormat="1" applyFont="1" applyFill="1" applyBorder="1" applyAlignment="1">
      <alignment horizontal="center"/>
    </xf>
    <xf numFmtId="182" fontId="14" fillId="34" borderId="0" xfId="0" applyNumberFormat="1" applyFont="1" applyFill="1" applyBorder="1" applyAlignment="1">
      <alignment horizontal="center"/>
    </xf>
    <xf numFmtId="0" fontId="44" fillId="0" borderId="15" xfId="0" applyFont="1" applyFill="1" applyBorder="1" applyAlignment="1">
      <alignment horizontal="left" wrapText="1"/>
    </xf>
    <xf numFmtId="0" fontId="18" fillId="0" borderId="15" xfId="0" applyFont="1" applyFill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174" fontId="123" fillId="34" borderId="15" xfId="0" applyNumberFormat="1" applyFont="1" applyFill="1" applyBorder="1" applyAlignment="1">
      <alignment horizontal="center" wrapText="1"/>
    </xf>
    <xf numFmtId="2" fontId="123" fillId="34" borderId="15" xfId="0" applyNumberFormat="1" applyFont="1" applyFill="1" applyBorder="1" applyAlignment="1">
      <alignment horizontal="center" wrapText="1"/>
    </xf>
    <xf numFmtId="0" fontId="123" fillId="0" borderId="0" xfId="0" applyFont="1" applyFill="1" applyBorder="1" applyAlignment="1">
      <alignment horizontal="center" wrapText="1"/>
    </xf>
    <xf numFmtId="0" fontId="12" fillId="34" borderId="0" xfId="0" applyFont="1" applyFill="1" applyBorder="1"/>
    <xf numFmtId="0" fontId="12" fillId="34" borderId="0" xfId="0" applyFont="1" applyFill="1" applyBorder="1" applyAlignment="1">
      <alignment horizontal="right"/>
    </xf>
    <xf numFmtId="0" fontId="15" fillId="0" borderId="2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left" wrapText="1"/>
    </xf>
    <xf numFmtId="0" fontId="75" fillId="2" borderId="19" xfId="0" applyFont="1" applyFill="1" applyBorder="1" applyAlignment="1">
      <alignment horizontal="center"/>
    </xf>
    <xf numFmtId="0" fontId="75" fillId="2" borderId="0" xfId="0" applyFont="1" applyFill="1" applyBorder="1" applyAlignment="1">
      <alignment horizontal="center"/>
    </xf>
    <xf numFmtId="0" fontId="75" fillId="2" borderId="20" xfId="0" applyFont="1" applyFill="1" applyBorder="1" applyAlignment="1">
      <alignment horizontal="center"/>
    </xf>
    <xf numFmtId="176" fontId="75" fillId="0" borderId="19" xfId="0" applyNumberFormat="1" applyFont="1" applyFill="1" applyBorder="1" applyAlignment="1">
      <alignment horizontal="center"/>
    </xf>
    <xf numFmtId="176" fontId="75" fillId="0" borderId="0" xfId="0" applyNumberFormat="1" applyFont="1" applyFill="1" applyBorder="1" applyAlignment="1">
      <alignment horizontal="center"/>
    </xf>
    <xf numFmtId="176" fontId="75" fillId="0" borderId="20" xfId="0" applyNumberFormat="1" applyFont="1" applyFill="1" applyBorder="1" applyAlignment="1">
      <alignment horizontal="center"/>
    </xf>
    <xf numFmtId="0" fontId="62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  <xf numFmtId="0" fontId="64" fillId="0" borderId="0" xfId="0" applyFont="1" applyBorder="1" applyAlignment="1">
      <alignment horizontal="left" wrapText="1"/>
    </xf>
    <xf numFmtId="0" fontId="64" fillId="0" borderId="0" xfId="0" applyFont="1" applyBorder="1" applyAlignment="1">
      <alignment horizontal="left" vertical="center" wrapText="1"/>
    </xf>
    <xf numFmtId="0" fontId="64" fillId="0" borderId="0" xfId="0" applyFont="1" applyBorder="1" applyAlignment="1">
      <alignment horizontal="left" vertical="top" wrapText="1"/>
    </xf>
    <xf numFmtId="0" fontId="64" fillId="2" borderId="0" xfId="0" applyFont="1" applyFill="1" applyBorder="1" applyAlignment="1">
      <alignment horizontal="left"/>
    </xf>
    <xf numFmtId="0" fontId="66" fillId="0" borderId="0" xfId="0" applyFont="1" applyBorder="1" applyAlignment="1">
      <alignment horizontal="center"/>
    </xf>
    <xf numFmtId="0" fontId="64" fillId="2" borderId="15" xfId="0" applyFont="1" applyFill="1" applyBorder="1" applyAlignment="1">
      <alignment horizontal="left" vertical="top"/>
    </xf>
    <xf numFmtId="0" fontId="65" fillId="0" borderId="0" xfId="0" applyFont="1" applyBorder="1" applyAlignment="1">
      <alignment horizontal="center"/>
    </xf>
    <xf numFmtId="0" fontId="151" fillId="0" borderId="0" xfId="0" applyFont="1" applyFill="1" applyBorder="1" applyAlignment="1">
      <alignment horizontal="right" vertical="center"/>
    </xf>
    <xf numFmtId="0" fontId="64" fillId="2" borderId="0" xfId="0" applyFont="1" applyFill="1" applyBorder="1" applyAlignment="1">
      <alignment horizontal="left" vertical="center" wrapText="1"/>
    </xf>
    <xf numFmtId="49" fontId="80" fillId="0" borderId="19" xfId="0" applyNumberFormat="1" applyFont="1" applyFill="1" applyBorder="1" applyAlignment="1">
      <alignment horizontal="center"/>
    </xf>
    <xf numFmtId="49" fontId="80" fillId="0" borderId="0" xfId="0" applyNumberFormat="1" applyFont="1" applyFill="1" applyBorder="1" applyAlignment="1">
      <alignment horizontal="center"/>
    </xf>
    <xf numFmtId="49" fontId="80" fillId="0" borderId="20" xfId="0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left"/>
    </xf>
    <xf numFmtId="0" fontId="4" fillId="0" borderId="0" xfId="0" applyFont="1"/>
    <xf numFmtId="0" fontId="4" fillId="0" borderId="20" xfId="0" applyFont="1" applyBorder="1"/>
    <xf numFmtId="0" fontId="152" fillId="0" borderId="0" xfId="0" applyFont="1" applyFill="1" applyBorder="1" applyAlignment="1">
      <alignment horizontal="left" vertical="center"/>
    </xf>
    <xf numFmtId="0" fontId="151" fillId="0" borderId="0" xfId="0" applyFont="1" applyFill="1" applyBorder="1" applyAlignment="1">
      <alignment horizontal="center"/>
    </xf>
    <xf numFmtId="0" fontId="75" fillId="0" borderId="19" xfId="0" applyFont="1" applyFill="1" applyBorder="1" applyAlignment="1">
      <alignment horizontal="center"/>
    </xf>
    <xf numFmtId="0" fontId="75" fillId="0" borderId="0" xfId="0" applyFont="1" applyFill="1" applyBorder="1" applyAlignment="1">
      <alignment horizontal="center"/>
    </xf>
    <xf numFmtId="0" fontId="75" fillId="0" borderId="20" xfId="0" applyFont="1" applyFill="1" applyBorder="1" applyAlignment="1">
      <alignment horizontal="center"/>
    </xf>
    <xf numFmtId="0" fontId="62" fillId="0" borderId="16" xfId="0" applyFont="1" applyBorder="1" applyAlignment="1">
      <alignment horizontal="center" vertical="top" wrapText="1"/>
    </xf>
    <xf numFmtId="0" fontId="62" fillId="0" borderId="17" xfId="0" applyFont="1" applyBorder="1" applyAlignment="1">
      <alignment horizontal="center" vertical="top" wrapText="1"/>
    </xf>
    <xf numFmtId="0" fontId="62" fillId="0" borderId="18" xfId="0" applyFont="1" applyBorder="1" applyAlignment="1">
      <alignment horizontal="center" vertical="top" wrapText="1"/>
    </xf>
    <xf numFmtId="0" fontId="62" fillId="0" borderId="19" xfId="0" applyFont="1" applyBorder="1" applyAlignment="1">
      <alignment horizontal="center" vertical="top" wrapText="1"/>
    </xf>
    <xf numFmtId="0" fontId="62" fillId="0" borderId="0" xfId="0" applyFont="1" applyBorder="1" applyAlignment="1">
      <alignment horizontal="center" vertical="top" wrapText="1"/>
    </xf>
    <xf numFmtId="0" fontId="62" fillId="0" borderId="20" xfId="0" applyFont="1" applyBorder="1" applyAlignment="1">
      <alignment horizontal="center" vertical="top" wrapText="1"/>
    </xf>
    <xf numFmtId="0" fontId="2" fillId="0" borderId="0" xfId="173" applyAlignment="1" applyProtection="1">
      <alignment horizontal="left"/>
    </xf>
    <xf numFmtId="0" fontId="33" fillId="0" borderId="0" xfId="0" applyFont="1" applyAlignment="1">
      <alignment horizontal="left"/>
    </xf>
    <xf numFmtId="0" fontId="29" fillId="0" borderId="0" xfId="0" applyFont="1" applyBorder="1" applyAlignment="1">
      <alignment horizont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14" xfId="0" applyFont="1" applyFill="1" applyBorder="1" applyAlignment="1">
      <alignment horizontal="center" vertical="center" wrapText="1"/>
    </xf>
    <xf numFmtId="0" fontId="37" fillId="0" borderId="8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5" fillId="0" borderId="0" xfId="0" applyFont="1" applyAlignment="1">
      <alignment horizontal="center" vertic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left" wrapText="1"/>
    </xf>
    <xf numFmtId="0" fontId="20" fillId="0" borderId="0" xfId="0" applyNumberFormat="1" applyFont="1" applyBorder="1" applyAlignment="1">
      <alignment horizontal="right" wrapText="1"/>
    </xf>
    <xf numFmtId="0" fontId="29" fillId="0" borderId="0" xfId="0" applyFont="1" applyAlignment="1">
      <alignment horizontal="left" wrapText="1"/>
    </xf>
    <xf numFmtId="0" fontId="41" fillId="0" borderId="3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49" fontId="93" fillId="0" borderId="0" xfId="0" applyNumberFormat="1" applyFont="1" applyBorder="1" applyAlignment="1">
      <alignment horizontal="left" wrapText="1"/>
    </xf>
    <xf numFmtId="0" fontId="29" fillId="0" borderId="0" xfId="0" applyFont="1" applyBorder="1" applyAlignment="1">
      <alignment horizontal="right" wrapText="1"/>
    </xf>
    <xf numFmtId="0" fontId="27" fillId="0" borderId="1" xfId="0" applyFont="1" applyBorder="1" applyAlignment="1">
      <alignment horizontal="center" wrapText="1"/>
    </xf>
    <xf numFmtId="0" fontId="27" fillId="0" borderId="0" xfId="0" applyFont="1" applyBorder="1" applyAlignment="1">
      <alignment horizontal="center" wrapText="1"/>
    </xf>
    <xf numFmtId="0" fontId="41" fillId="0" borderId="10" xfId="0" applyFont="1" applyFill="1" applyBorder="1" applyAlignment="1">
      <alignment horizontal="center" vertical="center" wrapText="1"/>
    </xf>
    <xf numFmtId="0" fontId="93" fillId="0" borderId="0" xfId="0" applyFont="1" applyAlignment="1">
      <alignment horizontal="left" wrapText="1"/>
    </xf>
    <xf numFmtId="0" fontId="93" fillId="0" borderId="0" xfId="0" applyFont="1" applyBorder="1" applyAlignment="1">
      <alignment horizontal="left" vertical="justify" wrapText="1"/>
    </xf>
    <xf numFmtId="0" fontId="93" fillId="0" borderId="0" xfId="0" applyFont="1" applyBorder="1" applyAlignment="1">
      <alignment horizontal="left" wrapText="1"/>
    </xf>
    <xf numFmtId="0" fontId="93" fillId="0" borderId="0" xfId="0" applyFont="1" applyBorder="1" applyAlignment="1">
      <alignment horizontal="left"/>
    </xf>
    <xf numFmtId="0" fontId="7" fillId="0" borderId="14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right" vertical="center"/>
    </xf>
    <xf numFmtId="0" fontId="7" fillId="0" borderId="14" xfId="0" applyFont="1" applyFill="1" applyBorder="1" applyAlignment="1">
      <alignment horizontal="right" vertical="center"/>
    </xf>
    <xf numFmtId="0" fontId="7" fillId="0" borderId="23" xfId="0" applyFont="1" applyFill="1" applyBorder="1" applyAlignment="1">
      <alignment horizontal="right" vertical="center"/>
    </xf>
    <xf numFmtId="0" fontId="7" fillId="0" borderId="23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29" fillId="0" borderId="10" xfId="0" applyNumberFormat="1" applyFont="1" applyFill="1" applyBorder="1" applyAlignment="1">
      <alignment horizontal="center" vertical="center" wrapText="1"/>
    </xf>
    <xf numFmtId="0" fontId="29" fillId="0" borderId="3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wrapText="1"/>
    </xf>
    <xf numFmtId="0" fontId="6" fillId="0" borderId="2" xfId="0" applyFont="1" applyBorder="1" applyAlignment="1">
      <alignment horizontal="center" vertical="center" wrapText="1"/>
    </xf>
    <xf numFmtId="0" fontId="29" fillId="0" borderId="29" xfId="0" applyFont="1" applyFill="1" applyBorder="1" applyAlignment="1">
      <alignment horizontal="center" vertical="center" wrapText="1"/>
    </xf>
    <xf numFmtId="0" fontId="0" fillId="0" borderId="29" xfId="0" applyFill="1" applyBorder="1"/>
    <xf numFmtId="0" fontId="0" fillId="0" borderId="3" xfId="0" applyFill="1" applyBorder="1"/>
    <xf numFmtId="0" fontId="6" fillId="0" borderId="11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20" fillId="0" borderId="0" xfId="0" applyFont="1" applyAlignment="1">
      <alignment horizontal="right"/>
    </xf>
    <xf numFmtId="0" fontId="29" fillId="0" borderId="0" xfId="0" applyFont="1" applyAlignment="1">
      <alignment horizontal="right" wrapText="1"/>
    </xf>
    <xf numFmtId="0" fontId="20" fillId="0" borderId="0" xfId="0" applyFont="1" applyAlignment="1">
      <alignment horizontal="right" wrapText="1"/>
    </xf>
    <xf numFmtId="0" fontId="29" fillId="0" borderId="1" xfId="0" applyFont="1" applyBorder="1" applyAlignment="1">
      <alignment horizontal="center" wrapText="1"/>
    </xf>
    <xf numFmtId="0" fontId="29" fillId="0" borderId="2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 wrapText="1"/>
    </xf>
    <xf numFmtId="0" fontId="93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7" fillId="0" borderId="1" xfId="0" applyFont="1" applyBorder="1" applyAlignment="1">
      <alignment horizontal="left" wrapText="1"/>
    </xf>
    <xf numFmtId="0" fontId="6" fillId="0" borderId="10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27" fillId="0" borderId="9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20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 wrapText="1"/>
    </xf>
    <xf numFmtId="0" fontId="27" fillId="0" borderId="7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27" fillId="0" borderId="25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0" fontId="27" fillId="0" borderId="14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/>
    </xf>
    <xf numFmtId="0" fontId="34" fillId="0" borderId="0" xfId="0" applyFont="1" applyBorder="1" applyAlignment="1">
      <alignment horizontal="left" wrapText="1"/>
    </xf>
    <xf numFmtId="0" fontId="153" fillId="0" borderId="0" xfId="0" applyFont="1" applyAlignment="1">
      <alignment horizontal="left"/>
    </xf>
    <xf numFmtId="0" fontId="13" fillId="0" borderId="10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49" fontId="34" fillId="0" borderId="0" xfId="0" applyNumberFormat="1" applyFont="1" applyAlignment="1">
      <alignment horizontal="left" vertical="center"/>
    </xf>
    <xf numFmtId="0" fontId="34" fillId="0" borderId="0" xfId="0" applyFont="1" applyBorder="1" applyAlignment="1">
      <alignment horizontal="left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29" fillId="0" borderId="33" xfId="0" applyFont="1" applyFill="1" applyBorder="1" applyAlignment="1">
      <alignment horizontal="center" wrapText="1"/>
    </xf>
    <xf numFmtId="0" fontId="29" fillId="0" borderId="27" xfId="0" applyFont="1" applyFill="1" applyBorder="1" applyAlignment="1">
      <alignment horizontal="center" wrapText="1"/>
    </xf>
    <xf numFmtId="0" fontId="13" fillId="0" borderId="0" xfId="0" applyFont="1" applyBorder="1" applyAlignment="1">
      <alignment horizontal="left" vertical="justify" wrapText="1"/>
    </xf>
    <xf numFmtId="0" fontId="13" fillId="0" borderId="0" xfId="0" applyFont="1" applyBorder="1" applyAlignment="1">
      <alignment horizontal="left" wrapText="1"/>
    </xf>
    <xf numFmtId="0" fontId="27" fillId="0" borderId="33" xfId="0" applyFont="1" applyFill="1" applyBorder="1" applyAlignment="1">
      <alignment horizontal="center" vertical="center" wrapText="1"/>
    </xf>
    <xf numFmtId="0" fontId="27" fillId="0" borderId="27" xfId="0" applyFont="1" applyFill="1" applyBorder="1" applyAlignment="1">
      <alignment horizontal="center" vertical="center" wrapText="1"/>
    </xf>
    <xf numFmtId="0" fontId="29" fillId="0" borderId="33" xfId="0" applyFont="1" applyFill="1" applyBorder="1" applyAlignment="1">
      <alignment horizontal="center" vertical="center" wrapText="1"/>
    </xf>
    <xf numFmtId="0" fontId="29" fillId="0" borderId="27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27" fillId="0" borderId="34" xfId="0" applyFont="1" applyFill="1" applyBorder="1" applyAlignment="1">
      <alignment horizontal="center" vertical="center" wrapText="1"/>
    </xf>
    <xf numFmtId="0" fontId="6" fillId="0" borderId="35" xfId="0" applyFont="1" applyFill="1" applyBorder="1"/>
    <xf numFmtId="0" fontId="6" fillId="0" borderId="4" xfId="0" applyFont="1" applyFill="1" applyBorder="1"/>
    <xf numFmtId="0" fontId="29" fillId="0" borderId="31" xfId="0" applyFont="1" applyFill="1" applyBorder="1" applyAlignment="1">
      <alignment horizontal="center" vertical="center" wrapText="1"/>
    </xf>
    <xf numFmtId="0" fontId="29" fillId="0" borderId="32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4" xfId="0" applyFont="1" applyFill="1" applyBorder="1" applyAlignment="1">
      <alignment horizontal="center" wrapText="1"/>
    </xf>
    <xf numFmtId="0" fontId="29" fillId="0" borderId="36" xfId="0" applyFont="1" applyFill="1" applyBorder="1" applyAlignment="1">
      <alignment horizontal="center" vertical="center" wrapText="1"/>
    </xf>
    <xf numFmtId="0" fontId="29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 wrapText="1"/>
    </xf>
    <xf numFmtId="0" fontId="29" fillId="0" borderId="39" xfId="0" applyFont="1" applyFill="1" applyBorder="1" applyAlignment="1">
      <alignment horizontal="center" vertical="center" wrapText="1"/>
    </xf>
    <xf numFmtId="0" fontId="29" fillId="0" borderId="40" xfId="0" applyFont="1" applyFill="1" applyBorder="1" applyAlignment="1">
      <alignment horizontal="center" vertical="center" wrapText="1"/>
    </xf>
    <xf numFmtId="0" fontId="29" fillId="0" borderId="41" xfId="0" applyFont="1" applyFill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wrapText="1"/>
    </xf>
    <xf numFmtId="0" fontId="29" fillId="0" borderId="34" xfId="0" applyFont="1" applyFill="1" applyBorder="1" applyAlignment="1">
      <alignment horizontal="center" vertical="center" wrapText="1"/>
    </xf>
    <xf numFmtId="0" fontId="29" fillId="0" borderId="35" xfId="0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right" wrapText="1"/>
    </xf>
    <xf numFmtId="0" fontId="29" fillId="0" borderId="30" xfId="0" applyFont="1" applyBorder="1" applyAlignment="1"/>
    <xf numFmtId="0" fontId="20" fillId="0" borderId="0" xfId="0" applyFont="1" applyBorder="1" applyAlignment="1">
      <alignment horizontal="left"/>
    </xf>
    <xf numFmtId="0" fontId="20" fillId="0" borderId="0" xfId="0" applyFont="1" applyFill="1" applyAlignment="1">
      <alignment horizontal="right"/>
    </xf>
    <xf numFmtId="0" fontId="29" fillId="0" borderId="7" xfId="0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left"/>
    </xf>
    <xf numFmtId="0" fontId="29" fillId="0" borderId="0" xfId="0" applyFont="1" applyFill="1" applyAlignment="1">
      <alignment horizontal="right"/>
    </xf>
    <xf numFmtId="0" fontId="6" fillId="0" borderId="11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0" fontId="0" fillId="0" borderId="3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29" fillId="0" borderId="0" xfId="0" applyFont="1" applyBorder="1" applyAlignment="1"/>
    <xf numFmtId="0" fontId="14" fillId="0" borderId="29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right"/>
    </xf>
    <xf numFmtId="0" fontId="29" fillId="0" borderId="1" xfId="0" applyFont="1" applyFill="1" applyBorder="1" applyAlignment="1">
      <alignment horizontal="right"/>
    </xf>
    <xf numFmtId="0" fontId="30" fillId="0" borderId="0" xfId="0" applyFont="1" applyFill="1" applyAlignment="1">
      <alignment horizontal="right" vertical="center" wrapText="1"/>
    </xf>
    <xf numFmtId="0" fontId="28" fillId="0" borderId="2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right" vertical="center" wrapText="1"/>
    </xf>
    <xf numFmtId="0" fontId="30" fillId="0" borderId="0" xfId="0" applyFont="1" applyFill="1" applyAlignment="1">
      <alignment horizontal="left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right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 wrapText="1"/>
    </xf>
    <xf numFmtId="164" fontId="13" fillId="0" borderId="0" xfId="0" applyNumberFormat="1" applyFont="1" applyFill="1" applyBorder="1" applyAlignment="1">
      <alignment horizontal="left"/>
    </xf>
    <xf numFmtId="0" fontId="15" fillId="0" borderId="10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wrapText="1"/>
    </xf>
    <xf numFmtId="0" fontId="15" fillId="0" borderId="24" xfId="0" applyFont="1" applyFill="1" applyBorder="1" applyAlignment="1">
      <alignment horizontal="center" vertical="center" wrapText="1"/>
    </xf>
    <xf numFmtId="0" fontId="15" fillId="0" borderId="26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 wrapText="1"/>
    </xf>
    <xf numFmtId="0" fontId="134" fillId="0" borderId="0" xfId="0" applyFont="1" applyFill="1" applyBorder="1" applyAlignment="1">
      <alignment horizontal="right" vertical="center"/>
    </xf>
    <xf numFmtId="0" fontId="134" fillId="0" borderId="0" xfId="0" applyFont="1" applyFill="1" applyBorder="1" applyAlignment="1">
      <alignment horizontal="center" vertical="center" wrapText="1"/>
    </xf>
    <xf numFmtId="49" fontId="123" fillId="0" borderId="2" xfId="0" applyNumberFormat="1" applyFont="1" applyFill="1" applyBorder="1" applyAlignment="1">
      <alignment horizontal="center" vertical="center" wrapText="1"/>
    </xf>
    <xf numFmtId="49" fontId="137" fillId="0" borderId="2" xfId="0" applyNumberFormat="1" applyFont="1" applyFill="1" applyBorder="1" applyAlignment="1">
      <alignment horizontal="center" vertical="center" wrapText="1"/>
    </xf>
    <xf numFmtId="49" fontId="136" fillId="0" borderId="2" xfId="0" applyNumberFormat="1" applyFont="1" applyFill="1" applyBorder="1" applyAlignment="1">
      <alignment horizontal="center" vertical="center" wrapText="1"/>
    </xf>
    <xf numFmtId="49" fontId="155" fillId="0" borderId="2" xfId="0" applyNumberFormat="1" applyFont="1" applyFill="1" applyBorder="1" applyAlignment="1">
      <alignment horizontal="center" vertical="center" wrapText="1"/>
    </xf>
    <xf numFmtId="1" fontId="137" fillId="0" borderId="2" xfId="0" applyNumberFormat="1" applyFont="1" applyFill="1" applyBorder="1" applyAlignment="1">
      <alignment horizontal="center" vertical="center" wrapText="1"/>
    </xf>
    <xf numFmtId="0" fontId="137" fillId="0" borderId="11" xfId="0" applyFont="1" applyFill="1" applyBorder="1" applyAlignment="1">
      <alignment horizontal="center" vertical="center" wrapText="1"/>
    </xf>
    <xf numFmtId="0" fontId="137" fillId="0" borderId="25" xfId="0" applyFont="1" applyFill="1" applyBorder="1" applyAlignment="1">
      <alignment horizontal="center" vertical="center" wrapText="1"/>
    </xf>
    <xf numFmtId="0" fontId="137" fillId="0" borderId="24" xfId="0" applyFont="1" applyFill="1" applyBorder="1" applyAlignment="1">
      <alignment horizontal="center" vertical="center" wrapText="1"/>
    </xf>
    <xf numFmtId="0" fontId="137" fillId="0" borderId="26" xfId="0" applyFont="1" applyFill="1" applyBorder="1" applyAlignment="1">
      <alignment horizontal="center" vertical="center" wrapText="1"/>
    </xf>
    <xf numFmtId="0" fontId="137" fillId="0" borderId="9" xfId="0" applyFont="1" applyFill="1" applyBorder="1" applyAlignment="1">
      <alignment horizontal="center" vertical="center" wrapText="1"/>
    </xf>
    <xf numFmtId="0" fontId="137" fillId="0" borderId="12" xfId="0" applyFont="1" applyFill="1" applyBorder="1" applyAlignment="1">
      <alignment horizontal="center" vertical="center" wrapText="1"/>
    </xf>
    <xf numFmtId="1" fontId="141" fillId="0" borderId="2" xfId="0" applyNumberFormat="1" applyFont="1" applyFill="1" applyBorder="1" applyAlignment="1">
      <alignment horizontal="center" vertical="center"/>
    </xf>
    <xf numFmtId="49" fontId="145" fillId="0" borderId="2" xfId="0" applyNumberFormat="1" applyFont="1" applyFill="1" applyBorder="1" applyAlignment="1">
      <alignment horizontal="center" vertical="center" wrapText="1"/>
    </xf>
    <xf numFmtId="0" fontId="135" fillId="0" borderId="11" xfId="0" applyFont="1" applyFill="1" applyBorder="1" applyAlignment="1">
      <alignment horizontal="left" vertical="center"/>
    </xf>
    <xf numFmtId="0" fontId="135" fillId="0" borderId="23" xfId="0" applyFont="1" applyFill="1" applyBorder="1" applyAlignment="1">
      <alignment horizontal="left" vertical="center"/>
    </xf>
    <xf numFmtId="0" fontId="135" fillId="0" borderId="25" xfId="0" applyFont="1" applyFill="1" applyBorder="1" applyAlignment="1">
      <alignment horizontal="left" vertical="center"/>
    </xf>
    <xf numFmtId="0" fontId="135" fillId="0" borderId="9" xfId="0" applyFont="1" applyFill="1" applyBorder="1" applyAlignment="1">
      <alignment horizontal="left" vertical="center"/>
    </xf>
    <xf numFmtId="0" fontId="135" fillId="0" borderId="1" xfId="0" applyFont="1" applyFill="1" applyBorder="1" applyAlignment="1">
      <alignment horizontal="left" vertical="center"/>
    </xf>
    <xf numFmtId="0" fontId="135" fillId="0" borderId="12" xfId="0" applyFont="1" applyFill="1" applyBorder="1" applyAlignment="1">
      <alignment horizontal="left" vertical="center"/>
    </xf>
    <xf numFmtId="0" fontId="135" fillId="0" borderId="2" xfId="0" applyFont="1" applyFill="1" applyBorder="1" applyAlignment="1">
      <alignment horizontal="center" vertical="center"/>
    </xf>
    <xf numFmtId="49" fontId="154" fillId="0" borderId="2" xfId="0" applyNumberFormat="1" applyFont="1" applyFill="1" applyBorder="1" applyAlignment="1">
      <alignment horizontal="center" vertical="center" wrapText="1"/>
    </xf>
    <xf numFmtId="49" fontId="133" fillId="0" borderId="2" xfId="0" applyNumberFormat="1" applyFont="1" applyFill="1" applyBorder="1" applyAlignment="1">
      <alignment horizontal="center" vertical="center" wrapText="1"/>
    </xf>
    <xf numFmtId="0" fontId="22" fillId="35" borderId="14" xfId="0" applyFont="1" applyFill="1" applyBorder="1" applyAlignment="1">
      <alignment horizontal="left" vertical="center"/>
    </xf>
    <xf numFmtId="0" fontId="79" fillId="0" borderId="23" xfId="0" applyFont="1" applyBorder="1" applyAlignment="1">
      <alignment horizontal="left"/>
    </xf>
    <xf numFmtId="49" fontId="123" fillId="0" borderId="10" xfId="0" applyNumberFormat="1" applyFont="1" applyFill="1" applyBorder="1" applyAlignment="1">
      <alignment horizontal="center" vertical="center" wrapText="1"/>
    </xf>
    <xf numFmtId="49" fontId="123" fillId="0" borderId="3" xfId="0" applyNumberFormat="1" applyFont="1" applyFill="1" applyBorder="1" applyAlignment="1">
      <alignment horizontal="center" vertical="center" wrapText="1"/>
    </xf>
    <xf numFmtId="1" fontId="141" fillId="0" borderId="7" xfId="0" applyNumberFormat="1" applyFont="1" applyFill="1" applyBorder="1" applyAlignment="1">
      <alignment horizontal="center" vertical="center" wrapText="1"/>
    </xf>
    <xf numFmtId="1" fontId="141" fillId="0" borderId="8" xfId="0" applyNumberFormat="1" applyFont="1" applyFill="1" applyBorder="1" applyAlignment="1">
      <alignment horizontal="center" vertical="center" wrapText="1"/>
    </xf>
    <xf numFmtId="1" fontId="141" fillId="0" borderId="7" xfId="0" applyNumberFormat="1" applyFont="1" applyFill="1" applyBorder="1" applyAlignment="1">
      <alignment horizontal="center" vertical="center"/>
    </xf>
    <xf numFmtId="1" fontId="141" fillId="0" borderId="8" xfId="0" applyNumberFormat="1" applyFont="1" applyFill="1" applyBorder="1" applyAlignment="1">
      <alignment horizontal="center" vertical="center"/>
    </xf>
    <xf numFmtId="0" fontId="144" fillId="0" borderId="2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textRotation="90"/>
    </xf>
    <xf numFmtId="0" fontId="14" fillId="0" borderId="29" xfId="0" applyFont="1" applyFill="1" applyBorder="1" applyAlignment="1">
      <alignment horizontal="center" vertical="center" textRotation="90"/>
    </xf>
    <xf numFmtId="0" fontId="14" fillId="0" borderId="3" xfId="0" applyFont="1" applyFill="1" applyBorder="1" applyAlignment="1">
      <alignment horizontal="center" vertical="center" textRotation="90"/>
    </xf>
    <xf numFmtId="0" fontId="135" fillId="0" borderId="7" xfId="0" applyFont="1" applyFill="1" applyBorder="1" applyAlignment="1">
      <alignment vertical="center"/>
    </xf>
    <xf numFmtId="0" fontId="135" fillId="0" borderId="14" xfId="0" applyFont="1" applyFill="1" applyBorder="1" applyAlignment="1">
      <alignment vertical="center"/>
    </xf>
    <xf numFmtId="0" fontId="135" fillId="0" borderId="8" xfId="0" applyFont="1" applyFill="1" applyBorder="1" applyAlignment="1">
      <alignment vertical="center"/>
    </xf>
    <xf numFmtId="49" fontId="136" fillId="0" borderId="7" xfId="0" applyNumberFormat="1" applyFont="1" applyFill="1" applyBorder="1" applyAlignment="1">
      <alignment horizontal="left" vertical="center" wrapText="1"/>
    </xf>
    <xf numFmtId="49" fontId="136" fillId="0" borderId="14" xfId="0" applyNumberFormat="1" applyFont="1" applyFill="1" applyBorder="1" applyAlignment="1">
      <alignment horizontal="left" vertical="center" wrapText="1"/>
    </xf>
    <xf numFmtId="49" fontId="136" fillId="0" borderId="8" xfId="0" applyNumberFormat="1" applyFont="1" applyFill="1" applyBorder="1" applyAlignment="1">
      <alignment horizontal="left" vertical="center" wrapText="1"/>
    </xf>
    <xf numFmtId="0" fontId="145" fillId="0" borderId="0" xfId="0" applyFont="1" applyFill="1" applyBorder="1" applyAlignment="1"/>
    <xf numFmtId="0" fontId="0" fillId="0" borderId="0" xfId="0" applyBorder="1" applyAlignment="1"/>
    <xf numFmtId="0" fontId="14" fillId="0" borderId="2" xfId="0" applyFont="1" applyFill="1" applyBorder="1" applyAlignment="1">
      <alignment horizontal="center" vertical="center" textRotation="90"/>
    </xf>
    <xf numFmtId="0" fontId="6" fillId="0" borderId="2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right" wrapText="1"/>
    </xf>
    <xf numFmtId="0" fontId="29" fillId="0" borderId="1" xfId="0" applyFont="1" applyFill="1" applyBorder="1" applyAlignment="1">
      <alignment horizontal="right" vertical="top" wrapText="1"/>
    </xf>
    <xf numFmtId="0" fontId="85" fillId="0" borderId="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center" wrapText="1"/>
    </xf>
    <xf numFmtId="0" fontId="27" fillId="0" borderId="2" xfId="0" applyFont="1" applyFill="1" applyBorder="1" applyAlignment="1">
      <alignment horizontal="center" wrapText="1"/>
    </xf>
    <xf numFmtId="0" fontId="27" fillId="0" borderId="7" xfId="0" applyFont="1" applyFill="1" applyBorder="1" applyAlignment="1">
      <alignment horizontal="center" wrapText="1"/>
    </xf>
    <xf numFmtId="0" fontId="27" fillId="0" borderId="14" xfId="0" applyFont="1" applyFill="1" applyBorder="1" applyAlignment="1">
      <alignment horizontal="center" wrapText="1"/>
    </xf>
    <xf numFmtId="0" fontId="27" fillId="0" borderId="8" xfId="0" applyFont="1" applyFill="1" applyBorder="1" applyAlignment="1">
      <alignment horizont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13" fillId="0" borderId="0" xfId="196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0" borderId="0" xfId="196" applyFont="1" applyAlignment="1">
      <alignment horizontal="center" wrapText="1"/>
    </xf>
    <xf numFmtId="0" fontId="29" fillId="0" borderId="1" xfId="196" applyFont="1" applyBorder="1" applyAlignment="1">
      <alignment horizontal="right"/>
    </xf>
    <xf numFmtId="0" fontId="7" fillId="0" borderId="10" xfId="196" applyFont="1" applyBorder="1" applyAlignment="1">
      <alignment horizontal="center" vertical="center" wrapText="1"/>
    </xf>
    <xf numFmtId="0" fontId="7" fillId="0" borderId="3" xfId="196" applyFont="1" applyBorder="1" applyAlignment="1">
      <alignment horizontal="center" vertical="center" wrapText="1"/>
    </xf>
    <xf numFmtId="0" fontId="50" fillId="0" borderId="7" xfId="196" applyFont="1" applyBorder="1" applyAlignment="1">
      <alignment horizontal="center"/>
    </xf>
    <xf numFmtId="0" fontId="50" fillId="0" borderId="14" xfId="196" applyFont="1" applyBorder="1" applyAlignment="1">
      <alignment horizontal="center"/>
    </xf>
    <xf numFmtId="0" fontId="50" fillId="0" borderId="8" xfId="196" applyFont="1" applyBorder="1" applyAlignment="1">
      <alignment horizontal="center"/>
    </xf>
    <xf numFmtId="0" fontId="30" fillId="0" borderId="0" xfId="0" applyFont="1" applyAlignment="1">
      <alignment horizontal="left"/>
    </xf>
    <xf numFmtId="0" fontId="28" fillId="0" borderId="14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right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right"/>
    </xf>
    <xf numFmtId="0" fontId="15" fillId="0" borderId="1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1" fontId="17" fillId="0" borderId="0" xfId="0" applyNumberFormat="1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8" fillId="0" borderId="2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vertical="center" wrapText="1"/>
    </xf>
    <xf numFmtId="0" fontId="15" fillId="0" borderId="3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horizontal="left" wrapText="1"/>
    </xf>
    <xf numFmtId="0" fontId="30" fillId="0" borderId="0" xfId="0" applyFont="1" applyBorder="1" applyAlignment="1">
      <alignment horizontal="right" wrapText="1"/>
    </xf>
    <xf numFmtId="0" fontId="30" fillId="0" borderId="0" xfId="0" applyFont="1" applyAlignment="1">
      <alignment horizontal="right" wrapText="1"/>
    </xf>
    <xf numFmtId="0" fontId="30" fillId="0" borderId="0" xfId="0" applyFont="1" applyAlignment="1">
      <alignment horizontal="left" wrapText="1"/>
    </xf>
    <xf numFmtId="0" fontId="8" fillId="0" borderId="10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wrapText="1"/>
    </xf>
    <xf numFmtId="0" fontId="6" fillId="0" borderId="11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 wrapText="1"/>
    </xf>
    <xf numFmtId="0" fontId="26" fillId="0" borderId="0" xfId="0" applyFont="1" applyFill="1" applyAlignment="1">
      <alignment horizontal="left" wrapText="1"/>
    </xf>
    <xf numFmtId="0" fontId="29" fillId="0" borderId="1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left" wrapText="1"/>
    </xf>
    <xf numFmtId="0" fontId="15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right" wrapText="1"/>
    </xf>
    <xf numFmtId="0" fontId="12" fillId="0" borderId="2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12" fillId="0" borderId="8" xfId="0" applyFont="1" applyBorder="1" applyAlignment="1">
      <alignment horizont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44" fillId="0" borderId="27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left" wrapText="1"/>
    </xf>
    <xf numFmtId="0" fontId="15" fillId="0" borderId="37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wrapText="1"/>
    </xf>
    <xf numFmtId="0" fontId="20" fillId="0" borderId="0" xfId="0" applyFont="1" applyBorder="1" applyAlignment="1">
      <alignment horizontal="left" wrapText="1"/>
    </xf>
    <xf numFmtId="0" fontId="27" fillId="0" borderId="2" xfId="0" applyFont="1" applyFill="1" applyBorder="1" applyAlignment="1">
      <alignment horizontal="center" vertical="center" wrapText="1"/>
    </xf>
    <xf numFmtId="0" fontId="34" fillId="0" borderId="17" xfId="0" applyFont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8" fillId="0" borderId="17" xfId="0" applyFont="1" applyBorder="1" applyAlignment="1">
      <alignment horizontal="left" wrapText="1"/>
    </xf>
    <xf numFmtId="0" fontId="44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29" fillId="0" borderId="1" xfId="0" applyFont="1" applyBorder="1" applyAlignment="1">
      <alignment horizontal="right"/>
    </xf>
    <xf numFmtId="0" fontId="44" fillId="0" borderId="0" xfId="0" applyFont="1" applyBorder="1" applyAlignment="1">
      <alignment horizontal="left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top" wrapText="1"/>
    </xf>
    <xf numFmtId="0" fontId="6" fillId="0" borderId="0" xfId="0" applyFont="1" applyAlignment="1">
      <alignment horizontal="right" vertical="center"/>
    </xf>
    <xf numFmtId="0" fontId="14" fillId="0" borderId="1" xfId="0" applyFont="1" applyBorder="1" applyAlignment="1">
      <alignment horizontal="right" wrapText="1"/>
    </xf>
    <xf numFmtId="49" fontId="6" fillId="0" borderId="1" xfId="0" applyNumberFormat="1" applyFont="1" applyBorder="1" applyAlignment="1">
      <alignment horizontal="left" vertical="top" wrapText="1"/>
    </xf>
    <xf numFmtId="49" fontId="14" fillId="0" borderId="0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49" fontId="14" fillId="34" borderId="0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0" fontId="22" fillId="0" borderId="7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0" xfId="0" applyFont="1" applyBorder="1" applyAlignment="1">
      <alignment vertical="center"/>
    </xf>
    <xf numFmtId="0" fontId="37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right" wrapText="1"/>
    </xf>
    <xf numFmtId="0" fontId="29" fillId="0" borderId="7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99" fillId="0" borderId="0" xfId="0" applyFont="1" applyAlignment="1">
      <alignment horizontal="left"/>
    </xf>
    <xf numFmtId="2" fontId="37" fillId="0" borderId="0" xfId="0" applyNumberFormat="1" applyFont="1" applyBorder="1" applyAlignment="1">
      <alignment horizontal="left"/>
    </xf>
    <xf numFmtId="0" fontId="8" fillId="0" borderId="11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left" vertical="top" wrapText="1"/>
    </xf>
    <xf numFmtId="0" fontId="39" fillId="0" borderId="0" xfId="0" applyFont="1" applyBorder="1" applyAlignment="1">
      <alignment horizontal="right" vertical="top" wrapText="1"/>
    </xf>
    <xf numFmtId="0" fontId="9" fillId="0" borderId="0" xfId="0" applyFont="1" applyBorder="1" applyAlignment="1">
      <alignment horizontal="right" vertical="top" wrapText="1"/>
    </xf>
    <xf numFmtId="0" fontId="9" fillId="0" borderId="7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top" wrapText="1"/>
    </xf>
    <xf numFmtId="0" fontId="8" fillId="0" borderId="2" xfId="0" applyFont="1" applyBorder="1" applyAlignment="1">
      <alignment horizontal="center" vertical="center" wrapText="1"/>
    </xf>
    <xf numFmtId="0" fontId="16" fillId="34" borderId="0" xfId="0" applyFont="1" applyFill="1" applyBorder="1" applyAlignment="1">
      <alignment horizontal="left" vertical="center" wrapText="1"/>
    </xf>
    <xf numFmtId="0" fontId="12" fillId="34" borderId="0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right" vertical="center" wrapText="1"/>
    </xf>
    <xf numFmtId="0" fontId="19" fillId="0" borderId="2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right" vertical="center" wrapText="1"/>
    </xf>
    <xf numFmtId="49" fontId="26" fillId="0" borderId="0" xfId="0" applyNumberFormat="1" applyFont="1" applyFill="1" applyBorder="1" applyAlignment="1">
      <alignment horizontal="left" vertical="center" wrapText="1"/>
    </xf>
    <xf numFmtId="0" fontId="81" fillId="34" borderId="15" xfId="0" applyFont="1" applyFill="1" applyBorder="1" applyAlignment="1">
      <alignment horizontal="left" vertical="center" wrapText="1"/>
    </xf>
    <xf numFmtId="0" fontId="41" fillId="0" borderId="0" xfId="0" applyFont="1" applyFill="1" applyAlignment="1">
      <alignment horizontal="left" wrapText="1"/>
    </xf>
    <xf numFmtId="0" fontId="82" fillId="34" borderId="0" xfId="0" applyFont="1" applyFill="1" applyAlignment="1">
      <alignment horizontal="left" wrapText="1"/>
    </xf>
    <xf numFmtId="0" fontId="82" fillId="0" borderId="0" xfId="0" applyFont="1" applyFill="1" applyAlignment="1">
      <alignment horizontal="left" wrapText="1"/>
    </xf>
    <xf numFmtId="0" fontId="41" fillId="34" borderId="0" xfId="0" applyFont="1" applyFill="1" applyAlignment="1">
      <alignment horizontal="left" wrapText="1"/>
    </xf>
    <xf numFmtId="0" fontId="12" fillId="0" borderId="0" xfId="0" applyFont="1" applyFill="1" applyBorder="1" applyAlignment="1">
      <alignment horizontal="left" vertical="center" wrapText="1"/>
    </xf>
    <xf numFmtId="0" fontId="92" fillId="34" borderId="0" xfId="0" applyFont="1" applyFill="1" applyBorder="1" applyAlignment="1">
      <alignment horizontal="left" vertical="top" wrapText="1"/>
    </xf>
    <xf numFmtId="0" fontId="12" fillId="34" borderId="0" xfId="0" applyFont="1" applyFill="1" applyBorder="1" applyAlignment="1">
      <alignment horizontal="left" vertical="center" wrapText="1"/>
    </xf>
    <xf numFmtId="0" fontId="81" fillId="0" borderId="0" xfId="0" applyFont="1" applyFill="1" applyBorder="1" applyAlignment="1">
      <alignment horizontal="left" vertical="center" wrapText="1"/>
    </xf>
    <xf numFmtId="0" fontId="41" fillId="0" borderId="0" xfId="0" applyFont="1" applyFill="1" applyAlignment="1">
      <alignment horizontal="left"/>
    </xf>
    <xf numFmtId="0" fontId="28" fillId="34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 wrapText="1"/>
    </xf>
    <xf numFmtId="0" fontId="15" fillId="34" borderId="0" xfId="0" applyFont="1" applyFill="1" applyBorder="1" applyAlignment="1">
      <alignment vertical="center" wrapText="1"/>
    </xf>
    <xf numFmtId="0" fontId="14" fillId="34" borderId="0" xfId="0" applyFont="1" applyFill="1" applyBorder="1" applyAlignment="1">
      <alignment horizontal="left" vertical="center" wrapText="1" indent="2"/>
    </xf>
    <xf numFmtId="0" fontId="13" fillId="0" borderId="0" xfId="0" applyFont="1" applyFill="1" applyBorder="1" applyAlignment="1">
      <alignment horizontal="left" vertical="center" wrapText="1" indent="2"/>
    </xf>
    <xf numFmtId="0" fontId="101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34" borderId="0" xfId="0" applyFont="1" applyFill="1" applyBorder="1" applyAlignment="1">
      <alignment horizontal="left" vertical="center" wrapText="1"/>
    </xf>
    <xf numFmtId="0" fontId="87" fillId="34" borderId="0" xfId="0" applyFont="1" applyFill="1" applyBorder="1" applyAlignment="1">
      <alignment horizontal="left" vertical="justify" wrapText="1"/>
    </xf>
    <xf numFmtId="0" fontId="88" fillId="0" borderId="0" xfId="0" applyFont="1" applyBorder="1" applyAlignment="1">
      <alignment horizontal="right" wrapText="1"/>
    </xf>
    <xf numFmtId="0" fontId="84" fillId="0" borderId="0" xfId="0" applyFont="1" applyBorder="1" applyAlignment="1">
      <alignment horizontal="right" wrapText="1"/>
    </xf>
    <xf numFmtId="0" fontId="84" fillId="0" borderId="0" xfId="0" applyFont="1" applyBorder="1" applyAlignment="1">
      <alignment horizontal="left" wrapText="1"/>
    </xf>
    <xf numFmtId="0" fontId="9" fillId="0" borderId="11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84" fillId="34" borderId="0" xfId="0" applyFont="1" applyFill="1" applyBorder="1" applyAlignment="1">
      <alignment horizontal="left" wrapText="1"/>
    </xf>
    <xf numFmtId="0" fontId="97" fillId="0" borderId="0" xfId="0" applyFont="1" applyFill="1" applyBorder="1" applyAlignment="1">
      <alignment horizontal="left" wrapText="1"/>
    </xf>
    <xf numFmtId="0" fontId="82" fillId="0" borderId="0" xfId="0" applyFont="1" applyFill="1" applyBorder="1" applyAlignment="1">
      <alignment horizontal="left" vertical="center" wrapText="1" indent="2"/>
    </xf>
    <xf numFmtId="0" fontId="27" fillId="34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wrapText="1"/>
    </xf>
    <xf numFmtId="0" fontId="82" fillId="34" borderId="0" xfId="0" applyFont="1" applyFill="1" applyBorder="1" applyAlignment="1">
      <alignment horizontal="left" vertical="center" wrapText="1" indent="2"/>
    </xf>
    <xf numFmtId="10" fontId="82" fillId="34" borderId="0" xfId="0" applyNumberFormat="1" applyFont="1" applyFill="1" applyAlignment="1">
      <alignment horizontal="left" wrapText="1"/>
    </xf>
    <xf numFmtId="10" fontId="82" fillId="0" borderId="0" xfId="0" applyNumberFormat="1" applyFont="1" applyFill="1" applyBorder="1" applyAlignment="1">
      <alignment horizontal="left" wrapText="1"/>
    </xf>
    <xf numFmtId="0" fontId="22" fillId="0" borderId="0" xfId="0" applyFont="1" applyBorder="1" applyAlignment="1">
      <alignment horizontal="left" vertical="center" wrapText="1"/>
    </xf>
    <xf numFmtId="0" fontId="22" fillId="34" borderId="0" xfId="0" applyFont="1" applyFill="1" applyBorder="1" applyAlignment="1">
      <alignment horizontal="left" vertical="center" wrapText="1"/>
    </xf>
    <xf numFmtId="0" fontId="24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0" fontId="24" fillId="0" borderId="17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wrapText="1"/>
    </xf>
    <xf numFmtId="0" fontId="54" fillId="34" borderId="0" xfId="0" applyFont="1" applyFill="1" applyBorder="1" applyAlignment="1">
      <alignment horizontal="left" vertical="center" wrapText="1"/>
    </xf>
    <xf numFmtId="0" fontId="42" fillId="34" borderId="0" xfId="0" applyFont="1" applyFill="1" applyBorder="1" applyAlignment="1">
      <alignment horizontal="left" vertical="center" wrapText="1"/>
    </xf>
    <xf numFmtId="0" fontId="22" fillId="0" borderId="23" xfId="0" applyFont="1" applyBorder="1" applyAlignment="1">
      <alignment horizontal="left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right" wrapText="1"/>
    </xf>
    <xf numFmtId="0" fontId="14" fillId="0" borderId="0" xfId="0" applyFont="1" applyBorder="1" applyAlignment="1">
      <alignment horizont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wrapText="1"/>
    </xf>
    <xf numFmtId="0" fontId="16" fillId="34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left" wrapText="1"/>
    </xf>
    <xf numFmtId="0" fontId="16" fillId="0" borderId="0" xfId="0" applyFont="1" applyBorder="1" applyAlignment="1">
      <alignment horizontal="left" vertical="center" wrapText="1"/>
    </xf>
    <xf numFmtId="0" fontId="13" fillId="0" borderId="0" xfId="0" applyFont="1" applyAlignment="1"/>
    <xf numFmtId="0" fontId="12" fillId="0" borderId="14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/>
    </xf>
    <xf numFmtId="0" fontId="15" fillId="0" borderId="1" xfId="0" applyFont="1" applyBorder="1" applyAlignment="1">
      <alignment horizontal="right" vertical="center" wrapText="1"/>
    </xf>
    <xf numFmtId="0" fontId="28" fillId="0" borderId="0" xfId="0" applyFont="1" applyAlignment="1">
      <alignment horizontal="right" vertical="top"/>
    </xf>
    <xf numFmtId="0" fontId="28" fillId="0" borderId="0" xfId="0" applyFont="1" applyBorder="1" applyAlignment="1">
      <alignment horizontal="left" wrapText="1"/>
    </xf>
    <xf numFmtId="0" fontId="30" fillId="0" borderId="0" xfId="0" applyFont="1" applyBorder="1" applyAlignment="1">
      <alignment horizontal="center" vertical="center" wrapText="1"/>
    </xf>
    <xf numFmtId="0" fontId="30" fillId="0" borderId="0" xfId="0" applyFont="1" applyAlignment="1">
      <alignment horizontal="right" vertical="center"/>
    </xf>
    <xf numFmtId="0" fontId="12" fillId="0" borderId="1" xfId="0" applyFont="1" applyBorder="1" applyAlignment="1">
      <alignment horizontal="right" wrapText="1"/>
    </xf>
    <xf numFmtId="0" fontId="8" fillId="0" borderId="7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wrapText="1"/>
    </xf>
    <xf numFmtId="0" fontId="39" fillId="0" borderId="0" xfId="0" applyFont="1" applyBorder="1" applyAlignment="1">
      <alignment horizontal="right" wrapText="1"/>
    </xf>
    <xf numFmtId="0" fontId="39" fillId="0" borderId="1" xfId="0" applyFont="1" applyBorder="1" applyAlignment="1">
      <alignment horizontal="left" vertical="top" wrapText="1"/>
    </xf>
    <xf numFmtId="0" fontId="39" fillId="0" borderId="1" xfId="0" applyFont="1" applyBorder="1" applyAlignment="1">
      <alignment horizontal="center" vertical="top" wrapText="1"/>
    </xf>
    <xf numFmtId="0" fontId="28" fillId="0" borderId="7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left" wrapText="1"/>
    </xf>
    <xf numFmtId="0" fontId="9" fillId="0" borderId="2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 vertical="top" wrapText="1"/>
    </xf>
    <xf numFmtId="0" fontId="41" fillId="0" borderId="0" xfId="0" applyFont="1" applyBorder="1" applyAlignment="1">
      <alignment horizontal="left" vertical="top" wrapText="1"/>
    </xf>
    <xf numFmtId="0" fontId="44" fillId="0" borderId="0" xfId="0" applyFont="1" applyBorder="1" applyAlignment="1">
      <alignment horizontal="left" vertical="top" wrapText="1"/>
    </xf>
    <xf numFmtId="0" fontId="50" fillId="0" borderId="1" xfId="0" applyFont="1" applyBorder="1" applyAlignment="1">
      <alignment horizontal="center" wrapText="1"/>
    </xf>
    <xf numFmtId="0" fontId="34" fillId="0" borderId="0" xfId="0" applyFont="1" applyBorder="1" applyAlignment="1">
      <alignment horizontal="left"/>
    </xf>
    <xf numFmtId="0" fontId="28" fillId="0" borderId="8" xfId="0" applyFont="1" applyFill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11" xfId="0" applyFont="1" applyFill="1" applyBorder="1" applyAlignment="1">
      <alignment horizontal="center" vertical="center" wrapText="1"/>
    </xf>
    <xf numFmtId="0" fontId="28" fillId="0" borderId="25" xfId="0" applyFont="1" applyFill="1" applyBorder="1" applyAlignment="1">
      <alignment horizontal="center" vertical="center" wrapText="1"/>
    </xf>
    <xf numFmtId="0" fontId="28" fillId="0" borderId="9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wrapText="1"/>
    </xf>
    <xf numFmtId="0" fontId="26" fillId="0" borderId="0" xfId="0" applyFont="1" applyBorder="1" applyAlignment="1">
      <alignment horizontal="left" wrapText="1"/>
    </xf>
    <xf numFmtId="0" fontId="45" fillId="0" borderId="0" xfId="0" applyFont="1" applyAlignment="1">
      <alignment horizontal="right" vertical="center" wrapText="1"/>
    </xf>
    <xf numFmtId="0" fontId="30" fillId="0" borderId="0" xfId="0" applyFont="1" applyAlignment="1">
      <alignment horizontal="right" vertical="center" wrapText="1"/>
    </xf>
    <xf numFmtId="0" fontId="30" fillId="0" borderId="0" xfId="0" applyFont="1" applyAlignment="1">
      <alignment horizontal="left" vertical="center" wrapText="1"/>
    </xf>
    <xf numFmtId="0" fontId="30" fillId="0" borderId="0" xfId="0" applyFont="1" applyBorder="1" applyAlignment="1">
      <alignment horizontal="right"/>
    </xf>
    <xf numFmtId="0" fontId="31" fillId="0" borderId="0" xfId="0" applyFont="1" applyAlignment="1">
      <alignment horizontal="left" wrapText="1"/>
    </xf>
    <xf numFmtId="0" fontId="18" fillId="0" borderId="2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26" fillId="0" borderId="0" xfId="0" applyFont="1" applyAlignment="1">
      <alignment horizontal="left" wrapText="1"/>
    </xf>
    <xf numFmtId="0" fontId="18" fillId="0" borderId="1" xfId="0" applyFont="1" applyBorder="1" applyAlignment="1">
      <alignment horizontal="right" wrapText="1"/>
    </xf>
    <xf numFmtId="0" fontId="18" fillId="0" borderId="7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right" wrapText="1"/>
    </xf>
    <xf numFmtId="0" fontId="8" fillId="0" borderId="24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wrapText="1"/>
    </xf>
    <xf numFmtId="0" fontId="39" fillId="0" borderId="0" xfId="0" applyFont="1" applyAlignment="1">
      <alignment horizontal="left"/>
    </xf>
    <xf numFmtId="0" fontId="12" fillId="0" borderId="1" xfId="0" applyFont="1" applyBorder="1" applyAlignment="1">
      <alignment horizontal="right"/>
    </xf>
    <xf numFmtId="0" fontId="15" fillId="0" borderId="10" xfId="0" applyFont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5" fillId="0" borderId="0" xfId="0" applyFont="1" applyAlignment="1">
      <alignment wrapText="1"/>
    </xf>
  </cellXfs>
  <cellStyles count="232">
    <cellStyle name="20% - Accent1 2" xfId="1"/>
    <cellStyle name="20% - Accent1 3" xfId="2"/>
    <cellStyle name="20% - Accent1 4" xfId="3"/>
    <cellStyle name="20% - Accent1 5" xfId="4"/>
    <cellStyle name="20% - Accent1 6" xfId="5"/>
    <cellStyle name="20% - Accent2 2" xfId="6"/>
    <cellStyle name="20% - Accent2 3" xfId="7"/>
    <cellStyle name="20% - Accent2 4" xfId="8"/>
    <cellStyle name="20% - Accent2 5" xfId="9"/>
    <cellStyle name="20% - Accent2 6" xfId="10"/>
    <cellStyle name="20% - Accent3 2" xfId="11"/>
    <cellStyle name="20% - Accent3 3" xfId="12"/>
    <cellStyle name="20% - Accent3 4" xfId="13"/>
    <cellStyle name="20% - Accent3 5" xfId="14"/>
    <cellStyle name="20% - Accent3 6" xfId="15"/>
    <cellStyle name="20% - Accent4 2" xfId="16"/>
    <cellStyle name="20% - Accent4 3" xfId="17"/>
    <cellStyle name="20% - Accent4 4" xfId="18"/>
    <cellStyle name="20% - Accent4 5" xfId="19"/>
    <cellStyle name="20% - Accent4 6" xfId="20"/>
    <cellStyle name="20% - Accent5 2" xfId="21"/>
    <cellStyle name="20% - Accent5 3" xfId="22"/>
    <cellStyle name="20% - Accent5 4" xfId="23"/>
    <cellStyle name="20% - Accent5 5" xfId="24"/>
    <cellStyle name="20% - Accent5 6" xfId="25"/>
    <cellStyle name="20% - Accent6 2" xfId="26"/>
    <cellStyle name="20% - Accent6 3" xfId="27"/>
    <cellStyle name="20% - Accent6 4" xfId="28"/>
    <cellStyle name="20% - Accent6 5" xfId="29"/>
    <cellStyle name="20% - Accent6 6" xfId="30"/>
    <cellStyle name="40% - Accent1 2" xfId="31"/>
    <cellStyle name="40% - Accent1 3" xfId="32"/>
    <cellStyle name="40% - Accent1 4" xfId="33"/>
    <cellStyle name="40% - Accent1 5" xfId="34"/>
    <cellStyle name="40% - Accent1 6" xfId="35"/>
    <cellStyle name="40% - Accent2 2" xfId="36"/>
    <cellStyle name="40% - Accent2 3" xfId="37"/>
    <cellStyle name="40% - Accent2 4" xfId="38"/>
    <cellStyle name="40% - Accent2 5" xfId="39"/>
    <cellStyle name="40% - Accent2 6" xfId="40"/>
    <cellStyle name="40% - Accent3 2" xfId="41"/>
    <cellStyle name="40% - Accent3 3" xfId="42"/>
    <cellStyle name="40% - Accent3 4" xfId="43"/>
    <cellStyle name="40% - Accent3 5" xfId="44"/>
    <cellStyle name="40% - Accent3 6" xfId="45"/>
    <cellStyle name="40% - Accent4 2" xfId="46"/>
    <cellStyle name="40% - Accent4 3" xfId="47"/>
    <cellStyle name="40% - Accent4 4" xfId="48"/>
    <cellStyle name="40% - Accent4 5" xfId="49"/>
    <cellStyle name="40% - Accent4 6" xfId="50"/>
    <cellStyle name="40% - Accent5 2" xfId="51"/>
    <cellStyle name="40% - Accent5 3" xfId="52"/>
    <cellStyle name="40% - Accent5 4" xfId="53"/>
    <cellStyle name="40% - Accent5 5" xfId="54"/>
    <cellStyle name="40% - Accent5 6" xfId="55"/>
    <cellStyle name="40% - Accent6 2" xfId="56"/>
    <cellStyle name="40% - Accent6 3" xfId="57"/>
    <cellStyle name="40% - Accent6 4" xfId="58"/>
    <cellStyle name="40% - Accent6 5" xfId="59"/>
    <cellStyle name="40% - Accent6 6" xfId="60"/>
    <cellStyle name="60% - Accent1 2" xfId="61"/>
    <cellStyle name="60% - Accent1 3" xfId="62"/>
    <cellStyle name="60% - Accent1 4" xfId="63"/>
    <cellStyle name="60% - Accent1 5" xfId="64"/>
    <cellStyle name="60% - Accent1 6" xfId="65"/>
    <cellStyle name="60% - Accent2 2" xfId="66"/>
    <cellStyle name="60% - Accent2 3" xfId="67"/>
    <cellStyle name="60% - Accent2 4" xfId="68"/>
    <cellStyle name="60% - Accent2 5" xfId="69"/>
    <cellStyle name="60% - Accent2 6" xfId="70"/>
    <cellStyle name="60% - Accent3 2" xfId="71"/>
    <cellStyle name="60% - Accent3 3" xfId="72"/>
    <cellStyle name="60% - Accent3 4" xfId="73"/>
    <cellStyle name="60% - Accent3 5" xfId="74"/>
    <cellStyle name="60% - Accent3 6" xfId="75"/>
    <cellStyle name="60% - Accent4 2" xfId="76"/>
    <cellStyle name="60% - Accent4 3" xfId="77"/>
    <cellStyle name="60% - Accent4 4" xfId="78"/>
    <cellStyle name="60% - Accent4 5" xfId="79"/>
    <cellStyle name="60% - Accent4 6" xfId="80"/>
    <cellStyle name="60% - Accent5 2" xfId="81"/>
    <cellStyle name="60% - Accent5 3" xfId="82"/>
    <cellStyle name="60% - Accent5 4" xfId="83"/>
    <cellStyle name="60% - Accent5 5" xfId="84"/>
    <cellStyle name="60% - Accent5 6" xfId="85"/>
    <cellStyle name="60% - Accent6 2" xfId="86"/>
    <cellStyle name="60% - Accent6 3" xfId="87"/>
    <cellStyle name="60% - Accent6 4" xfId="88"/>
    <cellStyle name="60% - Accent6 5" xfId="89"/>
    <cellStyle name="60% - Accent6 6" xfId="90"/>
    <cellStyle name="Accent1 2" xfId="91"/>
    <cellStyle name="Accent1 3" xfId="92"/>
    <cellStyle name="Accent1 4" xfId="93"/>
    <cellStyle name="Accent1 5" xfId="94"/>
    <cellStyle name="Accent1 6" xfId="95"/>
    <cellStyle name="Accent2 2" xfId="96"/>
    <cellStyle name="Accent2 3" xfId="97"/>
    <cellStyle name="Accent2 4" xfId="98"/>
    <cellStyle name="Accent2 5" xfId="99"/>
    <cellStyle name="Accent2 6" xfId="100"/>
    <cellStyle name="Accent3 2" xfId="101"/>
    <cellStyle name="Accent3 3" xfId="102"/>
    <cellStyle name="Accent3 4" xfId="103"/>
    <cellStyle name="Accent3 5" xfId="104"/>
    <cellStyle name="Accent3 6" xfId="105"/>
    <cellStyle name="Accent4 2" xfId="106"/>
    <cellStyle name="Accent4 3" xfId="107"/>
    <cellStyle name="Accent4 4" xfId="108"/>
    <cellStyle name="Accent4 5" xfId="109"/>
    <cellStyle name="Accent4 6" xfId="110"/>
    <cellStyle name="Accent5 2" xfId="111"/>
    <cellStyle name="Accent5 3" xfId="112"/>
    <cellStyle name="Accent5 4" xfId="113"/>
    <cellStyle name="Accent5 5" xfId="114"/>
    <cellStyle name="Accent5 6" xfId="115"/>
    <cellStyle name="Accent6 2" xfId="116"/>
    <cellStyle name="Accent6 3" xfId="117"/>
    <cellStyle name="Accent6 4" xfId="118"/>
    <cellStyle name="Accent6 5" xfId="119"/>
    <cellStyle name="Accent6 6" xfId="120"/>
    <cellStyle name="Bad 2" xfId="121"/>
    <cellStyle name="Bad 3" xfId="122"/>
    <cellStyle name="Bad 4" xfId="123"/>
    <cellStyle name="Bad 5" xfId="124"/>
    <cellStyle name="Bad 6" xfId="125"/>
    <cellStyle name="Calculation 2" xfId="126"/>
    <cellStyle name="Calculation 3" xfId="127"/>
    <cellStyle name="Calculation 4" xfId="128"/>
    <cellStyle name="Calculation 5" xfId="129"/>
    <cellStyle name="Calculation 6" xfId="130"/>
    <cellStyle name="Check Cell 2" xfId="131"/>
    <cellStyle name="Check Cell 3" xfId="132"/>
    <cellStyle name="Check Cell 4" xfId="133"/>
    <cellStyle name="Check Cell 5" xfId="134"/>
    <cellStyle name="Check Cell 6" xfId="135"/>
    <cellStyle name="Comma" xfId="136" builtinId="3"/>
    <cellStyle name="Comma 2" xfId="137"/>
    <cellStyle name="Explanatory Text 2" xfId="138"/>
    <cellStyle name="Explanatory Text 3" xfId="139"/>
    <cellStyle name="Explanatory Text 4" xfId="140"/>
    <cellStyle name="Explanatory Text 5" xfId="141"/>
    <cellStyle name="Explanatory Text 6" xfId="142"/>
    <cellStyle name="Followed Hyperlink 2" xfId="143"/>
    <cellStyle name="Followed Hyperlink 3" xfId="144"/>
    <cellStyle name="Followed Hyperlink 4" xfId="145"/>
    <cellStyle name="Followed Hyperlink 5" xfId="146"/>
    <cellStyle name="Followed Hyperlink 6" xfId="147"/>
    <cellStyle name="Good 2" xfId="148"/>
    <cellStyle name="Good 3" xfId="149"/>
    <cellStyle name="Good 4" xfId="150"/>
    <cellStyle name="Good 5" xfId="151"/>
    <cellStyle name="Good 6" xfId="152"/>
    <cellStyle name="Heading 1 2" xfId="153"/>
    <cellStyle name="Heading 1 3" xfId="154"/>
    <cellStyle name="Heading 1 4" xfId="155"/>
    <cellStyle name="Heading 1 5" xfId="156"/>
    <cellStyle name="Heading 1 6" xfId="157"/>
    <cellStyle name="Heading 2 2" xfId="158"/>
    <cellStyle name="Heading 2 3" xfId="159"/>
    <cellStyle name="Heading 2 4" xfId="160"/>
    <cellStyle name="Heading 2 5" xfId="161"/>
    <cellStyle name="Heading 2 6" xfId="162"/>
    <cellStyle name="Heading 3 2" xfId="163"/>
    <cellStyle name="Heading 3 3" xfId="164"/>
    <cellStyle name="Heading 3 4" xfId="165"/>
    <cellStyle name="Heading 3 5" xfId="166"/>
    <cellStyle name="Heading 3 6" xfId="167"/>
    <cellStyle name="Heading 4 2" xfId="168"/>
    <cellStyle name="Heading 4 3" xfId="169"/>
    <cellStyle name="Heading 4 4" xfId="170"/>
    <cellStyle name="Heading 4 5" xfId="171"/>
    <cellStyle name="Heading 4 6" xfId="172"/>
    <cellStyle name="Hyperlink" xfId="173" builtinId="8"/>
    <cellStyle name="Hyperlink 2" xfId="174"/>
    <cellStyle name="Hyperlink 3" xfId="175"/>
    <cellStyle name="Hyperlink 4" xfId="176"/>
    <cellStyle name="Hyperlink 5" xfId="177"/>
    <cellStyle name="Hyperlink 6" xfId="178"/>
    <cellStyle name="Input 2" xfId="179"/>
    <cellStyle name="Input 3" xfId="180"/>
    <cellStyle name="Input 4" xfId="181"/>
    <cellStyle name="Input 5" xfId="182"/>
    <cellStyle name="Input 6" xfId="183"/>
    <cellStyle name="Linked Cell 2" xfId="184"/>
    <cellStyle name="Linked Cell 3" xfId="185"/>
    <cellStyle name="Linked Cell 4" xfId="186"/>
    <cellStyle name="Linked Cell 5" xfId="187"/>
    <cellStyle name="Linked Cell 6" xfId="188"/>
    <cellStyle name="Neutral 2" xfId="189"/>
    <cellStyle name="Neutral 3" xfId="190"/>
    <cellStyle name="Neutral 4" xfId="191"/>
    <cellStyle name="Neutral 5" xfId="192"/>
    <cellStyle name="Neutral 6" xfId="193"/>
    <cellStyle name="Normal" xfId="0" builtinId="0"/>
    <cellStyle name="Normal 10" xfId="194"/>
    <cellStyle name="Normal 13" xfId="195"/>
    <cellStyle name="Normal 2" xfId="196"/>
    <cellStyle name="Normal 2 2" xfId="197"/>
    <cellStyle name="Normal 20" xfId="198"/>
    <cellStyle name="Normal 3 2" xfId="199"/>
    <cellStyle name="Normal 4 2" xfId="200"/>
    <cellStyle name="Normal 5 2" xfId="201"/>
    <cellStyle name="Normal 6" xfId="202"/>
    <cellStyle name="Normal 6 2" xfId="203"/>
    <cellStyle name="Normal 7" xfId="204"/>
    <cellStyle name="Normal 8" xfId="205"/>
    <cellStyle name="Normal 9" xfId="206"/>
    <cellStyle name="Note 2" xfId="207"/>
    <cellStyle name="Note 3" xfId="208"/>
    <cellStyle name="Note 4" xfId="209"/>
    <cellStyle name="Note 5" xfId="210"/>
    <cellStyle name="Note 6" xfId="211"/>
    <cellStyle name="Output 2" xfId="212"/>
    <cellStyle name="Output 3" xfId="213"/>
    <cellStyle name="Output 4" xfId="214"/>
    <cellStyle name="Output 5" xfId="215"/>
    <cellStyle name="Output 6" xfId="216"/>
    <cellStyle name="Title 2" xfId="217"/>
    <cellStyle name="Title 3" xfId="218"/>
    <cellStyle name="Title 4" xfId="219"/>
    <cellStyle name="Title 5" xfId="220"/>
    <cellStyle name="Title 6" xfId="221"/>
    <cellStyle name="Total 2" xfId="222"/>
    <cellStyle name="Total 3" xfId="223"/>
    <cellStyle name="Total 4" xfId="224"/>
    <cellStyle name="Total 5" xfId="225"/>
    <cellStyle name="Total 6" xfId="226"/>
    <cellStyle name="Warning Text 2" xfId="227"/>
    <cellStyle name="Warning Text 3" xfId="228"/>
    <cellStyle name="Warning Text 4" xfId="229"/>
    <cellStyle name="Warning Text 5" xfId="230"/>
    <cellStyle name="Warning Text 6" xfId="231"/>
  </cellStyles>
  <dxfs count="2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39</xdr:row>
      <xdr:rowOff>91440</xdr:rowOff>
    </xdr:from>
    <xdr:to>
      <xdr:col>7</xdr:col>
      <xdr:colOff>99060</xdr:colOff>
      <xdr:row>41</xdr:row>
      <xdr:rowOff>678180</xdr:rowOff>
    </xdr:to>
    <xdr:pic>
      <xdr:nvPicPr>
        <xdr:cNvPr id="142594" name="Picture 156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84120" y="10607040"/>
          <a:ext cx="861060" cy="10134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9</xdr:col>
      <xdr:colOff>53340</xdr:colOff>
      <xdr:row>24</xdr:row>
      <xdr:rowOff>15240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8180" y="845820"/>
          <a:ext cx="4061460" cy="54787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R595"/>
  <sheetViews>
    <sheetView showGridLines="0" tabSelected="1" zoomScale="80" zoomScaleNormal="80" workbookViewId="0">
      <selection activeCell="E16" sqref="E16:K16"/>
    </sheetView>
  </sheetViews>
  <sheetFormatPr defaultRowHeight="12.75"/>
  <cols>
    <col min="1" max="1" width="0.42578125" style="327" customWidth="1"/>
    <col min="2" max="2" width="4.28515625" style="659" customWidth="1"/>
    <col min="3" max="3" width="5.140625" customWidth="1"/>
    <col min="4" max="4" width="14.7109375" customWidth="1"/>
    <col min="5" max="5" width="7.5703125" customWidth="1"/>
    <col min="6" max="6" width="5.5703125" customWidth="1"/>
    <col min="7" max="7" width="9.7109375" customWidth="1"/>
    <col min="8" max="8" width="9.42578125" customWidth="1"/>
    <col min="9" max="10" width="11.5703125" customWidth="1"/>
    <col min="11" max="11" width="6.85546875" customWidth="1"/>
    <col min="12" max="12" width="4.7109375" style="339" customWidth="1"/>
    <col min="13" max="13" width="3.140625" style="339" customWidth="1"/>
    <col min="14" max="14" width="7.42578125" style="339" customWidth="1"/>
    <col min="15" max="15" width="8.5703125" style="339" customWidth="1"/>
    <col min="16" max="18" width="9.140625" style="339" customWidth="1"/>
    <col min="19" max="19" width="11" style="339" customWidth="1"/>
    <col min="20" max="96" width="9.140625" style="339" customWidth="1"/>
  </cols>
  <sheetData>
    <row r="1" spans="1:20">
      <c r="B1" s="712"/>
      <c r="C1" s="347"/>
      <c r="D1" s="347"/>
      <c r="E1" s="347"/>
      <c r="F1" s="347"/>
      <c r="G1" s="347"/>
      <c r="H1" s="347"/>
      <c r="I1" s="347"/>
      <c r="J1" s="347"/>
      <c r="K1" s="347"/>
    </row>
    <row r="2" spans="1:20">
      <c r="B2" s="713"/>
      <c r="C2" s="347"/>
      <c r="D2" s="347"/>
      <c r="E2" s="347"/>
      <c r="F2" s="347"/>
      <c r="G2" s="347"/>
      <c r="H2" s="347"/>
      <c r="I2" s="347"/>
      <c r="J2" s="347"/>
      <c r="K2" s="347"/>
    </row>
    <row r="3" spans="1:20">
      <c r="B3" s="713"/>
      <c r="C3" s="347"/>
      <c r="D3" s="347"/>
      <c r="E3" s="347"/>
      <c r="F3" s="347"/>
      <c r="G3" s="347"/>
      <c r="H3" s="347"/>
      <c r="I3" s="347"/>
      <c r="J3" s="347"/>
      <c r="K3" s="347"/>
    </row>
    <row r="4" spans="1:20">
      <c r="B4" s="713"/>
      <c r="C4" s="347"/>
      <c r="D4" s="347"/>
      <c r="E4" s="347"/>
      <c r="F4" s="347"/>
      <c r="G4" s="347"/>
      <c r="H4" s="347"/>
      <c r="I4" s="347"/>
      <c r="J4" s="347"/>
      <c r="K4" s="347"/>
      <c r="M4" s="340"/>
    </row>
    <row r="5" spans="1:20" ht="13.5" thickBot="1">
      <c r="B5" s="713"/>
      <c r="C5" s="347"/>
      <c r="D5" s="347"/>
      <c r="E5" s="347"/>
      <c r="F5" s="347"/>
      <c r="G5" s="347"/>
      <c r="H5" s="347"/>
      <c r="I5" s="347"/>
      <c r="J5" s="347"/>
      <c r="K5" s="347"/>
    </row>
    <row r="6" spans="1:20">
      <c r="B6" s="713"/>
      <c r="C6" s="347"/>
      <c r="D6" s="347"/>
      <c r="E6" s="347"/>
      <c r="F6" s="347"/>
      <c r="G6" s="347"/>
      <c r="H6" s="347"/>
      <c r="I6" s="347"/>
      <c r="J6" s="347"/>
      <c r="K6" s="347"/>
      <c r="M6" s="663"/>
      <c r="N6" s="664"/>
      <c r="O6" s="664"/>
      <c r="P6" s="664"/>
      <c r="Q6" s="664"/>
      <c r="R6" s="664"/>
      <c r="S6" s="664"/>
      <c r="T6" s="665"/>
    </row>
    <row r="7" spans="1:20" ht="15">
      <c r="A7" s="328"/>
      <c r="B7" s="713"/>
      <c r="C7" s="328"/>
      <c r="D7" s="642"/>
      <c r="E7" s="328"/>
      <c r="F7" s="328"/>
      <c r="G7" s="328"/>
      <c r="H7" s="328"/>
      <c r="I7" s="328"/>
      <c r="J7" s="328"/>
      <c r="K7" s="328"/>
      <c r="M7" s="666"/>
      <c r="N7" s="340"/>
      <c r="O7" s="340"/>
      <c r="P7" s="340"/>
      <c r="Q7" s="340"/>
      <c r="R7" s="340"/>
      <c r="S7" s="340"/>
      <c r="T7" s="667"/>
    </row>
    <row r="8" spans="1:20" ht="20.25">
      <c r="A8" s="328"/>
      <c r="B8" s="713"/>
      <c r="C8" s="328"/>
      <c r="D8" s="642"/>
      <c r="E8" s="328"/>
      <c r="F8" s="328"/>
      <c r="G8" s="328"/>
      <c r="H8" s="328"/>
      <c r="I8" s="328"/>
      <c r="J8" s="328"/>
      <c r="K8" s="328"/>
      <c r="M8" s="666"/>
      <c r="N8" s="340"/>
      <c r="O8" s="340"/>
      <c r="P8" s="668"/>
      <c r="Q8" s="669" t="s">
        <v>1385</v>
      </c>
      <c r="R8" s="668"/>
      <c r="S8" s="340"/>
      <c r="T8" s="667"/>
    </row>
    <row r="9" spans="1:20" ht="14.25" customHeight="1">
      <c r="A9" s="328"/>
      <c r="B9" s="713"/>
      <c r="C9" s="328"/>
      <c r="D9" s="642"/>
      <c r="E9" s="328"/>
      <c r="F9" s="328"/>
      <c r="G9" s="328"/>
      <c r="H9" s="328"/>
      <c r="I9" s="328"/>
      <c r="J9" s="328"/>
      <c r="K9" s="328"/>
      <c r="M9" s="666"/>
      <c r="N9" s="340"/>
      <c r="O9" s="340"/>
      <c r="P9" s="345"/>
      <c r="Q9" s="345"/>
      <c r="R9" s="345"/>
      <c r="S9" s="340"/>
      <c r="T9" s="667"/>
    </row>
    <row r="10" spans="1:20" ht="18.75" customHeight="1">
      <c r="A10" s="328"/>
      <c r="B10" s="713"/>
      <c r="C10" s="328"/>
      <c r="D10" s="642"/>
      <c r="E10" s="328"/>
      <c r="F10" s="328"/>
      <c r="G10" s="328"/>
      <c r="H10" s="328"/>
      <c r="I10" s="328"/>
      <c r="J10" s="328"/>
      <c r="K10" s="328"/>
      <c r="M10" s="666"/>
      <c r="N10" s="340"/>
      <c r="O10" s="340"/>
      <c r="P10" s="345"/>
      <c r="Q10" s="346" t="s">
        <v>1386</v>
      </c>
      <c r="R10" s="345"/>
      <c r="S10" s="340"/>
      <c r="T10" s="667"/>
    </row>
    <row r="11" spans="1:20" ht="16.5" customHeight="1">
      <c r="A11" s="328"/>
      <c r="B11" s="713"/>
      <c r="C11" s="328"/>
      <c r="D11" s="642"/>
      <c r="E11" s="328"/>
      <c r="F11" s="328"/>
      <c r="G11" s="328"/>
      <c r="H11" s="328"/>
      <c r="I11" s="328"/>
      <c r="J11" s="328"/>
      <c r="K11" s="328"/>
      <c r="M11" s="666"/>
      <c r="N11" s="340"/>
      <c r="O11" s="1596" t="s">
        <v>2749</v>
      </c>
      <c r="P11" s="1596"/>
      <c r="Q11" s="1596"/>
      <c r="R11" s="1596"/>
      <c r="S11" s="1596"/>
      <c r="T11" s="667"/>
    </row>
    <row r="12" spans="1:20" ht="15" customHeight="1">
      <c r="A12" s="328"/>
      <c r="B12" s="713"/>
      <c r="C12" s="328"/>
      <c r="D12" s="642"/>
      <c r="E12" s="328"/>
      <c r="F12" s="328"/>
      <c r="G12" s="328"/>
      <c r="H12" s="328"/>
      <c r="I12" s="328"/>
      <c r="J12" s="328"/>
      <c r="K12" s="328"/>
      <c r="M12" s="666"/>
      <c r="N12" s="1594" t="s">
        <v>2748</v>
      </c>
      <c r="O12" s="1594"/>
      <c r="P12" s="1594"/>
      <c r="Q12" s="1594"/>
      <c r="R12" s="1594"/>
      <c r="S12" s="1594"/>
      <c r="T12" s="667"/>
    </row>
    <row r="13" spans="1:20" ht="14.25" customHeight="1">
      <c r="A13" s="328"/>
      <c r="B13" s="713"/>
      <c r="C13" s="328"/>
      <c r="D13" s="642"/>
      <c r="E13" s="328"/>
      <c r="F13" s="328"/>
      <c r="G13" s="328"/>
      <c r="H13" s="328"/>
      <c r="I13" s="328"/>
      <c r="J13" s="328"/>
      <c r="K13" s="328"/>
      <c r="M13" s="666"/>
      <c r="N13" s="340"/>
      <c r="O13" s="340"/>
      <c r="P13" s="345"/>
      <c r="Q13" s="345"/>
      <c r="R13" s="345"/>
      <c r="S13" s="340"/>
      <c r="T13" s="667"/>
    </row>
    <row r="14" spans="1:20" ht="11.25" customHeight="1">
      <c r="A14" s="328"/>
      <c r="B14" s="713"/>
      <c r="C14" s="328"/>
      <c r="D14" s="642"/>
      <c r="E14" s="328"/>
      <c r="F14" s="328"/>
      <c r="G14" s="328"/>
      <c r="H14" s="328"/>
      <c r="I14" s="328"/>
      <c r="J14" s="328"/>
      <c r="K14" s="328"/>
      <c r="M14" s="666"/>
      <c r="N14" s="340"/>
      <c r="O14" s="340"/>
      <c r="P14" s="345"/>
      <c r="Q14" s="345"/>
      <c r="R14" s="345"/>
      <c r="S14" s="340"/>
      <c r="T14" s="667"/>
    </row>
    <row r="15" spans="1:20" ht="39.75" customHeight="1">
      <c r="A15" s="328"/>
      <c r="B15" s="713"/>
      <c r="C15" s="328"/>
      <c r="D15" s="642"/>
      <c r="E15" s="328"/>
      <c r="F15" s="1605"/>
      <c r="G15" s="1605"/>
      <c r="H15" s="1605"/>
      <c r="I15" s="1605"/>
      <c r="J15" s="1605"/>
      <c r="K15" s="328"/>
      <c r="M15" s="666"/>
      <c r="N15" s="340"/>
      <c r="O15" s="340"/>
      <c r="P15" s="345"/>
      <c r="Q15" s="346" t="s">
        <v>1387</v>
      </c>
      <c r="R15" s="345"/>
      <c r="S15" s="340"/>
      <c r="T15" s="667"/>
    </row>
    <row r="16" spans="1:20" ht="50.25" customHeight="1">
      <c r="A16" s="328"/>
      <c r="B16" s="713"/>
      <c r="C16" s="328"/>
      <c r="D16" s="642"/>
      <c r="E16" s="1606"/>
      <c r="F16" s="1606"/>
      <c r="G16" s="1606"/>
      <c r="H16" s="1606"/>
      <c r="I16" s="1606"/>
      <c r="J16" s="1606"/>
      <c r="K16" s="1606"/>
      <c r="M16" s="666"/>
      <c r="N16" s="340"/>
      <c r="O16" s="340"/>
      <c r="P16" s="1591" t="s">
        <v>2716</v>
      </c>
      <c r="Q16" s="1591"/>
      <c r="R16" s="1591"/>
      <c r="S16" s="1591"/>
      <c r="T16" s="667"/>
    </row>
    <row r="17" spans="1:96" ht="47.25" customHeight="1">
      <c r="A17" s="328"/>
      <c r="B17" s="713"/>
      <c r="C17" s="328"/>
      <c r="D17" s="642"/>
      <c r="E17" s="643"/>
      <c r="F17" s="1597"/>
      <c r="G17" s="1597"/>
      <c r="H17" s="1597"/>
      <c r="I17" s="1597"/>
      <c r="J17" s="1597"/>
      <c r="K17" s="643"/>
      <c r="M17" s="666"/>
      <c r="N17" s="340"/>
      <c r="O17" s="340"/>
      <c r="P17" s="1598" t="s">
        <v>2691</v>
      </c>
      <c r="Q17" s="1598"/>
      <c r="R17" s="1598"/>
      <c r="S17" s="1598"/>
      <c r="T17" s="667"/>
    </row>
    <row r="18" spans="1:96" ht="24.75" customHeight="1">
      <c r="A18" s="328"/>
      <c r="B18" s="713"/>
      <c r="C18" s="328"/>
      <c r="D18" s="642"/>
      <c r="E18" s="328"/>
      <c r="F18" s="328"/>
      <c r="G18" s="328"/>
      <c r="H18" s="328"/>
      <c r="I18" s="328"/>
      <c r="J18" s="328"/>
      <c r="K18" s="328"/>
      <c r="M18" s="666"/>
      <c r="N18" s="340"/>
      <c r="O18" s="340"/>
      <c r="P18" s="1591" t="s">
        <v>2470</v>
      </c>
      <c r="Q18" s="1591"/>
      <c r="R18" s="1591"/>
      <c r="S18" s="1591"/>
      <c r="T18" s="667"/>
    </row>
    <row r="19" spans="1:96" ht="12" customHeight="1">
      <c r="A19" s="328"/>
      <c r="B19" s="713"/>
      <c r="C19" s="328"/>
      <c r="D19" s="642"/>
      <c r="E19" s="328"/>
      <c r="F19" s="328"/>
      <c r="G19" s="328"/>
      <c r="H19" s="328"/>
      <c r="I19" s="328"/>
      <c r="J19" s="328"/>
      <c r="K19" s="328"/>
      <c r="M19" s="666"/>
      <c r="N19" s="340"/>
      <c r="O19" s="340"/>
      <c r="P19" s="1591"/>
      <c r="Q19" s="1591"/>
      <c r="R19" s="1591"/>
      <c r="S19" s="1591"/>
      <c r="T19" s="667"/>
    </row>
    <row r="20" spans="1:96" ht="13.5" customHeight="1">
      <c r="A20" s="328"/>
      <c r="B20" s="713"/>
      <c r="C20" s="328"/>
      <c r="D20" s="642"/>
      <c r="E20" s="328"/>
      <c r="F20" s="328"/>
      <c r="G20" s="328"/>
      <c r="H20" s="328"/>
      <c r="I20" s="328"/>
      <c r="J20" s="328"/>
      <c r="K20" s="328"/>
      <c r="M20" s="666"/>
      <c r="N20" s="340"/>
      <c r="O20" s="340"/>
      <c r="P20" s="1591"/>
      <c r="Q20" s="1591"/>
      <c r="R20" s="1591"/>
      <c r="S20" s="1591"/>
      <c r="T20" s="667"/>
    </row>
    <row r="21" spans="1:96" ht="15" customHeight="1">
      <c r="A21" s="328"/>
      <c r="B21" s="713"/>
      <c r="C21" s="328"/>
      <c r="D21" s="642"/>
      <c r="E21" s="328"/>
      <c r="F21" s="328"/>
      <c r="G21" s="328"/>
      <c r="H21" s="328"/>
      <c r="I21" s="328"/>
      <c r="J21" s="328"/>
      <c r="K21" s="328"/>
      <c r="M21" s="666"/>
      <c r="N21" s="340"/>
      <c r="O21" s="340"/>
      <c r="P21" s="1592" t="s">
        <v>2690</v>
      </c>
      <c r="Q21" s="1592"/>
      <c r="R21" s="1592"/>
      <c r="S21" s="1592"/>
      <c r="T21" s="667"/>
    </row>
    <row r="22" spans="1:96" ht="16.5" customHeight="1">
      <c r="A22" s="328"/>
      <c r="B22" s="713"/>
      <c r="C22" s="328"/>
      <c r="D22" s="642"/>
      <c r="E22" s="328"/>
      <c r="F22" s="328"/>
      <c r="G22" s="328"/>
      <c r="H22" s="328"/>
      <c r="I22" s="328"/>
      <c r="J22" s="328"/>
      <c r="K22" s="328"/>
      <c r="M22" s="666"/>
      <c r="N22" s="340"/>
      <c r="O22" s="340"/>
      <c r="P22" s="1593" t="s">
        <v>2355</v>
      </c>
      <c r="Q22" s="1593"/>
      <c r="R22" s="1593"/>
      <c r="S22" s="340"/>
      <c r="T22" s="667"/>
      <c r="U22" s="370"/>
    </row>
    <row r="23" spans="1:96" ht="27" customHeight="1">
      <c r="A23" s="328"/>
      <c r="B23" s="713"/>
      <c r="C23" s="328"/>
      <c r="D23" s="642"/>
      <c r="E23" s="328"/>
      <c r="F23" s="328"/>
      <c r="G23" s="328"/>
      <c r="H23" s="328"/>
      <c r="I23" s="328"/>
      <c r="J23" s="328"/>
      <c r="K23" s="328"/>
      <c r="M23" s="666"/>
      <c r="N23" s="340"/>
      <c r="O23" s="340"/>
      <c r="P23" s="1590" t="s">
        <v>2687</v>
      </c>
      <c r="Q23" s="1590"/>
      <c r="R23" s="1590"/>
      <c r="S23" s="1590"/>
      <c r="T23" s="667"/>
    </row>
    <row r="24" spans="1:96" ht="49.5" customHeight="1" thickBot="1">
      <c r="A24" s="328"/>
      <c r="B24" s="713"/>
      <c r="C24" s="328"/>
      <c r="D24" s="642"/>
      <c r="E24" s="328"/>
      <c r="F24" s="328"/>
      <c r="G24" s="328"/>
      <c r="H24" s="328"/>
      <c r="I24" s="328"/>
      <c r="J24" s="328"/>
      <c r="K24" s="328"/>
      <c r="M24" s="670"/>
      <c r="N24" s="671"/>
      <c r="O24" s="671"/>
      <c r="P24" s="1595" t="s">
        <v>2355</v>
      </c>
      <c r="Q24" s="1595"/>
      <c r="R24" s="1595"/>
      <c r="S24" s="671"/>
      <c r="T24" s="672"/>
    </row>
    <row r="25" spans="1:96" ht="15" customHeight="1">
      <c r="A25" s="328"/>
      <c r="B25" s="713"/>
      <c r="C25" s="328"/>
      <c r="D25" s="642"/>
      <c r="E25" s="328"/>
      <c r="F25" s="328"/>
      <c r="G25" s="328"/>
      <c r="H25" s="328"/>
      <c r="I25" s="328"/>
      <c r="J25" s="328"/>
      <c r="K25" s="328"/>
    </row>
    <row r="26" spans="1:96" ht="15" customHeight="1">
      <c r="A26" s="328"/>
      <c r="B26" s="713"/>
      <c r="C26" s="328"/>
      <c r="D26" s="642"/>
      <c r="E26" s="328"/>
      <c r="F26" s="328"/>
      <c r="G26" s="328"/>
      <c r="H26" s="328"/>
      <c r="I26" s="328"/>
      <c r="J26" s="328"/>
      <c r="K26" s="328"/>
    </row>
    <row r="27" spans="1:96" ht="15" customHeight="1">
      <c r="A27" s="328"/>
      <c r="B27" s="713"/>
      <c r="C27" s="328"/>
      <c r="D27" s="642"/>
      <c r="E27" s="328"/>
      <c r="F27" s="328"/>
      <c r="G27" s="328"/>
      <c r="H27" s="328"/>
      <c r="I27" s="328"/>
      <c r="J27" s="328"/>
      <c r="K27" s="328"/>
    </row>
    <row r="28" spans="1:96" ht="15" customHeight="1">
      <c r="A28" s="328"/>
      <c r="B28" s="713"/>
      <c r="C28" s="328"/>
      <c r="D28" s="642"/>
      <c r="E28" s="328"/>
      <c r="F28" s="328"/>
      <c r="G28" s="328"/>
      <c r="H28" s="328"/>
      <c r="I28" s="328"/>
      <c r="J28" s="328"/>
      <c r="K28" s="328"/>
    </row>
    <row r="29" spans="1:96" ht="15.75">
      <c r="A29" s="328"/>
      <c r="B29" s="713"/>
      <c r="C29" s="328"/>
      <c r="D29" s="642"/>
      <c r="E29" s="328"/>
      <c r="F29" s="328"/>
      <c r="G29" s="328"/>
      <c r="H29" s="328"/>
      <c r="I29" s="328"/>
      <c r="J29" s="328"/>
      <c r="K29" s="328"/>
      <c r="N29" s="340"/>
      <c r="O29" s="340"/>
      <c r="P29" s="376"/>
      <c r="Q29" s="1616"/>
      <c r="R29" s="1617"/>
      <c r="S29" s="1617"/>
      <c r="T29" s="340"/>
    </row>
    <row r="30" spans="1:96" ht="15.75" thickBot="1">
      <c r="A30" s="328"/>
      <c r="B30" s="713"/>
      <c r="C30" s="328"/>
      <c r="D30" s="642"/>
      <c r="E30" s="328"/>
      <c r="F30" s="328"/>
      <c r="G30" s="328"/>
      <c r="H30" s="328"/>
      <c r="I30" s="328"/>
      <c r="J30" s="328"/>
      <c r="K30" s="328"/>
      <c r="N30" s="340"/>
      <c r="O30" s="340"/>
      <c r="P30" s="340"/>
      <c r="Q30" s="340"/>
      <c r="R30" s="340"/>
      <c r="S30" s="340"/>
      <c r="T30" s="340"/>
    </row>
    <row r="31" spans="1:96" ht="41.25" customHeight="1">
      <c r="A31" s="328"/>
      <c r="B31" s="713"/>
      <c r="C31" s="681"/>
      <c r="D31" s="682"/>
      <c r="E31" s="673"/>
      <c r="F31" s="673"/>
      <c r="G31" s="673"/>
      <c r="H31" s="673"/>
      <c r="I31" s="673"/>
      <c r="J31" s="674"/>
      <c r="K31" s="328"/>
      <c r="M31" s="1610" t="s">
        <v>2609</v>
      </c>
      <c r="N31" s="1611"/>
      <c r="O31" s="1611"/>
      <c r="P31" s="1611"/>
      <c r="Q31" s="1611"/>
      <c r="R31" s="1611"/>
      <c r="S31" s="1611"/>
      <c r="T31" s="1612"/>
    </row>
    <row r="32" spans="1:96" s="372" customFormat="1" ht="27.75" customHeight="1">
      <c r="A32" s="369"/>
      <c r="B32" s="713"/>
      <c r="C32" s="1607" t="s">
        <v>1546</v>
      </c>
      <c r="D32" s="1608"/>
      <c r="E32" s="1608"/>
      <c r="F32" s="1608"/>
      <c r="G32" s="1608"/>
      <c r="H32" s="1608"/>
      <c r="I32" s="1608"/>
      <c r="J32" s="1609"/>
      <c r="K32" s="677"/>
      <c r="L32" s="370"/>
      <c r="M32" s="1613"/>
      <c r="N32" s="1614"/>
      <c r="O32" s="1614"/>
      <c r="P32" s="1614"/>
      <c r="Q32" s="1614"/>
      <c r="R32" s="1614"/>
      <c r="S32" s="1614"/>
      <c r="T32" s="1615"/>
      <c r="U32" s="370"/>
      <c r="V32" s="370"/>
      <c r="W32" s="370"/>
      <c r="X32" s="370"/>
      <c r="Y32" s="370"/>
      <c r="Z32" s="370"/>
      <c r="AA32" s="370"/>
      <c r="AB32" s="370"/>
      <c r="AC32" s="370"/>
      <c r="AD32" s="370"/>
      <c r="AE32" s="370"/>
      <c r="AF32" s="370"/>
      <c r="AG32" s="370"/>
      <c r="AH32" s="370"/>
      <c r="AI32" s="370"/>
      <c r="AJ32" s="370"/>
      <c r="AK32" s="370"/>
      <c r="AL32" s="370"/>
      <c r="AM32" s="370"/>
      <c r="AN32" s="370"/>
      <c r="AO32" s="370"/>
      <c r="AP32" s="370"/>
      <c r="AQ32" s="370"/>
      <c r="AR32" s="370"/>
      <c r="AS32" s="370"/>
      <c r="AT32" s="370"/>
      <c r="AU32" s="370"/>
      <c r="AV32" s="370"/>
      <c r="AW32" s="370"/>
      <c r="AX32" s="370"/>
      <c r="AY32" s="370"/>
      <c r="AZ32" s="370"/>
      <c r="BA32" s="370"/>
      <c r="BB32" s="370"/>
      <c r="BC32" s="370"/>
      <c r="BD32" s="370"/>
      <c r="BE32" s="370"/>
      <c r="BF32" s="370"/>
      <c r="BG32" s="370"/>
      <c r="BH32" s="370"/>
      <c r="BI32" s="370"/>
      <c r="BJ32" s="370"/>
      <c r="BK32" s="370"/>
      <c r="BL32" s="370"/>
      <c r="BM32" s="370"/>
      <c r="BN32" s="370"/>
      <c r="BO32" s="370"/>
      <c r="BP32" s="370"/>
      <c r="BQ32" s="370"/>
      <c r="BR32" s="370"/>
      <c r="BS32" s="370"/>
      <c r="BT32" s="370"/>
      <c r="BU32" s="370"/>
      <c r="BV32" s="370"/>
      <c r="BW32" s="370"/>
      <c r="BX32" s="370"/>
      <c r="BY32" s="370"/>
      <c r="BZ32" s="370"/>
      <c r="CA32" s="370"/>
      <c r="CB32" s="370"/>
      <c r="CC32" s="370"/>
      <c r="CD32" s="370"/>
      <c r="CE32" s="370"/>
      <c r="CF32" s="370"/>
      <c r="CG32" s="370"/>
      <c r="CH32" s="370"/>
      <c r="CI32" s="370"/>
      <c r="CJ32" s="370"/>
      <c r="CK32" s="370"/>
      <c r="CL32" s="370"/>
      <c r="CM32" s="370"/>
      <c r="CN32" s="370"/>
      <c r="CO32" s="370"/>
      <c r="CP32" s="370"/>
      <c r="CQ32" s="370"/>
      <c r="CR32" s="370"/>
    </row>
    <row r="33" spans="1:96" s="644" customFormat="1" ht="27" customHeight="1">
      <c r="A33" s="369"/>
      <c r="B33" s="645"/>
      <c r="C33" s="1585" t="s">
        <v>1547</v>
      </c>
      <c r="D33" s="1586"/>
      <c r="E33" s="1586"/>
      <c r="F33" s="1586"/>
      <c r="G33" s="1586"/>
      <c r="H33" s="1586"/>
      <c r="I33" s="1586"/>
      <c r="J33" s="1587"/>
      <c r="K33" s="678"/>
      <c r="L33" s="371"/>
      <c r="M33" s="1613"/>
      <c r="N33" s="1614"/>
      <c r="O33" s="1614"/>
      <c r="P33" s="1614"/>
      <c r="Q33" s="1614"/>
      <c r="R33" s="1614"/>
      <c r="S33" s="1614"/>
      <c r="T33" s="1615"/>
      <c r="U33" s="371"/>
      <c r="V33" s="371"/>
      <c r="W33" s="371"/>
      <c r="X33" s="371"/>
      <c r="Y33" s="371"/>
      <c r="Z33" s="371"/>
      <c r="AA33" s="371"/>
      <c r="AB33" s="371"/>
      <c r="AC33" s="371"/>
      <c r="AD33" s="371"/>
      <c r="AE33" s="371"/>
      <c r="AF33" s="371"/>
      <c r="AG33" s="371"/>
      <c r="AH33" s="371"/>
      <c r="AI33" s="371"/>
      <c r="AJ33" s="371"/>
      <c r="AK33" s="371"/>
      <c r="AL33" s="371"/>
      <c r="AM33" s="371"/>
      <c r="AN33" s="371"/>
      <c r="AO33" s="371"/>
      <c r="AP33" s="371"/>
      <c r="AQ33" s="371"/>
      <c r="AR33" s="371"/>
      <c r="AS33" s="371"/>
      <c r="AT33" s="371"/>
      <c r="AU33" s="371"/>
      <c r="AV33" s="371"/>
      <c r="AW33" s="371"/>
      <c r="AX33" s="371"/>
      <c r="AY33" s="371"/>
      <c r="AZ33" s="371"/>
      <c r="BA33" s="371"/>
      <c r="BB33" s="371"/>
      <c r="BC33" s="371"/>
      <c r="BD33" s="371"/>
      <c r="BE33" s="371"/>
      <c r="BF33" s="371"/>
      <c r="BG33" s="371"/>
      <c r="BH33" s="371"/>
      <c r="BI33" s="371"/>
      <c r="BJ33" s="371"/>
      <c r="BK33" s="371"/>
      <c r="BL33" s="371"/>
      <c r="BM33" s="371"/>
      <c r="BN33" s="371"/>
      <c r="BO33" s="371"/>
      <c r="BP33" s="371"/>
      <c r="BQ33" s="371"/>
      <c r="BR33" s="371"/>
      <c r="BS33" s="371"/>
      <c r="BT33" s="371"/>
      <c r="BU33" s="371"/>
      <c r="BV33" s="371"/>
      <c r="BW33" s="371"/>
      <c r="BX33" s="371"/>
      <c r="BY33" s="371"/>
      <c r="BZ33" s="371"/>
      <c r="CA33" s="371"/>
      <c r="CB33" s="371"/>
      <c r="CC33" s="371"/>
      <c r="CD33" s="371"/>
      <c r="CE33" s="371"/>
      <c r="CF33" s="371"/>
      <c r="CG33" s="371"/>
      <c r="CH33" s="371"/>
      <c r="CI33" s="371"/>
      <c r="CJ33" s="371"/>
      <c r="CK33" s="371"/>
      <c r="CL33" s="371"/>
      <c r="CM33" s="371"/>
      <c r="CN33" s="371"/>
      <c r="CO33" s="371"/>
      <c r="CP33" s="371"/>
      <c r="CQ33" s="371"/>
      <c r="CR33" s="371"/>
    </row>
    <row r="34" spans="1:96" s="644" customFormat="1" ht="24.75" customHeight="1">
      <c r="A34" s="369"/>
      <c r="B34" s="645"/>
      <c r="C34" s="1599" t="s">
        <v>2753</v>
      </c>
      <c r="D34" s="1600"/>
      <c r="E34" s="1600"/>
      <c r="F34" s="1600"/>
      <c r="G34" s="1600"/>
      <c r="H34" s="1600"/>
      <c r="I34" s="1600"/>
      <c r="J34" s="1601"/>
      <c r="K34" s="679"/>
      <c r="L34" s="371"/>
      <c r="M34" s="1613"/>
      <c r="N34" s="1614"/>
      <c r="O34" s="1614"/>
      <c r="P34" s="1614"/>
      <c r="Q34" s="1614"/>
      <c r="R34" s="1614"/>
      <c r="S34" s="1614"/>
      <c r="T34" s="1615"/>
      <c r="U34" s="371"/>
      <c r="V34" s="371"/>
      <c r="W34" s="371"/>
      <c r="X34" s="371"/>
      <c r="Y34" s="371"/>
      <c r="Z34" s="371"/>
      <c r="AA34" s="371"/>
      <c r="AB34" s="371"/>
      <c r="AC34" s="371"/>
      <c r="AD34" s="371"/>
      <c r="AE34" s="371"/>
      <c r="AF34" s="371"/>
      <c r="AG34" s="371"/>
      <c r="AH34" s="371"/>
      <c r="AI34" s="371"/>
      <c r="AJ34" s="371"/>
      <c r="AK34" s="371"/>
      <c r="AL34" s="371"/>
      <c r="AM34" s="371"/>
      <c r="AN34" s="371"/>
      <c r="AO34" s="371"/>
      <c r="AP34" s="371"/>
      <c r="AQ34" s="371"/>
      <c r="AR34" s="371"/>
      <c r="AS34" s="371"/>
      <c r="AT34" s="371"/>
      <c r="AU34" s="371"/>
      <c r="AV34" s="371"/>
      <c r="AW34" s="371"/>
      <c r="AX34" s="371"/>
      <c r="AY34" s="371"/>
      <c r="AZ34" s="371"/>
      <c r="BA34" s="371"/>
      <c r="BB34" s="371"/>
      <c r="BC34" s="371"/>
      <c r="BD34" s="371"/>
      <c r="BE34" s="371"/>
      <c r="BF34" s="371"/>
      <c r="BG34" s="371"/>
      <c r="BH34" s="371"/>
      <c r="BI34" s="371"/>
      <c r="BJ34" s="371"/>
      <c r="BK34" s="371"/>
      <c r="BL34" s="371"/>
      <c r="BM34" s="371"/>
      <c r="BN34" s="371"/>
      <c r="BO34" s="371"/>
      <c r="BP34" s="371"/>
      <c r="BQ34" s="371"/>
      <c r="BR34" s="371"/>
      <c r="BS34" s="371"/>
      <c r="BT34" s="371"/>
      <c r="BU34" s="371"/>
      <c r="BV34" s="371"/>
      <c r="BW34" s="371"/>
      <c r="BX34" s="371"/>
      <c r="BY34" s="371"/>
      <c r="BZ34" s="371"/>
      <c r="CA34" s="371"/>
      <c r="CB34" s="371"/>
      <c r="CC34" s="371"/>
      <c r="CD34" s="371"/>
      <c r="CE34" s="371"/>
      <c r="CF34" s="371"/>
      <c r="CG34" s="371"/>
      <c r="CH34" s="371"/>
      <c r="CI34" s="371"/>
      <c r="CJ34" s="371"/>
      <c r="CK34" s="371"/>
      <c r="CL34" s="371"/>
      <c r="CM34" s="371"/>
      <c r="CN34" s="371"/>
      <c r="CO34" s="371"/>
      <c r="CP34" s="371"/>
      <c r="CQ34" s="371"/>
      <c r="CR34" s="371"/>
    </row>
    <row r="35" spans="1:96" s="644" customFormat="1" ht="33.75" customHeight="1">
      <c r="A35" s="369"/>
      <c r="B35" s="641"/>
      <c r="C35" s="683"/>
      <c r="D35" s="661"/>
      <c r="E35" s="684"/>
      <c r="F35" s="684"/>
      <c r="G35" s="684"/>
      <c r="H35" s="684"/>
      <c r="I35" s="684"/>
      <c r="J35" s="685"/>
      <c r="K35" s="662"/>
      <c r="L35" s="371"/>
      <c r="M35" s="1613"/>
      <c r="N35" s="1614"/>
      <c r="O35" s="1614"/>
      <c r="P35" s="1614"/>
      <c r="Q35" s="1614"/>
      <c r="R35" s="1614"/>
      <c r="S35" s="1614"/>
      <c r="T35" s="1615"/>
      <c r="U35" s="371"/>
      <c r="V35" s="371"/>
      <c r="W35" s="371"/>
      <c r="X35" s="371"/>
      <c r="Y35" s="371"/>
      <c r="Z35" s="371"/>
      <c r="AA35" s="371"/>
      <c r="AB35" s="371"/>
      <c r="AC35" s="371"/>
      <c r="AD35" s="371"/>
      <c r="AE35" s="371"/>
      <c r="AF35" s="371"/>
      <c r="AG35" s="371"/>
      <c r="AH35" s="371"/>
      <c r="AI35" s="371"/>
      <c r="AJ35" s="371"/>
      <c r="AK35" s="371"/>
      <c r="AL35" s="371"/>
      <c r="AM35" s="371"/>
      <c r="AN35" s="371"/>
      <c r="AO35" s="371"/>
      <c r="AP35" s="371"/>
      <c r="AQ35" s="371"/>
      <c r="AR35" s="371"/>
      <c r="AS35" s="371"/>
      <c r="AT35" s="371"/>
      <c r="AU35" s="371"/>
      <c r="AV35" s="371"/>
      <c r="AW35" s="371"/>
      <c r="AX35" s="371"/>
      <c r="AY35" s="371"/>
      <c r="AZ35" s="371"/>
      <c r="BA35" s="371"/>
      <c r="BB35" s="371"/>
      <c r="BC35" s="371"/>
      <c r="BD35" s="371"/>
      <c r="BE35" s="371"/>
      <c r="BF35" s="371"/>
      <c r="BG35" s="371"/>
      <c r="BH35" s="371"/>
      <c r="BI35" s="371"/>
      <c r="BJ35" s="371"/>
      <c r="BK35" s="371"/>
      <c r="BL35" s="371"/>
      <c r="BM35" s="371"/>
      <c r="BN35" s="371"/>
      <c r="BO35" s="371"/>
      <c r="BP35" s="371"/>
      <c r="BQ35" s="371"/>
      <c r="BR35" s="371"/>
      <c r="BS35" s="371"/>
      <c r="BT35" s="371"/>
      <c r="BU35" s="371"/>
      <c r="BV35" s="371"/>
      <c r="BW35" s="371"/>
      <c r="BX35" s="371"/>
      <c r="BY35" s="371"/>
      <c r="BZ35" s="371"/>
      <c r="CA35" s="371"/>
      <c r="CB35" s="371"/>
      <c r="CC35" s="371"/>
      <c r="CD35" s="371"/>
      <c r="CE35" s="371"/>
      <c r="CF35" s="371"/>
      <c r="CG35" s="371"/>
      <c r="CH35" s="371"/>
      <c r="CI35" s="371"/>
      <c r="CJ35" s="371"/>
      <c r="CK35" s="371"/>
      <c r="CL35" s="371"/>
      <c r="CM35" s="371"/>
      <c r="CN35" s="371"/>
      <c r="CO35" s="371"/>
      <c r="CP35" s="371"/>
      <c r="CQ35" s="371"/>
      <c r="CR35" s="371"/>
    </row>
    <row r="36" spans="1:96" s="347" customFormat="1" ht="24" customHeight="1">
      <c r="A36" s="328"/>
      <c r="B36" s="641"/>
      <c r="C36" s="683"/>
      <c r="D36" s="684"/>
      <c r="E36" s="684"/>
      <c r="F36" s="684"/>
      <c r="G36" s="684"/>
      <c r="H36" s="684"/>
      <c r="I36" s="684"/>
      <c r="J36" s="685"/>
      <c r="K36" s="662"/>
      <c r="L36" s="340"/>
      <c r="M36" s="1613"/>
      <c r="N36" s="1614"/>
      <c r="O36" s="1614"/>
      <c r="P36" s="1614"/>
      <c r="Q36" s="1614"/>
      <c r="R36" s="1614"/>
      <c r="S36" s="1614"/>
      <c r="T36" s="1615"/>
      <c r="U36" s="340"/>
      <c r="V36" s="340"/>
      <c r="W36" s="340"/>
      <c r="X36" s="340"/>
      <c r="Y36" s="340"/>
      <c r="Z36" s="340"/>
      <c r="AA36" s="340"/>
      <c r="AB36" s="340"/>
      <c r="AC36" s="340"/>
      <c r="AD36" s="340"/>
      <c r="AE36" s="340"/>
      <c r="AF36" s="340"/>
      <c r="AG36" s="340"/>
      <c r="AH36" s="340"/>
      <c r="AI36" s="340"/>
      <c r="AJ36" s="340"/>
      <c r="AK36" s="340"/>
      <c r="AL36" s="340"/>
      <c r="AM36" s="340"/>
      <c r="AN36" s="340"/>
      <c r="AO36" s="340"/>
      <c r="AP36" s="340"/>
      <c r="AQ36" s="340"/>
      <c r="AR36" s="340"/>
      <c r="AS36" s="340"/>
      <c r="AT36" s="340"/>
      <c r="AU36" s="340"/>
      <c r="AV36" s="340"/>
      <c r="AW36" s="340"/>
      <c r="AX36" s="340"/>
      <c r="AY36" s="340"/>
      <c r="AZ36" s="340"/>
      <c r="BA36" s="340"/>
      <c r="BB36" s="340"/>
      <c r="BC36" s="340"/>
      <c r="BD36" s="340"/>
      <c r="BE36" s="340"/>
      <c r="BF36" s="340"/>
      <c r="BG36" s="340"/>
      <c r="BH36" s="340"/>
      <c r="BI36" s="340"/>
      <c r="BJ36" s="340"/>
      <c r="BK36" s="340"/>
      <c r="BL36" s="340"/>
      <c r="BM36" s="340"/>
      <c r="BN36" s="340"/>
      <c r="BO36" s="340"/>
      <c r="BP36" s="340"/>
      <c r="BQ36" s="340"/>
      <c r="BR36" s="340"/>
      <c r="BS36" s="340"/>
      <c r="BT36" s="340"/>
      <c r="BU36" s="340"/>
      <c r="BV36" s="340"/>
      <c r="BW36" s="340"/>
      <c r="BX36" s="340"/>
      <c r="BY36" s="340"/>
      <c r="BZ36" s="340"/>
      <c r="CA36" s="340"/>
      <c r="CB36" s="340"/>
      <c r="CC36" s="340"/>
      <c r="CD36" s="340"/>
      <c r="CE36" s="340"/>
      <c r="CF36" s="340"/>
      <c r="CG36" s="340"/>
      <c r="CH36" s="340"/>
      <c r="CI36" s="340"/>
      <c r="CJ36" s="340"/>
      <c r="CK36" s="340"/>
      <c r="CL36" s="340"/>
      <c r="CM36" s="340"/>
      <c r="CN36" s="340"/>
      <c r="CO36" s="340"/>
      <c r="CP36" s="340"/>
      <c r="CQ36" s="340"/>
      <c r="CR36" s="340"/>
    </row>
    <row r="37" spans="1:96" s="347" customFormat="1" ht="24" customHeight="1">
      <c r="A37" s="328"/>
      <c r="B37" s="641"/>
      <c r="C37" s="683"/>
      <c r="D37" s="684"/>
      <c r="E37" s="684"/>
      <c r="F37" s="684"/>
      <c r="G37" s="684"/>
      <c r="H37" s="684"/>
      <c r="I37" s="684"/>
      <c r="J37" s="685"/>
      <c r="K37" s="662"/>
      <c r="L37" s="340"/>
      <c r="M37" s="1000"/>
      <c r="O37" s="1602" t="s">
        <v>2607</v>
      </c>
      <c r="P37" s="1603"/>
      <c r="Q37" s="1603"/>
      <c r="R37" s="1603"/>
      <c r="S37" s="1603"/>
      <c r="T37" s="1604"/>
      <c r="U37" s="340"/>
      <c r="V37" s="340"/>
      <c r="W37" s="340"/>
      <c r="X37" s="340"/>
      <c r="Y37" s="340"/>
      <c r="Z37" s="340"/>
      <c r="AA37" s="340"/>
      <c r="AB37" s="340"/>
      <c r="AC37" s="340"/>
      <c r="AD37" s="340"/>
      <c r="AE37" s="340"/>
      <c r="AF37" s="340"/>
      <c r="AG37" s="340"/>
      <c r="AH37" s="340"/>
      <c r="AI37" s="340"/>
      <c r="AJ37" s="340"/>
      <c r="AK37" s="340"/>
      <c r="AL37" s="340"/>
      <c r="AM37" s="340"/>
      <c r="AN37" s="340"/>
      <c r="AO37" s="340"/>
      <c r="AP37" s="340"/>
      <c r="AQ37" s="340"/>
      <c r="AR37" s="340"/>
      <c r="AS37" s="340"/>
      <c r="AT37" s="340"/>
      <c r="AU37" s="340"/>
      <c r="AV37" s="340"/>
      <c r="AW37" s="340"/>
      <c r="AX37" s="340"/>
      <c r="AY37" s="340"/>
      <c r="AZ37" s="340"/>
      <c r="BA37" s="340"/>
      <c r="BB37" s="340"/>
      <c r="BC37" s="340"/>
      <c r="BD37" s="340"/>
      <c r="BE37" s="340"/>
      <c r="BF37" s="340"/>
      <c r="BG37" s="340"/>
      <c r="BH37" s="340"/>
      <c r="BI37" s="340"/>
      <c r="BJ37" s="340"/>
      <c r="BK37" s="340"/>
      <c r="BL37" s="340"/>
      <c r="BM37" s="340"/>
      <c r="BN37" s="340"/>
      <c r="BO37" s="340"/>
      <c r="BP37" s="340"/>
      <c r="BQ37" s="340"/>
      <c r="BR37" s="340"/>
      <c r="BS37" s="340"/>
      <c r="BT37" s="340"/>
      <c r="BU37" s="340"/>
      <c r="BV37" s="340"/>
      <c r="BW37" s="340"/>
      <c r="BX37" s="340"/>
      <c r="BY37" s="340"/>
      <c r="BZ37" s="340"/>
      <c r="CA37" s="340"/>
      <c r="CB37" s="340"/>
      <c r="CC37" s="340"/>
      <c r="CD37" s="340"/>
      <c r="CE37" s="340"/>
      <c r="CF37" s="340"/>
      <c r="CG37" s="340"/>
      <c r="CH37" s="340"/>
      <c r="CI37" s="340"/>
      <c r="CJ37" s="340"/>
      <c r="CK37" s="340"/>
      <c r="CL37" s="340"/>
      <c r="CM37" s="340"/>
      <c r="CN37" s="340"/>
      <c r="CO37" s="340"/>
      <c r="CP37" s="340"/>
      <c r="CQ37" s="340"/>
      <c r="CR37" s="340"/>
    </row>
    <row r="38" spans="1:96" s="339" customFormat="1" ht="20.25" customHeight="1">
      <c r="B38" s="659"/>
      <c r="C38" s="686"/>
      <c r="D38" s="687"/>
      <c r="E38" s="687"/>
      <c r="F38" s="687"/>
      <c r="G38" s="687"/>
      <c r="H38" s="687"/>
      <c r="I38" s="687"/>
      <c r="J38" s="688"/>
      <c r="K38" s="675"/>
      <c r="M38" s="666"/>
      <c r="N38" s="340"/>
      <c r="O38" s="1581" t="s">
        <v>1504</v>
      </c>
      <c r="P38" s="1581"/>
      <c r="Q38" s="1581"/>
      <c r="R38" s="381"/>
      <c r="S38" s="381"/>
      <c r="T38" s="1001"/>
    </row>
    <row r="39" spans="1:96" s="339" customFormat="1" ht="19.5" customHeight="1">
      <c r="B39" s="659"/>
      <c r="C39" s="686"/>
      <c r="D39" s="687"/>
      <c r="E39" s="687"/>
      <c r="F39" s="687"/>
      <c r="G39" s="687"/>
      <c r="H39" s="687"/>
      <c r="I39" s="687"/>
      <c r="J39" s="688"/>
      <c r="K39" s="675"/>
      <c r="M39" s="666"/>
      <c r="N39" s="340"/>
      <c r="O39" s="1581" t="s">
        <v>1388</v>
      </c>
      <c r="P39" s="1581"/>
      <c r="Q39" s="1581"/>
      <c r="R39" s="857"/>
      <c r="S39" s="340"/>
      <c r="T39" s="667"/>
    </row>
    <row r="40" spans="1:96" s="339" customFormat="1" ht="17.25" customHeight="1">
      <c r="B40" s="659"/>
      <c r="C40" s="686"/>
      <c r="D40" s="687"/>
      <c r="E40" s="687"/>
      <c r="F40" s="687"/>
      <c r="G40" s="687"/>
      <c r="H40" s="687"/>
      <c r="I40" s="687"/>
      <c r="J40" s="688"/>
      <c r="K40" s="675"/>
      <c r="M40" s="666"/>
      <c r="N40" s="343"/>
      <c r="O40" s="1581" t="s">
        <v>1389</v>
      </c>
      <c r="P40" s="1581"/>
      <c r="Q40" s="1581"/>
      <c r="R40" s="344"/>
      <c r="S40" s="343"/>
      <c r="T40" s="667"/>
    </row>
    <row r="41" spans="1:96" s="339" customFormat="1" ht="17.25" customHeight="1">
      <c r="B41" s="659"/>
      <c r="C41" s="686"/>
      <c r="D41" s="687"/>
      <c r="E41" s="687"/>
      <c r="F41" s="687"/>
      <c r="G41" s="687"/>
      <c r="H41" s="687"/>
      <c r="I41" s="687"/>
      <c r="J41" s="688"/>
      <c r="K41" s="675"/>
      <c r="M41" s="676"/>
      <c r="N41" s="343"/>
      <c r="O41" s="1581" t="s">
        <v>2611</v>
      </c>
      <c r="P41" s="1581"/>
      <c r="Q41" s="1581"/>
      <c r="R41" s="344"/>
      <c r="S41" s="343"/>
      <c r="T41" s="667"/>
    </row>
    <row r="42" spans="1:96" s="339" customFormat="1" ht="60" customHeight="1">
      <c r="B42" s="659"/>
      <c r="C42" s="686"/>
      <c r="D42" s="687"/>
      <c r="E42" s="687"/>
      <c r="F42" s="687"/>
      <c r="G42" s="687"/>
      <c r="H42" s="687"/>
      <c r="I42" s="687"/>
      <c r="J42" s="688"/>
      <c r="K42" s="675"/>
      <c r="M42" s="676"/>
      <c r="N42" s="343"/>
      <c r="O42" s="1588" t="s">
        <v>2608</v>
      </c>
      <c r="P42" s="1589"/>
      <c r="Q42" s="1589"/>
      <c r="R42" s="1589"/>
      <c r="S42" s="1589"/>
      <c r="T42" s="667"/>
    </row>
    <row r="43" spans="1:96" s="339" customFormat="1" ht="15.75" customHeight="1">
      <c r="B43" s="659"/>
      <c r="C43" s="686"/>
      <c r="D43" s="687"/>
      <c r="E43" s="687"/>
      <c r="F43" s="687"/>
      <c r="G43" s="687"/>
      <c r="H43" s="687"/>
      <c r="I43" s="687"/>
      <c r="J43" s="688"/>
      <c r="K43" s="675"/>
      <c r="M43" s="676"/>
      <c r="N43" s="343"/>
      <c r="O43" s="1581" t="s">
        <v>2049</v>
      </c>
      <c r="P43" s="1581"/>
      <c r="Q43" s="1581"/>
      <c r="R43" s="344"/>
      <c r="S43" s="343"/>
      <c r="T43" s="667"/>
    </row>
    <row r="44" spans="1:96" s="339" customFormat="1" ht="22.5" customHeight="1">
      <c r="B44" s="659"/>
      <c r="C44" s="1582" t="s">
        <v>1388</v>
      </c>
      <c r="D44" s="1583"/>
      <c r="E44" s="1583"/>
      <c r="F44" s="1583"/>
      <c r="G44" s="1583"/>
      <c r="H44" s="1583"/>
      <c r="I44" s="1583"/>
      <c r="J44" s="1584"/>
      <c r="K44" s="680"/>
      <c r="M44" s="676"/>
      <c r="N44" s="343"/>
      <c r="O44" s="1581" t="s">
        <v>1388</v>
      </c>
      <c r="P44" s="1581"/>
      <c r="Q44" s="1581"/>
      <c r="S44" s="343"/>
      <c r="T44" s="667"/>
    </row>
    <row r="45" spans="1:96" s="339" customFormat="1" ht="18.75" customHeight="1">
      <c r="B45" s="659"/>
      <c r="C45" s="1582" t="s">
        <v>1545</v>
      </c>
      <c r="D45" s="1583"/>
      <c r="E45" s="1583"/>
      <c r="F45" s="1583"/>
      <c r="G45" s="1583"/>
      <c r="H45" s="1583"/>
      <c r="I45" s="1583"/>
      <c r="J45" s="1584"/>
      <c r="K45" s="680"/>
      <c r="M45" s="666"/>
      <c r="N45" s="340"/>
      <c r="O45" s="1581" t="s">
        <v>1389</v>
      </c>
      <c r="P45" s="1581"/>
      <c r="Q45" s="1581"/>
      <c r="R45" s="340"/>
      <c r="S45" s="340"/>
      <c r="T45" s="667"/>
    </row>
    <row r="46" spans="1:96" s="339" customFormat="1" ht="14.25" customHeight="1">
      <c r="B46" s="659"/>
      <c r="C46" s="666"/>
      <c r="D46" s="340"/>
      <c r="E46" s="340"/>
      <c r="F46" s="340"/>
      <c r="G46" s="340"/>
      <c r="H46" s="340"/>
      <c r="I46" s="340"/>
      <c r="J46" s="667"/>
      <c r="K46" s="340"/>
      <c r="M46" s="666"/>
      <c r="N46" s="340"/>
      <c r="O46" s="1581" t="s">
        <v>2610</v>
      </c>
      <c r="P46" s="1581"/>
      <c r="Q46" s="1581"/>
      <c r="R46" s="340"/>
      <c r="S46" s="340"/>
      <c r="T46" s="667"/>
    </row>
    <row r="47" spans="1:96" s="339" customFormat="1" ht="24" customHeight="1" thickBot="1">
      <c r="B47" s="659"/>
      <c r="C47" s="670"/>
      <c r="D47" s="671"/>
      <c r="E47" s="671"/>
      <c r="F47" s="671"/>
      <c r="G47" s="671"/>
      <c r="H47" s="671"/>
      <c r="I47" s="671"/>
      <c r="J47" s="672"/>
      <c r="K47" s="340"/>
      <c r="M47" s="670"/>
      <c r="N47" s="671"/>
      <c r="O47" s="671"/>
      <c r="P47" s="671"/>
      <c r="Q47" s="671"/>
      <c r="R47" s="671"/>
      <c r="S47" s="671"/>
      <c r="T47" s="672"/>
    </row>
    <row r="48" spans="1:96" s="339" customFormat="1">
      <c r="B48" s="659"/>
      <c r="C48" s="340"/>
      <c r="D48" s="340"/>
      <c r="E48" s="340"/>
      <c r="F48" s="340"/>
      <c r="G48" s="340"/>
      <c r="H48" s="340"/>
      <c r="I48" s="340"/>
      <c r="J48" s="340"/>
      <c r="K48" s="340"/>
    </row>
    <row r="49" spans="2:2" s="339" customFormat="1">
      <c r="B49" s="659"/>
    </row>
    <row r="50" spans="2:2" s="339" customFormat="1">
      <c r="B50" s="659"/>
    </row>
    <row r="51" spans="2:2" s="339" customFormat="1">
      <c r="B51" s="659"/>
    </row>
    <row r="52" spans="2:2" s="339" customFormat="1">
      <c r="B52" s="659"/>
    </row>
    <row r="53" spans="2:2" s="339" customFormat="1">
      <c r="B53" s="659"/>
    </row>
    <row r="54" spans="2:2" s="339" customFormat="1">
      <c r="B54" s="659"/>
    </row>
    <row r="55" spans="2:2" s="339" customFormat="1">
      <c r="B55" s="659"/>
    </row>
    <row r="56" spans="2:2" s="339" customFormat="1">
      <c r="B56" s="659"/>
    </row>
    <row r="57" spans="2:2" s="339" customFormat="1">
      <c r="B57" s="659"/>
    </row>
    <row r="58" spans="2:2" s="339" customFormat="1">
      <c r="B58" s="659"/>
    </row>
    <row r="59" spans="2:2" s="339" customFormat="1">
      <c r="B59" s="659"/>
    </row>
    <row r="60" spans="2:2" s="339" customFormat="1">
      <c r="B60" s="659"/>
    </row>
    <row r="61" spans="2:2" s="339" customFormat="1">
      <c r="B61" s="659"/>
    </row>
    <row r="62" spans="2:2" s="339" customFormat="1">
      <c r="B62" s="659"/>
    </row>
    <row r="63" spans="2:2" s="339" customFormat="1">
      <c r="B63" s="659"/>
    </row>
    <row r="64" spans="2:2" s="339" customFormat="1">
      <c r="B64" s="659"/>
    </row>
    <row r="65" spans="2:2" s="339" customFormat="1">
      <c r="B65" s="659"/>
    </row>
    <row r="66" spans="2:2" s="339" customFormat="1">
      <c r="B66" s="659"/>
    </row>
    <row r="67" spans="2:2" s="339" customFormat="1">
      <c r="B67" s="659"/>
    </row>
    <row r="68" spans="2:2" s="339" customFormat="1">
      <c r="B68" s="659"/>
    </row>
    <row r="69" spans="2:2" s="339" customFormat="1">
      <c r="B69" s="659"/>
    </row>
    <row r="70" spans="2:2" s="339" customFormat="1">
      <c r="B70" s="659"/>
    </row>
    <row r="71" spans="2:2" s="339" customFormat="1">
      <c r="B71" s="659"/>
    </row>
    <row r="72" spans="2:2" s="339" customFormat="1">
      <c r="B72" s="659"/>
    </row>
    <row r="73" spans="2:2" s="339" customFormat="1">
      <c r="B73" s="659"/>
    </row>
    <row r="74" spans="2:2" s="339" customFormat="1">
      <c r="B74" s="659"/>
    </row>
    <row r="75" spans="2:2" s="339" customFormat="1">
      <c r="B75" s="659"/>
    </row>
    <row r="76" spans="2:2" s="339" customFormat="1">
      <c r="B76" s="659"/>
    </row>
    <row r="77" spans="2:2" s="339" customFormat="1">
      <c r="B77" s="659"/>
    </row>
    <row r="78" spans="2:2" s="339" customFormat="1">
      <c r="B78" s="659"/>
    </row>
    <row r="79" spans="2:2" s="339" customFormat="1">
      <c r="B79" s="659"/>
    </row>
    <row r="80" spans="2:2" s="339" customFormat="1">
      <c r="B80" s="659"/>
    </row>
    <row r="81" spans="2:2" s="339" customFormat="1">
      <c r="B81" s="659"/>
    </row>
    <row r="82" spans="2:2" s="339" customFormat="1">
      <c r="B82" s="659"/>
    </row>
    <row r="83" spans="2:2" s="339" customFormat="1">
      <c r="B83" s="659"/>
    </row>
    <row r="84" spans="2:2" s="339" customFormat="1">
      <c r="B84" s="659"/>
    </row>
    <row r="85" spans="2:2" s="339" customFormat="1">
      <c r="B85" s="659"/>
    </row>
    <row r="86" spans="2:2" s="339" customFormat="1">
      <c r="B86" s="659"/>
    </row>
    <row r="87" spans="2:2" s="339" customFormat="1">
      <c r="B87" s="659"/>
    </row>
    <row r="88" spans="2:2" s="339" customFormat="1">
      <c r="B88" s="659"/>
    </row>
    <row r="89" spans="2:2" s="339" customFormat="1">
      <c r="B89" s="659"/>
    </row>
    <row r="90" spans="2:2" s="339" customFormat="1">
      <c r="B90" s="659"/>
    </row>
    <row r="91" spans="2:2" s="339" customFormat="1">
      <c r="B91" s="659"/>
    </row>
    <row r="92" spans="2:2" s="339" customFormat="1">
      <c r="B92" s="659"/>
    </row>
    <row r="93" spans="2:2" s="339" customFormat="1">
      <c r="B93" s="659"/>
    </row>
    <row r="94" spans="2:2" s="339" customFormat="1">
      <c r="B94" s="659"/>
    </row>
    <row r="95" spans="2:2" s="339" customFormat="1">
      <c r="B95" s="659"/>
    </row>
    <row r="96" spans="2:2" s="339" customFormat="1">
      <c r="B96" s="659"/>
    </row>
    <row r="97" spans="2:2" s="339" customFormat="1">
      <c r="B97" s="659"/>
    </row>
    <row r="98" spans="2:2" s="339" customFormat="1">
      <c r="B98" s="659"/>
    </row>
    <row r="99" spans="2:2" s="339" customFormat="1">
      <c r="B99" s="659"/>
    </row>
    <row r="100" spans="2:2" s="339" customFormat="1">
      <c r="B100" s="659"/>
    </row>
    <row r="101" spans="2:2" s="339" customFormat="1">
      <c r="B101" s="659"/>
    </row>
    <row r="102" spans="2:2" s="339" customFormat="1">
      <c r="B102" s="659"/>
    </row>
    <row r="103" spans="2:2" s="339" customFormat="1">
      <c r="B103" s="659"/>
    </row>
    <row r="104" spans="2:2" s="339" customFormat="1">
      <c r="B104" s="659"/>
    </row>
    <row r="105" spans="2:2" s="339" customFormat="1">
      <c r="B105" s="659"/>
    </row>
    <row r="106" spans="2:2" s="339" customFormat="1">
      <c r="B106" s="659"/>
    </row>
    <row r="107" spans="2:2" s="339" customFormat="1">
      <c r="B107" s="659"/>
    </row>
    <row r="108" spans="2:2" s="339" customFormat="1">
      <c r="B108" s="659"/>
    </row>
    <row r="109" spans="2:2" s="339" customFormat="1">
      <c r="B109" s="659"/>
    </row>
    <row r="110" spans="2:2" s="339" customFormat="1">
      <c r="B110" s="659"/>
    </row>
    <row r="111" spans="2:2" s="339" customFormat="1">
      <c r="B111" s="659"/>
    </row>
    <row r="112" spans="2:2" s="339" customFormat="1">
      <c r="B112" s="659"/>
    </row>
    <row r="113" spans="2:2" s="339" customFormat="1">
      <c r="B113" s="659"/>
    </row>
    <row r="114" spans="2:2" s="339" customFormat="1">
      <c r="B114" s="659"/>
    </row>
    <row r="115" spans="2:2" s="339" customFormat="1">
      <c r="B115" s="659"/>
    </row>
    <row r="116" spans="2:2" s="339" customFormat="1">
      <c r="B116" s="659"/>
    </row>
    <row r="117" spans="2:2" s="339" customFormat="1">
      <c r="B117" s="659"/>
    </row>
    <row r="118" spans="2:2" s="339" customFormat="1">
      <c r="B118" s="659"/>
    </row>
    <row r="119" spans="2:2" s="339" customFormat="1">
      <c r="B119" s="659"/>
    </row>
    <row r="120" spans="2:2" s="339" customFormat="1">
      <c r="B120" s="659"/>
    </row>
    <row r="121" spans="2:2" s="339" customFormat="1">
      <c r="B121" s="659"/>
    </row>
    <row r="122" spans="2:2" s="339" customFormat="1">
      <c r="B122" s="659"/>
    </row>
    <row r="123" spans="2:2" s="339" customFormat="1">
      <c r="B123" s="659"/>
    </row>
    <row r="124" spans="2:2" s="339" customFormat="1">
      <c r="B124" s="659"/>
    </row>
    <row r="125" spans="2:2" s="339" customFormat="1">
      <c r="B125" s="659"/>
    </row>
    <row r="126" spans="2:2" s="339" customFormat="1">
      <c r="B126" s="659"/>
    </row>
    <row r="127" spans="2:2" s="339" customFormat="1">
      <c r="B127" s="659"/>
    </row>
    <row r="128" spans="2:2" s="339" customFormat="1">
      <c r="B128" s="659"/>
    </row>
    <row r="129" spans="2:2" s="339" customFormat="1">
      <c r="B129" s="659"/>
    </row>
    <row r="130" spans="2:2" s="339" customFormat="1">
      <c r="B130" s="659"/>
    </row>
    <row r="131" spans="2:2" s="339" customFormat="1">
      <c r="B131" s="659"/>
    </row>
    <row r="132" spans="2:2" s="339" customFormat="1">
      <c r="B132" s="659"/>
    </row>
    <row r="133" spans="2:2" s="339" customFormat="1">
      <c r="B133" s="659"/>
    </row>
    <row r="134" spans="2:2" s="339" customFormat="1">
      <c r="B134" s="659"/>
    </row>
    <row r="135" spans="2:2" s="339" customFormat="1">
      <c r="B135" s="659"/>
    </row>
    <row r="136" spans="2:2" s="339" customFormat="1">
      <c r="B136" s="659"/>
    </row>
    <row r="137" spans="2:2" s="339" customFormat="1">
      <c r="B137" s="659"/>
    </row>
    <row r="138" spans="2:2" s="339" customFormat="1">
      <c r="B138" s="659"/>
    </row>
    <row r="139" spans="2:2" s="339" customFormat="1">
      <c r="B139" s="659"/>
    </row>
    <row r="140" spans="2:2" s="339" customFormat="1">
      <c r="B140" s="659"/>
    </row>
    <row r="141" spans="2:2" s="339" customFormat="1">
      <c r="B141" s="659"/>
    </row>
    <row r="142" spans="2:2" s="339" customFormat="1">
      <c r="B142" s="659"/>
    </row>
    <row r="143" spans="2:2" s="339" customFormat="1">
      <c r="B143" s="659"/>
    </row>
    <row r="144" spans="2:2" s="339" customFormat="1">
      <c r="B144" s="659"/>
    </row>
    <row r="145" spans="2:2" s="339" customFormat="1">
      <c r="B145" s="659"/>
    </row>
    <row r="146" spans="2:2" s="339" customFormat="1">
      <c r="B146" s="659"/>
    </row>
    <row r="147" spans="2:2" s="339" customFormat="1">
      <c r="B147" s="659"/>
    </row>
    <row r="148" spans="2:2" s="339" customFormat="1">
      <c r="B148" s="659"/>
    </row>
    <row r="149" spans="2:2" s="339" customFormat="1">
      <c r="B149" s="659"/>
    </row>
    <row r="150" spans="2:2" s="339" customFormat="1">
      <c r="B150" s="659"/>
    </row>
    <row r="151" spans="2:2" s="339" customFormat="1">
      <c r="B151" s="659"/>
    </row>
    <row r="152" spans="2:2" s="339" customFormat="1">
      <c r="B152" s="659"/>
    </row>
    <row r="153" spans="2:2" s="339" customFormat="1">
      <c r="B153" s="659"/>
    </row>
    <row r="154" spans="2:2" s="339" customFormat="1">
      <c r="B154" s="659"/>
    </row>
    <row r="155" spans="2:2" s="339" customFormat="1">
      <c r="B155" s="659"/>
    </row>
    <row r="156" spans="2:2" s="339" customFormat="1">
      <c r="B156" s="659"/>
    </row>
    <row r="157" spans="2:2" s="339" customFormat="1">
      <c r="B157" s="659"/>
    </row>
    <row r="158" spans="2:2" s="339" customFormat="1">
      <c r="B158" s="659"/>
    </row>
    <row r="159" spans="2:2" s="339" customFormat="1">
      <c r="B159" s="659"/>
    </row>
    <row r="160" spans="2:2" s="339" customFormat="1">
      <c r="B160" s="659"/>
    </row>
    <row r="161" spans="2:2" s="339" customFormat="1">
      <c r="B161" s="659"/>
    </row>
    <row r="162" spans="2:2" s="339" customFormat="1">
      <c r="B162" s="659"/>
    </row>
    <row r="163" spans="2:2" s="339" customFormat="1">
      <c r="B163" s="659"/>
    </row>
    <row r="164" spans="2:2" s="339" customFormat="1">
      <c r="B164" s="659"/>
    </row>
    <row r="165" spans="2:2" s="339" customFormat="1">
      <c r="B165" s="659"/>
    </row>
    <row r="166" spans="2:2" s="339" customFormat="1">
      <c r="B166" s="659"/>
    </row>
    <row r="167" spans="2:2" s="339" customFormat="1">
      <c r="B167" s="659"/>
    </row>
    <row r="168" spans="2:2" s="339" customFormat="1">
      <c r="B168" s="659"/>
    </row>
    <row r="169" spans="2:2" s="339" customFormat="1">
      <c r="B169" s="659"/>
    </row>
    <row r="170" spans="2:2" s="339" customFormat="1">
      <c r="B170" s="659"/>
    </row>
    <row r="171" spans="2:2" s="339" customFormat="1">
      <c r="B171" s="659"/>
    </row>
    <row r="172" spans="2:2" s="339" customFormat="1">
      <c r="B172" s="659"/>
    </row>
    <row r="173" spans="2:2" s="339" customFormat="1">
      <c r="B173" s="659"/>
    </row>
    <row r="174" spans="2:2" s="339" customFormat="1">
      <c r="B174" s="659"/>
    </row>
    <row r="175" spans="2:2" s="339" customFormat="1">
      <c r="B175" s="659"/>
    </row>
    <row r="176" spans="2:2" s="339" customFormat="1">
      <c r="B176" s="659"/>
    </row>
    <row r="177" spans="2:2" s="339" customFormat="1">
      <c r="B177" s="659"/>
    </row>
    <row r="178" spans="2:2" s="339" customFormat="1">
      <c r="B178" s="659"/>
    </row>
    <row r="179" spans="2:2" s="339" customFormat="1">
      <c r="B179" s="659"/>
    </row>
    <row r="180" spans="2:2" s="339" customFormat="1">
      <c r="B180" s="659"/>
    </row>
    <row r="181" spans="2:2" s="339" customFormat="1">
      <c r="B181" s="659"/>
    </row>
    <row r="182" spans="2:2" s="339" customFormat="1">
      <c r="B182" s="659"/>
    </row>
    <row r="183" spans="2:2" s="339" customFormat="1">
      <c r="B183" s="659"/>
    </row>
    <row r="184" spans="2:2" s="339" customFormat="1">
      <c r="B184" s="659"/>
    </row>
    <row r="185" spans="2:2" s="339" customFormat="1">
      <c r="B185" s="659"/>
    </row>
    <row r="186" spans="2:2" s="339" customFormat="1">
      <c r="B186" s="659"/>
    </row>
    <row r="187" spans="2:2" s="339" customFormat="1">
      <c r="B187" s="659"/>
    </row>
    <row r="188" spans="2:2" s="339" customFormat="1">
      <c r="B188" s="659"/>
    </row>
    <row r="189" spans="2:2" s="339" customFormat="1">
      <c r="B189" s="659"/>
    </row>
    <row r="190" spans="2:2" s="339" customFormat="1">
      <c r="B190" s="659"/>
    </row>
    <row r="191" spans="2:2" s="339" customFormat="1">
      <c r="B191" s="659"/>
    </row>
    <row r="192" spans="2:2" s="339" customFormat="1">
      <c r="B192" s="659"/>
    </row>
    <row r="193" spans="2:2" s="339" customFormat="1">
      <c r="B193" s="659"/>
    </row>
    <row r="194" spans="2:2" s="339" customFormat="1">
      <c r="B194" s="659"/>
    </row>
    <row r="195" spans="2:2" s="339" customFormat="1">
      <c r="B195" s="659"/>
    </row>
    <row r="196" spans="2:2" s="339" customFormat="1">
      <c r="B196" s="659"/>
    </row>
    <row r="197" spans="2:2" s="339" customFormat="1">
      <c r="B197" s="659"/>
    </row>
    <row r="198" spans="2:2" s="339" customFormat="1">
      <c r="B198" s="659"/>
    </row>
    <row r="199" spans="2:2" s="339" customFormat="1">
      <c r="B199" s="659"/>
    </row>
    <row r="200" spans="2:2" s="339" customFormat="1">
      <c r="B200" s="659"/>
    </row>
    <row r="201" spans="2:2" s="339" customFormat="1">
      <c r="B201" s="659"/>
    </row>
    <row r="202" spans="2:2" s="339" customFormat="1">
      <c r="B202" s="659"/>
    </row>
    <row r="203" spans="2:2" s="339" customFormat="1">
      <c r="B203" s="659"/>
    </row>
    <row r="204" spans="2:2" s="339" customFormat="1">
      <c r="B204" s="659"/>
    </row>
    <row r="205" spans="2:2" s="339" customFormat="1">
      <c r="B205" s="659"/>
    </row>
    <row r="206" spans="2:2" s="339" customFormat="1">
      <c r="B206" s="659"/>
    </row>
    <row r="207" spans="2:2" s="339" customFormat="1">
      <c r="B207" s="659"/>
    </row>
    <row r="208" spans="2:2" s="339" customFormat="1">
      <c r="B208" s="659"/>
    </row>
    <row r="209" spans="2:2" s="339" customFormat="1">
      <c r="B209" s="659"/>
    </row>
    <row r="210" spans="2:2" s="339" customFormat="1">
      <c r="B210" s="659"/>
    </row>
    <row r="211" spans="2:2" s="339" customFormat="1">
      <c r="B211" s="659"/>
    </row>
    <row r="212" spans="2:2" s="339" customFormat="1">
      <c r="B212" s="659"/>
    </row>
    <row r="213" spans="2:2" s="339" customFormat="1">
      <c r="B213" s="659"/>
    </row>
    <row r="214" spans="2:2" s="339" customFormat="1">
      <c r="B214" s="659"/>
    </row>
    <row r="215" spans="2:2" s="339" customFormat="1">
      <c r="B215" s="659"/>
    </row>
    <row r="216" spans="2:2" s="339" customFormat="1">
      <c r="B216" s="659"/>
    </row>
    <row r="217" spans="2:2" s="339" customFormat="1">
      <c r="B217" s="659"/>
    </row>
    <row r="218" spans="2:2" s="339" customFormat="1">
      <c r="B218" s="659"/>
    </row>
    <row r="219" spans="2:2" s="339" customFormat="1">
      <c r="B219" s="659"/>
    </row>
    <row r="220" spans="2:2" s="339" customFormat="1">
      <c r="B220" s="659"/>
    </row>
    <row r="221" spans="2:2" s="339" customFormat="1">
      <c r="B221" s="659"/>
    </row>
    <row r="222" spans="2:2" s="339" customFormat="1">
      <c r="B222" s="659"/>
    </row>
    <row r="223" spans="2:2" s="339" customFormat="1">
      <c r="B223" s="659"/>
    </row>
    <row r="224" spans="2:2" s="339" customFormat="1">
      <c r="B224" s="659"/>
    </row>
    <row r="225" spans="2:2" s="339" customFormat="1">
      <c r="B225" s="659"/>
    </row>
    <row r="226" spans="2:2" s="339" customFormat="1">
      <c r="B226" s="659"/>
    </row>
    <row r="227" spans="2:2" s="339" customFormat="1">
      <c r="B227" s="659"/>
    </row>
    <row r="228" spans="2:2" s="339" customFormat="1">
      <c r="B228" s="659"/>
    </row>
    <row r="229" spans="2:2" s="339" customFormat="1">
      <c r="B229" s="659"/>
    </row>
    <row r="230" spans="2:2" s="339" customFormat="1">
      <c r="B230" s="659"/>
    </row>
    <row r="231" spans="2:2" s="339" customFormat="1">
      <c r="B231" s="659"/>
    </row>
    <row r="232" spans="2:2" s="339" customFormat="1">
      <c r="B232" s="659"/>
    </row>
    <row r="233" spans="2:2" s="339" customFormat="1">
      <c r="B233" s="659"/>
    </row>
    <row r="234" spans="2:2" s="339" customFormat="1">
      <c r="B234" s="659"/>
    </row>
    <row r="235" spans="2:2" s="339" customFormat="1">
      <c r="B235" s="659"/>
    </row>
    <row r="236" spans="2:2" s="339" customFormat="1">
      <c r="B236" s="659"/>
    </row>
    <row r="237" spans="2:2" s="339" customFormat="1">
      <c r="B237" s="659"/>
    </row>
    <row r="238" spans="2:2" s="339" customFormat="1">
      <c r="B238" s="659"/>
    </row>
    <row r="239" spans="2:2" s="339" customFormat="1">
      <c r="B239" s="659"/>
    </row>
    <row r="240" spans="2:2" s="339" customFormat="1">
      <c r="B240" s="659"/>
    </row>
    <row r="241" spans="2:2" s="339" customFormat="1">
      <c r="B241" s="659"/>
    </row>
    <row r="242" spans="2:2" s="339" customFormat="1">
      <c r="B242" s="659"/>
    </row>
    <row r="243" spans="2:2" s="339" customFormat="1">
      <c r="B243" s="659"/>
    </row>
    <row r="244" spans="2:2" s="339" customFormat="1">
      <c r="B244" s="659"/>
    </row>
    <row r="245" spans="2:2" s="339" customFormat="1">
      <c r="B245" s="659"/>
    </row>
    <row r="246" spans="2:2" s="339" customFormat="1">
      <c r="B246" s="659"/>
    </row>
    <row r="247" spans="2:2" s="339" customFormat="1">
      <c r="B247" s="659"/>
    </row>
    <row r="248" spans="2:2" s="339" customFormat="1">
      <c r="B248" s="659"/>
    </row>
    <row r="249" spans="2:2" s="339" customFormat="1">
      <c r="B249" s="659"/>
    </row>
    <row r="250" spans="2:2" s="339" customFormat="1">
      <c r="B250" s="659"/>
    </row>
    <row r="251" spans="2:2" s="339" customFormat="1">
      <c r="B251" s="659"/>
    </row>
    <row r="252" spans="2:2" s="339" customFormat="1">
      <c r="B252" s="659"/>
    </row>
    <row r="253" spans="2:2" s="339" customFormat="1">
      <c r="B253" s="659"/>
    </row>
    <row r="254" spans="2:2" s="339" customFormat="1">
      <c r="B254" s="659"/>
    </row>
    <row r="255" spans="2:2" s="339" customFormat="1">
      <c r="B255" s="659"/>
    </row>
    <row r="256" spans="2:2" s="339" customFormat="1">
      <c r="B256" s="659"/>
    </row>
    <row r="257" spans="2:2" s="339" customFormat="1">
      <c r="B257" s="659"/>
    </row>
    <row r="258" spans="2:2" s="339" customFormat="1">
      <c r="B258" s="659"/>
    </row>
    <row r="259" spans="2:2" s="339" customFormat="1">
      <c r="B259" s="659"/>
    </row>
    <row r="260" spans="2:2" s="339" customFormat="1">
      <c r="B260" s="659"/>
    </row>
    <row r="261" spans="2:2" s="339" customFormat="1">
      <c r="B261" s="659"/>
    </row>
    <row r="262" spans="2:2" s="339" customFormat="1">
      <c r="B262" s="659"/>
    </row>
    <row r="263" spans="2:2" s="339" customFormat="1">
      <c r="B263" s="659"/>
    </row>
    <row r="264" spans="2:2" s="339" customFormat="1">
      <c r="B264" s="659"/>
    </row>
    <row r="265" spans="2:2" s="339" customFormat="1">
      <c r="B265" s="659"/>
    </row>
    <row r="266" spans="2:2" s="339" customFormat="1">
      <c r="B266" s="659"/>
    </row>
    <row r="267" spans="2:2" s="339" customFormat="1">
      <c r="B267" s="659"/>
    </row>
    <row r="268" spans="2:2" s="339" customFormat="1">
      <c r="B268" s="659"/>
    </row>
    <row r="269" spans="2:2" s="339" customFormat="1">
      <c r="B269" s="659"/>
    </row>
    <row r="270" spans="2:2" s="339" customFormat="1">
      <c r="B270" s="659"/>
    </row>
    <row r="271" spans="2:2" s="339" customFormat="1">
      <c r="B271" s="659"/>
    </row>
    <row r="272" spans="2:2" s="339" customFormat="1">
      <c r="B272" s="659"/>
    </row>
    <row r="273" spans="2:2" s="339" customFormat="1">
      <c r="B273" s="659"/>
    </row>
    <row r="274" spans="2:2" s="339" customFormat="1">
      <c r="B274" s="659"/>
    </row>
    <row r="275" spans="2:2" s="339" customFormat="1">
      <c r="B275" s="659"/>
    </row>
    <row r="276" spans="2:2" s="339" customFormat="1">
      <c r="B276" s="659"/>
    </row>
    <row r="277" spans="2:2" s="339" customFormat="1">
      <c r="B277" s="659"/>
    </row>
    <row r="278" spans="2:2" s="339" customFormat="1">
      <c r="B278" s="659"/>
    </row>
    <row r="279" spans="2:2" s="339" customFormat="1">
      <c r="B279" s="659"/>
    </row>
    <row r="280" spans="2:2" s="339" customFormat="1">
      <c r="B280" s="659"/>
    </row>
    <row r="281" spans="2:2" s="339" customFormat="1">
      <c r="B281" s="659"/>
    </row>
    <row r="282" spans="2:2" s="339" customFormat="1">
      <c r="B282" s="659"/>
    </row>
    <row r="283" spans="2:2" s="339" customFormat="1">
      <c r="B283" s="659"/>
    </row>
    <row r="284" spans="2:2" s="339" customFormat="1">
      <c r="B284" s="659"/>
    </row>
    <row r="285" spans="2:2" s="339" customFormat="1">
      <c r="B285" s="659"/>
    </row>
    <row r="286" spans="2:2" s="339" customFormat="1">
      <c r="B286" s="659"/>
    </row>
    <row r="287" spans="2:2" s="339" customFormat="1">
      <c r="B287" s="659"/>
    </row>
    <row r="288" spans="2:2" s="339" customFormat="1">
      <c r="B288" s="659"/>
    </row>
    <row r="289" spans="2:2" s="339" customFormat="1">
      <c r="B289" s="659"/>
    </row>
    <row r="290" spans="2:2" s="339" customFormat="1">
      <c r="B290" s="659"/>
    </row>
    <row r="291" spans="2:2" s="339" customFormat="1">
      <c r="B291" s="659"/>
    </row>
    <row r="292" spans="2:2" s="339" customFormat="1">
      <c r="B292" s="659"/>
    </row>
    <row r="293" spans="2:2" s="339" customFormat="1">
      <c r="B293" s="659"/>
    </row>
    <row r="294" spans="2:2" s="339" customFormat="1">
      <c r="B294" s="659"/>
    </row>
    <row r="295" spans="2:2" s="339" customFormat="1">
      <c r="B295" s="659"/>
    </row>
    <row r="296" spans="2:2" s="339" customFormat="1">
      <c r="B296" s="659"/>
    </row>
    <row r="297" spans="2:2" s="339" customFormat="1">
      <c r="B297" s="659"/>
    </row>
    <row r="298" spans="2:2" s="339" customFormat="1">
      <c r="B298" s="659"/>
    </row>
    <row r="299" spans="2:2" s="339" customFormat="1">
      <c r="B299" s="659"/>
    </row>
    <row r="300" spans="2:2" s="339" customFormat="1">
      <c r="B300" s="659"/>
    </row>
    <row r="301" spans="2:2" s="339" customFormat="1">
      <c r="B301" s="659"/>
    </row>
    <row r="302" spans="2:2" s="339" customFormat="1">
      <c r="B302" s="659"/>
    </row>
    <row r="303" spans="2:2" s="339" customFormat="1">
      <c r="B303" s="659"/>
    </row>
    <row r="304" spans="2:2" s="339" customFormat="1">
      <c r="B304" s="659"/>
    </row>
    <row r="305" spans="2:2" s="339" customFormat="1">
      <c r="B305" s="659"/>
    </row>
    <row r="306" spans="2:2" s="339" customFormat="1">
      <c r="B306" s="659"/>
    </row>
    <row r="307" spans="2:2" s="339" customFormat="1">
      <c r="B307" s="659"/>
    </row>
    <row r="308" spans="2:2" s="339" customFormat="1">
      <c r="B308" s="659"/>
    </row>
    <row r="309" spans="2:2" s="339" customFormat="1">
      <c r="B309" s="659"/>
    </row>
    <row r="310" spans="2:2" s="339" customFormat="1">
      <c r="B310" s="659"/>
    </row>
    <row r="311" spans="2:2" s="339" customFormat="1">
      <c r="B311" s="659"/>
    </row>
    <row r="312" spans="2:2" s="339" customFormat="1">
      <c r="B312" s="659"/>
    </row>
    <row r="313" spans="2:2" s="339" customFormat="1">
      <c r="B313" s="659"/>
    </row>
    <row r="314" spans="2:2" s="339" customFormat="1">
      <c r="B314" s="659"/>
    </row>
    <row r="315" spans="2:2" s="339" customFormat="1">
      <c r="B315" s="659"/>
    </row>
    <row r="316" spans="2:2" s="339" customFormat="1">
      <c r="B316" s="659"/>
    </row>
    <row r="317" spans="2:2" s="339" customFormat="1">
      <c r="B317" s="659"/>
    </row>
    <row r="318" spans="2:2" s="339" customFormat="1">
      <c r="B318" s="659"/>
    </row>
    <row r="319" spans="2:2" s="339" customFormat="1">
      <c r="B319" s="659"/>
    </row>
    <row r="320" spans="2:2" s="339" customFormat="1">
      <c r="B320" s="659"/>
    </row>
    <row r="321" spans="2:2" s="339" customFormat="1">
      <c r="B321" s="659"/>
    </row>
    <row r="322" spans="2:2" s="339" customFormat="1">
      <c r="B322" s="659"/>
    </row>
    <row r="323" spans="2:2" s="339" customFormat="1">
      <c r="B323" s="659"/>
    </row>
    <row r="324" spans="2:2" s="339" customFormat="1">
      <c r="B324" s="659"/>
    </row>
    <row r="325" spans="2:2" s="339" customFormat="1">
      <c r="B325" s="659"/>
    </row>
    <row r="326" spans="2:2" s="339" customFormat="1">
      <c r="B326" s="659"/>
    </row>
    <row r="327" spans="2:2" s="339" customFormat="1">
      <c r="B327" s="659"/>
    </row>
    <row r="328" spans="2:2" s="339" customFormat="1">
      <c r="B328" s="659"/>
    </row>
    <row r="329" spans="2:2" s="339" customFormat="1">
      <c r="B329" s="659"/>
    </row>
    <row r="330" spans="2:2" s="339" customFormat="1">
      <c r="B330" s="659"/>
    </row>
    <row r="331" spans="2:2" s="339" customFormat="1">
      <c r="B331" s="659"/>
    </row>
    <row r="332" spans="2:2" s="339" customFormat="1">
      <c r="B332" s="659"/>
    </row>
    <row r="333" spans="2:2" s="339" customFormat="1">
      <c r="B333" s="659"/>
    </row>
    <row r="334" spans="2:2" s="339" customFormat="1">
      <c r="B334" s="659"/>
    </row>
    <row r="335" spans="2:2" s="339" customFormat="1">
      <c r="B335" s="659"/>
    </row>
    <row r="336" spans="2:2" s="339" customFormat="1">
      <c r="B336" s="659"/>
    </row>
    <row r="337" spans="2:2" s="339" customFormat="1">
      <c r="B337" s="659"/>
    </row>
    <row r="338" spans="2:2" s="339" customFormat="1">
      <c r="B338" s="659"/>
    </row>
    <row r="339" spans="2:2" s="339" customFormat="1">
      <c r="B339" s="659"/>
    </row>
    <row r="340" spans="2:2" s="339" customFormat="1">
      <c r="B340" s="659"/>
    </row>
    <row r="341" spans="2:2" s="339" customFormat="1">
      <c r="B341" s="659"/>
    </row>
    <row r="342" spans="2:2" s="339" customFormat="1">
      <c r="B342" s="659"/>
    </row>
    <row r="343" spans="2:2" s="339" customFormat="1">
      <c r="B343" s="659"/>
    </row>
    <row r="344" spans="2:2" s="339" customFormat="1">
      <c r="B344" s="659"/>
    </row>
    <row r="345" spans="2:2" s="339" customFormat="1">
      <c r="B345" s="659"/>
    </row>
    <row r="346" spans="2:2" s="339" customFormat="1">
      <c r="B346" s="659"/>
    </row>
    <row r="347" spans="2:2" s="339" customFormat="1">
      <c r="B347" s="659"/>
    </row>
    <row r="348" spans="2:2" s="339" customFormat="1">
      <c r="B348" s="659"/>
    </row>
    <row r="349" spans="2:2" s="339" customFormat="1">
      <c r="B349" s="659"/>
    </row>
    <row r="350" spans="2:2" s="339" customFormat="1">
      <c r="B350" s="659"/>
    </row>
    <row r="351" spans="2:2" s="339" customFormat="1">
      <c r="B351" s="659"/>
    </row>
    <row r="352" spans="2:2" s="339" customFormat="1">
      <c r="B352" s="659"/>
    </row>
    <row r="353" spans="2:2" s="339" customFormat="1">
      <c r="B353" s="659"/>
    </row>
    <row r="354" spans="2:2" s="339" customFormat="1">
      <c r="B354" s="659"/>
    </row>
    <row r="355" spans="2:2" s="339" customFormat="1">
      <c r="B355" s="659"/>
    </row>
    <row r="356" spans="2:2" s="339" customFormat="1">
      <c r="B356" s="659"/>
    </row>
    <row r="357" spans="2:2" s="339" customFormat="1">
      <c r="B357" s="659"/>
    </row>
    <row r="358" spans="2:2" s="339" customFormat="1">
      <c r="B358" s="659"/>
    </row>
    <row r="359" spans="2:2" s="339" customFormat="1">
      <c r="B359" s="659"/>
    </row>
    <row r="360" spans="2:2" s="339" customFormat="1">
      <c r="B360" s="659"/>
    </row>
    <row r="361" spans="2:2" s="339" customFormat="1">
      <c r="B361" s="659"/>
    </row>
    <row r="362" spans="2:2" s="339" customFormat="1">
      <c r="B362" s="659"/>
    </row>
    <row r="363" spans="2:2" s="339" customFormat="1">
      <c r="B363" s="659"/>
    </row>
    <row r="364" spans="2:2" s="339" customFormat="1">
      <c r="B364" s="659"/>
    </row>
    <row r="365" spans="2:2" s="339" customFormat="1">
      <c r="B365" s="659"/>
    </row>
    <row r="366" spans="2:2" s="339" customFormat="1">
      <c r="B366" s="659"/>
    </row>
    <row r="367" spans="2:2" s="339" customFormat="1">
      <c r="B367" s="659"/>
    </row>
    <row r="368" spans="2:2" s="339" customFormat="1">
      <c r="B368" s="659"/>
    </row>
    <row r="369" spans="2:2" s="339" customFormat="1">
      <c r="B369" s="659"/>
    </row>
    <row r="370" spans="2:2" s="339" customFormat="1">
      <c r="B370" s="659"/>
    </row>
    <row r="371" spans="2:2" s="339" customFormat="1">
      <c r="B371" s="659"/>
    </row>
    <row r="372" spans="2:2" s="339" customFormat="1">
      <c r="B372" s="659"/>
    </row>
    <row r="373" spans="2:2" s="339" customFormat="1">
      <c r="B373" s="659"/>
    </row>
    <row r="374" spans="2:2" s="339" customFormat="1">
      <c r="B374" s="659"/>
    </row>
    <row r="375" spans="2:2" s="339" customFormat="1">
      <c r="B375" s="659"/>
    </row>
    <row r="376" spans="2:2" s="339" customFormat="1">
      <c r="B376" s="659"/>
    </row>
    <row r="377" spans="2:2" s="339" customFormat="1">
      <c r="B377" s="659"/>
    </row>
    <row r="378" spans="2:2" s="339" customFormat="1">
      <c r="B378" s="659"/>
    </row>
    <row r="379" spans="2:2" s="339" customFormat="1">
      <c r="B379" s="659"/>
    </row>
    <row r="380" spans="2:2" s="339" customFormat="1">
      <c r="B380" s="659"/>
    </row>
    <row r="381" spans="2:2" s="339" customFormat="1">
      <c r="B381" s="659"/>
    </row>
    <row r="382" spans="2:2" s="339" customFormat="1">
      <c r="B382" s="659"/>
    </row>
    <row r="383" spans="2:2" s="339" customFormat="1">
      <c r="B383" s="659"/>
    </row>
    <row r="384" spans="2:2" s="339" customFormat="1">
      <c r="B384" s="659"/>
    </row>
    <row r="385" spans="2:2" s="339" customFormat="1">
      <c r="B385" s="659"/>
    </row>
    <row r="386" spans="2:2" s="339" customFormat="1">
      <c r="B386" s="659"/>
    </row>
    <row r="387" spans="2:2" s="339" customFormat="1">
      <c r="B387" s="659"/>
    </row>
    <row r="388" spans="2:2" s="339" customFormat="1">
      <c r="B388" s="659"/>
    </row>
    <row r="389" spans="2:2" s="339" customFormat="1">
      <c r="B389" s="659"/>
    </row>
    <row r="390" spans="2:2" s="339" customFormat="1">
      <c r="B390" s="659"/>
    </row>
    <row r="391" spans="2:2" s="339" customFormat="1">
      <c r="B391" s="659"/>
    </row>
    <row r="392" spans="2:2" s="339" customFormat="1">
      <c r="B392" s="659"/>
    </row>
    <row r="393" spans="2:2" s="339" customFormat="1">
      <c r="B393" s="659"/>
    </row>
    <row r="394" spans="2:2" s="339" customFormat="1">
      <c r="B394" s="659"/>
    </row>
    <row r="395" spans="2:2" s="339" customFormat="1">
      <c r="B395" s="659"/>
    </row>
    <row r="396" spans="2:2" s="339" customFormat="1">
      <c r="B396" s="659"/>
    </row>
    <row r="397" spans="2:2" s="339" customFormat="1">
      <c r="B397" s="659"/>
    </row>
    <row r="398" spans="2:2" s="339" customFormat="1">
      <c r="B398" s="659"/>
    </row>
    <row r="399" spans="2:2" s="339" customFormat="1">
      <c r="B399" s="659"/>
    </row>
    <row r="400" spans="2:2" s="339" customFormat="1">
      <c r="B400" s="659"/>
    </row>
    <row r="401" spans="2:2" s="339" customFormat="1">
      <c r="B401" s="659"/>
    </row>
    <row r="402" spans="2:2" s="339" customFormat="1">
      <c r="B402" s="659"/>
    </row>
    <row r="403" spans="2:2" s="339" customFormat="1">
      <c r="B403" s="659"/>
    </row>
    <row r="404" spans="2:2" s="339" customFormat="1">
      <c r="B404" s="659"/>
    </row>
    <row r="405" spans="2:2" s="339" customFormat="1">
      <c r="B405" s="659"/>
    </row>
    <row r="406" spans="2:2" s="339" customFormat="1">
      <c r="B406" s="659"/>
    </row>
    <row r="407" spans="2:2" s="339" customFormat="1">
      <c r="B407" s="659"/>
    </row>
    <row r="408" spans="2:2" s="339" customFormat="1">
      <c r="B408" s="659"/>
    </row>
    <row r="409" spans="2:2" s="339" customFormat="1">
      <c r="B409" s="659"/>
    </row>
    <row r="410" spans="2:2" s="339" customFormat="1">
      <c r="B410" s="659"/>
    </row>
    <row r="411" spans="2:2" s="339" customFormat="1">
      <c r="B411" s="659"/>
    </row>
    <row r="412" spans="2:2" s="339" customFormat="1">
      <c r="B412" s="659"/>
    </row>
    <row r="413" spans="2:2" s="339" customFormat="1">
      <c r="B413" s="659"/>
    </row>
    <row r="414" spans="2:2" s="339" customFormat="1">
      <c r="B414" s="659"/>
    </row>
    <row r="415" spans="2:2" s="339" customFormat="1">
      <c r="B415" s="659"/>
    </row>
    <row r="416" spans="2:2" s="339" customFormat="1">
      <c r="B416" s="659"/>
    </row>
    <row r="417" spans="2:2" s="339" customFormat="1">
      <c r="B417" s="659"/>
    </row>
    <row r="418" spans="2:2" s="339" customFormat="1">
      <c r="B418" s="659"/>
    </row>
    <row r="419" spans="2:2" s="339" customFormat="1">
      <c r="B419" s="659"/>
    </row>
    <row r="420" spans="2:2" s="339" customFormat="1">
      <c r="B420" s="659"/>
    </row>
    <row r="421" spans="2:2" s="339" customFormat="1">
      <c r="B421" s="659"/>
    </row>
    <row r="422" spans="2:2" s="339" customFormat="1">
      <c r="B422" s="659"/>
    </row>
    <row r="423" spans="2:2" s="339" customFormat="1">
      <c r="B423" s="659"/>
    </row>
    <row r="424" spans="2:2" s="339" customFormat="1">
      <c r="B424" s="659"/>
    </row>
    <row r="425" spans="2:2" s="339" customFormat="1">
      <c r="B425" s="659"/>
    </row>
    <row r="426" spans="2:2" s="339" customFormat="1">
      <c r="B426" s="659"/>
    </row>
    <row r="427" spans="2:2" s="339" customFormat="1">
      <c r="B427" s="659"/>
    </row>
    <row r="428" spans="2:2" s="339" customFormat="1">
      <c r="B428" s="659"/>
    </row>
    <row r="429" spans="2:2" s="339" customFormat="1">
      <c r="B429" s="659"/>
    </row>
    <row r="430" spans="2:2" s="339" customFormat="1">
      <c r="B430" s="659"/>
    </row>
    <row r="431" spans="2:2" s="339" customFormat="1">
      <c r="B431" s="659"/>
    </row>
    <row r="432" spans="2:2" s="339" customFormat="1">
      <c r="B432" s="659"/>
    </row>
    <row r="433" spans="2:2" s="339" customFormat="1">
      <c r="B433" s="659"/>
    </row>
    <row r="434" spans="2:2" s="339" customFormat="1">
      <c r="B434" s="659"/>
    </row>
    <row r="435" spans="2:2" s="339" customFormat="1">
      <c r="B435" s="659"/>
    </row>
    <row r="436" spans="2:2" s="339" customFormat="1">
      <c r="B436" s="659"/>
    </row>
    <row r="437" spans="2:2" s="339" customFormat="1">
      <c r="B437" s="659"/>
    </row>
    <row r="438" spans="2:2" s="339" customFormat="1">
      <c r="B438" s="659"/>
    </row>
    <row r="439" spans="2:2" s="339" customFormat="1">
      <c r="B439" s="659"/>
    </row>
    <row r="440" spans="2:2" s="339" customFormat="1">
      <c r="B440" s="659"/>
    </row>
    <row r="441" spans="2:2" s="339" customFormat="1">
      <c r="B441" s="659"/>
    </row>
    <row r="442" spans="2:2" s="339" customFormat="1">
      <c r="B442" s="659"/>
    </row>
    <row r="443" spans="2:2" s="339" customFormat="1">
      <c r="B443" s="659"/>
    </row>
    <row r="444" spans="2:2" s="339" customFormat="1">
      <c r="B444" s="659"/>
    </row>
    <row r="445" spans="2:2" s="339" customFormat="1">
      <c r="B445" s="659"/>
    </row>
    <row r="446" spans="2:2" s="339" customFormat="1">
      <c r="B446" s="659"/>
    </row>
    <row r="447" spans="2:2" s="339" customFormat="1">
      <c r="B447" s="659"/>
    </row>
    <row r="448" spans="2:2" s="339" customFormat="1">
      <c r="B448" s="659"/>
    </row>
    <row r="449" spans="2:2" s="339" customFormat="1">
      <c r="B449" s="659"/>
    </row>
    <row r="450" spans="2:2" s="339" customFormat="1">
      <c r="B450" s="659"/>
    </row>
    <row r="451" spans="2:2" s="339" customFormat="1">
      <c r="B451" s="659"/>
    </row>
    <row r="452" spans="2:2" s="339" customFormat="1">
      <c r="B452" s="659"/>
    </row>
    <row r="453" spans="2:2" s="339" customFormat="1">
      <c r="B453" s="659"/>
    </row>
    <row r="454" spans="2:2" s="339" customFormat="1">
      <c r="B454" s="659"/>
    </row>
    <row r="455" spans="2:2" s="339" customFormat="1">
      <c r="B455" s="659"/>
    </row>
    <row r="456" spans="2:2" s="339" customFormat="1">
      <c r="B456" s="659"/>
    </row>
    <row r="457" spans="2:2" s="339" customFormat="1">
      <c r="B457" s="659"/>
    </row>
    <row r="458" spans="2:2" s="339" customFormat="1">
      <c r="B458" s="659"/>
    </row>
    <row r="459" spans="2:2" s="339" customFormat="1">
      <c r="B459" s="659"/>
    </row>
    <row r="460" spans="2:2" s="339" customFormat="1">
      <c r="B460" s="659"/>
    </row>
    <row r="461" spans="2:2" s="339" customFormat="1">
      <c r="B461" s="659"/>
    </row>
    <row r="462" spans="2:2" s="339" customFormat="1">
      <c r="B462" s="659"/>
    </row>
    <row r="463" spans="2:2" s="339" customFormat="1">
      <c r="B463" s="659"/>
    </row>
    <row r="464" spans="2:2" s="339" customFormat="1">
      <c r="B464" s="659"/>
    </row>
    <row r="465" spans="2:2" s="339" customFormat="1">
      <c r="B465" s="659"/>
    </row>
    <row r="466" spans="2:2" s="339" customFormat="1">
      <c r="B466" s="659"/>
    </row>
    <row r="467" spans="2:2" s="339" customFormat="1">
      <c r="B467" s="659"/>
    </row>
    <row r="468" spans="2:2" s="339" customFormat="1">
      <c r="B468" s="659"/>
    </row>
    <row r="469" spans="2:2" s="339" customFormat="1">
      <c r="B469" s="659"/>
    </row>
    <row r="470" spans="2:2" s="339" customFormat="1">
      <c r="B470" s="659"/>
    </row>
    <row r="471" spans="2:2" s="339" customFormat="1">
      <c r="B471" s="659"/>
    </row>
    <row r="472" spans="2:2" s="339" customFormat="1">
      <c r="B472" s="659"/>
    </row>
    <row r="473" spans="2:2" s="339" customFormat="1">
      <c r="B473" s="659"/>
    </row>
    <row r="474" spans="2:2" s="339" customFormat="1">
      <c r="B474" s="659"/>
    </row>
    <row r="475" spans="2:2" s="339" customFormat="1">
      <c r="B475" s="659"/>
    </row>
    <row r="476" spans="2:2" s="339" customFormat="1">
      <c r="B476" s="659"/>
    </row>
    <row r="477" spans="2:2" s="339" customFormat="1">
      <c r="B477" s="659"/>
    </row>
    <row r="478" spans="2:2" s="339" customFormat="1">
      <c r="B478" s="659"/>
    </row>
    <row r="479" spans="2:2" s="339" customFormat="1">
      <c r="B479" s="659"/>
    </row>
    <row r="480" spans="2:2" s="339" customFormat="1">
      <c r="B480" s="659"/>
    </row>
    <row r="481" spans="2:2" s="339" customFormat="1">
      <c r="B481" s="659"/>
    </row>
    <row r="482" spans="2:2" s="339" customFormat="1">
      <c r="B482" s="659"/>
    </row>
    <row r="483" spans="2:2" s="339" customFormat="1">
      <c r="B483" s="659"/>
    </row>
    <row r="484" spans="2:2" s="339" customFormat="1">
      <c r="B484" s="659"/>
    </row>
    <row r="485" spans="2:2" s="339" customFormat="1">
      <c r="B485" s="659"/>
    </row>
    <row r="486" spans="2:2" s="339" customFormat="1">
      <c r="B486" s="659"/>
    </row>
    <row r="487" spans="2:2" s="339" customFormat="1">
      <c r="B487" s="659"/>
    </row>
    <row r="488" spans="2:2" s="339" customFormat="1">
      <c r="B488" s="659"/>
    </row>
    <row r="489" spans="2:2" s="339" customFormat="1">
      <c r="B489" s="659"/>
    </row>
    <row r="490" spans="2:2" s="339" customFormat="1">
      <c r="B490" s="659"/>
    </row>
    <row r="491" spans="2:2" s="339" customFormat="1">
      <c r="B491" s="659"/>
    </row>
    <row r="492" spans="2:2" s="339" customFormat="1">
      <c r="B492" s="659"/>
    </row>
    <row r="493" spans="2:2" s="339" customFormat="1">
      <c r="B493" s="659"/>
    </row>
    <row r="494" spans="2:2" s="339" customFormat="1">
      <c r="B494" s="659"/>
    </row>
    <row r="495" spans="2:2" s="339" customFormat="1">
      <c r="B495" s="659"/>
    </row>
    <row r="496" spans="2:2" s="339" customFormat="1">
      <c r="B496" s="659"/>
    </row>
    <row r="497" spans="2:2" s="339" customFormat="1">
      <c r="B497" s="659"/>
    </row>
    <row r="498" spans="2:2" s="339" customFormat="1">
      <c r="B498" s="659"/>
    </row>
    <row r="499" spans="2:2" s="339" customFormat="1">
      <c r="B499" s="659"/>
    </row>
    <row r="500" spans="2:2" s="339" customFormat="1">
      <c r="B500" s="659"/>
    </row>
    <row r="501" spans="2:2" s="339" customFormat="1">
      <c r="B501" s="659"/>
    </row>
    <row r="502" spans="2:2" s="339" customFormat="1">
      <c r="B502" s="659"/>
    </row>
    <row r="503" spans="2:2" s="339" customFormat="1">
      <c r="B503" s="659"/>
    </row>
    <row r="504" spans="2:2" s="339" customFormat="1">
      <c r="B504" s="659"/>
    </row>
    <row r="505" spans="2:2" s="339" customFormat="1">
      <c r="B505" s="659"/>
    </row>
    <row r="506" spans="2:2" s="339" customFormat="1">
      <c r="B506" s="659"/>
    </row>
    <row r="507" spans="2:2" s="339" customFormat="1">
      <c r="B507" s="659"/>
    </row>
    <row r="508" spans="2:2" s="339" customFormat="1">
      <c r="B508" s="659"/>
    </row>
    <row r="509" spans="2:2" s="339" customFormat="1">
      <c r="B509" s="659"/>
    </row>
    <row r="510" spans="2:2" s="339" customFormat="1">
      <c r="B510" s="659"/>
    </row>
    <row r="511" spans="2:2" s="339" customFormat="1">
      <c r="B511" s="659"/>
    </row>
    <row r="512" spans="2:2" s="339" customFormat="1">
      <c r="B512" s="659"/>
    </row>
    <row r="513" spans="2:2" s="339" customFormat="1">
      <c r="B513" s="659"/>
    </row>
    <row r="514" spans="2:2" s="339" customFormat="1">
      <c r="B514" s="659"/>
    </row>
    <row r="515" spans="2:2" s="339" customFormat="1">
      <c r="B515" s="659"/>
    </row>
    <row r="516" spans="2:2" s="339" customFormat="1">
      <c r="B516" s="659"/>
    </row>
    <row r="517" spans="2:2" s="339" customFormat="1">
      <c r="B517" s="659"/>
    </row>
    <row r="518" spans="2:2" s="339" customFormat="1">
      <c r="B518" s="659"/>
    </row>
    <row r="519" spans="2:2" s="339" customFormat="1">
      <c r="B519" s="659"/>
    </row>
    <row r="520" spans="2:2" s="339" customFormat="1">
      <c r="B520" s="659"/>
    </row>
    <row r="521" spans="2:2" s="339" customFormat="1">
      <c r="B521" s="659"/>
    </row>
    <row r="522" spans="2:2" s="339" customFormat="1">
      <c r="B522" s="659"/>
    </row>
    <row r="523" spans="2:2" s="339" customFormat="1">
      <c r="B523" s="659"/>
    </row>
    <row r="524" spans="2:2" s="339" customFormat="1">
      <c r="B524" s="659"/>
    </row>
    <row r="525" spans="2:2" s="339" customFormat="1">
      <c r="B525" s="659"/>
    </row>
    <row r="526" spans="2:2" s="339" customFormat="1">
      <c r="B526" s="659"/>
    </row>
    <row r="527" spans="2:2" s="339" customFormat="1">
      <c r="B527" s="659"/>
    </row>
    <row r="528" spans="2:2" s="339" customFormat="1">
      <c r="B528" s="659"/>
    </row>
    <row r="529" spans="2:2" s="339" customFormat="1">
      <c r="B529" s="659"/>
    </row>
    <row r="530" spans="2:2" s="339" customFormat="1">
      <c r="B530" s="659"/>
    </row>
    <row r="531" spans="2:2" s="339" customFormat="1">
      <c r="B531" s="659"/>
    </row>
    <row r="532" spans="2:2" s="339" customFormat="1">
      <c r="B532" s="659"/>
    </row>
    <row r="533" spans="2:2" s="339" customFormat="1">
      <c r="B533" s="659"/>
    </row>
    <row r="534" spans="2:2" s="339" customFormat="1">
      <c r="B534" s="659"/>
    </row>
    <row r="535" spans="2:2" s="339" customFormat="1">
      <c r="B535" s="659"/>
    </row>
    <row r="536" spans="2:2" s="339" customFormat="1">
      <c r="B536" s="659"/>
    </row>
    <row r="537" spans="2:2" s="339" customFormat="1">
      <c r="B537" s="659"/>
    </row>
    <row r="538" spans="2:2" s="339" customFormat="1">
      <c r="B538" s="659"/>
    </row>
    <row r="539" spans="2:2" s="339" customFormat="1">
      <c r="B539" s="659"/>
    </row>
    <row r="540" spans="2:2" s="339" customFormat="1">
      <c r="B540" s="659"/>
    </row>
    <row r="541" spans="2:2" s="339" customFormat="1">
      <c r="B541" s="659"/>
    </row>
    <row r="542" spans="2:2" s="339" customFormat="1">
      <c r="B542" s="659"/>
    </row>
    <row r="543" spans="2:2" s="339" customFormat="1">
      <c r="B543" s="659"/>
    </row>
    <row r="544" spans="2:2" s="339" customFormat="1">
      <c r="B544" s="659"/>
    </row>
    <row r="545" spans="2:2" s="339" customFormat="1">
      <c r="B545" s="659"/>
    </row>
    <row r="546" spans="2:2" s="339" customFormat="1">
      <c r="B546" s="659"/>
    </row>
    <row r="547" spans="2:2" s="339" customFormat="1">
      <c r="B547" s="659"/>
    </row>
    <row r="548" spans="2:2" s="339" customFormat="1">
      <c r="B548" s="659"/>
    </row>
    <row r="549" spans="2:2" s="339" customFormat="1">
      <c r="B549" s="659"/>
    </row>
    <row r="550" spans="2:2" s="339" customFormat="1">
      <c r="B550" s="659"/>
    </row>
    <row r="551" spans="2:2" s="339" customFormat="1">
      <c r="B551" s="659"/>
    </row>
    <row r="552" spans="2:2" s="339" customFormat="1">
      <c r="B552" s="659"/>
    </row>
    <row r="553" spans="2:2" s="339" customFormat="1">
      <c r="B553" s="659"/>
    </row>
    <row r="554" spans="2:2" s="339" customFormat="1">
      <c r="B554" s="659"/>
    </row>
    <row r="555" spans="2:2" s="339" customFormat="1">
      <c r="B555" s="659"/>
    </row>
    <row r="556" spans="2:2" s="339" customFormat="1">
      <c r="B556" s="659"/>
    </row>
    <row r="557" spans="2:2" s="339" customFormat="1">
      <c r="B557" s="659"/>
    </row>
    <row r="558" spans="2:2" s="339" customFormat="1">
      <c r="B558" s="659"/>
    </row>
    <row r="559" spans="2:2" s="339" customFormat="1">
      <c r="B559" s="659"/>
    </row>
    <row r="560" spans="2:2" s="339" customFormat="1">
      <c r="B560" s="659"/>
    </row>
    <row r="561" spans="2:2" s="339" customFormat="1">
      <c r="B561" s="659"/>
    </row>
    <row r="562" spans="2:2" s="339" customFormat="1">
      <c r="B562" s="659"/>
    </row>
    <row r="563" spans="2:2" s="339" customFormat="1">
      <c r="B563" s="659"/>
    </row>
    <row r="564" spans="2:2" s="339" customFormat="1">
      <c r="B564" s="659"/>
    </row>
    <row r="565" spans="2:2" s="339" customFormat="1">
      <c r="B565" s="659"/>
    </row>
    <row r="566" spans="2:2" s="339" customFormat="1">
      <c r="B566" s="659"/>
    </row>
    <row r="567" spans="2:2" s="339" customFormat="1">
      <c r="B567" s="659"/>
    </row>
    <row r="568" spans="2:2" s="339" customFormat="1">
      <c r="B568" s="659"/>
    </row>
    <row r="569" spans="2:2" s="339" customFormat="1">
      <c r="B569" s="659"/>
    </row>
    <row r="570" spans="2:2" s="339" customFormat="1">
      <c r="B570" s="659"/>
    </row>
    <row r="571" spans="2:2" s="339" customFormat="1">
      <c r="B571" s="659"/>
    </row>
    <row r="572" spans="2:2" s="339" customFormat="1">
      <c r="B572" s="659"/>
    </row>
    <row r="573" spans="2:2" s="339" customFormat="1">
      <c r="B573" s="659"/>
    </row>
    <row r="574" spans="2:2" s="339" customFormat="1">
      <c r="B574" s="659"/>
    </row>
    <row r="575" spans="2:2" s="339" customFormat="1">
      <c r="B575" s="659"/>
    </row>
    <row r="576" spans="2:2" s="339" customFormat="1">
      <c r="B576" s="659"/>
    </row>
    <row r="577" spans="2:2" s="339" customFormat="1">
      <c r="B577" s="659"/>
    </row>
    <row r="578" spans="2:2" s="339" customFormat="1">
      <c r="B578" s="659"/>
    </row>
    <row r="579" spans="2:2" s="339" customFormat="1">
      <c r="B579" s="659"/>
    </row>
    <row r="580" spans="2:2" s="339" customFormat="1">
      <c r="B580" s="659"/>
    </row>
    <row r="581" spans="2:2" s="339" customFormat="1">
      <c r="B581" s="659"/>
    </row>
    <row r="582" spans="2:2" s="339" customFormat="1">
      <c r="B582" s="659"/>
    </row>
    <row r="583" spans="2:2" s="339" customFormat="1">
      <c r="B583" s="659"/>
    </row>
    <row r="584" spans="2:2" s="339" customFormat="1">
      <c r="B584" s="659"/>
    </row>
    <row r="585" spans="2:2" s="339" customFormat="1">
      <c r="B585" s="659"/>
    </row>
    <row r="586" spans="2:2" s="339" customFormat="1">
      <c r="B586" s="659"/>
    </row>
    <row r="587" spans="2:2" s="339" customFormat="1">
      <c r="B587" s="659"/>
    </row>
    <row r="588" spans="2:2" s="339" customFormat="1">
      <c r="B588" s="659"/>
    </row>
    <row r="589" spans="2:2" s="339" customFormat="1">
      <c r="B589" s="659"/>
    </row>
    <row r="590" spans="2:2" s="339" customFormat="1">
      <c r="B590" s="659"/>
    </row>
    <row r="591" spans="2:2" s="339" customFormat="1">
      <c r="B591" s="659"/>
    </row>
    <row r="592" spans="2:2" s="339" customFormat="1">
      <c r="B592" s="659"/>
    </row>
    <row r="593" spans="2:2" s="339" customFormat="1">
      <c r="B593" s="659"/>
    </row>
    <row r="594" spans="2:2" s="339" customFormat="1">
      <c r="B594" s="659"/>
    </row>
    <row r="595" spans="2:2" s="339" customFormat="1">
      <c r="B595" s="659"/>
    </row>
  </sheetData>
  <mergeCells count="29">
    <mergeCell ref="P24:R24"/>
    <mergeCell ref="O11:S11"/>
    <mergeCell ref="O46:Q46"/>
    <mergeCell ref="F17:J17"/>
    <mergeCell ref="P17:S17"/>
    <mergeCell ref="C34:J34"/>
    <mergeCell ref="O37:T37"/>
    <mergeCell ref="O38:Q38"/>
    <mergeCell ref="F15:J15"/>
    <mergeCell ref="O41:Q41"/>
    <mergeCell ref="E16:K16"/>
    <mergeCell ref="O44:Q44"/>
    <mergeCell ref="C32:J32"/>
    <mergeCell ref="M31:T36"/>
    <mergeCell ref="P18:S20"/>
    <mergeCell ref="Q29:S29"/>
    <mergeCell ref="P23:S23"/>
    <mergeCell ref="P16:S16"/>
    <mergeCell ref="P21:S21"/>
    <mergeCell ref="P22:R22"/>
    <mergeCell ref="N12:S12"/>
    <mergeCell ref="O45:Q45"/>
    <mergeCell ref="O39:Q39"/>
    <mergeCell ref="C45:J45"/>
    <mergeCell ref="C44:J44"/>
    <mergeCell ref="C33:J33"/>
    <mergeCell ref="O40:Q40"/>
    <mergeCell ref="O42:S42"/>
    <mergeCell ref="O43:Q43"/>
  </mergeCells>
  <pageMargins left="0" right="0" top="0.78740157480314998" bottom="0.78740157480314998" header="0" footer="0"/>
  <pageSetup paperSize="143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6"/>
  <sheetViews>
    <sheetView zoomScale="120" zoomScaleNormal="12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13" sqref="A13:XFD13"/>
    </sheetView>
  </sheetViews>
  <sheetFormatPr defaultColWidth="9.140625" defaultRowHeight="12.75"/>
  <cols>
    <col min="1" max="1" width="8.85546875" style="765" customWidth="1"/>
    <col min="2" max="2" width="2" style="765" customWidth="1"/>
    <col min="3" max="3" width="12.85546875" style="765" customWidth="1"/>
    <col min="4" max="4" width="13.5703125" style="765" customWidth="1"/>
    <col min="5" max="5" width="13" style="765" customWidth="1"/>
    <col min="6" max="6" width="14" style="765" customWidth="1"/>
    <col min="7" max="7" width="14.140625" style="765" customWidth="1"/>
    <col min="8" max="8" width="15.28515625" style="765" customWidth="1"/>
    <col min="9" max="9" width="14.85546875" style="765" customWidth="1"/>
    <col min="10" max="10" width="15.85546875" style="765" customWidth="1"/>
    <col min="11" max="11" width="16" style="765" customWidth="1"/>
    <col min="12" max="12" width="15.28515625" style="765" customWidth="1"/>
    <col min="13" max="16384" width="9.140625" style="765"/>
  </cols>
  <sheetData>
    <row r="1" spans="1:14" s="303" customFormat="1" ht="15.75">
      <c r="C1" s="929"/>
      <c r="D1" s="929"/>
      <c r="E1" s="1753" t="s">
        <v>1426</v>
      </c>
      <c r="F1" s="1753"/>
      <c r="G1" s="1753"/>
      <c r="H1" s="1759" t="s">
        <v>808</v>
      </c>
      <c r="I1" s="1759"/>
      <c r="J1" s="1759"/>
      <c r="K1" s="929"/>
      <c r="L1" s="901" t="s">
        <v>346</v>
      </c>
    </row>
    <row r="2" spans="1:14" s="306" customFormat="1" ht="12">
      <c r="G2" s="814"/>
      <c r="L2" s="814" t="s">
        <v>41</v>
      </c>
    </row>
    <row r="3" spans="1:14" s="306" customFormat="1" ht="15.75" customHeight="1">
      <c r="A3" s="1761" t="s">
        <v>1694</v>
      </c>
      <c r="B3" s="1762"/>
      <c r="C3" s="1634" t="s">
        <v>878</v>
      </c>
      <c r="D3" s="1634" t="s">
        <v>2318</v>
      </c>
      <c r="E3" s="1706" t="s">
        <v>1481</v>
      </c>
      <c r="F3" s="1707"/>
      <c r="G3" s="1708"/>
      <c r="H3" s="1706" t="s">
        <v>251</v>
      </c>
      <c r="I3" s="1707"/>
      <c r="J3" s="1708"/>
      <c r="K3" s="1634" t="s">
        <v>1367</v>
      </c>
      <c r="L3" s="1634" t="s">
        <v>1603</v>
      </c>
    </row>
    <row r="4" spans="1:14" s="306" customFormat="1" ht="15" customHeight="1">
      <c r="A4" s="1763"/>
      <c r="B4" s="1764"/>
      <c r="C4" s="1635"/>
      <c r="D4" s="1635"/>
      <c r="E4" s="1358" t="s">
        <v>758</v>
      </c>
      <c r="F4" s="1358" t="s">
        <v>872</v>
      </c>
      <c r="G4" s="1357" t="s">
        <v>761</v>
      </c>
      <c r="H4" s="1358" t="s">
        <v>758</v>
      </c>
      <c r="I4" s="1358" t="s">
        <v>872</v>
      </c>
      <c r="J4" s="1357" t="s">
        <v>871</v>
      </c>
      <c r="K4" s="1635"/>
      <c r="L4" s="1635"/>
    </row>
    <row r="5" spans="1:14" s="931" customFormat="1" ht="11.25" customHeight="1">
      <c r="A5" s="1765"/>
      <c r="B5" s="1766"/>
      <c r="C5" s="613">
        <v>1</v>
      </c>
      <c r="D5" s="613">
        <v>2</v>
      </c>
      <c r="E5" s="930">
        <v>3</v>
      </c>
      <c r="F5" s="907">
        <v>4</v>
      </c>
      <c r="G5" s="930" t="s">
        <v>347</v>
      </c>
      <c r="H5" s="613">
        <v>6</v>
      </c>
      <c r="I5" s="613">
        <v>7</v>
      </c>
      <c r="J5" s="613" t="s">
        <v>350</v>
      </c>
      <c r="K5" s="907">
        <v>9</v>
      </c>
      <c r="L5" s="907" t="s">
        <v>348</v>
      </c>
    </row>
    <row r="6" spans="1:14" s="931" customFormat="1" ht="13.9" customHeight="1">
      <c r="A6" s="243" t="s">
        <v>962</v>
      </c>
      <c r="B6" s="243"/>
      <c r="C6" s="799">
        <v>79578.600000000006</v>
      </c>
      <c r="D6" s="86">
        <v>22.21</v>
      </c>
      <c r="E6" s="799">
        <v>1727.7</v>
      </c>
      <c r="F6" s="86">
        <v>737.35</v>
      </c>
      <c r="G6" s="86">
        <f t="shared" ref="G6" si="0">E6+F6</f>
        <v>2465.0500000000002</v>
      </c>
      <c r="H6" s="799">
        <v>14051</v>
      </c>
      <c r="I6" s="86">
        <v>116916.81</v>
      </c>
      <c r="J6" s="86">
        <f t="shared" ref="J6" si="1">H6+I6</f>
        <v>130967.81</v>
      </c>
      <c r="K6" s="86">
        <v>42629.83</v>
      </c>
      <c r="L6" s="86">
        <f t="shared" ref="L6" si="2">C6+D6+G6+J6+K6</f>
        <v>255663.5</v>
      </c>
    </row>
    <row r="7" spans="1:14" ht="13.9" customHeight="1">
      <c r="A7" s="528" t="s">
        <v>675</v>
      </c>
      <c r="B7" s="528"/>
      <c r="C7" s="800">
        <v>92944.2</v>
      </c>
      <c r="D7" s="503">
        <v>18.88</v>
      </c>
      <c r="E7" s="800">
        <v>1580</v>
      </c>
      <c r="F7" s="503">
        <v>445.66</v>
      </c>
      <c r="G7" s="503">
        <f t="shared" ref="G7:G10" si="3">E7+F7</f>
        <v>2025.66</v>
      </c>
      <c r="H7" s="800">
        <v>8542</v>
      </c>
      <c r="I7" s="503">
        <v>149683.78</v>
      </c>
      <c r="J7" s="503">
        <f t="shared" ref="J7:J10" si="4">H7+I7</f>
        <v>158225.78</v>
      </c>
      <c r="K7" s="503">
        <v>49112.2</v>
      </c>
      <c r="L7" s="503">
        <f t="shared" ref="L7:L10" si="5">C7+D7+G7+J7+K7</f>
        <v>302326.72000000003</v>
      </c>
      <c r="N7" s="932"/>
    </row>
    <row r="8" spans="1:14" ht="13.9" customHeight="1">
      <c r="A8" s="243" t="s">
        <v>141</v>
      </c>
      <c r="B8" s="243"/>
      <c r="C8" s="799">
        <v>107829.2</v>
      </c>
      <c r="D8" s="86">
        <v>15.42</v>
      </c>
      <c r="E8" s="799">
        <v>2050.9</v>
      </c>
      <c r="F8" s="86">
        <v>871.8</v>
      </c>
      <c r="G8" s="86">
        <f t="shared" si="3"/>
        <v>2922.7</v>
      </c>
      <c r="H8" s="799">
        <v>8889.1</v>
      </c>
      <c r="I8" s="86">
        <v>175104.43</v>
      </c>
      <c r="J8" s="86">
        <f t="shared" si="4"/>
        <v>183993.53</v>
      </c>
      <c r="K8" s="86">
        <v>53138.5</v>
      </c>
      <c r="L8" s="86">
        <f t="shared" si="5"/>
        <v>347899.35</v>
      </c>
      <c r="N8" s="932"/>
    </row>
    <row r="9" spans="1:14" ht="13.9" customHeight="1">
      <c r="A9" s="528" t="s">
        <v>136</v>
      </c>
      <c r="B9" s="528"/>
      <c r="C9" s="800">
        <v>115781.9</v>
      </c>
      <c r="D9" s="503">
        <v>12.31</v>
      </c>
      <c r="E9" s="800">
        <v>1762.9</v>
      </c>
      <c r="F9" s="503">
        <v>855.33</v>
      </c>
      <c r="G9" s="503">
        <f t="shared" si="3"/>
        <v>2618.23</v>
      </c>
      <c r="H9" s="800">
        <v>11081.4</v>
      </c>
      <c r="I9" s="503">
        <v>215758.99</v>
      </c>
      <c r="J9" s="503">
        <f t="shared" si="4"/>
        <v>226840.38999999998</v>
      </c>
      <c r="K9" s="503">
        <v>68779.06</v>
      </c>
      <c r="L9" s="503">
        <f t="shared" si="5"/>
        <v>414031.88999999996</v>
      </c>
      <c r="N9" s="932"/>
    </row>
    <row r="10" spans="1:14" ht="13.9" customHeight="1">
      <c r="A10" s="243" t="s">
        <v>317</v>
      </c>
      <c r="B10" s="243"/>
      <c r="C10" s="799">
        <v>137011.5</v>
      </c>
      <c r="D10" s="86">
        <v>9.4</v>
      </c>
      <c r="E10" s="799">
        <v>2162.1</v>
      </c>
      <c r="F10" s="86">
        <v>2320.9</v>
      </c>
      <c r="G10" s="86">
        <f t="shared" si="3"/>
        <v>4483</v>
      </c>
      <c r="H10" s="799">
        <v>14837.8</v>
      </c>
      <c r="I10" s="86">
        <v>273618.90000000002</v>
      </c>
      <c r="J10" s="86">
        <f t="shared" si="4"/>
        <v>288456.7</v>
      </c>
      <c r="K10" s="86">
        <v>83570.100000000006</v>
      </c>
      <c r="L10" s="86">
        <f t="shared" si="5"/>
        <v>513530.69999999995</v>
      </c>
      <c r="N10" s="932"/>
    </row>
    <row r="11" spans="1:14" ht="13.9" customHeight="1">
      <c r="A11" s="528" t="s">
        <v>1299</v>
      </c>
      <c r="B11" s="528"/>
      <c r="C11" s="800">
        <v>155823.70000000001</v>
      </c>
      <c r="D11" s="503">
        <v>5.8</v>
      </c>
      <c r="E11" s="800">
        <v>2533.9</v>
      </c>
      <c r="F11" s="503">
        <v>3231.1</v>
      </c>
      <c r="G11" s="503">
        <v>5765</v>
      </c>
      <c r="H11" s="800">
        <v>12790.5</v>
      </c>
      <c r="I11" s="503">
        <v>334233.59999999998</v>
      </c>
      <c r="J11" s="503">
        <v>347024.1</v>
      </c>
      <c r="K11" s="503">
        <v>92021.6</v>
      </c>
      <c r="L11" s="503">
        <v>600640.19999999995</v>
      </c>
      <c r="N11" s="932"/>
    </row>
    <row r="12" spans="1:14" s="640" customFormat="1" ht="13.9" customHeight="1">
      <c r="A12" s="700" t="s">
        <v>1505</v>
      </c>
      <c r="B12" s="700"/>
      <c r="C12" s="799">
        <v>174978.3</v>
      </c>
      <c r="D12" s="413">
        <v>2.2999999999999998</v>
      </c>
      <c r="E12" s="799">
        <v>3450</v>
      </c>
      <c r="F12" s="413">
        <v>5171.6000000000004</v>
      </c>
      <c r="G12" s="413">
        <v>8621.6</v>
      </c>
      <c r="H12" s="799">
        <v>5968.1</v>
      </c>
      <c r="I12" s="413">
        <v>371817.6</v>
      </c>
      <c r="J12" s="86">
        <v>377785.69999999995</v>
      </c>
      <c r="K12" s="413">
        <v>100452.9</v>
      </c>
      <c r="L12" s="86">
        <v>661840.79999999993</v>
      </c>
      <c r="N12" s="932"/>
    </row>
    <row r="13" spans="1:14" s="637" customFormat="1" ht="13.9" customHeight="1">
      <c r="A13" s="714" t="s">
        <v>1886</v>
      </c>
      <c r="B13" s="504"/>
      <c r="C13" s="800">
        <v>194106.4</v>
      </c>
      <c r="D13" s="800">
        <v>0</v>
      </c>
      <c r="E13" s="800">
        <v>5184.7</v>
      </c>
      <c r="F13" s="800">
        <v>5839.1</v>
      </c>
      <c r="G13" s="800">
        <v>11023.8</v>
      </c>
      <c r="H13" s="800">
        <v>7468.8</v>
      </c>
      <c r="I13" s="800">
        <v>419702.1</v>
      </c>
      <c r="J13" s="800">
        <v>427170.89999999997</v>
      </c>
      <c r="K13" s="800">
        <v>112230.3</v>
      </c>
      <c r="L13" s="800">
        <v>744531.4</v>
      </c>
      <c r="M13" s="640"/>
      <c r="N13" s="932"/>
    </row>
    <row r="14" spans="1:14" s="759" customFormat="1" ht="13.9" customHeight="1">
      <c r="A14" s="874" t="s">
        <v>2017</v>
      </c>
      <c r="B14" s="861"/>
      <c r="C14" s="977">
        <v>215482.2</v>
      </c>
      <c r="D14" s="977">
        <v>0</v>
      </c>
      <c r="E14" s="977">
        <v>5215.7</v>
      </c>
      <c r="F14" s="977">
        <v>7348.3</v>
      </c>
      <c r="G14" s="977">
        <v>12564</v>
      </c>
      <c r="H14" s="977">
        <v>11313.3</v>
      </c>
      <c r="I14" s="977">
        <v>475125.2</v>
      </c>
      <c r="J14" s="977">
        <v>486438.5</v>
      </c>
      <c r="K14" s="977">
        <v>124669.9</v>
      </c>
      <c r="L14" s="977">
        <v>839154.6</v>
      </c>
      <c r="N14" s="1009"/>
    </row>
    <row r="15" spans="1:14" s="637" customFormat="1" ht="13.9" customHeight="1">
      <c r="A15" s="966" t="s">
        <v>2226</v>
      </c>
      <c r="B15" s="504"/>
      <c r="C15" s="981">
        <f>C27</f>
        <v>252862.6</v>
      </c>
      <c r="D15" s="981">
        <f t="shared" ref="D15:L15" si="6">D27</f>
        <v>0</v>
      </c>
      <c r="E15" s="981">
        <f t="shared" si="6"/>
        <v>6541.6</v>
      </c>
      <c r="F15" s="981">
        <f t="shared" si="6"/>
        <v>9916</v>
      </c>
      <c r="G15" s="981">
        <f t="shared" si="6"/>
        <v>16457.599999999999</v>
      </c>
      <c r="H15" s="981">
        <f t="shared" si="6"/>
        <v>9139.7000000000007</v>
      </c>
      <c r="I15" s="981">
        <f t="shared" si="6"/>
        <v>565645.19999999995</v>
      </c>
      <c r="J15" s="981">
        <f t="shared" si="6"/>
        <v>574784.89999999991</v>
      </c>
      <c r="K15" s="981">
        <f t="shared" si="6"/>
        <v>135861.70000000001</v>
      </c>
      <c r="L15" s="981">
        <f t="shared" si="6"/>
        <v>979966.79999999981</v>
      </c>
      <c r="N15" s="940"/>
    </row>
    <row r="16" spans="1:14" s="637" customFormat="1" ht="13.9" customHeight="1">
      <c r="A16" s="700" t="s">
        <v>954</v>
      </c>
      <c r="B16" s="459"/>
      <c r="C16" s="804">
        <v>228946.4</v>
      </c>
      <c r="D16" s="804">
        <v>0</v>
      </c>
      <c r="E16" s="804">
        <v>5471.9</v>
      </c>
      <c r="F16" s="804">
        <v>7327.5</v>
      </c>
      <c r="G16" s="413">
        <f t="shared" ref="G16:G21" si="7">E16+F16</f>
        <v>12799.4</v>
      </c>
      <c r="H16" s="804">
        <v>9800</v>
      </c>
      <c r="I16" s="804">
        <v>474690.9</v>
      </c>
      <c r="J16" s="413">
        <f t="shared" ref="J16:J21" si="8">H16+I16</f>
        <v>484490.9</v>
      </c>
      <c r="K16" s="804">
        <v>124470.6</v>
      </c>
      <c r="L16" s="413">
        <f t="shared" ref="L16:L21" si="9">C16+D16+G16+J16+K16</f>
        <v>850707.29999999993</v>
      </c>
      <c r="N16" s="940"/>
    </row>
    <row r="17" spans="1:14" s="637" customFormat="1" ht="13.9" customHeight="1">
      <c r="A17" s="714" t="s">
        <v>955</v>
      </c>
      <c r="B17" s="504"/>
      <c r="C17" s="798">
        <v>225525.1</v>
      </c>
      <c r="D17" s="798">
        <v>0</v>
      </c>
      <c r="E17" s="798">
        <v>5686.8</v>
      </c>
      <c r="F17" s="798">
        <v>7388.8</v>
      </c>
      <c r="G17" s="498">
        <f t="shared" si="7"/>
        <v>13075.6</v>
      </c>
      <c r="H17" s="798">
        <v>9734.2999999999993</v>
      </c>
      <c r="I17" s="798">
        <v>478431.6</v>
      </c>
      <c r="J17" s="498">
        <f t="shared" si="8"/>
        <v>488165.89999999997</v>
      </c>
      <c r="K17" s="798">
        <v>125139.5</v>
      </c>
      <c r="L17" s="498">
        <f t="shared" si="9"/>
        <v>851906.1</v>
      </c>
      <c r="N17" s="940"/>
    </row>
    <row r="18" spans="1:14" s="637" customFormat="1" ht="13.9" customHeight="1">
      <c r="A18" s="700" t="s">
        <v>949</v>
      </c>
      <c r="B18" s="459"/>
      <c r="C18" s="804">
        <v>229910.8</v>
      </c>
      <c r="D18" s="804">
        <v>0</v>
      </c>
      <c r="E18" s="804">
        <v>6087.4</v>
      </c>
      <c r="F18" s="804">
        <v>8027.6</v>
      </c>
      <c r="G18" s="413">
        <f t="shared" si="7"/>
        <v>14115</v>
      </c>
      <c r="H18" s="804">
        <v>9447.2999999999993</v>
      </c>
      <c r="I18" s="804">
        <v>490209.8</v>
      </c>
      <c r="J18" s="413">
        <f t="shared" si="8"/>
        <v>499657.1</v>
      </c>
      <c r="K18" s="804">
        <v>125018.3</v>
      </c>
      <c r="L18" s="413">
        <f t="shared" si="9"/>
        <v>868701.2</v>
      </c>
      <c r="N18" s="940"/>
    </row>
    <row r="19" spans="1:14" s="637" customFormat="1" ht="13.9" customHeight="1">
      <c r="A19" s="714" t="s">
        <v>956</v>
      </c>
      <c r="B19" s="504"/>
      <c r="C19" s="798">
        <v>226694.6</v>
      </c>
      <c r="D19" s="798">
        <v>0</v>
      </c>
      <c r="E19" s="798">
        <v>6252.8</v>
      </c>
      <c r="F19" s="798">
        <v>7791.6</v>
      </c>
      <c r="G19" s="498">
        <f t="shared" si="7"/>
        <v>14044.400000000001</v>
      </c>
      <c r="H19" s="798">
        <v>9625.5</v>
      </c>
      <c r="I19" s="798">
        <v>495364</v>
      </c>
      <c r="J19" s="498">
        <f t="shared" si="8"/>
        <v>504989.5</v>
      </c>
      <c r="K19" s="798">
        <v>125243.3</v>
      </c>
      <c r="L19" s="498">
        <f t="shared" si="9"/>
        <v>870971.8</v>
      </c>
      <c r="N19" s="940"/>
    </row>
    <row r="20" spans="1:14" s="637" customFormat="1" ht="13.9" customHeight="1">
      <c r="A20" s="700" t="s">
        <v>957</v>
      </c>
      <c r="B20" s="459"/>
      <c r="C20" s="804">
        <v>226442.7</v>
      </c>
      <c r="D20" s="804">
        <v>0</v>
      </c>
      <c r="E20" s="804">
        <v>6391.2</v>
      </c>
      <c r="F20" s="804">
        <v>7876.8</v>
      </c>
      <c r="G20" s="413">
        <f t="shared" si="7"/>
        <v>14268</v>
      </c>
      <c r="H20" s="804">
        <v>9573.1</v>
      </c>
      <c r="I20" s="804">
        <v>504265.7</v>
      </c>
      <c r="J20" s="413">
        <f t="shared" si="8"/>
        <v>513838.8</v>
      </c>
      <c r="K20" s="804">
        <v>126365.7</v>
      </c>
      <c r="L20" s="413">
        <f t="shared" si="9"/>
        <v>880915.2</v>
      </c>
      <c r="N20" s="940"/>
    </row>
    <row r="21" spans="1:14" s="637" customFormat="1" ht="13.9" customHeight="1">
      <c r="A21" s="714" t="s">
        <v>950</v>
      </c>
      <c r="B21" s="504"/>
      <c r="C21" s="798">
        <v>221811.1</v>
      </c>
      <c r="D21" s="798">
        <v>0</v>
      </c>
      <c r="E21" s="798">
        <v>6280.6</v>
      </c>
      <c r="F21" s="798">
        <v>8265.2999999999993</v>
      </c>
      <c r="G21" s="498">
        <f t="shared" si="7"/>
        <v>14545.9</v>
      </c>
      <c r="H21" s="798">
        <v>10075.799999999999</v>
      </c>
      <c r="I21" s="798">
        <v>518566.1</v>
      </c>
      <c r="J21" s="498">
        <f t="shared" si="8"/>
        <v>528641.9</v>
      </c>
      <c r="K21" s="798">
        <v>129702.6</v>
      </c>
      <c r="L21" s="498">
        <f t="shared" si="9"/>
        <v>894701.5</v>
      </c>
      <c r="N21" s="940"/>
    </row>
    <row r="22" spans="1:14" s="637" customFormat="1" ht="13.9" customHeight="1">
      <c r="A22" s="700" t="s">
        <v>958</v>
      </c>
      <c r="B22" s="459"/>
      <c r="C22" s="804">
        <v>221725.7</v>
      </c>
      <c r="D22" s="804">
        <v>0</v>
      </c>
      <c r="E22" s="804">
        <v>6676.6</v>
      </c>
      <c r="F22" s="804">
        <v>8306.7999999999993</v>
      </c>
      <c r="G22" s="413">
        <f t="shared" ref="G22:G40" si="10">E22+F22</f>
        <v>14983.4</v>
      </c>
      <c r="H22" s="804">
        <v>10834</v>
      </c>
      <c r="I22" s="804">
        <v>522297.2</v>
      </c>
      <c r="J22" s="413">
        <f t="shared" ref="J22:J40" si="11">H22+I22</f>
        <v>533131.19999999995</v>
      </c>
      <c r="K22" s="804">
        <v>128225.1</v>
      </c>
      <c r="L22" s="413">
        <f t="shared" ref="L22:L40" si="12">C22+D22+G22+J22+K22</f>
        <v>898065.39999999991</v>
      </c>
      <c r="N22" s="940"/>
    </row>
    <row r="23" spans="1:14" s="637" customFormat="1" ht="13.9" customHeight="1">
      <c r="A23" s="714" t="s">
        <v>959</v>
      </c>
      <c r="B23" s="504"/>
      <c r="C23" s="798">
        <v>227577.9</v>
      </c>
      <c r="D23" s="798">
        <v>0</v>
      </c>
      <c r="E23" s="798">
        <v>6776</v>
      </c>
      <c r="F23" s="798">
        <v>8806.1</v>
      </c>
      <c r="G23" s="498">
        <f t="shared" si="10"/>
        <v>15582.1</v>
      </c>
      <c r="H23" s="798">
        <v>9955.4</v>
      </c>
      <c r="I23" s="798">
        <v>526674.4</v>
      </c>
      <c r="J23" s="498">
        <f t="shared" si="11"/>
        <v>536629.80000000005</v>
      </c>
      <c r="K23" s="798">
        <v>130158.7</v>
      </c>
      <c r="L23" s="498">
        <f t="shared" si="12"/>
        <v>909948.5</v>
      </c>
      <c r="N23" s="940"/>
    </row>
    <row r="24" spans="1:14" s="637" customFormat="1" ht="13.9" customHeight="1">
      <c r="A24" s="700" t="s">
        <v>951</v>
      </c>
      <c r="B24" s="459"/>
      <c r="C24" s="804">
        <v>227961.7</v>
      </c>
      <c r="D24" s="804">
        <v>0</v>
      </c>
      <c r="E24" s="804">
        <v>6749.2</v>
      </c>
      <c r="F24" s="804">
        <v>9302.1</v>
      </c>
      <c r="G24" s="413">
        <f t="shared" si="10"/>
        <v>16051.3</v>
      </c>
      <c r="H24" s="804">
        <v>10160</v>
      </c>
      <c r="I24" s="804">
        <v>534217.5</v>
      </c>
      <c r="J24" s="413">
        <f t="shared" si="11"/>
        <v>544377.5</v>
      </c>
      <c r="K24" s="804">
        <v>131298.4</v>
      </c>
      <c r="L24" s="413">
        <f t="shared" si="12"/>
        <v>919688.9</v>
      </c>
      <c r="N24" s="940"/>
    </row>
    <row r="25" spans="1:14" s="637" customFormat="1" ht="13.9" customHeight="1">
      <c r="A25" s="714" t="s">
        <v>960</v>
      </c>
      <c r="B25" s="504"/>
      <c r="C25" s="798">
        <v>229035</v>
      </c>
      <c r="D25" s="798">
        <v>0</v>
      </c>
      <c r="E25" s="798">
        <v>6893.9</v>
      </c>
      <c r="F25" s="798">
        <v>9376.2999999999993</v>
      </c>
      <c r="G25" s="498">
        <f t="shared" si="10"/>
        <v>16270.199999999999</v>
      </c>
      <c r="H25" s="798">
        <v>9890.5</v>
      </c>
      <c r="I25" s="798">
        <v>543308.69999999995</v>
      </c>
      <c r="J25" s="498">
        <f t="shared" si="11"/>
        <v>553199.19999999995</v>
      </c>
      <c r="K25" s="798">
        <v>131363.6</v>
      </c>
      <c r="L25" s="498">
        <f t="shared" si="12"/>
        <v>929867.99999999988</v>
      </c>
      <c r="N25" s="940"/>
    </row>
    <row r="26" spans="1:14" s="637" customFormat="1" ht="13.9" customHeight="1">
      <c r="A26" s="700" t="s">
        <v>961</v>
      </c>
      <c r="B26" s="459"/>
      <c r="C26" s="804">
        <v>237185.3</v>
      </c>
      <c r="D26" s="804">
        <v>0</v>
      </c>
      <c r="E26" s="804">
        <v>6695</v>
      </c>
      <c r="F26" s="804">
        <v>9866.7999999999993</v>
      </c>
      <c r="G26" s="413">
        <f t="shared" si="10"/>
        <v>16561.8</v>
      </c>
      <c r="H26" s="804">
        <v>10023.799999999999</v>
      </c>
      <c r="I26" s="804">
        <v>551306.69999999995</v>
      </c>
      <c r="J26" s="413">
        <f t="shared" si="11"/>
        <v>561330.5</v>
      </c>
      <c r="K26" s="804">
        <v>132523.79999999999</v>
      </c>
      <c r="L26" s="413">
        <f t="shared" si="12"/>
        <v>947601.39999999991</v>
      </c>
      <c r="N26" s="940"/>
    </row>
    <row r="27" spans="1:14" s="637" customFormat="1" ht="13.9" customHeight="1">
      <c r="A27" s="544" t="s">
        <v>952</v>
      </c>
      <c r="B27" s="504"/>
      <c r="C27" s="798">
        <v>252862.6</v>
      </c>
      <c r="D27" s="798">
        <v>0</v>
      </c>
      <c r="E27" s="798">
        <v>6541.6</v>
      </c>
      <c r="F27" s="798">
        <v>9916</v>
      </c>
      <c r="G27" s="498">
        <f t="shared" si="10"/>
        <v>16457.599999999999</v>
      </c>
      <c r="H27" s="798">
        <v>9139.7000000000007</v>
      </c>
      <c r="I27" s="798">
        <v>565645.19999999995</v>
      </c>
      <c r="J27" s="498">
        <f t="shared" si="11"/>
        <v>574784.89999999991</v>
      </c>
      <c r="K27" s="798">
        <v>135861.70000000001</v>
      </c>
      <c r="L27" s="498">
        <f t="shared" si="12"/>
        <v>979966.79999999981</v>
      </c>
      <c r="N27" s="940"/>
    </row>
    <row r="28" spans="1:14" s="637" customFormat="1" ht="13.9" customHeight="1">
      <c r="A28" s="874" t="s">
        <v>2384</v>
      </c>
      <c r="B28" s="459"/>
      <c r="C28" s="977">
        <f>C40</f>
        <v>288377.59999999998</v>
      </c>
      <c r="D28" s="977">
        <f t="shared" ref="D28:L28" si="13">D40</f>
        <v>0</v>
      </c>
      <c r="E28" s="977">
        <f t="shared" si="13"/>
        <v>7732.4</v>
      </c>
      <c r="F28" s="977">
        <f t="shared" si="13"/>
        <v>14235.7</v>
      </c>
      <c r="G28" s="977">
        <f t="shared" si="13"/>
        <v>21968.1</v>
      </c>
      <c r="H28" s="977">
        <f t="shared" si="13"/>
        <v>9154.4</v>
      </c>
      <c r="I28" s="977">
        <f t="shared" si="13"/>
        <v>651090.5</v>
      </c>
      <c r="J28" s="977">
        <f t="shared" si="13"/>
        <v>660244.9</v>
      </c>
      <c r="K28" s="977">
        <f t="shared" si="13"/>
        <v>159057.29999999999</v>
      </c>
      <c r="L28" s="977">
        <f t="shared" si="13"/>
        <v>1129647.8999999999</v>
      </c>
      <c r="N28" s="940"/>
    </row>
    <row r="29" spans="1:14" s="637" customFormat="1" ht="13.9" customHeight="1">
      <c r="A29" s="566" t="s">
        <v>954</v>
      </c>
      <c r="B29" s="504"/>
      <c r="C29" s="798">
        <v>258856.3</v>
      </c>
      <c r="D29" s="798">
        <v>0</v>
      </c>
      <c r="E29" s="798">
        <v>6653.7</v>
      </c>
      <c r="F29" s="798">
        <v>10663.7</v>
      </c>
      <c r="G29" s="498">
        <f t="shared" si="10"/>
        <v>17317.400000000001</v>
      </c>
      <c r="H29" s="798">
        <v>8989.2999999999993</v>
      </c>
      <c r="I29" s="798">
        <v>558983.69999999995</v>
      </c>
      <c r="J29" s="498">
        <f t="shared" si="11"/>
        <v>567973</v>
      </c>
      <c r="K29" s="798">
        <v>136409.4</v>
      </c>
      <c r="L29" s="498">
        <f t="shared" si="12"/>
        <v>980556.1</v>
      </c>
      <c r="N29" s="940"/>
    </row>
    <row r="30" spans="1:14" s="637" customFormat="1" ht="13.9" customHeight="1">
      <c r="A30" s="1315" t="s">
        <v>955</v>
      </c>
      <c r="B30" s="459"/>
      <c r="C30" s="804">
        <v>259794.4</v>
      </c>
      <c r="D30" s="804">
        <v>0</v>
      </c>
      <c r="E30" s="804">
        <v>6872.4</v>
      </c>
      <c r="F30" s="804">
        <v>10396.799999999999</v>
      </c>
      <c r="G30" s="413">
        <f t="shared" si="10"/>
        <v>17269.199999999997</v>
      </c>
      <c r="H30" s="804">
        <v>8879.2000000000007</v>
      </c>
      <c r="I30" s="804">
        <v>565938.69999999995</v>
      </c>
      <c r="J30" s="413">
        <f t="shared" si="11"/>
        <v>574817.89999999991</v>
      </c>
      <c r="K30" s="804">
        <v>136673</v>
      </c>
      <c r="L30" s="413">
        <f t="shared" si="12"/>
        <v>988554.49999999988</v>
      </c>
      <c r="N30" s="940"/>
    </row>
    <row r="31" spans="1:14" s="637" customFormat="1" ht="13.9" customHeight="1">
      <c r="A31" s="566" t="s">
        <v>949</v>
      </c>
      <c r="B31" s="504"/>
      <c r="C31" s="798">
        <v>263999.40000000002</v>
      </c>
      <c r="D31" s="798">
        <v>0</v>
      </c>
      <c r="E31" s="798">
        <v>6687</v>
      </c>
      <c r="F31" s="798">
        <v>10154.1</v>
      </c>
      <c r="G31" s="498">
        <f t="shared" si="10"/>
        <v>16841.099999999999</v>
      </c>
      <c r="H31" s="798">
        <v>8862.1</v>
      </c>
      <c r="I31" s="798">
        <v>572227.19999999995</v>
      </c>
      <c r="J31" s="498">
        <f t="shared" si="11"/>
        <v>581089.29999999993</v>
      </c>
      <c r="K31" s="798">
        <v>139332.6</v>
      </c>
      <c r="L31" s="498">
        <f t="shared" si="12"/>
        <v>1001262.3999999999</v>
      </c>
      <c r="N31" s="940"/>
    </row>
    <row r="32" spans="1:14" s="637" customFormat="1" ht="13.9" customHeight="1">
      <c r="A32" s="1315" t="s">
        <v>956</v>
      </c>
      <c r="B32" s="459"/>
      <c r="C32" s="804">
        <v>264588.79999999999</v>
      </c>
      <c r="D32" s="804">
        <v>0</v>
      </c>
      <c r="E32" s="804">
        <v>6514.7</v>
      </c>
      <c r="F32" s="804">
        <v>10154.799999999999</v>
      </c>
      <c r="G32" s="413">
        <f t="shared" si="10"/>
        <v>16669.5</v>
      </c>
      <c r="H32" s="804">
        <v>8540.6</v>
      </c>
      <c r="I32" s="804">
        <v>575676.6</v>
      </c>
      <c r="J32" s="413">
        <f t="shared" si="11"/>
        <v>584217.19999999995</v>
      </c>
      <c r="K32" s="804">
        <v>140848.5</v>
      </c>
      <c r="L32" s="413">
        <f t="shared" si="12"/>
        <v>1006324</v>
      </c>
      <c r="N32" s="940"/>
    </row>
    <row r="33" spans="1:14" s="637" customFormat="1" ht="13.9" customHeight="1">
      <c r="A33" s="566" t="s">
        <v>957</v>
      </c>
      <c r="B33" s="504"/>
      <c r="C33" s="798">
        <v>267623.5</v>
      </c>
      <c r="D33" s="798">
        <v>0</v>
      </c>
      <c r="E33" s="798">
        <v>6875.1</v>
      </c>
      <c r="F33" s="798">
        <v>10504.5</v>
      </c>
      <c r="G33" s="498">
        <f t="shared" si="10"/>
        <v>17379.599999999999</v>
      </c>
      <c r="H33" s="798">
        <v>8482.2000000000007</v>
      </c>
      <c r="I33" s="798">
        <v>583493.4</v>
      </c>
      <c r="J33" s="498">
        <f t="shared" si="11"/>
        <v>591975.6</v>
      </c>
      <c r="K33" s="798">
        <v>142776</v>
      </c>
      <c r="L33" s="498">
        <f t="shared" si="12"/>
        <v>1019754.7</v>
      </c>
      <c r="N33" s="940"/>
    </row>
    <row r="34" spans="1:14" s="637" customFormat="1" ht="13.9" customHeight="1">
      <c r="A34" s="1315" t="s">
        <v>950</v>
      </c>
      <c r="B34" s="459"/>
      <c r="C34" s="804">
        <v>260775.60000000003</v>
      </c>
      <c r="D34" s="804">
        <v>0</v>
      </c>
      <c r="E34" s="804">
        <v>7136.1</v>
      </c>
      <c r="F34" s="804">
        <v>12435.8</v>
      </c>
      <c r="G34" s="413">
        <f t="shared" si="10"/>
        <v>19571.900000000001</v>
      </c>
      <c r="H34" s="804">
        <v>8850.9</v>
      </c>
      <c r="I34" s="804">
        <v>601417.19999999995</v>
      </c>
      <c r="J34" s="804">
        <f t="shared" si="11"/>
        <v>610268.1</v>
      </c>
      <c r="K34" s="804">
        <v>146069.79999999999</v>
      </c>
      <c r="L34" s="413">
        <f t="shared" si="12"/>
        <v>1036685.4000000001</v>
      </c>
      <c r="N34" s="940"/>
    </row>
    <row r="35" spans="1:14" s="637" customFormat="1" ht="13.9" customHeight="1">
      <c r="A35" s="566" t="s">
        <v>958</v>
      </c>
      <c r="B35" s="504"/>
      <c r="C35" s="798">
        <v>263924.5</v>
      </c>
      <c r="D35" s="798">
        <v>0</v>
      </c>
      <c r="E35" s="798">
        <v>7019.1</v>
      </c>
      <c r="F35" s="798">
        <v>12518.5</v>
      </c>
      <c r="G35" s="498">
        <f t="shared" si="10"/>
        <v>19537.599999999999</v>
      </c>
      <c r="H35" s="798">
        <v>8827.2999999999993</v>
      </c>
      <c r="I35" s="798">
        <v>602487.69999999995</v>
      </c>
      <c r="J35" s="798">
        <f t="shared" si="11"/>
        <v>611315</v>
      </c>
      <c r="K35" s="798">
        <v>147438.29999999999</v>
      </c>
      <c r="L35" s="498">
        <f t="shared" si="12"/>
        <v>1042215.3999999999</v>
      </c>
      <c r="N35" s="940"/>
    </row>
    <row r="36" spans="1:14" s="637" customFormat="1" ht="13.9" customHeight="1">
      <c r="A36" s="1315" t="s">
        <v>959</v>
      </c>
      <c r="B36" s="459"/>
      <c r="C36" s="804">
        <v>265447.90000000002</v>
      </c>
      <c r="D36" s="804">
        <v>0</v>
      </c>
      <c r="E36" s="804">
        <v>7029.4</v>
      </c>
      <c r="F36" s="804">
        <v>12577.5</v>
      </c>
      <c r="G36" s="413">
        <f t="shared" si="10"/>
        <v>19606.900000000001</v>
      </c>
      <c r="H36" s="804">
        <v>8234.6</v>
      </c>
      <c r="I36" s="804">
        <v>609796.9</v>
      </c>
      <c r="J36" s="804">
        <f t="shared" si="11"/>
        <v>618031.5</v>
      </c>
      <c r="K36" s="804">
        <v>149253.79999999999</v>
      </c>
      <c r="L36" s="413">
        <f t="shared" si="12"/>
        <v>1052340.1000000001</v>
      </c>
      <c r="N36" s="940"/>
    </row>
    <row r="37" spans="1:14" s="637" customFormat="1" ht="13.9" customHeight="1">
      <c r="A37" s="566" t="s">
        <v>951</v>
      </c>
      <c r="B37" s="504"/>
      <c r="C37" s="798">
        <v>266620.59999999998</v>
      </c>
      <c r="D37" s="798">
        <v>0</v>
      </c>
      <c r="E37" s="798">
        <v>7003.9</v>
      </c>
      <c r="F37" s="798">
        <v>12729.5</v>
      </c>
      <c r="G37" s="498">
        <f t="shared" si="10"/>
        <v>19733.400000000001</v>
      </c>
      <c r="H37" s="798">
        <v>8888.6</v>
      </c>
      <c r="I37" s="798">
        <v>619239</v>
      </c>
      <c r="J37" s="798">
        <f t="shared" si="11"/>
        <v>628127.6</v>
      </c>
      <c r="K37" s="798">
        <v>151373.79999999999</v>
      </c>
      <c r="L37" s="498">
        <f t="shared" si="12"/>
        <v>1065855.3999999999</v>
      </c>
      <c r="N37" s="940"/>
    </row>
    <row r="38" spans="1:14" s="637" customFormat="1" ht="13.9" customHeight="1">
      <c r="A38" s="1315" t="s">
        <v>960</v>
      </c>
      <c r="B38" s="459"/>
      <c r="C38" s="804">
        <v>264924.90000000002</v>
      </c>
      <c r="D38" s="804">
        <v>0</v>
      </c>
      <c r="E38" s="804">
        <v>7402.6</v>
      </c>
      <c r="F38" s="804">
        <v>13784.7</v>
      </c>
      <c r="G38" s="413">
        <f t="shared" si="10"/>
        <v>21187.300000000003</v>
      </c>
      <c r="H38" s="804">
        <v>9067.2999999999993</v>
      </c>
      <c r="I38" s="804">
        <v>627434.6</v>
      </c>
      <c r="J38" s="804">
        <f t="shared" si="11"/>
        <v>636501.9</v>
      </c>
      <c r="K38" s="804">
        <v>153656.20000000001</v>
      </c>
      <c r="L38" s="413">
        <f t="shared" si="12"/>
        <v>1076270.3</v>
      </c>
      <c r="N38" s="940"/>
    </row>
    <row r="39" spans="1:14" s="637" customFormat="1" ht="13.9" customHeight="1">
      <c r="A39" s="566" t="s">
        <v>961</v>
      </c>
      <c r="B39" s="504"/>
      <c r="C39" s="798">
        <v>268213.69999999995</v>
      </c>
      <c r="D39" s="798">
        <v>0</v>
      </c>
      <c r="E39" s="798">
        <v>7798.7</v>
      </c>
      <c r="F39" s="798">
        <v>13368.2</v>
      </c>
      <c r="G39" s="498">
        <f t="shared" si="10"/>
        <v>21166.9</v>
      </c>
      <c r="H39" s="798">
        <v>9199</v>
      </c>
      <c r="I39" s="798">
        <v>637053</v>
      </c>
      <c r="J39" s="798">
        <f t="shared" si="11"/>
        <v>646252</v>
      </c>
      <c r="K39" s="798">
        <v>155482.70000000001</v>
      </c>
      <c r="L39" s="498">
        <f t="shared" si="12"/>
        <v>1091115.3</v>
      </c>
      <c r="N39" s="940"/>
    </row>
    <row r="40" spans="1:14" s="637" customFormat="1" ht="13.9" customHeight="1" thickBot="1">
      <c r="A40" s="1554" t="s">
        <v>952</v>
      </c>
      <c r="B40" s="801"/>
      <c r="C40" s="1373">
        <v>288377.59999999998</v>
      </c>
      <c r="D40" s="1373">
        <v>0</v>
      </c>
      <c r="E40" s="1373">
        <v>7732.4</v>
      </c>
      <c r="F40" s="1373">
        <v>14235.7</v>
      </c>
      <c r="G40" s="1374">
        <f t="shared" si="10"/>
        <v>21968.1</v>
      </c>
      <c r="H40" s="1373">
        <v>9154.4</v>
      </c>
      <c r="I40" s="1373">
        <v>651090.5</v>
      </c>
      <c r="J40" s="1373">
        <f t="shared" si="11"/>
        <v>660244.9</v>
      </c>
      <c r="K40" s="1373">
        <v>159057.29999999999</v>
      </c>
      <c r="L40" s="1374">
        <f t="shared" si="12"/>
        <v>1129647.8999999999</v>
      </c>
      <c r="N40" s="940"/>
    </row>
    <row r="41" spans="1:14" s="315" customFormat="1" ht="9.75" customHeight="1">
      <c r="A41" s="933" t="s">
        <v>349</v>
      </c>
      <c r="B41" s="468" t="s">
        <v>42</v>
      </c>
      <c r="C41" s="468" t="s">
        <v>2644</v>
      </c>
      <c r="D41" s="468"/>
      <c r="E41" s="468"/>
      <c r="F41" s="468"/>
      <c r="G41" s="468"/>
      <c r="H41" s="934" t="s">
        <v>2509</v>
      </c>
      <c r="I41" s="935"/>
      <c r="K41" s="935"/>
      <c r="L41" s="935"/>
    </row>
    <row r="42" spans="1:14" s="400" customFormat="1" ht="11.25" customHeight="1">
      <c r="B42" s="469" t="s">
        <v>609</v>
      </c>
      <c r="C42" s="1767" t="s">
        <v>2645</v>
      </c>
      <c r="D42" s="1767"/>
      <c r="E42" s="1767"/>
      <c r="F42" s="1767"/>
      <c r="G42" s="1767"/>
      <c r="H42" s="469"/>
      <c r="I42" s="469"/>
      <c r="J42" s="469"/>
      <c r="K42" s="469"/>
      <c r="L42" s="469"/>
    </row>
    <row r="44" spans="1:14">
      <c r="L44" s="932"/>
    </row>
    <row r="46" spans="1:14">
      <c r="D46" s="932"/>
      <c r="L46" s="932"/>
    </row>
  </sheetData>
  <mergeCells count="10">
    <mergeCell ref="L3:L4"/>
    <mergeCell ref="H3:J3"/>
    <mergeCell ref="C42:G42"/>
    <mergeCell ref="C3:C4"/>
    <mergeCell ref="A3:B5"/>
    <mergeCell ref="H1:J1"/>
    <mergeCell ref="K3:K4"/>
    <mergeCell ref="E1:G1"/>
    <mergeCell ref="D3:D4"/>
    <mergeCell ref="E3:G3"/>
  </mergeCells>
  <phoneticPr fontId="3" type="noConversion"/>
  <conditionalFormatting sqref="C7:L13 B7:B40 A7:A28 A6:L6">
    <cfRule type="expression" dxfId="2" priority="9" stopIfTrue="1">
      <formula>MOD(ROW(),2)=1</formula>
    </cfRule>
  </conditionalFormatting>
  <conditionalFormatting sqref="A27:A28">
    <cfRule type="expression" dxfId="1" priority="6" stopIfTrue="1">
      <formula>MOD(ROW(),2)=1</formula>
    </cfRule>
  </conditionalFormatting>
  <conditionalFormatting sqref="A27:A28">
    <cfRule type="expression" dxfId="0" priority="4" stopIfTrue="1">
      <formula>MOD(ROW(),2)=1</formula>
    </cfRule>
    <cfRule type="expression" priority="5" stopIfTrue="1">
      <formula>MOD(ROW(),2)=1</formula>
    </cfRule>
  </conditionalFormatting>
  <conditionalFormatting sqref="A27:A28">
    <cfRule type="expression" priority="3" stopIfTrue="1">
      <formula>MOD(row,0)=0</formula>
    </cfRule>
  </conditionalFormatting>
  <conditionalFormatting sqref="A27:A28">
    <cfRule type="expression" priority="2" stopIfTrue="1">
      <formula>MOD((((#REF!))),0)=0</formula>
    </cfRule>
  </conditionalFormatting>
  <pageMargins left="0.62992125984252001" right="0.511811023622047" top="0.511811023622047" bottom="0.31496062992126" header="0" footer="0.31496062992126"/>
  <pageSetup paperSize="151" firstPageNumber="20" orientation="portrait" useFirstPageNumber="1" r:id="rId1"/>
  <headerFooter alignWithMargins="0">
    <oddFooter>&amp;C&amp;"Times New Roman,Regular"&amp;8&amp;P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BV51"/>
  <sheetViews>
    <sheetView topLeftCell="A4" zoomScale="120" zoomScaleNormal="120" workbookViewId="0">
      <pane xSplit="2" ySplit="5" topLeftCell="BJ39" activePane="bottomRight" state="frozen"/>
      <selection activeCell="A4" sqref="A4"/>
      <selection pane="topRight" activeCell="C4" sqref="C4"/>
      <selection pane="bottomLeft" activeCell="A9" sqref="A9"/>
      <selection pane="bottomRight" activeCell="BQ53" sqref="BQ53"/>
    </sheetView>
  </sheetViews>
  <sheetFormatPr defaultColWidth="9.140625" defaultRowHeight="12.75"/>
  <cols>
    <col min="1" max="1" width="2.140625" style="1031" customWidth="1"/>
    <col min="2" max="2" width="5" style="1031" customWidth="1"/>
    <col min="3" max="4" width="7.7109375" style="1031" customWidth="1"/>
    <col min="5" max="5" width="6.140625" style="1031" customWidth="1"/>
    <col min="6" max="6" width="5.5703125" style="1031" customWidth="1"/>
    <col min="7" max="7" width="7.42578125" style="1031" customWidth="1"/>
    <col min="8" max="8" width="7.85546875" style="1031" customWidth="1"/>
    <col min="9" max="9" width="7.42578125" style="1031" customWidth="1"/>
    <col min="10" max="10" width="7.28515625" style="1031" customWidth="1"/>
    <col min="11" max="11" width="6.7109375" style="1031" customWidth="1"/>
    <col min="12" max="12" width="6.85546875" style="1031" customWidth="1"/>
    <col min="13" max="13" width="5.85546875" style="1031" customWidth="1"/>
    <col min="14" max="14" width="5.42578125" style="1031" customWidth="1"/>
    <col min="15" max="15" width="7.140625" style="1031" customWidth="1"/>
    <col min="16" max="16" width="5.42578125" style="1031" customWidth="1"/>
    <col min="17" max="17" width="6.7109375" style="1031" customWidth="1"/>
    <col min="18" max="18" width="6" style="1031" customWidth="1"/>
    <col min="19" max="19" width="5.7109375" style="1031" customWidth="1"/>
    <col min="20" max="20" width="5.42578125" style="1031" customWidth="1"/>
    <col min="21" max="21" width="6" style="1031" customWidth="1"/>
    <col min="22" max="22" width="5.140625" style="1031" customWidth="1"/>
    <col min="23" max="23" width="7.42578125" style="1031" customWidth="1"/>
    <col min="24" max="24" width="5.42578125" style="1031" customWidth="1"/>
    <col min="25" max="25" width="7.7109375" style="1031" customWidth="1"/>
    <col min="26" max="26" width="2.140625" style="1114" customWidth="1"/>
    <col min="27" max="27" width="5" style="1031" customWidth="1"/>
    <col min="28" max="28" width="8.42578125" style="1031" customWidth="1"/>
    <col min="29" max="29" width="6.85546875" style="1031" customWidth="1"/>
    <col min="30" max="30" width="5" style="1031" customWidth="1"/>
    <col min="31" max="31" width="4.85546875" style="1031" customWidth="1"/>
    <col min="32" max="32" width="6.85546875" style="1031" customWidth="1"/>
    <col min="33" max="33" width="6.28515625" style="1031" customWidth="1"/>
    <col min="34" max="34" width="6.42578125" style="1031" customWidth="1"/>
    <col min="35" max="35" width="5" style="1031" customWidth="1"/>
    <col min="36" max="36" width="6.7109375" style="1031" customWidth="1"/>
    <col min="37" max="37" width="5" style="1031" customWidth="1"/>
    <col min="38" max="38" width="6.5703125" style="1031" customWidth="1"/>
    <col min="39" max="39" width="6.140625" style="1031" customWidth="1"/>
    <col min="40" max="40" width="9.140625" style="1031" customWidth="1"/>
    <col min="41" max="41" width="8.140625" style="1031" customWidth="1"/>
    <col min="42" max="42" width="8.5703125" style="1031" customWidth="1"/>
    <col min="43" max="43" width="7.140625" style="1031" customWidth="1"/>
    <col min="44" max="44" width="7.85546875" style="1031" customWidth="1"/>
    <col min="45" max="45" width="6.5703125" style="1031" customWidth="1"/>
    <col min="46" max="47" width="7.7109375" style="1031" customWidth="1"/>
    <col min="48" max="48" width="8.5703125" style="1031" customWidth="1"/>
    <col min="49" max="49" width="8.28515625" style="1031" customWidth="1"/>
    <col min="50" max="50" width="2.140625" style="1114" customWidth="1"/>
    <col min="51" max="51" width="5" style="1031" customWidth="1"/>
    <col min="52" max="52" width="5.28515625" style="1031" customWidth="1"/>
    <col min="53" max="53" width="5" style="1031" customWidth="1"/>
    <col min="54" max="54" width="6.85546875" style="1031" customWidth="1"/>
    <col min="55" max="55" width="6.140625" style="1031" customWidth="1"/>
    <col min="56" max="56" width="8" style="1031" customWidth="1"/>
    <col min="57" max="57" width="6.5703125" style="1031" customWidth="1"/>
    <col min="58" max="58" width="6" style="1031" customWidth="1"/>
    <col min="59" max="60" width="6.85546875" style="1031" customWidth="1"/>
    <col min="61" max="61" width="7.85546875" style="1031" customWidth="1"/>
    <col min="62" max="62" width="8" style="1031" customWidth="1"/>
    <col min="63" max="63" width="7.140625" style="1031" customWidth="1"/>
    <col min="64" max="64" width="6.28515625" style="1031" customWidth="1"/>
    <col min="65" max="65" width="6.5703125" style="1031" customWidth="1"/>
    <col min="66" max="66" width="9.28515625" style="1031" customWidth="1"/>
    <col min="67" max="67" width="6.85546875" style="1031" customWidth="1"/>
    <col min="68" max="68" width="8.28515625" style="1031" customWidth="1"/>
    <col min="69" max="69" width="4.85546875" style="1031" customWidth="1"/>
    <col min="70" max="70" width="8.28515625" style="1031" customWidth="1"/>
    <col min="71" max="71" width="5.5703125" style="1031" customWidth="1"/>
    <col min="72" max="72" width="6.140625" style="1031" customWidth="1"/>
    <col min="73" max="73" width="6" style="1031" customWidth="1"/>
    <col min="74" max="74" width="5.85546875" style="1031" customWidth="1"/>
    <col min="75" max="16384" width="9.140625" style="1031"/>
  </cols>
  <sheetData>
    <row r="1" spans="1:74" s="1014" customFormat="1" ht="33" customHeight="1">
      <c r="H1" s="1802" t="s">
        <v>2096</v>
      </c>
      <c r="I1" s="1802"/>
      <c r="J1" s="1802"/>
      <c r="K1" s="1802"/>
      <c r="L1" s="1802"/>
      <c r="M1" s="1802"/>
      <c r="N1" s="1802"/>
      <c r="O1" s="1802"/>
      <c r="P1" s="1802"/>
      <c r="Q1" s="1802"/>
      <c r="R1" s="1802"/>
      <c r="S1" s="1802"/>
      <c r="V1" s="1801" t="s">
        <v>2149</v>
      </c>
      <c r="W1" s="1801"/>
      <c r="X1" s="1801"/>
      <c r="Y1" s="1801"/>
      <c r="Z1" s="1115"/>
      <c r="AH1" s="1802" t="s">
        <v>2153</v>
      </c>
      <c r="AI1" s="1802"/>
      <c r="AJ1" s="1802"/>
      <c r="AK1" s="1802"/>
      <c r="AL1" s="1802"/>
      <c r="AM1" s="1802"/>
      <c r="AN1" s="1802"/>
      <c r="AO1" s="1802"/>
      <c r="AP1" s="1802"/>
      <c r="AQ1" s="1802"/>
      <c r="AR1" s="1802"/>
      <c r="AT1" s="1801" t="s">
        <v>2149</v>
      </c>
      <c r="AU1" s="1801"/>
      <c r="AV1" s="1801"/>
      <c r="AW1" s="1801"/>
      <c r="AX1" s="1115"/>
      <c r="BD1" s="1015"/>
      <c r="BE1" s="1015"/>
      <c r="BF1" s="1015"/>
      <c r="BG1" s="1802" t="s">
        <v>2144</v>
      </c>
      <c r="BH1" s="1802"/>
      <c r="BI1" s="1802"/>
      <c r="BJ1" s="1802"/>
      <c r="BK1" s="1802"/>
      <c r="BL1" s="1802"/>
      <c r="BM1" s="1802"/>
      <c r="BN1" s="1802"/>
      <c r="BO1" s="1802"/>
      <c r="BP1" s="1015"/>
      <c r="BQ1" s="1015"/>
      <c r="BS1" s="1801" t="s">
        <v>2154</v>
      </c>
      <c r="BT1" s="1801"/>
      <c r="BU1" s="1801"/>
      <c r="BV1" s="1801"/>
    </row>
    <row r="2" spans="1:74" s="1016" customFormat="1" ht="11.25" customHeight="1">
      <c r="J2" s="1017"/>
      <c r="K2" s="1018"/>
      <c r="L2" s="1018"/>
      <c r="M2" s="1018"/>
      <c r="N2" s="1018"/>
      <c r="O2" s="1018"/>
      <c r="P2" s="1018"/>
      <c r="Q2" s="1018"/>
      <c r="R2" s="1018"/>
      <c r="S2" s="1018"/>
      <c r="T2" s="1019"/>
      <c r="U2" s="1019"/>
      <c r="V2" s="1020"/>
      <c r="W2" s="1020"/>
      <c r="X2" s="1020"/>
      <c r="Y2" s="1020"/>
      <c r="Z2" s="1116"/>
      <c r="AH2" s="1018"/>
      <c r="AI2" s="1018"/>
      <c r="AJ2" s="1018"/>
      <c r="AK2" s="1018"/>
      <c r="AL2" s="1018"/>
      <c r="AM2" s="1018"/>
      <c r="AN2" s="1018"/>
      <c r="AO2" s="1018"/>
      <c r="AP2" s="1019"/>
      <c r="AQ2" s="1019"/>
      <c r="AR2" s="1019"/>
      <c r="AS2" s="1019"/>
      <c r="AT2" s="1020"/>
      <c r="AU2" s="1020"/>
      <c r="AV2" s="1020"/>
      <c r="AW2" s="1020"/>
      <c r="AX2" s="1116"/>
      <c r="BC2" s="1018"/>
      <c r="BD2" s="1018"/>
      <c r="BE2" s="1018"/>
      <c r="BF2" s="1018"/>
      <c r="BG2" s="1018"/>
      <c r="BH2" s="1018"/>
      <c r="BI2" s="1018"/>
      <c r="BM2" s="1017"/>
      <c r="BN2" s="1017"/>
      <c r="BO2" s="1017"/>
      <c r="BP2" s="1017"/>
      <c r="BQ2" s="1017"/>
      <c r="BR2" s="1014"/>
      <c r="BT2" s="1021"/>
      <c r="BU2" s="1020"/>
      <c r="BV2" s="1020"/>
    </row>
    <row r="3" spans="1:74" s="1022" customFormat="1" ht="12.75" customHeight="1">
      <c r="A3" s="1808" t="s">
        <v>2097</v>
      </c>
      <c r="B3" s="1809"/>
      <c r="C3" s="1822" t="s">
        <v>2098</v>
      </c>
      <c r="D3" s="1822"/>
      <c r="E3" s="1822"/>
      <c r="F3" s="1822"/>
      <c r="G3" s="1822"/>
      <c r="H3" s="1822"/>
      <c r="I3" s="1804" t="s">
        <v>2099</v>
      </c>
      <c r="J3" s="1804"/>
      <c r="K3" s="1837" t="s">
        <v>2156</v>
      </c>
      <c r="L3" s="1838"/>
      <c r="M3" s="1838"/>
      <c r="N3" s="1838"/>
      <c r="O3" s="1838"/>
      <c r="P3" s="1838"/>
      <c r="Q3" s="1838"/>
      <c r="R3" s="1838"/>
      <c r="S3" s="1838"/>
      <c r="T3" s="1838"/>
      <c r="U3" s="1838"/>
      <c r="V3" s="1838"/>
      <c r="W3" s="1838"/>
      <c r="X3" s="1838"/>
      <c r="Y3" s="1839"/>
      <c r="Z3" s="1808" t="s">
        <v>2097</v>
      </c>
      <c r="AA3" s="1809"/>
      <c r="AB3" s="1822" t="s">
        <v>2150</v>
      </c>
      <c r="AC3" s="1822"/>
      <c r="AD3" s="1822"/>
      <c r="AE3" s="1822"/>
      <c r="AF3" s="1822"/>
      <c r="AG3" s="1822"/>
      <c r="AH3" s="1822"/>
      <c r="AI3" s="1822"/>
      <c r="AJ3" s="1822"/>
      <c r="AK3" s="1822"/>
      <c r="AL3" s="1822"/>
      <c r="AM3" s="1822"/>
      <c r="AN3" s="1822"/>
      <c r="AO3" s="1822"/>
      <c r="AP3" s="1822"/>
      <c r="AQ3" s="1822"/>
      <c r="AR3" s="1822"/>
      <c r="AS3" s="1822"/>
      <c r="AT3" s="1822"/>
      <c r="AU3" s="1822"/>
      <c r="AV3" s="1822"/>
      <c r="AW3" s="1822"/>
      <c r="AX3" s="1808" t="s">
        <v>2097</v>
      </c>
      <c r="AY3" s="1809"/>
      <c r="AZ3" s="1822" t="s">
        <v>2100</v>
      </c>
      <c r="BA3" s="1822"/>
      <c r="BB3" s="1822"/>
      <c r="BC3" s="1822"/>
      <c r="BD3" s="1822"/>
      <c r="BE3" s="1822"/>
      <c r="BF3" s="1822" t="s">
        <v>2223</v>
      </c>
      <c r="BG3" s="1822"/>
      <c r="BH3" s="1822"/>
      <c r="BI3" s="1822"/>
      <c r="BJ3" s="1816" t="s">
        <v>2151</v>
      </c>
      <c r="BK3" s="1817"/>
      <c r="BL3" s="1818"/>
      <c r="BM3" s="1822" t="s">
        <v>2101</v>
      </c>
      <c r="BN3" s="1822"/>
      <c r="BO3" s="1822"/>
      <c r="BP3" s="1822"/>
      <c r="BQ3" s="1822" t="s">
        <v>2102</v>
      </c>
      <c r="BR3" s="1822"/>
      <c r="BS3" s="1822"/>
      <c r="BT3" s="1822"/>
      <c r="BU3" s="1815" t="s">
        <v>2155</v>
      </c>
      <c r="BV3" s="1803" t="s">
        <v>2152</v>
      </c>
    </row>
    <row r="4" spans="1:74" s="1022" customFormat="1" ht="15.75" customHeight="1">
      <c r="A4" s="1810"/>
      <c r="B4" s="1811"/>
      <c r="C4" s="1822"/>
      <c r="D4" s="1822"/>
      <c r="E4" s="1822"/>
      <c r="F4" s="1822"/>
      <c r="G4" s="1822"/>
      <c r="H4" s="1822"/>
      <c r="I4" s="1804"/>
      <c r="J4" s="1804"/>
      <c r="K4" s="1822" t="s">
        <v>2103</v>
      </c>
      <c r="L4" s="1822"/>
      <c r="M4" s="1822"/>
      <c r="N4" s="1822"/>
      <c r="O4" s="1822"/>
      <c r="P4" s="1822"/>
      <c r="Q4" s="1822"/>
      <c r="R4" s="1822"/>
      <c r="S4" s="1822"/>
      <c r="T4" s="1822"/>
      <c r="U4" s="1822"/>
      <c r="V4" s="1822"/>
      <c r="W4" s="1822"/>
      <c r="X4" s="1822"/>
      <c r="Y4" s="1822"/>
      <c r="Z4" s="1810"/>
      <c r="AA4" s="1811"/>
      <c r="AB4" s="1822" t="s">
        <v>2104</v>
      </c>
      <c r="AC4" s="1822"/>
      <c r="AD4" s="1822"/>
      <c r="AE4" s="1822"/>
      <c r="AF4" s="1822"/>
      <c r="AG4" s="1822"/>
      <c r="AH4" s="1822"/>
      <c r="AI4" s="1822"/>
      <c r="AJ4" s="1822"/>
      <c r="AK4" s="1822"/>
      <c r="AL4" s="1822"/>
      <c r="AM4" s="1822"/>
      <c r="AN4" s="1822"/>
      <c r="AO4" s="1822"/>
      <c r="AP4" s="1824" t="s">
        <v>2105</v>
      </c>
      <c r="AQ4" s="1824"/>
      <c r="AR4" s="1824"/>
      <c r="AS4" s="1824"/>
      <c r="AT4" s="1833" t="s">
        <v>2106</v>
      </c>
      <c r="AU4" s="1833"/>
      <c r="AV4" s="1833"/>
      <c r="AW4" s="1833"/>
      <c r="AX4" s="1810"/>
      <c r="AY4" s="1811"/>
      <c r="AZ4" s="1833" t="s">
        <v>2107</v>
      </c>
      <c r="BA4" s="1833"/>
      <c r="BB4" s="1833"/>
      <c r="BC4" s="1833"/>
      <c r="BD4" s="1822" t="s">
        <v>871</v>
      </c>
      <c r="BE4" s="1822"/>
      <c r="BF4" s="1822"/>
      <c r="BG4" s="1822"/>
      <c r="BH4" s="1822"/>
      <c r="BI4" s="1822"/>
      <c r="BJ4" s="1819"/>
      <c r="BK4" s="1820"/>
      <c r="BL4" s="1821"/>
      <c r="BM4" s="1822"/>
      <c r="BN4" s="1822"/>
      <c r="BO4" s="1822"/>
      <c r="BP4" s="1822"/>
      <c r="BQ4" s="1822"/>
      <c r="BR4" s="1822"/>
      <c r="BS4" s="1822"/>
      <c r="BT4" s="1822"/>
      <c r="BU4" s="1815"/>
      <c r="BV4" s="1803"/>
    </row>
    <row r="5" spans="1:74" s="1023" customFormat="1" ht="12" customHeight="1">
      <c r="A5" s="1810"/>
      <c r="B5" s="1811"/>
      <c r="C5" s="1804" t="s">
        <v>2108</v>
      </c>
      <c r="D5" s="1804"/>
      <c r="E5" s="1804" t="s">
        <v>2109</v>
      </c>
      <c r="F5" s="1804"/>
      <c r="G5" s="1804" t="s">
        <v>871</v>
      </c>
      <c r="H5" s="1804"/>
      <c r="I5" s="1804"/>
      <c r="J5" s="1804"/>
      <c r="K5" s="1840" t="s">
        <v>2143</v>
      </c>
      <c r="L5" s="1841"/>
      <c r="M5" s="1841"/>
      <c r="N5" s="1842"/>
      <c r="O5" s="1805" t="s">
        <v>2110</v>
      </c>
      <c r="P5" s="1805"/>
      <c r="Q5" s="1805"/>
      <c r="R5" s="1805"/>
      <c r="S5" s="1805" t="s">
        <v>2111</v>
      </c>
      <c r="T5" s="1805"/>
      <c r="U5" s="1805"/>
      <c r="V5" s="1805"/>
      <c r="W5" s="1805" t="s">
        <v>871</v>
      </c>
      <c r="X5" s="1805"/>
      <c r="Y5" s="1823" t="s">
        <v>2112</v>
      </c>
      <c r="Z5" s="1810"/>
      <c r="AA5" s="1811"/>
      <c r="AB5" s="1805" t="s">
        <v>2113</v>
      </c>
      <c r="AC5" s="1805"/>
      <c r="AD5" s="1805"/>
      <c r="AE5" s="1805"/>
      <c r="AF5" s="1805" t="s">
        <v>2110</v>
      </c>
      <c r="AG5" s="1805"/>
      <c r="AH5" s="1805"/>
      <c r="AI5" s="1805"/>
      <c r="AJ5" s="1805" t="s">
        <v>2114</v>
      </c>
      <c r="AK5" s="1805"/>
      <c r="AL5" s="1805"/>
      <c r="AM5" s="1805"/>
      <c r="AN5" s="1804" t="s">
        <v>871</v>
      </c>
      <c r="AO5" s="1804"/>
      <c r="AP5" s="1824"/>
      <c r="AQ5" s="1824"/>
      <c r="AR5" s="1824"/>
      <c r="AS5" s="1824"/>
      <c r="AT5" s="1833"/>
      <c r="AU5" s="1833"/>
      <c r="AV5" s="1833"/>
      <c r="AW5" s="1833"/>
      <c r="AX5" s="1810"/>
      <c r="AY5" s="1811"/>
      <c r="AZ5" s="1833"/>
      <c r="BA5" s="1833"/>
      <c r="BB5" s="1833"/>
      <c r="BC5" s="1833"/>
      <c r="BD5" s="1822"/>
      <c r="BE5" s="1822"/>
      <c r="BF5" s="1803" t="s">
        <v>2103</v>
      </c>
      <c r="BG5" s="1803" t="s">
        <v>2104</v>
      </c>
      <c r="BH5" s="1803" t="s">
        <v>2115</v>
      </c>
      <c r="BI5" s="1827" t="s">
        <v>871</v>
      </c>
      <c r="BJ5" s="1803" t="s">
        <v>2116</v>
      </c>
      <c r="BK5" s="1804" t="s">
        <v>2117</v>
      </c>
      <c r="BL5" s="1804"/>
      <c r="BM5" s="1803" t="s">
        <v>2118</v>
      </c>
      <c r="BN5" s="1803" t="s">
        <v>2119</v>
      </c>
      <c r="BO5" s="1803"/>
      <c r="BP5" s="1806" t="s">
        <v>2120</v>
      </c>
      <c r="BQ5" s="1806" t="s">
        <v>2121</v>
      </c>
      <c r="BR5" s="1803" t="s">
        <v>2122</v>
      </c>
      <c r="BS5" s="1803"/>
      <c r="BT5" s="1815" t="s">
        <v>2123</v>
      </c>
      <c r="BU5" s="1815"/>
      <c r="BV5" s="1803"/>
    </row>
    <row r="6" spans="1:74" s="1024" customFormat="1" ht="50.25" customHeight="1">
      <c r="A6" s="1810"/>
      <c r="B6" s="1811"/>
      <c r="C6" s="1804"/>
      <c r="D6" s="1804"/>
      <c r="E6" s="1804"/>
      <c r="F6" s="1804"/>
      <c r="G6" s="1804"/>
      <c r="H6" s="1804"/>
      <c r="I6" s="1804"/>
      <c r="J6" s="1804"/>
      <c r="K6" s="1807" t="s">
        <v>2124</v>
      </c>
      <c r="L6" s="1807"/>
      <c r="M6" s="1807" t="s">
        <v>2128</v>
      </c>
      <c r="N6" s="1807"/>
      <c r="O6" s="1807" t="s">
        <v>2126</v>
      </c>
      <c r="P6" s="1807"/>
      <c r="Q6" s="1807" t="s">
        <v>2125</v>
      </c>
      <c r="R6" s="1807"/>
      <c r="S6" s="1807" t="s">
        <v>2127</v>
      </c>
      <c r="T6" s="1807"/>
      <c r="U6" s="1807" t="s">
        <v>2125</v>
      </c>
      <c r="V6" s="1807"/>
      <c r="W6" s="1805"/>
      <c r="X6" s="1805"/>
      <c r="Y6" s="1823"/>
      <c r="Z6" s="1810"/>
      <c r="AA6" s="1811"/>
      <c r="AB6" s="1807" t="s">
        <v>2127</v>
      </c>
      <c r="AC6" s="1807"/>
      <c r="AD6" s="1807" t="s">
        <v>2125</v>
      </c>
      <c r="AE6" s="1807"/>
      <c r="AF6" s="1807" t="s">
        <v>2127</v>
      </c>
      <c r="AG6" s="1807"/>
      <c r="AH6" s="1807" t="s">
        <v>2125</v>
      </c>
      <c r="AI6" s="1807"/>
      <c r="AJ6" s="1807" t="s">
        <v>2127</v>
      </c>
      <c r="AK6" s="1807"/>
      <c r="AL6" s="1807" t="s">
        <v>2128</v>
      </c>
      <c r="AM6" s="1807"/>
      <c r="AN6" s="1804"/>
      <c r="AO6" s="1804"/>
      <c r="AP6" s="1807" t="s">
        <v>2127</v>
      </c>
      <c r="AQ6" s="1807"/>
      <c r="AR6" s="1807" t="s">
        <v>2125</v>
      </c>
      <c r="AS6" s="1807"/>
      <c r="AT6" s="1804" t="s">
        <v>2129</v>
      </c>
      <c r="AU6" s="1804"/>
      <c r="AV6" s="1804" t="s">
        <v>2130</v>
      </c>
      <c r="AW6" s="1804"/>
      <c r="AX6" s="1810"/>
      <c r="AY6" s="1811"/>
      <c r="AZ6" s="1804" t="s">
        <v>2131</v>
      </c>
      <c r="BA6" s="1804"/>
      <c r="BB6" s="1804" t="s">
        <v>871</v>
      </c>
      <c r="BC6" s="1804"/>
      <c r="BD6" s="1822"/>
      <c r="BE6" s="1822"/>
      <c r="BF6" s="1803"/>
      <c r="BG6" s="1803"/>
      <c r="BH6" s="1803"/>
      <c r="BI6" s="1828"/>
      <c r="BJ6" s="1803"/>
      <c r="BK6" s="1804"/>
      <c r="BL6" s="1804"/>
      <c r="BM6" s="1803"/>
      <c r="BN6" s="1803"/>
      <c r="BO6" s="1803"/>
      <c r="BP6" s="1806"/>
      <c r="BQ6" s="1806"/>
      <c r="BR6" s="1803"/>
      <c r="BS6" s="1803"/>
      <c r="BT6" s="1815"/>
      <c r="BU6" s="1815"/>
      <c r="BV6" s="1803"/>
    </row>
    <row r="7" spans="1:74" s="1027" customFormat="1" ht="38.25" customHeight="1">
      <c r="A7" s="1810"/>
      <c r="B7" s="1811"/>
      <c r="C7" s="1025" t="s">
        <v>2132</v>
      </c>
      <c r="D7" s="1025" t="s">
        <v>2133</v>
      </c>
      <c r="E7" s="1025" t="s">
        <v>2134</v>
      </c>
      <c r="F7" s="1025" t="s">
        <v>2135</v>
      </c>
      <c r="G7" s="1025" t="s">
        <v>2136</v>
      </c>
      <c r="H7" s="1025" t="s">
        <v>2135</v>
      </c>
      <c r="I7" s="1025" t="s">
        <v>2136</v>
      </c>
      <c r="J7" s="1025" t="s">
        <v>2135</v>
      </c>
      <c r="K7" s="1025" t="s">
        <v>2134</v>
      </c>
      <c r="L7" s="1025" t="s">
        <v>2135</v>
      </c>
      <c r="M7" s="1025" t="s">
        <v>2136</v>
      </c>
      <c r="N7" s="1026" t="s">
        <v>2135</v>
      </c>
      <c r="O7" s="1025" t="s">
        <v>2134</v>
      </c>
      <c r="P7" s="1026" t="s">
        <v>2135</v>
      </c>
      <c r="Q7" s="1025" t="s">
        <v>2134</v>
      </c>
      <c r="R7" s="1026" t="s">
        <v>2135</v>
      </c>
      <c r="S7" s="1025" t="s">
        <v>2134</v>
      </c>
      <c r="T7" s="1026" t="s">
        <v>2135</v>
      </c>
      <c r="U7" s="1025" t="s">
        <v>2134</v>
      </c>
      <c r="V7" s="1026" t="s">
        <v>2135</v>
      </c>
      <c r="W7" s="1025" t="s">
        <v>2136</v>
      </c>
      <c r="X7" s="1026" t="s">
        <v>2135</v>
      </c>
      <c r="Y7" s="1025" t="s">
        <v>2135</v>
      </c>
      <c r="Z7" s="1810"/>
      <c r="AA7" s="1811"/>
      <c r="AB7" s="1025" t="s">
        <v>2134</v>
      </c>
      <c r="AC7" s="1025" t="s">
        <v>2135</v>
      </c>
      <c r="AD7" s="1025" t="s">
        <v>2159</v>
      </c>
      <c r="AE7" s="1026" t="s">
        <v>2135</v>
      </c>
      <c r="AF7" s="1025" t="s">
        <v>2134</v>
      </c>
      <c r="AG7" s="1026" t="s">
        <v>2135</v>
      </c>
      <c r="AH7" s="1025" t="s">
        <v>2134</v>
      </c>
      <c r="AI7" s="1026" t="s">
        <v>2135</v>
      </c>
      <c r="AJ7" s="1025" t="s">
        <v>2134</v>
      </c>
      <c r="AK7" s="1026" t="s">
        <v>2135</v>
      </c>
      <c r="AL7" s="1025" t="s">
        <v>2134</v>
      </c>
      <c r="AM7" s="1025" t="s">
        <v>2135</v>
      </c>
      <c r="AN7" s="1025" t="s">
        <v>2134</v>
      </c>
      <c r="AO7" s="1025" t="s">
        <v>2135</v>
      </c>
      <c r="AP7" s="1025" t="s">
        <v>2136</v>
      </c>
      <c r="AQ7" s="1025" t="s">
        <v>2135</v>
      </c>
      <c r="AR7" s="1025" t="s">
        <v>2134</v>
      </c>
      <c r="AS7" s="1025" t="s">
        <v>2135</v>
      </c>
      <c r="AT7" s="1025" t="s">
        <v>2134</v>
      </c>
      <c r="AU7" s="1025" t="s">
        <v>2135</v>
      </c>
      <c r="AV7" s="1025" t="s">
        <v>2134</v>
      </c>
      <c r="AW7" s="1025" t="s">
        <v>2135</v>
      </c>
      <c r="AX7" s="1810"/>
      <c r="AY7" s="1811"/>
      <c r="AZ7" s="1025" t="s">
        <v>2136</v>
      </c>
      <c r="BA7" s="1026" t="s">
        <v>2135</v>
      </c>
      <c r="BB7" s="1025" t="s">
        <v>2134</v>
      </c>
      <c r="BC7" s="1026" t="s">
        <v>2135</v>
      </c>
      <c r="BD7" s="1025" t="s">
        <v>2134</v>
      </c>
      <c r="BE7" s="1025" t="s">
        <v>2135</v>
      </c>
      <c r="BF7" s="1025" t="s">
        <v>2222</v>
      </c>
      <c r="BG7" s="1025" t="s">
        <v>2222</v>
      </c>
      <c r="BH7" s="1025" t="s">
        <v>2137</v>
      </c>
      <c r="BI7" s="1025" t="s">
        <v>2137</v>
      </c>
      <c r="BJ7" s="1025" t="s">
        <v>2137</v>
      </c>
      <c r="BK7" s="1025" t="s">
        <v>2160</v>
      </c>
      <c r="BL7" s="1025" t="s">
        <v>2135</v>
      </c>
      <c r="BM7" s="1025" t="s">
        <v>2137</v>
      </c>
      <c r="BN7" s="1025" t="s">
        <v>2136</v>
      </c>
      <c r="BO7" s="1025" t="s">
        <v>2135</v>
      </c>
      <c r="BP7" s="1025" t="s">
        <v>2137</v>
      </c>
      <c r="BQ7" s="1025" t="s">
        <v>2137</v>
      </c>
      <c r="BR7" s="1025" t="s">
        <v>2136</v>
      </c>
      <c r="BS7" s="1025" t="s">
        <v>2135</v>
      </c>
      <c r="BT7" s="1025" t="s">
        <v>2137</v>
      </c>
      <c r="BU7" s="1025" t="s">
        <v>2137</v>
      </c>
      <c r="BV7" s="1025" t="s">
        <v>2137</v>
      </c>
    </row>
    <row r="8" spans="1:74" s="1030" customFormat="1" ht="15" customHeight="1">
      <c r="A8" s="1812"/>
      <c r="B8" s="1813"/>
      <c r="C8" s="1814">
        <v>1</v>
      </c>
      <c r="D8" s="1814"/>
      <c r="E8" s="1814">
        <v>2</v>
      </c>
      <c r="F8" s="1814"/>
      <c r="G8" s="1218" t="s">
        <v>2138</v>
      </c>
      <c r="H8" s="1218"/>
      <c r="I8" s="1814">
        <v>4</v>
      </c>
      <c r="J8" s="1814"/>
      <c r="K8" s="1814">
        <v>5</v>
      </c>
      <c r="L8" s="1814"/>
      <c r="M8" s="1814">
        <v>6</v>
      </c>
      <c r="N8" s="1814"/>
      <c r="O8" s="1814">
        <v>7</v>
      </c>
      <c r="P8" s="1814"/>
      <c r="Q8" s="1814">
        <v>8</v>
      </c>
      <c r="R8" s="1814"/>
      <c r="S8" s="1814">
        <v>9</v>
      </c>
      <c r="T8" s="1814"/>
      <c r="U8" s="1814">
        <v>10</v>
      </c>
      <c r="V8" s="1814"/>
      <c r="W8" s="1814" t="s">
        <v>2139</v>
      </c>
      <c r="X8" s="1814"/>
      <c r="Y8" s="1028">
        <v>12</v>
      </c>
      <c r="Z8" s="1812"/>
      <c r="AA8" s="1813"/>
      <c r="AB8" s="1814">
        <v>13</v>
      </c>
      <c r="AC8" s="1814"/>
      <c r="AD8" s="1814">
        <v>14</v>
      </c>
      <c r="AE8" s="1814"/>
      <c r="AF8" s="1831">
        <v>15</v>
      </c>
      <c r="AG8" s="1832"/>
      <c r="AH8" s="1814">
        <v>16</v>
      </c>
      <c r="AI8" s="1814"/>
      <c r="AJ8" s="1831">
        <v>17</v>
      </c>
      <c r="AK8" s="1832"/>
      <c r="AL8" s="1814">
        <v>18</v>
      </c>
      <c r="AM8" s="1814"/>
      <c r="AN8" s="1814" t="s">
        <v>2140</v>
      </c>
      <c r="AO8" s="1814"/>
      <c r="AP8" s="1814">
        <v>20</v>
      </c>
      <c r="AQ8" s="1814"/>
      <c r="AR8" s="1814">
        <v>21</v>
      </c>
      <c r="AS8" s="1814"/>
      <c r="AT8" s="1814">
        <v>22</v>
      </c>
      <c r="AU8" s="1814"/>
      <c r="AV8" s="1814">
        <v>23</v>
      </c>
      <c r="AW8" s="1814"/>
      <c r="AX8" s="1812"/>
      <c r="AY8" s="1813"/>
      <c r="AZ8" s="1814">
        <v>24</v>
      </c>
      <c r="BA8" s="1814"/>
      <c r="BB8" s="1829" t="s">
        <v>2141</v>
      </c>
      <c r="BC8" s="1830"/>
      <c r="BD8" s="1829" t="s">
        <v>2142</v>
      </c>
      <c r="BE8" s="1830"/>
      <c r="BF8" s="1028">
        <v>27</v>
      </c>
      <c r="BG8" s="1028">
        <v>28</v>
      </c>
      <c r="BH8" s="1097">
        <v>29</v>
      </c>
      <c r="BI8" s="1029" t="s">
        <v>2221</v>
      </c>
      <c r="BJ8" s="1028">
        <v>31</v>
      </c>
      <c r="BK8" s="1028">
        <v>32</v>
      </c>
      <c r="BL8" s="1028">
        <v>33</v>
      </c>
      <c r="BM8" s="1028">
        <v>34</v>
      </c>
      <c r="BN8" s="1814">
        <v>35</v>
      </c>
      <c r="BO8" s="1814"/>
      <c r="BP8" s="1028">
        <v>36</v>
      </c>
      <c r="BQ8" s="1028">
        <v>37</v>
      </c>
      <c r="BR8" s="1814">
        <v>38</v>
      </c>
      <c r="BS8" s="1814"/>
      <c r="BT8" s="1028">
        <v>39</v>
      </c>
      <c r="BU8" s="1028">
        <v>40</v>
      </c>
      <c r="BV8" s="1028">
        <v>41</v>
      </c>
    </row>
    <row r="9" spans="1:74" s="1037" customFormat="1" ht="10.35" customHeight="1">
      <c r="A9" s="1825" t="s">
        <v>2384</v>
      </c>
      <c r="B9" s="1826"/>
      <c r="C9" s="1074"/>
      <c r="D9" s="1075"/>
      <c r="E9" s="1074"/>
      <c r="F9" s="1075"/>
      <c r="G9" s="1074"/>
      <c r="H9" s="1075"/>
      <c r="I9" s="1074"/>
      <c r="J9" s="1075"/>
      <c r="K9" s="1074"/>
      <c r="L9" s="1075"/>
      <c r="M9" s="1074"/>
      <c r="N9" s="1075"/>
      <c r="O9" s="1074"/>
      <c r="P9" s="1075"/>
      <c r="Q9" s="1074"/>
      <c r="R9" s="1075"/>
      <c r="S9" s="1074"/>
      <c r="T9" s="1075"/>
      <c r="U9" s="1074"/>
      <c r="V9" s="1075"/>
      <c r="W9" s="1074"/>
      <c r="X9" s="1075"/>
      <c r="Y9" s="1075"/>
      <c r="Z9" s="1825" t="s">
        <v>2384</v>
      </c>
      <c r="AA9" s="1826"/>
      <c r="AB9" s="1074"/>
      <c r="AC9" s="1075"/>
      <c r="AD9" s="1074"/>
      <c r="AE9" s="1075"/>
      <c r="AF9" s="1074"/>
      <c r="AG9" s="1075"/>
      <c r="AH9" s="1074"/>
      <c r="AI9" s="1075"/>
      <c r="AJ9" s="1074"/>
      <c r="AK9" s="1075"/>
      <c r="AL9" s="1074"/>
      <c r="AM9" s="1075"/>
      <c r="AN9" s="1074"/>
      <c r="AO9" s="1075"/>
      <c r="AP9" s="1074"/>
      <c r="AQ9" s="1098"/>
      <c r="AR9" s="1074"/>
      <c r="AS9" s="1075"/>
      <c r="AT9" s="1074"/>
      <c r="AU9" s="1075"/>
      <c r="AV9" s="1074"/>
      <c r="AW9" s="1075"/>
      <c r="AX9" s="1825" t="s">
        <v>2384</v>
      </c>
      <c r="AY9" s="1826"/>
      <c r="AZ9" s="1074"/>
      <c r="BA9" s="1075"/>
      <c r="BB9" s="1074"/>
      <c r="BC9" s="1075"/>
      <c r="BD9" s="1074"/>
      <c r="BE9" s="1075"/>
      <c r="BF9" s="1074"/>
      <c r="BG9" s="1074"/>
      <c r="BH9" s="1074"/>
      <c r="BI9" s="1074"/>
      <c r="BJ9" s="1074"/>
      <c r="BK9" s="1074"/>
      <c r="BL9" s="1075"/>
      <c r="BM9" s="1074"/>
      <c r="BN9" s="1074"/>
      <c r="BO9" s="1075"/>
      <c r="BP9" s="1074"/>
      <c r="BQ9" s="1074"/>
      <c r="BR9" s="1074"/>
      <c r="BS9" s="1075"/>
      <c r="BT9" s="1074"/>
      <c r="BU9" s="1074"/>
      <c r="BV9" s="1074"/>
    </row>
    <row r="10" spans="1:74" s="1037" customFormat="1" ht="10.35" customHeight="1">
      <c r="A10" s="1834" t="s">
        <v>2280</v>
      </c>
      <c r="B10" s="1032" t="s">
        <v>2146</v>
      </c>
      <c r="C10" s="1138">
        <v>994616</v>
      </c>
      <c r="D10" s="1139">
        <v>90387.69</v>
      </c>
      <c r="E10" s="1138">
        <v>709</v>
      </c>
      <c r="F10" s="1139">
        <v>125.64000000000001</v>
      </c>
      <c r="G10" s="1138">
        <v>995325</v>
      </c>
      <c r="H10" s="1139">
        <v>90513.3</v>
      </c>
      <c r="I10" s="1138">
        <v>62346</v>
      </c>
      <c r="J10" s="1139">
        <v>454.11</v>
      </c>
      <c r="K10" s="1138">
        <v>10753</v>
      </c>
      <c r="L10" s="1139">
        <v>10.67</v>
      </c>
      <c r="M10" s="1138">
        <v>1</v>
      </c>
      <c r="N10" s="1139">
        <v>0</v>
      </c>
      <c r="O10" s="1138">
        <v>3684</v>
      </c>
      <c r="P10" s="1139">
        <v>1.22</v>
      </c>
      <c r="Q10" s="1138">
        <v>56</v>
      </c>
      <c r="R10" s="1139">
        <v>9.0000000000000011E-2</v>
      </c>
      <c r="S10" s="1138">
        <v>0</v>
      </c>
      <c r="T10" s="1139">
        <v>0</v>
      </c>
      <c r="U10" s="1138">
        <v>0</v>
      </c>
      <c r="V10" s="1139">
        <v>0</v>
      </c>
      <c r="W10" s="1138">
        <v>14494</v>
      </c>
      <c r="X10" s="1139">
        <v>11.99</v>
      </c>
      <c r="Y10" s="1139">
        <v>8.5500000000000007</v>
      </c>
      <c r="Z10" s="1834" t="s">
        <v>2280</v>
      </c>
      <c r="AA10" s="1032" t="s">
        <v>2146</v>
      </c>
      <c r="AB10" s="1140">
        <v>429467</v>
      </c>
      <c r="AC10" s="1141">
        <v>401.01</v>
      </c>
      <c r="AD10" s="1140">
        <v>0</v>
      </c>
      <c r="AE10" s="1141">
        <v>0</v>
      </c>
      <c r="AF10" s="1140">
        <v>9720</v>
      </c>
      <c r="AG10" s="1141">
        <v>2.77</v>
      </c>
      <c r="AH10" s="1140">
        <v>0</v>
      </c>
      <c r="AI10" s="1141">
        <v>0</v>
      </c>
      <c r="AJ10" s="1140">
        <v>0</v>
      </c>
      <c r="AK10" s="1141">
        <v>0</v>
      </c>
      <c r="AL10" s="1140">
        <v>0</v>
      </c>
      <c r="AM10" s="1141">
        <v>0</v>
      </c>
      <c r="AN10" s="1140">
        <v>439187</v>
      </c>
      <c r="AO10" s="1141">
        <v>403.78</v>
      </c>
      <c r="AP10" s="1140">
        <v>23</v>
      </c>
      <c r="AQ10" s="1142">
        <v>0</v>
      </c>
      <c r="AR10" s="1140">
        <v>0</v>
      </c>
      <c r="AS10" s="1141">
        <v>0</v>
      </c>
      <c r="AT10" s="1140">
        <v>0</v>
      </c>
      <c r="AU10" s="1141">
        <v>0</v>
      </c>
      <c r="AV10" s="1140">
        <v>0</v>
      </c>
      <c r="AW10" s="1141">
        <v>0</v>
      </c>
      <c r="AX10" s="1834" t="s">
        <v>2280</v>
      </c>
      <c r="AY10" s="1032" t="s">
        <v>2146</v>
      </c>
      <c r="AZ10" s="1138">
        <v>0</v>
      </c>
      <c r="BA10" s="1139">
        <v>0</v>
      </c>
      <c r="BB10" s="1138">
        <v>0</v>
      </c>
      <c r="BC10" s="1139">
        <v>0</v>
      </c>
      <c r="BD10" s="1138">
        <v>453704</v>
      </c>
      <c r="BE10" s="1139">
        <v>415.77</v>
      </c>
      <c r="BF10" s="1138">
        <v>2367</v>
      </c>
      <c r="BG10" s="1138">
        <v>115581</v>
      </c>
      <c r="BH10" s="1138">
        <v>2641</v>
      </c>
      <c r="BI10" s="1138">
        <v>120589</v>
      </c>
      <c r="BJ10" s="1138">
        <v>0</v>
      </c>
      <c r="BK10" s="1138">
        <v>0</v>
      </c>
      <c r="BL10" s="1139">
        <v>0</v>
      </c>
      <c r="BM10" s="1138">
        <v>24288</v>
      </c>
      <c r="BN10" s="1138">
        <v>336112</v>
      </c>
      <c r="BO10" s="1139">
        <v>45.8</v>
      </c>
      <c r="BP10" s="1138">
        <v>260679</v>
      </c>
      <c r="BQ10" s="1138">
        <v>0</v>
      </c>
      <c r="BR10" s="1138">
        <v>0</v>
      </c>
      <c r="BS10" s="1139">
        <v>0</v>
      </c>
      <c r="BT10" s="1138">
        <v>0</v>
      </c>
      <c r="BU10" s="1138">
        <v>216</v>
      </c>
      <c r="BV10" s="1143">
        <v>0</v>
      </c>
    </row>
    <row r="11" spans="1:74" s="300" customFormat="1" ht="10.35" customHeight="1">
      <c r="A11" s="1835"/>
      <c r="B11" s="1034" t="s">
        <v>2147</v>
      </c>
      <c r="C11" s="1144">
        <v>42473</v>
      </c>
      <c r="D11" s="1145">
        <v>3226.38</v>
      </c>
      <c r="E11" s="1144">
        <v>1339</v>
      </c>
      <c r="F11" s="1145">
        <v>24.759999999999998</v>
      </c>
      <c r="G11" s="1144">
        <v>43812</v>
      </c>
      <c r="H11" s="1145">
        <v>3251.1400000000003</v>
      </c>
      <c r="I11" s="1144">
        <v>176</v>
      </c>
      <c r="J11" s="1145">
        <v>131.32</v>
      </c>
      <c r="K11" s="1144">
        <v>0</v>
      </c>
      <c r="L11" s="1145">
        <v>0</v>
      </c>
      <c r="M11" s="1144">
        <v>0</v>
      </c>
      <c r="N11" s="1145">
        <v>0</v>
      </c>
      <c r="O11" s="1144">
        <v>0</v>
      </c>
      <c r="P11" s="1145">
        <v>0</v>
      </c>
      <c r="Q11" s="1144">
        <v>0</v>
      </c>
      <c r="R11" s="1145">
        <v>0</v>
      </c>
      <c r="S11" s="1144">
        <v>0</v>
      </c>
      <c r="T11" s="1145">
        <v>0</v>
      </c>
      <c r="U11" s="1144">
        <v>0</v>
      </c>
      <c r="V11" s="1145">
        <v>0</v>
      </c>
      <c r="W11" s="1144">
        <v>0</v>
      </c>
      <c r="X11" s="1145">
        <v>0</v>
      </c>
      <c r="Y11" s="1145">
        <v>0</v>
      </c>
      <c r="Z11" s="1835"/>
      <c r="AA11" s="1034" t="s">
        <v>2147</v>
      </c>
      <c r="AB11" s="639">
        <v>11282</v>
      </c>
      <c r="AC11" s="1146">
        <v>8.7199999999999989</v>
      </c>
      <c r="AD11" s="639">
        <v>0</v>
      </c>
      <c r="AE11" s="1146">
        <v>0</v>
      </c>
      <c r="AF11" s="639">
        <v>295</v>
      </c>
      <c r="AG11" s="1146">
        <v>0.08</v>
      </c>
      <c r="AH11" s="639">
        <v>0</v>
      </c>
      <c r="AI11" s="1146">
        <v>0</v>
      </c>
      <c r="AJ11" s="639">
        <v>0</v>
      </c>
      <c r="AK11" s="1146">
        <v>0</v>
      </c>
      <c r="AL11" s="639">
        <v>0</v>
      </c>
      <c r="AM11" s="1146">
        <v>0</v>
      </c>
      <c r="AN11" s="639">
        <v>11577</v>
      </c>
      <c r="AO11" s="1146">
        <v>8.8000000000000007</v>
      </c>
      <c r="AP11" s="639">
        <v>0</v>
      </c>
      <c r="AQ11" s="1147">
        <v>0</v>
      </c>
      <c r="AR11" s="639">
        <v>0</v>
      </c>
      <c r="AS11" s="1146">
        <v>0</v>
      </c>
      <c r="AT11" s="639">
        <v>0</v>
      </c>
      <c r="AU11" s="1146">
        <v>0</v>
      </c>
      <c r="AV11" s="639">
        <v>0</v>
      </c>
      <c r="AW11" s="1146">
        <v>0</v>
      </c>
      <c r="AX11" s="1835"/>
      <c r="AY11" s="1034" t="s">
        <v>2147</v>
      </c>
      <c r="AZ11" s="1144">
        <v>0</v>
      </c>
      <c r="BA11" s="1145">
        <v>0</v>
      </c>
      <c r="BB11" s="1144">
        <v>0</v>
      </c>
      <c r="BC11" s="1145">
        <v>0</v>
      </c>
      <c r="BD11" s="1144">
        <v>11577</v>
      </c>
      <c r="BE11" s="1145">
        <v>1</v>
      </c>
      <c r="BF11" s="1144">
        <v>0</v>
      </c>
      <c r="BG11" s="1144">
        <v>3494</v>
      </c>
      <c r="BH11" s="1144">
        <v>0</v>
      </c>
      <c r="BI11" s="1144">
        <v>3494</v>
      </c>
      <c r="BJ11" s="1144">
        <v>0</v>
      </c>
      <c r="BK11" s="1144">
        <v>0</v>
      </c>
      <c r="BL11" s="1145">
        <v>0</v>
      </c>
      <c r="BM11" s="1144">
        <v>0</v>
      </c>
      <c r="BN11" s="1144">
        <v>0</v>
      </c>
      <c r="BO11" s="1145">
        <v>0</v>
      </c>
      <c r="BP11" s="1144">
        <v>0</v>
      </c>
      <c r="BQ11" s="1144">
        <v>0</v>
      </c>
      <c r="BR11" s="1144">
        <v>0</v>
      </c>
      <c r="BS11" s="1145">
        <v>0</v>
      </c>
      <c r="BT11" s="1144">
        <v>0</v>
      </c>
      <c r="BU11" s="1144">
        <v>5</v>
      </c>
      <c r="BV11" s="1148">
        <v>0</v>
      </c>
    </row>
    <row r="12" spans="1:74" s="1037" customFormat="1" ht="9" customHeight="1">
      <c r="A12" s="1835"/>
      <c r="B12" s="1035" t="s">
        <v>2148</v>
      </c>
      <c r="C12" s="1149">
        <v>3552877</v>
      </c>
      <c r="D12" s="1150">
        <v>289578.14</v>
      </c>
      <c r="E12" s="1149">
        <v>2913</v>
      </c>
      <c r="F12" s="1150">
        <v>98.170000000000016</v>
      </c>
      <c r="G12" s="1149">
        <v>3555790</v>
      </c>
      <c r="H12" s="1150">
        <v>289676.27999999997</v>
      </c>
      <c r="I12" s="1149">
        <v>2336497</v>
      </c>
      <c r="J12" s="1150">
        <v>14157.84</v>
      </c>
      <c r="K12" s="1149">
        <v>226755</v>
      </c>
      <c r="L12" s="1150">
        <v>151.76</v>
      </c>
      <c r="M12" s="1149">
        <v>9670</v>
      </c>
      <c r="N12" s="1150">
        <v>21.2</v>
      </c>
      <c r="O12" s="1149">
        <v>1713500</v>
      </c>
      <c r="P12" s="1150">
        <v>951.32999999999993</v>
      </c>
      <c r="Q12" s="1149">
        <v>292238</v>
      </c>
      <c r="R12" s="1150">
        <v>324.93</v>
      </c>
      <c r="S12" s="1149">
        <v>129874</v>
      </c>
      <c r="T12" s="1150">
        <v>22.04999999999999</v>
      </c>
      <c r="U12" s="1149">
        <v>63617</v>
      </c>
      <c r="V12" s="1150">
        <v>71.339999999999989</v>
      </c>
      <c r="W12" s="1149">
        <v>2435654</v>
      </c>
      <c r="X12" s="1150">
        <v>1542.64</v>
      </c>
      <c r="Y12" s="1150">
        <v>2461.5299999999997</v>
      </c>
      <c r="Z12" s="1835"/>
      <c r="AA12" s="1035" t="s">
        <v>2148</v>
      </c>
      <c r="AB12" s="1151">
        <v>32069058</v>
      </c>
      <c r="AC12" s="1152">
        <v>23128.409999999996</v>
      </c>
      <c r="AD12" s="1151">
        <v>1079</v>
      </c>
      <c r="AE12" s="1152">
        <v>2.2400000000000002</v>
      </c>
      <c r="AF12" s="1151">
        <v>1462053</v>
      </c>
      <c r="AG12" s="1152">
        <v>1253</v>
      </c>
      <c r="AH12" s="1151">
        <v>6246</v>
      </c>
      <c r="AI12" s="1152">
        <v>10.620000000000001</v>
      </c>
      <c r="AJ12" s="1151">
        <v>146567</v>
      </c>
      <c r="AK12" s="1152">
        <v>29.49</v>
      </c>
      <c r="AL12" s="1151">
        <v>1725</v>
      </c>
      <c r="AM12" s="1152">
        <v>1.56</v>
      </c>
      <c r="AN12" s="1151">
        <v>33686728</v>
      </c>
      <c r="AO12" s="1152">
        <v>24425.449999999993</v>
      </c>
      <c r="AP12" s="1151">
        <v>150972</v>
      </c>
      <c r="AQ12" s="1153">
        <v>105.78999999999999</v>
      </c>
      <c r="AR12" s="1151">
        <v>24314</v>
      </c>
      <c r="AS12" s="1152">
        <v>138.56</v>
      </c>
      <c r="AT12" s="1151">
        <v>102628</v>
      </c>
      <c r="AU12" s="1152">
        <v>139.80000000000001</v>
      </c>
      <c r="AV12" s="1151">
        <v>220314</v>
      </c>
      <c r="AW12" s="1152">
        <v>179.63</v>
      </c>
      <c r="AX12" s="1835"/>
      <c r="AY12" s="1035" t="s">
        <v>2148</v>
      </c>
      <c r="AZ12" s="1149">
        <v>144867</v>
      </c>
      <c r="BA12" s="1150">
        <v>22</v>
      </c>
      <c r="BB12" s="1149">
        <v>467809</v>
      </c>
      <c r="BC12" s="1150">
        <v>341.44</v>
      </c>
      <c r="BD12" s="1149">
        <v>36759231</v>
      </c>
      <c r="BE12" s="1150">
        <v>26543.239999999998</v>
      </c>
      <c r="BF12" s="1149">
        <v>705299</v>
      </c>
      <c r="BG12" s="1149">
        <v>8941959</v>
      </c>
      <c r="BH12" s="1149">
        <v>148659</v>
      </c>
      <c r="BI12" s="1149">
        <v>9795917</v>
      </c>
      <c r="BJ12" s="1149">
        <v>1340651</v>
      </c>
      <c r="BK12" s="1149">
        <v>1654239</v>
      </c>
      <c r="BL12" s="1150">
        <v>3130.73</v>
      </c>
      <c r="BM12" s="1149">
        <v>629290</v>
      </c>
      <c r="BN12" s="1149">
        <v>360385309</v>
      </c>
      <c r="BO12" s="1150">
        <v>57405.639999999992</v>
      </c>
      <c r="BP12" s="1149">
        <v>37837707</v>
      </c>
      <c r="BQ12" s="1149">
        <v>1279</v>
      </c>
      <c r="BR12" s="1149">
        <v>1167232</v>
      </c>
      <c r="BS12" s="1150">
        <v>2169.23</v>
      </c>
      <c r="BT12" s="1149">
        <v>382848</v>
      </c>
      <c r="BU12" s="1149">
        <v>8302</v>
      </c>
      <c r="BV12" s="1154">
        <v>31692</v>
      </c>
    </row>
    <row r="13" spans="1:74" s="1037" customFormat="1" ht="10.35" customHeight="1">
      <c r="A13" s="1835"/>
      <c r="B13" s="1036" t="s">
        <v>2169</v>
      </c>
      <c r="C13" s="1155">
        <v>447164</v>
      </c>
      <c r="D13" s="1156">
        <v>38398.520000000004</v>
      </c>
      <c r="E13" s="1155">
        <v>8</v>
      </c>
      <c r="F13" s="1156">
        <v>0.49</v>
      </c>
      <c r="G13" s="1155">
        <v>447172</v>
      </c>
      <c r="H13" s="1156">
        <v>38399.01</v>
      </c>
      <c r="I13" s="1155">
        <v>723773</v>
      </c>
      <c r="J13" s="1156">
        <v>6473.2899999999991</v>
      </c>
      <c r="K13" s="1155">
        <v>21032</v>
      </c>
      <c r="L13" s="1156">
        <v>19.27</v>
      </c>
      <c r="M13" s="1155">
        <v>310</v>
      </c>
      <c r="N13" s="1156">
        <v>0.39</v>
      </c>
      <c r="O13" s="1155">
        <v>587216</v>
      </c>
      <c r="P13" s="1156">
        <v>274.70000000000005</v>
      </c>
      <c r="Q13" s="1155">
        <v>17044</v>
      </c>
      <c r="R13" s="1156">
        <v>18.55</v>
      </c>
      <c r="S13" s="1155">
        <v>54501</v>
      </c>
      <c r="T13" s="1156">
        <v>11.849999999999998</v>
      </c>
      <c r="U13" s="1155">
        <v>3952</v>
      </c>
      <c r="V13" s="1156">
        <v>3.4499999999999997</v>
      </c>
      <c r="W13" s="1155">
        <v>684055</v>
      </c>
      <c r="X13" s="1156">
        <v>328.19</v>
      </c>
      <c r="Y13" s="1156">
        <v>623.70999999999992</v>
      </c>
      <c r="Z13" s="1835"/>
      <c r="AA13" s="1036" t="s">
        <v>2169</v>
      </c>
      <c r="AB13" s="1157">
        <v>1566765</v>
      </c>
      <c r="AC13" s="1158">
        <v>1852.9900000000002</v>
      </c>
      <c r="AD13" s="1157">
        <v>4090</v>
      </c>
      <c r="AE13" s="1158">
        <v>10.969999999999999</v>
      </c>
      <c r="AF13" s="1157">
        <v>278854</v>
      </c>
      <c r="AG13" s="1158">
        <v>92.2</v>
      </c>
      <c r="AH13" s="1157">
        <v>8714</v>
      </c>
      <c r="AI13" s="1158">
        <v>12.840000000000002</v>
      </c>
      <c r="AJ13" s="1157">
        <v>31012</v>
      </c>
      <c r="AK13" s="1158">
        <v>2.5</v>
      </c>
      <c r="AL13" s="1157">
        <v>2571</v>
      </c>
      <c r="AM13" s="1158">
        <v>3.5800000000000005</v>
      </c>
      <c r="AN13" s="1157">
        <v>1892006</v>
      </c>
      <c r="AO13" s="1158">
        <v>1975.13</v>
      </c>
      <c r="AP13" s="1157">
        <v>0</v>
      </c>
      <c r="AQ13" s="1159">
        <v>0</v>
      </c>
      <c r="AR13" s="1157">
        <v>3319</v>
      </c>
      <c r="AS13" s="1158">
        <v>2.68</v>
      </c>
      <c r="AT13" s="1157">
        <v>37472</v>
      </c>
      <c r="AU13" s="1158">
        <v>84.8</v>
      </c>
      <c r="AV13" s="1157">
        <v>0</v>
      </c>
      <c r="AW13" s="1158">
        <v>0</v>
      </c>
      <c r="AX13" s="1835"/>
      <c r="AY13" s="1036" t="s">
        <v>2169</v>
      </c>
      <c r="AZ13" s="1155">
        <v>0</v>
      </c>
      <c r="BA13" s="1156">
        <v>0</v>
      </c>
      <c r="BB13" s="1155">
        <v>37472</v>
      </c>
      <c r="BC13" s="1156">
        <v>84.8</v>
      </c>
      <c r="BD13" s="1155">
        <v>2608138</v>
      </c>
      <c r="BE13" s="1156">
        <v>2377.9700000000003</v>
      </c>
      <c r="BF13" s="1155">
        <v>93958</v>
      </c>
      <c r="BG13" s="1155">
        <v>301399</v>
      </c>
      <c r="BH13" s="1155">
        <v>14550</v>
      </c>
      <c r="BI13" s="1155">
        <v>409907</v>
      </c>
      <c r="BJ13" s="1155">
        <v>137790</v>
      </c>
      <c r="BK13" s="1155">
        <v>452337</v>
      </c>
      <c r="BL13" s="1156">
        <v>5677.369999999999</v>
      </c>
      <c r="BM13" s="1155">
        <v>0</v>
      </c>
      <c r="BN13" s="1155">
        <v>0</v>
      </c>
      <c r="BO13" s="1156">
        <v>0</v>
      </c>
      <c r="BP13" s="1155">
        <v>0</v>
      </c>
      <c r="BQ13" s="1155">
        <v>0</v>
      </c>
      <c r="BR13" s="1155">
        <v>0</v>
      </c>
      <c r="BS13" s="1156">
        <v>0</v>
      </c>
      <c r="BT13" s="1155">
        <v>0</v>
      </c>
      <c r="BU13" s="1155">
        <v>170</v>
      </c>
      <c r="BV13" s="1160">
        <v>0</v>
      </c>
    </row>
    <row r="14" spans="1:74" s="1039" customFormat="1" ht="10.35" customHeight="1">
      <c r="A14" s="1836"/>
      <c r="B14" s="1038" t="s">
        <v>871</v>
      </c>
      <c r="C14" s="1076">
        <v>5037130</v>
      </c>
      <c r="D14" s="1077">
        <v>421590.73000000004</v>
      </c>
      <c r="E14" s="1076">
        <v>4969</v>
      </c>
      <c r="F14" s="1077">
        <v>249.06000000000003</v>
      </c>
      <c r="G14" s="1076">
        <v>5042099</v>
      </c>
      <c r="H14" s="1077">
        <v>421839.73</v>
      </c>
      <c r="I14" s="1076">
        <v>3122792</v>
      </c>
      <c r="J14" s="1077">
        <v>21216.559999999998</v>
      </c>
      <c r="K14" s="1076">
        <v>258540</v>
      </c>
      <c r="L14" s="1077">
        <v>181.7</v>
      </c>
      <c r="M14" s="1076">
        <v>9981</v>
      </c>
      <c r="N14" s="1077">
        <v>21.59</v>
      </c>
      <c r="O14" s="1076">
        <v>2304400</v>
      </c>
      <c r="P14" s="1077">
        <v>1227.25</v>
      </c>
      <c r="Q14" s="1076">
        <v>309338</v>
      </c>
      <c r="R14" s="1077">
        <v>343.57</v>
      </c>
      <c r="S14" s="1076">
        <v>184375</v>
      </c>
      <c r="T14" s="1077">
        <v>33.899999999999991</v>
      </c>
      <c r="U14" s="1076">
        <v>67569</v>
      </c>
      <c r="V14" s="1077">
        <v>74.789999999999992</v>
      </c>
      <c r="W14" s="1076">
        <v>3134203</v>
      </c>
      <c r="X14" s="1077">
        <v>1882.8200000000002</v>
      </c>
      <c r="Y14" s="1077">
        <v>3093.79</v>
      </c>
      <c r="Z14" s="1836"/>
      <c r="AA14" s="1038" t="s">
        <v>871</v>
      </c>
      <c r="AB14" s="1076">
        <v>34076572</v>
      </c>
      <c r="AC14" s="1077">
        <v>25391.129999999997</v>
      </c>
      <c r="AD14" s="1076">
        <v>5169</v>
      </c>
      <c r="AE14" s="1077">
        <v>13.209999999999999</v>
      </c>
      <c r="AF14" s="1076">
        <v>1750922</v>
      </c>
      <c r="AG14" s="1077">
        <v>1348.05</v>
      </c>
      <c r="AH14" s="1076">
        <v>14960</v>
      </c>
      <c r="AI14" s="1077">
        <v>23.46</v>
      </c>
      <c r="AJ14" s="1076">
        <v>177579</v>
      </c>
      <c r="AK14" s="1077">
        <v>31.99</v>
      </c>
      <c r="AL14" s="1076">
        <v>4296</v>
      </c>
      <c r="AM14" s="1077">
        <v>5.1400000000000006</v>
      </c>
      <c r="AN14" s="1076">
        <v>36029498</v>
      </c>
      <c r="AO14" s="1077">
        <v>26813.159999999996</v>
      </c>
      <c r="AP14" s="1076">
        <v>150995</v>
      </c>
      <c r="AQ14" s="1099">
        <v>105.78999999999999</v>
      </c>
      <c r="AR14" s="1076">
        <v>27633</v>
      </c>
      <c r="AS14" s="1077">
        <v>141.24</v>
      </c>
      <c r="AT14" s="1076">
        <v>140100</v>
      </c>
      <c r="AU14" s="1077">
        <v>224.60000000000002</v>
      </c>
      <c r="AV14" s="1076">
        <v>220314</v>
      </c>
      <c r="AW14" s="1077">
        <v>179.63</v>
      </c>
      <c r="AX14" s="1836"/>
      <c r="AY14" s="1038" t="s">
        <v>871</v>
      </c>
      <c r="AZ14" s="1076">
        <v>144867</v>
      </c>
      <c r="BA14" s="1077">
        <v>22</v>
      </c>
      <c r="BB14" s="1076">
        <v>505281</v>
      </c>
      <c r="BC14" s="1077">
        <v>426.24</v>
      </c>
      <c r="BD14" s="1076">
        <v>39832650</v>
      </c>
      <c r="BE14" s="1077">
        <v>29337.98</v>
      </c>
      <c r="BF14" s="1076">
        <v>801624</v>
      </c>
      <c r="BG14" s="1076">
        <v>9362433</v>
      </c>
      <c r="BH14" s="1076">
        <v>165850</v>
      </c>
      <c r="BI14" s="1076">
        <v>10329907</v>
      </c>
      <c r="BJ14" s="1076">
        <v>1478441</v>
      </c>
      <c r="BK14" s="1076">
        <v>2106576</v>
      </c>
      <c r="BL14" s="1077">
        <v>8808.0999999999985</v>
      </c>
      <c r="BM14" s="1076">
        <v>653578</v>
      </c>
      <c r="BN14" s="1076">
        <v>360721421</v>
      </c>
      <c r="BO14" s="1077">
        <v>57451.439999999995</v>
      </c>
      <c r="BP14" s="1076">
        <v>38098386</v>
      </c>
      <c r="BQ14" s="1076">
        <v>1279</v>
      </c>
      <c r="BR14" s="1076">
        <v>1167232</v>
      </c>
      <c r="BS14" s="1077">
        <v>2169.23</v>
      </c>
      <c r="BT14" s="1076">
        <v>382848</v>
      </c>
      <c r="BU14" s="1076">
        <v>8693</v>
      </c>
      <c r="BV14" s="1078">
        <v>31692</v>
      </c>
    </row>
    <row r="15" spans="1:74" s="1039" customFormat="1" ht="10.35" customHeight="1">
      <c r="A15" s="1834" t="s">
        <v>2622</v>
      </c>
      <c r="B15" s="1133" t="s">
        <v>2146</v>
      </c>
      <c r="C15" s="1134">
        <v>1077828</v>
      </c>
      <c r="D15" s="1135">
        <v>98014.23</v>
      </c>
      <c r="E15" s="1134">
        <v>701</v>
      </c>
      <c r="F15" s="1135">
        <v>85.95</v>
      </c>
      <c r="G15" s="1134">
        <v>1078529</v>
      </c>
      <c r="H15" s="1135">
        <v>98100.180000000008</v>
      </c>
      <c r="I15" s="1134">
        <v>62126</v>
      </c>
      <c r="J15" s="1135">
        <v>465.34</v>
      </c>
      <c r="K15" s="1134">
        <v>11859</v>
      </c>
      <c r="L15" s="1135">
        <v>11.07</v>
      </c>
      <c r="M15" s="1134">
        <v>5</v>
      </c>
      <c r="N15" s="1135">
        <v>0.01</v>
      </c>
      <c r="O15" s="1134">
        <v>5795</v>
      </c>
      <c r="P15" s="1135">
        <v>1.83</v>
      </c>
      <c r="Q15" s="1134">
        <v>165</v>
      </c>
      <c r="R15" s="1135">
        <v>0.32</v>
      </c>
      <c r="S15" s="1134">
        <v>0</v>
      </c>
      <c r="T15" s="1135">
        <v>0</v>
      </c>
      <c r="U15" s="1134">
        <v>0</v>
      </c>
      <c r="V15" s="1135">
        <v>0</v>
      </c>
      <c r="W15" s="1134">
        <v>17824</v>
      </c>
      <c r="X15" s="1135">
        <v>13.25</v>
      </c>
      <c r="Y15" s="1135">
        <v>8.09</v>
      </c>
      <c r="Z15" s="1834" t="s">
        <v>2622</v>
      </c>
      <c r="AA15" s="1133" t="s">
        <v>2146</v>
      </c>
      <c r="AB15" s="1134">
        <v>468847</v>
      </c>
      <c r="AC15" s="1135">
        <v>438.84999999999997</v>
      </c>
      <c r="AD15" s="1134">
        <v>0</v>
      </c>
      <c r="AE15" s="1135">
        <v>0</v>
      </c>
      <c r="AF15" s="1134">
        <v>11381</v>
      </c>
      <c r="AG15" s="1135">
        <v>3.3900000000000006</v>
      </c>
      <c r="AH15" s="1134">
        <v>0</v>
      </c>
      <c r="AI15" s="1135">
        <v>0</v>
      </c>
      <c r="AJ15" s="1134">
        <v>0</v>
      </c>
      <c r="AK15" s="1135">
        <v>0</v>
      </c>
      <c r="AL15" s="1134">
        <v>0</v>
      </c>
      <c r="AM15" s="1135">
        <v>0</v>
      </c>
      <c r="AN15" s="1134">
        <v>480228</v>
      </c>
      <c r="AO15" s="1135">
        <v>442.25</v>
      </c>
      <c r="AP15" s="1134">
        <v>1022</v>
      </c>
      <c r="AQ15" s="1137">
        <v>1.32</v>
      </c>
      <c r="AR15" s="1134">
        <v>0</v>
      </c>
      <c r="AS15" s="1135">
        <v>0</v>
      </c>
      <c r="AT15" s="1134">
        <v>0</v>
      </c>
      <c r="AU15" s="1135">
        <v>0</v>
      </c>
      <c r="AV15" s="1134">
        <v>0</v>
      </c>
      <c r="AW15" s="1135">
        <v>0</v>
      </c>
      <c r="AX15" s="1834" t="s">
        <v>2622</v>
      </c>
      <c r="AY15" s="1133" t="s">
        <v>2146</v>
      </c>
      <c r="AZ15" s="1134">
        <v>0</v>
      </c>
      <c r="BA15" s="1135">
        <v>0</v>
      </c>
      <c r="BB15" s="1134">
        <v>0</v>
      </c>
      <c r="BC15" s="1135">
        <v>0</v>
      </c>
      <c r="BD15" s="1134">
        <v>499074</v>
      </c>
      <c r="BE15" s="1135">
        <v>456.81</v>
      </c>
      <c r="BF15" s="1134">
        <v>2486</v>
      </c>
      <c r="BG15" s="1134">
        <v>124493</v>
      </c>
      <c r="BH15" s="1134">
        <v>3306</v>
      </c>
      <c r="BI15" s="1134">
        <v>130285</v>
      </c>
      <c r="BJ15" s="1134">
        <v>0</v>
      </c>
      <c r="BK15" s="1134">
        <v>0</v>
      </c>
      <c r="BL15" s="1135">
        <v>0</v>
      </c>
      <c r="BM15" s="1134">
        <v>59290</v>
      </c>
      <c r="BN15" s="1134">
        <v>433286</v>
      </c>
      <c r="BO15" s="1135">
        <v>119.14999999999999</v>
      </c>
      <c r="BP15" s="1134">
        <v>396243</v>
      </c>
      <c r="BQ15" s="1134">
        <v>0</v>
      </c>
      <c r="BR15" s="1134">
        <v>0</v>
      </c>
      <c r="BS15" s="1135">
        <v>0</v>
      </c>
      <c r="BT15" s="1134">
        <v>0</v>
      </c>
      <c r="BU15" s="1134">
        <v>220</v>
      </c>
      <c r="BV15" s="1117">
        <v>0</v>
      </c>
    </row>
    <row r="16" spans="1:74" s="1039" customFormat="1" ht="10.35" customHeight="1">
      <c r="A16" s="1835"/>
      <c r="B16" s="1033" t="s">
        <v>2147</v>
      </c>
      <c r="C16" s="1105">
        <v>44219</v>
      </c>
      <c r="D16" s="1106">
        <v>3459.52</v>
      </c>
      <c r="E16" s="1105">
        <v>1324</v>
      </c>
      <c r="F16" s="1106">
        <v>26.089999999999996</v>
      </c>
      <c r="G16" s="1105">
        <v>45543</v>
      </c>
      <c r="H16" s="1106">
        <v>3485.6000000000004</v>
      </c>
      <c r="I16" s="1105">
        <v>255</v>
      </c>
      <c r="J16" s="1106">
        <v>36.370000000000005</v>
      </c>
      <c r="K16" s="1105">
        <v>0</v>
      </c>
      <c r="L16" s="1106">
        <v>0</v>
      </c>
      <c r="M16" s="1105">
        <v>0</v>
      </c>
      <c r="N16" s="1106">
        <v>0</v>
      </c>
      <c r="O16" s="1105">
        <v>0</v>
      </c>
      <c r="P16" s="1106">
        <v>0</v>
      </c>
      <c r="Q16" s="1105">
        <v>0</v>
      </c>
      <c r="R16" s="1106">
        <v>0</v>
      </c>
      <c r="S16" s="1105">
        <v>0</v>
      </c>
      <c r="T16" s="1106">
        <v>0</v>
      </c>
      <c r="U16" s="1105">
        <v>0</v>
      </c>
      <c r="V16" s="1106">
        <v>0</v>
      </c>
      <c r="W16" s="1105">
        <v>0</v>
      </c>
      <c r="X16" s="1106">
        <v>0</v>
      </c>
      <c r="Y16" s="1106">
        <v>0</v>
      </c>
      <c r="Z16" s="1835"/>
      <c r="AA16" s="1033" t="s">
        <v>2147</v>
      </c>
      <c r="AB16" s="1105">
        <v>12685</v>
      </c>
      <c r="AC16" s="1106">
        <v>9.379999999999999</v>
      </c>
      <c r="AD16" s="1105">
        <v>0</v>
      </c>
      <c r="AE16" s="1106">
        <v>0</v>
      </c>
      <c r="AF16" s="1105">
        <v>253</v>
      </c>
      <c r="AG16" s="1106">
        <v>0.06</v>
      </c>
      <c r="AH16" s="1105">
        <v>0</v>
      </c>
      <c r="AI16" s="1106">
        <v>0</v>
      </c>
      <c r="AJ16" s="1105">
        <v>0</v>
      </c>
      <c r="AK16" s="1106">
        <v>0</v>
      </c>
      <c r="AL16" s="1105">
        <v>0</v>
      </c>
      <c r="AM16" s="1106">
        <v>0</v>
      </c>
      <c r="AN16" s="1105">
        <v>12938</v>
      </c>
      <c r="AO16" s="1106">
        <v>9.4499999999999993</v>
      </c>
      <c r="AP16" s="1105">
        <v>0</v>
      </c>
      <c r="AQ16" s="1107">
        <v>0</v>
      </c>
      <c r="AR16" s="1105">
        <v>0</v>
      </c>
      <c r="AS16" s="1106">
        <v>0</v>
      </c>
      <c r="AT16" s="1105">
        <v>0</v>
      </c>
      <c r="AU16" s="1106">
        <v>0</v>
      </c>
      <c r="AV16" s="1105">
        <v>0</v>
      </c>
      <c r="AW16" s="1106">
        <v>0</v>
      </c>
      <c r="AX16" s="1835"/>
      <c r="AY16" s="1033" t="s">
        <v>2147</v>
      </c>
      <c r="AZ16" s="1105">
        <v>0</v>
      </c>
      <c r="BA16" s="1106">
        <v>0</v>
      </c>
      <c r="BB16" s="1105">
        <v>0</v>
      </c>
      <c r="BC16" s="1106">
        <v>0</v>
      </c>
      <c r="BD16" s="1105">
        <v>12938</v>
      </c>
      <c r="BE16" s="1106">
        <v>1</v>
      </c>
      <c r="BF16" s="1105">
        <v>0</v>
      </c>
      <c r="BG16" s="1105">
        <v>3632</v>
      </c>
      <c r="BH16" s="1105">
        <v>0</v>
      </c>
      <c r="BI16" s="1105">
        <v>3632</v>
      </c>
      <c r="BJ16" s="1105">
        <v>0</v>
      </c>
      <c r="BK16" s="1105">
        <v>0</v>
      </c>
      <c r="BL16" s="1106">
        <v>0</v>
      </c>
      <c r="BM16" s="1105">
        <v>0</v>
      </c>
      <c r="BN16" s="1105">
        <v>0</v>
      </c>
      <c r="BO16" s="1106">
        <v>0</v>
      </c>
      <c r="BP16" s="1105">
        <v>0</v>
      </c>
      <c r="BQ16" s="1105">
        <v>0</v>
      </c>
      <c r="BR16" s="1105">
        <v>0</v>
      </c>
      <c r="BS16" s="1106">
        <v>0</v>
      </c>
      <c r="BT16" s="1105">
        <v>0</v>
      </c>
      <c r="BU16" s="1105">
        <v>6</v>
      </c>
      <c r="BV16" s="1118">
        <v>0</v>
      </c>
    </row>
    <row r="17" spans="1:74" s="1039" customFormat="1" ht="10.35" customHeight="1">
      <c r="A17" s="1835"/>
      <c r="B17" s="1113" t="s">
        <v>2148</v>
      </c>
      <c r="C17" s="1110">
        <v>3958021</v>
      </c>
      <c r="D17" s="1111">
        <v>323903.93</v>
      </c>
      <c r="E17" s="1110">
        <v>3928</v>
      </c>
      <c r="F17" s="1111">
        <v>111.03</v>
      </c>
      <c r="G17" s="1110">
        <v>3961949</v>
      </c>
      <c r="H17" s="1111">
        <v>324014.95</v>
      </c>
      <c r="I17" s="1110">
        <v>2163952</v>
      </c>
      <c r="J17" s="1111">
        <v>15923</v>
      </c>
      <c r="K17" s="1110">
        <v>275565</v>
      </c>
      <c r="L17" s="1111">
        <v>183.2</v>
      </c>
      <c r="M17" s="1110">
        <v>9616</v>
      </c>
      <c r="N17" s="1111">
        <v>13.93</v>
      </c>
      <c r="O17" s="1110">
        <v>1754231</v>
      </c>
      <c r="P17" s="1111">
        <v>1015.2199999999999</v>
      </c>
      <c r="Q17" s="1110">
        <v>294974</v>
      </c>
      <c r="R17" s="1111">
        <v>309.75</v>
      </c>
      <c r="S17" s="1110">
        <v>168979</v>
      </c>
      <c r="T17" s="1111">
        <v>38.009999999999991</v>
      </c>
      <c r="U17" s="1110">
        <v>85031</v>
      </c>
      <c r="V17" s="1111">
        <v>85.47999999999999</v>
      </c>
      <c r="W17" s="1110">
        <v>2588396</v>
      </c>
      <c r="X17" s="1111">
        <v>1645.6800000000003</v>
      </c>
      <c r="Y17" s="1111">
        <v>2571.1</v>
      </c>
      <c r="Z17" s="1835"/>
      <c r="AA17" s="1113" t="s">
        <v>2148</v>
      </c>
      <c r="AB17" s="1110">
        <v>33743514</v>
      </c>
      <c r="AC17" s="1111">
        <v>24266.54</v>
      </c>
      <c r="AD17" s="1110">
        <v>908</v>
      </c>
      <c r="AE17" s="1111">
        <v>1.74</v>
      </c>
      <c r="AF17" s="1110">
        <v>1473662</v>
      </c>
      <c r="AG17" s="1111">
        <v>1213.1499999999996</v>
      </c>
      <c r="AH17" s="1110">
        <v>5960</v>
      </c>
      <c r="AI17" s="1111">
        <v>11.51</v>
      </c>
      <c r="AJ17" s="1110">
        <v>174262</v>
      </c>
      <c r="AK17" s="1111">
        <v>40.019999999999996</v>
      </c>
      <c r="AL17" s="1110">
        <v>1908</v>
      </c>
      <c r="AM17" s="1111">
        <v>1.6099999999999999</v>
      </c>
      <c r="AN17" s="1110">
        <v>35400214</v>
      </c>
      <c r="AO17" s="1111">
        <v>25534.500000000004</v>
      </c>
      <c r="AP17" s="1110">
        <v>174436</v>
      </c>
      <c r="AQ17" s="1112">
        <v>120.87999999999997</v>
      </c>
      <c r="AR17" s="1110">
        <v>25975</v>
      </c>
      <c r="AS17" s="1111">
        <v>15.54</v>
      </c>
      <c r="AT17" s="1110">
        <v>111089</v>
      </c>
      <c r="AU17" s="1111">
        <v>150.76999999999998</v>
      </c>
      <c r="AV17" s="1110">
        <v>236666</v>
      </c>
      <c r="AW17" s="1111">
        <v>234.64000000000001</v>
      </c>
      <c r="AX17" s="1835"/>
      <c r="AY17" s="1113" t="s">
        <v>2148</v>
      </c>
      <c r="AZ17" s="1110">
        <v>133880</v>
      </c>
      <c r="BA17" s="1111">
        <v>30.53</v>
      </c>
      <c r="BB17" s="1110">
        <v>481635</v>
      </c>
      <c r="BC17" s="1111">
        <v>415.99</v>
      </c>
      <c r="BD17" s="1110">
        <v>38664696</v>
      </c>
      <c r="BE17" s="1111">
        <v>27721.19</v>
      </c>
      <c r="BF17" s="1110">
        <v>846818</v>
      </c>
      <c r="BG17" s="1110">
        <v>9512285</v>
      </c>
      <c r="BH17" s="1110">
        <v>154137</v>
      </c>
      <c r="BI17" s="1110">
        <v>10513240</v>
      </c>
      <c r="BJ17" s="1110">
        <v>1391142</v>
      </c>
      <c r="BK17" s="1110">
        <v>1159128</v>
      </c>
      <c r="BL17" s="1111">
        <v>1797.7399999999998</v>
      </c>
      <c r="BM17" s="1110">
        <v>650736</v>
      </c>
      <c r="BN17" s="1110">
        <v>391359136</v>
      </c>
      <c r="BO17" s="1111">
        <v>65720.66</v>
      </c>
      <c r="BP17" s="1110">
        <v>40650876</v>
      </c>
      <c r="BQ17" s="1110">
        <v>2334</v>
      </c>
      <c r="BR17" s="1110">
        <v>1577540</v>
      </c>
      <c r="BS17" s="1111">
        <v>2831.7599999999998</v>
      </c>
      <c r="BT17" s="1110">
        <v>525144</v>
      </c>
      <c r="BU17" s="1110">
        <v>8628</v>
      </c>
      <c r="BV17" s="1119">
        <v>32953</v>
      </c>
    </row>
    <row r="18" spans="1:74" s="1039" customFormat="1" ht="10.35" customHeight="1">
      <c r="A18" s="1835"/>
      <c r="B18" s="1033" t="s">
        <v>2169</v>
      </c>
      <c r="C18" s="1105">
        <v>472870</v>
      </c>
      <c r="D18" s="1106">
        <v>38065.58</v>
      </c>
      <c r="E18" s="1105">
        <v>0</v>
      </c>
      <c r="F18" s="1106">
        <v>0</v>
      </c>
      <c r="G18" s="1105">
        <v>472870</v>
      </c>
      <c r="H18" s="1106">
        <v>38065.58</v>
      </c>
      <c r="I18" s="1105">
        <v>783774</v>
      </c>
      <c r="J18" s="1106">
        <v>7418.8300000000008</v>
      </c>
      <c r="K18" s="1105">
        <v>24516</v>
      </c>
      <c r="L18" s="1106">
        <v>22.65</v>
      </c>
      <c r="M18" s="1105">
        <v>401</v>
      </c>
      <c r="N18" s="1106">
        <v>0.43000000000000005</v>
      </c>
      <c r="O18" s="1105">
        <v>645691</v>
      </c>
      <c r="P18" s="1106">
        <v>299.59000000000003</v>
      </c>
      <c r="Q18" s="1105">
        <v>20873</v>
      </c>
      <c r="R18" s="1106">
        <v>20.32</v>
      </c>
      <c r="S18" s="1105">
        <v>72606</v>
      </c>
      <c r="T18" s="1106">
        <v>17.14</v>
      </c>
      <c r="U18" s="1105">
        <v>6177</v>
      </c>
      <c r="V18" s="1106">
        <v>4.5</v>
      </c>
      <c r="W18" s="1105">
        <v>770264</v>
      </c>
      <c r="X18" s="1106">
        <v>364.64</v>
      </c>
      <c r="Y18" s="1106">
        <v>611.31999999999994</v>
      </c>
      <c r="Z18" s="1835"/>
      <c r="AA18" s="1033" t="s">
        <v>2169</v>
      </c>
      <c r="AB18" s="1105">
        <v>1527551</v>
      </c>
      <c r="AC18" s="1106">
        <v>1764.68</v>
      </c>
      <c r="AD18" s="1105">
        <v>2963</v>
      </c>
      <c r="AE18" s="1106">
        <v>7.5200000000000005</v>
      </c>
      <c r="AF18" s="1105">
        <v>274264</v>
      </c>
      <c r="AG18" s="1106">
        <v>90.07</v>
      </c>
      <c r="AH18" s="1105">
        <v>7130</v>
      </c>
      <c r="AI18" s="1106">
        <v>10.75</v>
      </c>
      <c r="AJ18" s="1105">
        <v>35629</v>
      </c>
      <c r="AK18" s="1106">
        <v>2.9699999999999998</v>
      </c>
      <c r="AL18" s="1105">
        <v>3522</v>
      </c>
      <c r="AM18" s="1106">
        <v>4.58</v>
      </c>
      <c r="AN18" s="1105">
        <v>1851059</v>
      </c>
      <c r="AO18" s="1106">
        <v>1880.62</v>
      </c>
      <c r="AP18" s="1105">
        <v>0</v>
      </c>
      <c r="AQ18" s="1107">
        <v>0</v>
      </c>
      <c r="AR18" s="1105">
        <v>1876</v>
      </c>
      <c r="AS18" s="1106">
        <v>2.35</v>
      </c>
      <c r="AT18" s="1105">
        <v>36297</v>
      </c>
      <c r="AU18" s="1106">
        <v>82.389999999999986</v>
      </c>
      <c r="AV18" s="1105">
        <v>0</v>
      </c>
      <c r="AW18" s="1106">
        <v>0</v>
      </c>
      <c r="AX18" s="1835"/>
      <c r="AY18" s="1033" t="s">
        <v>2169</v>
      </c>
      <c r="AZ18" s="1105">
        <v>0</v>
      </c>
      <c r="BA18" s="1106">
        <v>0</v>
      </c>
      <c r="BB18" s="1105">
        <v>36297</v>
      </c>
      <c r="BC18" s="1106">
        <v>82.389999999999986</v>
      </c>
      <c r="BD18" s="1105">
        <v>2652366</v>
      </c>
      <c r="BE18" s="1106">
        <v>2319.25</v>
      </c>
      <c r="BF18" s="1105">
        <v>97650</v>
      </c>
      <c r="BG18" s="1105">
        <v>308280</v>
      </c>
      <c r="BH18" s="1105">
        <v>18742</v>
      </c>
      <c r="BI18" s="1105">
        <v>424672</v>
      </c>
      <c r="BJ18" s="1105">
        <v>135446</v>
      </c>
      <c r="BK18" s="1105">
        <v>477371</v>
      </c>
      <c r="BL18" s="1106">
        <v>6064.77</v>
      </c>
      <c r="BM18" s="1105">
        <v>0</v>
      </c>
      <c r="BN18" s="1105">
        <v>0</v>
      </c>
      <c r="BO18" s="1106">
        <v>0</v>
      </c>
      <c r="BP18" s="1105">
        <v>0</v>
      </c>
      <c r="BQ18" s="1105">
        <v>0</v>
      </c>
      <c r="BR18" s="1105">
        <v>0</v>
      </c>
      <c r="BS18" s="1106">
        <v>0</v>
      </c>
      <c r="BT18" s="1105">
        <v>0</v>
      </c>
      <c r="BU18" s="1105">
        <v>165</v>
      </c>
      <c r="BV18" s="1118">
        <v>0</v>
      </c>
    </row>
    <row r="19" spans="1:74" s="1039" customFormat="1" ht="9.75" customHeight="1">
      <c r="A19" s="1836"/>
      <c r="B19" s="1136" t="s">
        <v>871</v>
      </c>
      <c r="C19" s="1108">
        <v>5552938</v>
      </c>
      <c r="D19" s="1109">
        <v>463443.26</v>
      </c>
      <c r="E19" s="1108">
        <v>5953</v>
      </c>
      <c r="F19" s="1109">
        <v>223.07</v>
      </c>
      <c r="G19" s="1108">
        <v>5558891</v>
      </c>
      <c r="H19" s="1109">
        <v>463666.31000000006</v>
      </c>
      <c r="I19" s="1108">
        <v>3010107</v>
      </c>
      <c r="J19" s="1109">
        <v>23843.54</v>
      </c>
      <c r="K19" s="1108">
        <v>311940</v>
      </c>
      <c r="L19" s="1109">
        <v>216.92</v>
      </c>
      <c r="M19" s="1108">
        <v>10022</v>
      </c>
      <c r="N19" s="1109">
        <v>14.37</v>
      </c>
      <c r="O19" s="1108">
        <v>2405717</v>
      </c>
      <c r="P19" s="1109">
        <v>1316.6399999999999</v>
      </c>
      <c r="Q19" s="1108">
        <v>316012</v>
      </c>
      <c r="R19" s="1109">
        <v>330.39</v>
      </c>
      <c r="S19" s="1108">
        <v>241585</v>
      </c>
      <c r="T19" s="1109">
        <v>55.149999999999991</v>
      </c>
      <c r="U19" s="1108">
        <v>91208</v>
      </c>
      <c r="V19" s="1109">
        <v>89.97999999999999</v>
      </c>
      <c r="W19" s="1108">
        <v>3376484</v>
      </c>
      <c r="X19" s="1109">
        <v>2023.5700000000002</v>
      </c>
      <c r="Y19" s="1109">
        <v>3190.51</v>
      </c>
      <c r="Z19" s="1836"/>
      <c r="AA19" s="1136" t="s">
        <v>871</v>
      </c>
      <c r="AB19" s="1108">
        <v>35752597</v>
      </c>
      <c r="AC19" s="1109">
        <v>26479.45</v>
      </c>
      <c r="AD19" s="1108">
        <v>3871</v>
      </c>
      <c r="AE19" s="1109">
        <v>9.26</v>
      </c>
      <c r="AF19" s="1108">
        <v>1759560</v>
      </c>
      <c r="AG19" s="1109">
        <v>1306.6699999999996</v>
      </c>
      <c r="AH19" s="1108">
        <v>13090</v>
      </c>
      <c r="AI19" s="1109">
        <v>22.259999999999998</v>
      </c>
      <c r="AJ19" s="1108">
        <v>209891</v>
      </c>
      <c r="AK19" s="1109">
        <v>42.989999999999995</v>
      </c>
      <c r="AL19" s="1108">
        <v>5430</v>
      </c>
      <c r="AM19" s="1109">
        <v>6.1899999999999995</v>
      </c>
      <c r="AN19" s="1108">
        <v>37744439</v>
      </c>
      <c r="AO19" s="1109">
        <v>27866.820000000003</v>
      </c>
      <c r="AP19" s="1108">
        <v>175458</v>
      </c>
      <c r="AQ19" s="1124">
        <v>122.19999999999996</v>
      </c>
      <c r="AR19" s="1108">
        <v>27851</v>
      </c>
      <c r="AS19" s="1109">
        <v>17.89</v>
      </c>
      <c r="AT19" s="1108">
        <v>147386</v>
      </c>
      <c r="AU19" s="1109">
        <v>233.15999999999997</v>
      </c>
      <c r="AV19" s="1108">
        <v>236666</v>
      </c>
      <c r="AW19" s="1109">
        <v>234.64000000000001</v>
      </c>
      <c r="AX19" s="1836"/>
      <c r="AY19" s="1136" t="s">
        <v>871</v>
      </c>
      <c r="AZ19" s="1108">
        <v>133880</v>
      </c>
      <c r="BA19" s="1109">
        <v>30.53</v>
      </c>
      <c r="BB19" s="1108">
        <v>517932</v>
      </c>
      <c r="BC19" s="1109">
        <v>498.38</v>
      </c>
      <c r="BD19" s="1108">
        <v>41829074</v>
      </c>
      <c r="BE19" s="1109">
        <v>30498.25</v>
      </c>
      <c r="BF19" s="1108">
        <v>946954</v>
      </c>
      <c r="BG19" s="1108">
        <v>9948690</v>
      </c>
      <c r="BH19" s="1108">
        <v>176185</v>
      </c>
      <c r="BI19" s="1108">
        <v>11071829</v>
      </c>
      <c r="BJ19" s="1108">
        <v>1526588</v>
      </c>
      <c r="BK19" s="1108">
        <v>1636499</v>
      </c>
      <c r="BL19" s="1109">
        <v>7862.51</v>
      </c>
      <c r="BM19" s="1108">
        <v>710026</v>
      </c>
      <c r="BN19" s="1108">
        <v>391792422</v>
      </c>
      <c r="BO19" s="1109">
        <v>65839.81</v>
      </c>
      <c r="BP19" s="1108">
        <v>41047119</v>
      </c>
      <c r="BQ19" s="1108">
        <v>2334</v>
      </c>
      <c r="BR19" s="1108">
        <v>1577540</v>
      </c>
      <c r="BS19" s="1109">
        <v>2831.7599999999998</v>
      </c>
      <c r="BT19" s="1108">
        <v>525144</v>
      </c>
      <c r="BU19" s="1108">
        <v>9019</v>
      </c>
      <c r="BV19" s="1120">
        <v>32953</v>
      </c>
    </row>
    <row r="20" spans="1:74" s="1039" customFormat="1" ht="10.35" customHeight="1">
      <c r="A20" s="1834" t="s">
        <v>2278</v>
      </c>
      <c r="B20" s="1252" t="s">
        <v>2146</v>
      </c>
      <c r="C20" s="1253">
        <v>1189814</v>
      </c>
      <c r="D20" s="1254">
        <v>98376.14</v>
      </c>
      <c r="E20" s="1253">
        <v>65</v>
      </c>
      <c r="F20" s="1254">
        <v>0.59</v>
      </c>
      <c r="G20" s="1253">
        <v>1189879</v>
      </c>
      <c r="H20" s="1254">
        <v>98376.74</v>
      </c>
      <c r="I20" s="1253">
        <v>56892</v>
      </c>
      <c r="J20" s="1254">
        <v>689.83999999999992</v>
      </c>
      <c r="K20" s="1253">
        <v>13382</v>
      </c>
      <c r="L20" s="1254">
        <v>12.3</v>
      </c>
      <c r="M20" s="1253">
        <v>0</v>
      </c>
      <c r="N20" s="1254">
        <v>0</v>
      </c>
      <c r="O20" s="1253">
        <v>4905</v>
      </c>
      <c r="P20" s="1254">
        <v>1.6</v>
      </c>
      <c r="Q20" s="1253">
        <v>183</v>
      </c>
      <c r="R20" s="1254">
        <v>0.11</v>
      </c>
      <c r="S20" s="1253">
        <v>0</v>
      </c>
      <c r="T20" s="1254">
        <v>0</v>
      </c>
      <c r="U20" s="1253">
        <v>0</v>
      </c>
      <c r="V20" s="1254">
        <v>0</v>
      </c>
      <c r="W20" s="1253">
        <v>18470</v>
      </c>
      <c r="X20" s="1254">
        <v>14.030000000000001</v>
      </c>
      <c r="Y20" s="1254">
        <v>6.7799999999999994</v>
      </c>
      <c r="Z20" s="1834" t="s">
        <v>2278</v>
      </c>
      <c r="AA20" s="1252" t="s">
        <v>2146</v>
      </c>
      <c r="AB20" s="1253">
        <v>467916</v>
      </c>
      <c r="AC20" s="1254">
        <v>440.39</v>
      </c>
      <c r="AD20" s="1253">
        <v>0</v>
      </c>
      <c r="AE20" s="1254">
        <v>0</v>
      </c>
      <c r="AF20" s="1253">
        <v>11514</v>
      </c>
      <c r="AG20" s="1254">
        <v>3.37</v>
      </c>
      <c r="AH20" s="1253">
        <v>0</v>
      </c>
      <c r="AI20" s="1254">
        <v>0</v>
      </c>
      <c r="AJ20" s="1253">
        <v>0</v>
      </c>
      <c r="AK20" s="1254">
        <v>0</v>
      </c>
      <c r="AL20" s="1253">
        <v>0</v>
      </c>
      <c r="AM20" s="1254">
        <v>0</v>
      </c>
      <c r="AN20" s="1253">
        <v>479430</v>
      </c>
      <c r="AO20" s="1254">
        <v>443.75</v>
      </c>
      <c r="AP20" s="1253">
        <v>16</v>
      </c>
      <c r="AQ20" s="1255">
        <v>0</v>
      </c>
      <c r="AR20" s="1253">
        <v>0</v>
      </c>
      <c r="AS20" s="1254">
        <v>0</v>
      </c>
      <c r="AT20" s="1253">
        <v>0</v>
      </c>
      <c r="AU20" s="1254">
        <v>0</v>
      </c>
      <c r="AV20" s="1253">
        <v>0</v>
      </c>
      <c r="AW20" s="1254">
        <v>0</v>
      </c>
      <c r="AX20" s="1834" t="s">
        <v>2278</v>
      </c>
      <c r="AY20" s="1252" t="s">
        <v>2146</v>
      </c>
      <c r="AZ20" s="1253">
        <v>0</v>
      </c>
      <c r="BA20" s="1254">
        <v>0</v>
      </c>
      <c r="BB20" s="1253">
        <v>0</v>
      </c>
      <c r="BC20" s="1254">
        <v>0</v>
      </c>
      <c r="BD20" s="1253">
        <v>497916</v>
      </c>
      <c r="BE20" s="1254">
        <v>457.78</v>
      </c>
      <c r="BF20" s="1253">
        <v>2762</v>
      </c>
      <c r="BG20" s="1253">
        <v>147078</v>
      </c>
      <c r="BH20" s="1253">
        <v>3306</v>
      </c>
      <c r="BI20" s="1253">
        <v>153146</v>
      </c>
      <c r="BJ20" s="1253">
        <v>0</v>
      </c>
      <c r="BK20" s="1253">
        <v>0</v>
      </c>
      <c r="BL20" s="1254">
        <v>0</v>
      </c>
      <c r="BM20" s="1253">
        <v>74550</v>
      </c>
      <c r="BN20" s="1253">
        <v>1126370</v>
      </c>
      <c r="BO20" s="1254">
        <v>306.02999999999997</v>
      </c>
      <c r="BP20" s="1253">
        <v>7566512</v>
      </c>
      <c r="BQ20" s="1253">
        <v>29</v>
      </c>
      <c r="BR20" s="1253">
        <v>8663</v>
      </c>
      <c r="BS20" s="1254">
        <v>9.51</v>
      </c>
      <c r="BT20" s="1253">
        <v>6557</v>
      </c>
      <c r="BU20" s="1253">
        <v>221</v>
      </c>
      <c r="BV20" s="1256">
        <v>0</v>
      </c>
    </row>
    <row r="21" spans="1:74" s="1039" customFormat="1" ht="9" customHeight="1">
      <c r="A21" s="1835"/>
      <c r="B21" s="1113" t="s">
        <v>2147</v>
      </c>
      <c r="C21" s="1110">
        <v>49847</v>
      </c>
      <c r="D21" s="1111">
        <v>5017.8</v>
      </c>
      <c r="E21" s="1110">
        <v>1356</v>
      </c>
      <c r="F21" s="1111">
        <v>25.21</v>
      </c>
      <c r="G21" s="1110">
        <v>51203</v>
      </c>
      <c r="H21" s="1111">
        <v>5043</v>
      </c>
      <c r="I21" s="1110">
        <v>554</v>
      </c>
      <c r="J21" s="1111">
        <v>94.14</v>
      </c>
      <c r="K21" s="1110">
        <v>0</v>
      </c>
      <c r="L21" s="1111">
        <v>0</v>
      </c>
      <c r="M21" s="1110">
        <v>0</v>
      </c>
      <c r="N21" s="1111">
        <v>0</v>
      </c>
      <c r="O21" s="1110">
        <v>0</v>
      </c>
      <c r="P21" s="1111">
        <v>0</v>
      </c>
      <c r="Q21" s="1110">
        <v>0</v>
      </c>
      <c r="R21" s="1111">
        <v>0</v>
      </c>
      <c r="S21" s="1110">
        <v>0</v>
      </c>
      <c r="T21" s="1111">
        <v>0</v>
      </c>
      <c r="U21" s="1110">
        <v>0</v>
      </c>
      <c r="V21" s="1111">
        <v>0</v>
      </c>
      <c r="W21" s="1110">
        <v>0</v>
      </c>
      <c r="X21" s="1111">
        <v>0</v>
      </c>
      <c r="Y21" s="1111">
        <v>0</v>
      </c>
      <c r="Z21" s="1835"/>
      <c r="AA21" s="1113" t="s">
        <v>2147</v>
      </c>
      <c r="AB21" s="1110">
        <v>12234</v>
      </c>
      <c r="AC21" s="1111">
        <v>9.24</v>
      </c>
      <c r="AD21" s="1110">
        <v>0</v>
      </c>
      <c r="AE21" s="1111">
        <v>0</v>
      </c>
      <c r="AF21" s="1110">
        <v>236</v>
      </c>
      <c r="AG21" s="1111">
        <v>0.08</v>
      </c>
      <c r="AH21" s="1110">
        <v>0</v>
      </c>
      <c r="AI21" s="1111">
        <v>0</v>
      </c>
      <c r="AJ21" s="1110">
        <v>0</v>
      </c>
      <c r="AK21" s="1111">
        <v>0</v>
      </c>
      <c r="AL21" s="1110">
        <v>0</v>
      </c>
      <c r="AM21" s="1111">
        <v>0</v>
      </c>
      <c r="AN21" s="1110">
        <v>12470</v>
      </c>
      <c r="AO21" s="1111">
        <v>9.31</v>
      </c>
      <c r="AP21" s="1110">
        <v>0</v>
      </c>
      <c r="AQ21" s="1112">
        <v>0</v>
      </c>
      <c r="AR21" s="1110">
        <v>0</v>
      </c>
      <c r="AS21" s="1111">
        <v>0</v>
      </c>
      <c r="AT21" s="1110">
        <v>0</v>
      </c>
      <c r="AU21" s="1111">
        <v>0</v>
      </c>
      <c r="AV21" s="1110">
        <v>0</v>
      </c>
      <c r="AW21" s="1111">
        <v>0</v>
      </c>
      <c r="AX21" s="1835"/>
      <c r="AY21" s="1113" t="s">
        <v>2147</v>
      </c>
      <c r="AZ21" s="1110">
        <v>0</v>
      </c>
      <c r="BA21" s="1111">
        <v>0</v>
      </c>
      <c r="BB21" s="1110">
        <v>0</v>
      </c>
      <c r="BC21" s="1111">
        <v>0</v>
      </c>
      <c r="BD21" s="1110">
        <v>12470</v>
      </c>
      <c r="BE21" s="1111">
        <v>1</v>
      </c>
      <c r="BF21" s="1110">
        <v>0</v>
      </c>
      <c r="BG21" s="1110">
        <v>3745</v>
      </c>
      <c r="BH21" s="1110">
        <v>0</v>
      </c>
      <c r="BI21" s="1110">
        <v>3745</v>
      </c>
      <c r="BJ21" s="1110">
        <v>0</v>
      </c>
      <c r="BK21" s="1110">
        <v>0</v>
      </c>
      <c r="BL21" s="1111">
        <v>0</v>
      </c>
      <c r="BM21" s="1110">
        <v>0</v>
      </c>
      <c r="BN21" s="1110">
        <v>0</v>
      </c>
      <c r="BO21" s="1111">
        <v>0</v>
      </c>
      <c r="BP21" s="1110">
        <v>0</v>
      </c>
      <c r="BQ21" s="1110">
        <v>0</v>
      </c>
      <c r="BR21" s="1110">
        <v>0</v>
      </c>
      <c r="BS21" s="1111">
        <v>0</v>
      </c>
      <c r="BT21" s="1110">
        <v>0</v>
      </c>
      <c r="BU21" s="1110">
        <v>6</v>
      </c>
      <c r="BV21" s="1119">
        <v>0</v>
      </c>
    </row>
    <row r="22" spans="1:74" s="1039" customFormat="1" ht="10.35" customHeight="1">
      <c r="A22" s="1835"/>
      <c r="B22" s="1033" t="s">
        <v>2148</v>
      </c>
      <c r="C22" s="1105">
        <v>4262444</v>
      </c>
      <c r="D22" s="1106">
        <v>336535.88000000006</v>
      </c>
      <c r="E22" s="1105">
        <v>3097</v>
      </c>
      <c r="F22" s="1106">
        <v>132.44999999999999</v>
      </c>
      <c r="G22" s="1105">
        <v>4265541</v>
      </c>
      <c r="H22" s="1106">
        <v>336668.34</v>
      </c>
      <c r="I22" s="1105">
        <v>2614190</v>
      </c>
      <c r="J22" s="1106">
        <v>20259.43</v>
      </c>
      <c r="K22" s="1105">
        <v>291731</v>
      </c>
      <c r="L22" s="1106">
        <v>189.39000000000001</v>
      </c>
      <c r="M22" s="1105">
        <v>9075</v>
      </c>
      <c r="N22" s="1106">
        <v>14.739999999999998</v>
      </c>
      <c r="O22" s="1105">
        <v>1842158</v>
      </c>
      <c r="P22" s="1106">
        <v>1066.18</v>
      </c>
      <c r="Q22" s="1105">
        <v>313355</v>
      </c>
      <c r="R22" s="1106">
        <v>317.73</v>
      </c>
      <c r="S22" s="1105">
        <v>174775</v>
      </c>
      <c r="T22" s="1106">
        <v>31.519999999999996</v>
      </c>
      <c r="U22" s="1105">
        <v>85616</v>
      </c>
      <c r="V22" s="1106">
        <v>81.300000000000011</v>
      </c>
      <c r="W22" s="1105">
        <v>2716710</v>
      </c>
      <c r="X22" s="1106">
        <v>1700.9399999999998</v>
      </c>
      <c r="Y22" s="1106">
        <v>2635.5099999999998</v>
      </c>
      <c r="Z22" s="1835"/>
      <c r="AA22" s="1033" t="s">
        <v>2148</v>
      </c>
      <c r="AB22" s="1105">
        <v>34721513</v>
      </c>
      <c r="AC22" s="1106">
        <v>25333.349999999995</v>
      </c>
      <c r="AD22" s="1105">
        <v>958</v>
      </c>
      <c r="AE22" s="1106">
        <v>2.2200000000000002</v>
      </c>
      <c r="AF22" s="1105">
        <v>1512930</v>
      </c>
      <c r="AG22" s="1106">
        <v>1214.4300000000003</v>
      </c>
      <c r="AH22" s="1105">
        <v>5373</v>
      </c>
      <c r="AI22" s="1106">
        <v>10.050000000000001</v>
      </c>
      <c r="AJ22" s="1105">
        <v>183754</v>
      </c>
      <c r="AK22" s="1106">
        <v>38.86</v>
      </c>
      <c r="AL22" s="1105">
        <v>1406</v>
      </c>
      <c r="AM22" s="1106">
        <v>1.07</v>
      </c>
      <c r="AN22" s="1105">
        <v>36425934</v>
      </c>
      <c r="AO22" s="1106">
        <v>26599.999999999996</v>
      </c>
      <c r="AP22" s="1105">
        <v>180631</v>
      </c>
      <c r="AQ22" s="1107">
        <v>119.59</v>
      </c>
      <c r="AR22" s="1105">
        <v>25054</v>
      </c>
      <c r="AS22" s="1106">
        <v>17.910000000000004</v>
      </c>
      <c r="AT22" s="1105">
        <v>144073</v>
      </c>
      <c r="AU22" s="1106">
        <v>191.37000000000003</v>
      </c>
      <c r="AV22" s="1105">
        <v>267274</v>
      </c>
      <c r="AW22" s="1106">
        <v>258.65999999999997</v>
      </c>
      <c r="AX22" s="1835"/>
      <c r="AY22" s="1033" t="s">
        <v>2148</v>
      </c>
      <c r="AZ22" s="1105">
        <v>169282</v>
      </c>
      <c r="BA22" s="1106">
        <v>32.340000000000003</v>
      </c>
      <c r="BB22" s="1105">
        <v>580629</v>
      </c>
      <c r="BC22" s="1106">
        <v>482.39</v>
      </c>
      <c r="BD22" s="1105">
        <v>39925602</v>
      </c>
      <c r="BE22" s="1106">
        <v>28914.33</v>
      </c>
      <c r="BF22" s="1105">
        <v>801785</v>
      </c>
      <c r="BG22" s="1105">
        <v>9827284</v>
      </c>
      <c r="BH22" s="1105">
        <v>159700</v>
      </c>
      <c r="BI22" s="1105">
        <v>10788769</v>
      </c>
      <c r="BJ22" s="1105">
        <v>1433246</v>
      </c>
      <c r="BK22" s="1105">
        <v>1046810</v>
      </c>
      <c r="BL22" s="1106">
        <v>1704.5700000000002</v>
      </c>
      <c r="BM22" s="1105">
        <v>642493</v>
      </c>
      <c r="BN22" s="1105">
        <v>424518971</v>
      </c>
      <c r="BO22" s="1106">
        <v>72273.539999999994</v>
      </c>
      <c r="BP22" s="1105">
        <v>42862668</v>
      </c>
      <c r="BQ22" s="1105">
        <v>2744</v>
      </c>
      <c r="BR22" s="1105">
        <v>1752921</v>
      </c>
      <c r="BS22" s="1106">
        <v>3044.8499999999995</v>
      </c>
      <c r="BT22" s="1105">
        <v>682937</v>
      </c>
      <c r="BU22" s="1105">
        <v>8761</v>
      </c>
      <c r="BV22" s="1118">
        <v>34228</v>
      </c>
    </row>
    <row r="23" spans="1:74" s="1039" customFormat="1" ht="10.35" customHeight="1">
      <c r="A23" s="1835"/>
      <c r="B23" s="1113" t="s">
        <v>2169</v>
      </c>
      <c r="C23" s="1110">
        <v>479708</v>
      </c>
      <c r="D23" s="1111">
        <v>40159.770000000004</v>
      </c>
      <c r="E23" s="1110">
        <v>0</v>
      </c>
      <c r="F23" s="1111">
        <v>0</v>
      </c>
      <c r="G23" s="1110">
        <v>479708</v>
      </c>
      <c r="H23" s="1111">
        <v>40159.770000000004</v>
      </c>
      <c r="I23" s="1110">
        <v>848823</v>
      </c>
      <c r="J23" s="1111">
        <v>8294.98</v>
      </c>
      <c r="K23" s="1110">
        <v>25248</v>
      </c>
      <c r="L23" s="1111">
        <v>22.939999999999998</v>
      </c>
      <c r="M23" s="1110">
        <v>445</v>
      </c>
      <c r="N23" s="1111">
        <v>0.53</v>
      </c>
      <c r="O23" s="1110">
        <v>672359</v>
      </c>
      <c r="P23" s="1111">
        <v>312.95</v>
      </c>
      <c r="Q23" s="1110">
        <v>24614</v>
      </c>
      <c r="R23" s="1111">
        <v>22.35</v>
      </c>
      <c r="S23" s="1110">
        <v>76724</v>
      </c>
      <c r="T23" s="1111">
        <v>15.989999999999998</v>
      </c>
      <c r="U23" s="1110">
        <v>8193</v>
      </c>
      <c r="V23" s="1111">
        <v>5.28</v>
      </c>
      <c r="W23" s="1110">
        <v>807583</v>
      </c>
      <c r="X23" s="1111">
        <v>380.04</v>
      </c>
      <c r="Y23" s="1111">
        <v>608.89</v>
      </c>
      <c r="Z23" s="1835"/>
      <c r="AA23" s="1113" t="s">
        <v>2169</v>
      </c>
      <c r="AB23" s="1110">
        <v>1570166</v>
      </c>
      <c r="AC23" s="1111">
        <v>1848.72</v>
      </c>
      <c r="AD23" s="1110">
        <v>2984</v>
      </c>
      <c r="AE23" s="1111">
        <v>6.8800000000000008</v>
      </c>
      <c r="AF23" s="1110">
        <v>281767</v>
      </c>
      <c r="AG23" s="1111">
        <v>91.68</v>
      </c>
      <c r="AH23" s="1110">
        <v>7010</v>
      </c>
      <c r="AI23" s="1111">
        <v>10.83</v>
      </c>
      <c r="AJ23" s="1110">
        <v>38848</v>
      </c>
      <c r="AK23" s="1111">
        <v>3.2200000000000006</v>
      </c>
      <c r="AL23" s="1110">
        <v>3792</v>
      </c>
      <c r="AM23" s="1111">
        <v>3.95</v>
      </c>
      <c r="AN23" s="1110">
        <v>1904567</v>
      </c>
      <c r="AO23" s="1111">
        <v>1965.27</v>
      </c>
      <c r="AP23" s="1110">
        <v>0</v>
      </c>
      <c r="AQ23" s="1112">
        <v>0</v>
      </c>
      <c r="AR23" s="1110">
        <v>11772</v>
      </c>
      <c r="AS23" s="1111">
        <v>5.8599999999999994</v>
      </c>
      <c r="AT23" s="1110">
        <v>30189</v>
      </c>
      <c r="AU23" s="1111">
        <v>66.89</v>
      </c>
      <c r="AV23" s="1110">
        <v>0</v>
      </c>
      <c r="AW23" s="1111">
        <v>0</v>
      </c>
      <c r="AX23" s="1835"/>
      <c r="AY23" s="1113" t="s">
        <v>2169</v>
      </c>
      <c r="AZ23" s="1110">
        <v>0</v>
      </c>
      <c r="BA23" s="1111">
        <v>0</v>
      </c>
      <c r="BB23" s="1110">
        <v>30189</v>
      </c>
      <c r="BC23" s="1111">
        <v>66.89</v>
      </c>
      <c r="BD23" s="1110">
        <v>2750195</v>
      </c>
      <c r="BE23" s="1111">
        <v>2411.5100000000002</v>
      </c>
      <c r="BF23" s="1110">
        <v>101820</v>
      </c>
      <c r="BG23" s="1110">
        <v>315201</v>
      </c>
      <c r="BH23" s="1110">
        <v>23085</v>
      </c>
      <c r="BI23" s="1110">
        <v>440106</v>
      </c>
      <c r="BJ23" s="1110">
        <v>142981</v>
      </c>
      <c r="BK23" s="1110">
        <v>516318</v>
      </c>
      <c r="BL23" s="1111">
        <v>7468.2899999999991</v>
      </c>
      <c r="BM23" s="1110">
        <v>0</v>
      </c>
      <c r="BN23" s="1110">
        <v>0</v>
      </c>
      <c r="BO23" s="1111">
        <v>0</v>
      </c>
      <c r="BP23" s="1110">
        <v>0</v>
      </c>
      <c r="BQ23" s="1110">
        <v>0</v>
      </c>
      <c r="BR23" s="1110">
        <v>0</v>
      </c>
      <c r="BS23" s="1111">
        <v>0</v>
      </c>
      <c r="BT23" s="1110">
        <v>0</v>
      </c>
      <c r="BU23" s="1110">
        <v>170</v>
      </c>
      <c r="BV23" s="1119">
        <v>0</v>
      </c>
    </row>
    <row r="24" spans="1:74" s="1039" customFormat="1" ht="10.35" customHeight="1">
      <c r="A24" s="1836"/>
      <c r="B24" s="1038" t="s">
        <v>871</v>
      </c>
      <c r="C24" s="1076">
        <v>5981813</v>
      </c>
      <c r="D24" s="1077">
        <v>480089.59000000008</v>
      </c>
      <c r="E24" s="1076">
        <v>4518</v>
      </c>
      <c r="F24" s="1077">
        <v>158.25</v>
      </c>
      <c r="G24" s="1076">
        <v>5986331</v>
      </c>
      <c r="H24" s="1077">
        <v>480247.85000000003</v>
      </c>
      <c r="I24" s="1076">
        <v>3520459</v>
      </c>
      <c r="J24" s="1077">
        <v>29338.39</v>
      </c>
      <c r="K24" s="1076">
        <v>330361</v>
      </c>
      <c r="L24" s="1077">
        <v>224.63000000000002</v>
      </c>
      <c r="M24" s="1076">
        <v>9520</v>
      </c>
      <c r="N24" s="1077">
        <v>15.269999999999998</v>
      </c>
      <c r="O24" s="1076">
        <v>2519422</v>
      </c>
      <c r="P24" s="1077">
        <v>1380.73</v>
      </c>
      <c r="Q24" s="1076">
        <v>338152</v>
      </c>
      <c r="R24" s="1077">
        <v>340.19000000000005</v>
      </c>
      <c r="S24" s="1076">
        <v>251499</v>
      </c>
      <c r="T24" s="1077">
        <v>47.509999999999991</v>
      </c>
      <c r="U24" s="1076">
        <v>93809</v>
      </c>
      <c r="V24" s="1077">
        <v>86.580000000000013</v>
      </c>
      <c r="W24" s="1076">
        <v>3542763</v>
      </c>
      <c r="X24" s="1077">
        <v>2095.0099999999998</v>
      </c>
      <c r="Y24" s="1077">
        <v>3251.18</v>
      </c>
      <c r="Z24" s="1836"/>
      <c r="AA24" s="1038" t="s">
        <v>871</v>
      </c>
      <c r="AB24" s="1076">
        <v>36771829</v>
      </c>
      <c r="AC24" s="1077">
        <v>27631.699999999997</v>
      </c>
      <c r="AD24" s="1076">
        <v>3942</v>
      </c>
      <c r="AE24" s="1077">
        <v>9.1000000000000014</v>
      </c>
      <c r="AF24" s="1076">
        <v>1806447</v>
      </c>
      <c r="AG24" s="1077">
        <v>1309.5600000000004</v>
      </c>
      <c r="AH24" s="1076">
        <v>12383</v>
      </c>
      <c r="AI24" s="1077">
        <v>20.880000000000003</v>
      </c>
      <c r="AJ24" s="1076">
        <v>222602</v>
      </c>
      <c r="AK24" s="1077">
        <v>42.08</v>
      </c>
      <c r="AL24" s="1076">
        <v>5198</v>
      </c>
      <c r="AM24" s="1077">
        <v>5.0200000000000005</v>
      </c>
      <c r="AN24" s="1076">
        <v>38822401</v>
      </c>
      <c r="AO24" s="1077">
        <v>29018.329999999998</v>
      </c>
      <c r="AP24" s="1076">
        <v>180647</v>
      </c>
      <c r="AQ24" s="1099">
        <v>119.59</v>
      </c>
      <c r="AR24" s="1076">
        <v>36826</v>
      </c>
      <c r="AS24" s="1077">
        <v>23.770000000000003</v>
      </c>
      <c r="AT24" s="1076">
        <v>174262</v>
      </c>
      <c r="AU24" s="1077">
        <v>258.26000000000005</v>
      </c>
      <c r="AV24" s="1076">
        <v>267274</v>
      </c>
      <c r="AW24" s="1077">
        <v>258.65999999999997</v>
      </c>
      <c r="AX24" s="1836"/>
      <c r="AY24" s="1038" t="s">
        <v>871</v>
      </c>
      <c r="AZ24" s="1076">
        <v>169282</v>
      </c>
      <c r="BA24" s="1077">
        <v>32.340000000000003</v>
      </c>
      <c r="BB24" s="1076">
        <v>610818</v>
      </c>
      <c r="BC24" s="1077">
        <v>549.28</v>
      </c>
      <c r="BD24" s="1076">
        <v>43186183</v>
      </c>
      <c r="BE24" s="1077">
        <v>31784.620000000003</v>
      </c>
      <c r="BF24" s="1076">
        <v>906367</v>
      </c>
      <c r="BG24" s="1076">
        <v>10293308</v>
      </c>
      <c r="BH24" s="1076">
        <v>186091</v>
      </c>
      <c r="BI24" s="1076">
        <v>11385766</v>
      </c>
      <c r="BJ24" s="1076">
        <v>1576227</v>
      </c>
      <c r="BK24" s="1076">
        <v>1563128</v>
      </c>
      <c r="BL24" s="1077">
        <v>9172.8599999999988</v>
      </c>
      <c r="BM24" s="1076">
        <v>717043</v>
      </c>
      <c r="BN24" s="1076">
        <v>425645341</v>
      </c>
      <c r="BO24" s="1077">
        <v>72579.569999999992</v>
      </c>
      <c r="BP24" s="1076">
        <v>50429180</v>
      </c>
      <c r="BQ24" s="1076">
        <v>2773</v>
      </c>
      <c r="BR24" s="1316">
        <v>1761584</v>
      </c>
      <c r="BS24" s="1077">
        <v>3054.3599999999997</v>
      </c>
      <c r="BT24" s="1076">
        <v>689494</v>
      </c>
      <c r="BU24" s="1076">
        <v>9158</v>
      </c>
      <c r="BV24" s="1078">
        <v>34228</v>
      </c>
    </row>
    <row r="25" spans="1:74" s="1039" customFormat="1" ht="10.35" customHeight="1">
      <c r="A25" s="1845" t="s">
        <v>2279</v>
      </c>
      <c r="B25" s="1303" t="s">
        <v>2146</v>
      </c>
      <c r="C25" s="1110">
        <v>1153426</v>
      </c>
      <c r="D25" s="1111">
        <v>116866.28</v>
      </c>
      <c r="E25" s="1110">
        <v>2</v>
      </c>
      <c r="F25" s="1111">
        <v>0</v>
      </c>
      <c r="G25" s="1110">
        <v>1153428</v>
      </c>
      <c r="H25" s="1111">
        <v>116866.28</v>
      </c>
      <c r="I25" s="1110">
        <v>72800</v>
      </c>
      <c r="J25" s="1111">
        <v>803.05</v>
      </c>
      <c r="K25" s="1110">
        <v>13044</v>
      </c>
      <c r="L25" s="1111">
        <v>13.229999999999999</v>
      </c>
      <c r="M25" s="1110">
        <v>4</v>
      </c>
      <c r="N25" s="1111">
        <v>0</v>
      </c>
      <c r="O25" s="1110">
        <v>6431</v>
      </c>
      <c r="P25" s="1111">
        <v>2.27</v>
      </c>
      <c r="Q25" s="1110">
        <v>145</v>
      </c>
      <c r="R25" s="1111">
        <v>0.12000000000000001</v>
      </c>
      <c r="S25" s="1110">
        <v>50</v>
      </c>
      <c r="T25" s="1111">
        <v>0</v>
      </c>
      <c r="U25" s="1110">
        <v>0</v>
      </c>
      <c r="V25" s="1111">
        <v>0</v>
      </c>
      <c r="W25" s="1110">
        <v>19674</v>
      </c>
      <c r="X25" s="1111">
        <v>15.62</v>
      </c>
      <c r="Y25" s="1111">
        <v>10.690000000000001</v>
      </c>
      <c r="Z25" s="1845" t="s">
        <v>2279</v>
      </c>
      <c r="AA25" s="1303" t="s">
        <v>2146</v>
      </c>
      <c r="AB25" s="1110">
        <v>405198</v>
      </c>
      <c r="AC25" s="1111">
        <v>366.44</v>
      </c>
      <c r="AD25" s="1110">
        <v>0</v>
      </c>
      <c r="AE25" s="1111">
        <v>0</v>
      </c>
      <c r="AF25" s="1110">
        <v>19965</v>
      </c>
      <c r="AG25" s="1111">
        <v>6.46</v>
      </c>
      <c r="AH25" s="1110">
        <v>0</v>
      </c>
      <c r="AI25" s="1111">
        <v>0</v>
      </c>
      <c r="AJ25" s="1110">
        <v>105</v>
      </c>
      <c r="AK25" s="1111">
        <v>0</v>
      </c>
      <c r="AL25" s="1110">
        <v>0</v>
      </c>
      <c r="AM25" s="1111">
        <v>0</v>
      </c>
      <c r="AN25" s="1110">
        <v>425268</v>
      </c>
      <c r="AO25" s="1111">
        <v>372.89</v>
      </c>
      <c r="AP25" s="1110">
        <v>21</v>
      </c>
      <c r="AQ25" s="1112">
        <v>0</v>
      </c>
      <c r="AR25" s="1110">
        <v>0</v>
      </c>
      <c r="AS25" s="1111">
        <v>0</v>
      </c>
      <c r="AT25" s="1110">
        <v>0</v>
      </c>
      <c r="AU25" s="1111">
        <v>0</v>
      </c>
      <c r="AV25" s="1110">
        <v>0</v>
      </c>
      <c r="AW25" s="1111">
        <v>0</v>
      </c>
      <c r="AX25" s="1845" t="s">
        <v>2279</v>
      </c>
      <c r="AY25" s="1303" t="s">
        <v>2146</v>
      </c>
      <c r="AZ25" s="1110">
        <v>0</v>
      </c>
      <c r="BA25" s="1111">
        <v>0</v>
      </c>
      <c r="BB25" s="1110">
        <v>0</v>
      </c>
      <c r="BC25" s="1111">
        <v>0</v>
      </c>
      <c r="BD25" s="1110">
        <v>444963</v>
      </c>
      <c r="BE25" s="1111">
        <v>388.51</v>
      </c>
      <c r="BF25" s="1110">
        <v>6300</v>
      </c>
      <c r="BG25" s="1110">
        <v>160229</v>
      </c>
      <c r="BH25" s="1110">
        <v>3306</v>
      </c>
      <c r="BI25" s="1110">
        <v>169835</v>
      </c>
      <c r="BJ25" s="1110">
        <v>0</v>
      </c>
      <c r="BK25" s="1110">
        <v>0</v>
      </c>
      <c r="BL25" s="1111">
        <v>0</v>
      </c>
      <c r="BM25" s="1110">
        <v>90057</v>
      </c>
      <c r="BN25" s="1110">
        <v>28848448</v>
      </c>
      <c r="BO25" s="1111">
        <v>993.04</v>
      </c>
      <c r="BP25" s="1110">
        <v>9290682</v>
      </c>
      <c r="BQ25" s="1110">
        <v>29</v>
      </c>
      <c r="BR25" s="1477">
        <v>13275</v>
      </c>
      <c r="BS25" s="1111">
        <v>11.899999999999999</v>
      </c>
      <c r="BT25" s="1110">
        <v>7101</v>
      </c>
      <c r="BU25" s="1110">
        <v>183</v>
      </c>
      <c r="BV25" s="1119">
        <v>0</v>
      </c>
    </row>
    <row r="26" spans="1:74" s="1039" customFormat="1" ht="10.35" customHeight="1">
      <c r="A26" s="1845"/>
      <c r="B26" s="1033" t="s">
        <v>2147</v>
      </c>
      <c r="C26" s="1105">
        <v>42457</v>
      </c>
      <c r="D26" s="1106">
        <v>4223.96</v>
      </c>
      <c r="E26" s="1105">
        <v>1674</v>
      </c>
      <c r="F26" s="1106">
        <v>28.080000000000002</v>
      </c>
      <c r="G26" s="1105">
        <v>44131</v>
      </c>
      <c r="H26" s="1106">
        <v>4252.04</v>
      </c>
      <c r="I26" s="1105">
        <v>1084</v>
      </c>
      <c r="J26" s="1106">
        <v>141.33000000000001</v>
      </c>
      <c r="K26" s="1105">
        <v>0</v>
      </c>
      <c r="L26" s="1106">
        <v>0</v>
      </c>
      <c r="M26" s="1105">
        <v>0</v>
      </c>
      <c r="N26" s="1106">
        <v>0</v>
      </c>
      <c r="O26" s="1105">
        <v>0</v>
      </c>
      <c r="P26" s="1106">
        <v>0</v>
      </c>
      <c r="Q26" s="1105">
        <v>0</v>
      </c>
      <c r="R26" s="1106">
        <v>0</v>
      </c>
      <c r="S26" s="1105">
        <v>0</v>
      </c>
      <c r="T26" s="1106">
        <v>0</v>
      </c>
      <c r="U26" s="1105">
        <v>0</v>
      </c>
      <c r="V26" s="1106">
        <v>0</v>
      </c>
      <c r="W26" s="1105">
        <v>0</v>
      </c>
      <c r="X26" s="1106">
        <v>0</v>
      </c>
      <c r="Y26" s="1106">
        <v>0</v>
      </c>
      <c r="Z26" s="1845"/>
      <c r="AA26" s="1033" t="s">
        <v>2147</v>
      </c>
      <c r="AB26" s="1105">
        <v>13571</v>
      </c>
      <c r="AC26" s="1106">
        <v>10.9</v>
      </c>
      <c r="AD26" s="1105">
        <v>0</v>
      </c>
      <c r="AE26" s="1106">
        <v>0</v>
      </c>
      <c r="AF26" s="1105">
        <v>406</v>
      </c>
      <c r="AG26" s="1106">
        <v>0.12000000000000001</v>
      </c>
      <c r="AH26" s="1105">
        <v>0</v>
      </c>
      <c r="AI26" s="1106">
        <v>0</v>
      </c>
      <c r="AJ26" s="1105">
        <v>0</v>
      </c>
      <c r="AK26" s="1106">
        <v>0</v>
      </c>
      <c r="AL26" s="1105">
        <v>0</v>
      </c>
      <c r="AM26" s="1106">
        <v>0</v>
      </c>
      <c r="AN26" s="1105">
        <v>13977</v>
      </c>
      <c r="AO26" s="1106">
        <v>11.02</v>
      </c>
      <c r="AP26" s="1105">
        <v>0</v>
      </c>
      <c r="AQ26" s="1107">
        <v>0</v>
      </c>
      <c r="AR26" s="1105">
        <v>0</v>
      </c>
      <c r="AS26" s="1106">
        <v>0</v>
      </c>
      <c r="AT26" s="1105">
        <v>0</v>
      </c>
      <c r="AU26" s="1106">
        <v>0</v>
      </c>
      <c r="AV26" s="1105">
        <v>0</v>
      </c>
      <c r="AW26" s="1106">
        <v>0</v>
      </c>
      <c r="AX26" s="1845"/>
      <c r="AY26" s="1033" t="s">
        <v>2147</v>
      </c>
      <c r="AZ26" s="1105">
        <v>0</v>
      </c>
      <c r="BA26" s="1106">
        <v>0</v>
      </c>
      <c r="BB26" s="1105">
        <v>0</v>
      </c>
      <c r="BC26" s="1106">
        <v>0</v>
      </c>
      <c r="BD26" s="1105">
        <v>13977</v>
      </c>
      <c r="BE26" s="1106">
        <v>1</v>
      </c>
      <c r="BF26" s="1105">
        <v>0</v>
      </c>
      <c r="BG26" s="1105">
        <v>3891</v>
      </c>
      <c r="BH26" s="1105">
        <v>0</v>
      </c>
      <c r="BI26" s="1105">
        <v>3891</v>
      </c>
      <c r="BJ26" s="1105">
        <v>0</v>
      </c>
      <c r="BK26" s="1105">
        <v>0</v>
      </c>
      <c r="BL26" s="1106">
        <v>0</v>
      </c>
      <c r="BM26" s="1105">
        <v>0</v>
      </c>
      <c r="BN26" s="1105">
        <v>0</v>
      </c>
      <c r="BO26" s="1106">
        <v>0</v>
      </c>
      <c r="BP26" s="1105">
        <v>0</v>
      </c>
      <c r="BQ26" s="1105">
        <v>0</v>
      </c>
      <c r="BR26" s="1478">
        <v>0</v>
      </c>
      <c r="BS26" s="1106">
        <v>0</v>
      </c>
      <c r="BT26" s="1105">
        <v>0</v>
      </c>
      <c r="BU26" s="1105">
        <v>6</v>
      </c>
      <c r="BV26" s="1118">
        <v>0</v>
      </c>
    </row>
    <row r="27" spans="1:74" s="1039" customFormat="1" ht="10.35" customHeight="1">
      <c r="A27" s="1845"/>
      <c r="B27" s="1113" t="s">
        <v>2148</v>
      </c>
      <c r="C27" s="1110">
        <v>4107283</v>
      </c>
      <c r="D27" s="1111">
        <v>363106.29</v>
      </c>
      <c r="E27" s="1110">
        <v>10966</v>
      </c>
      <c r="F27" s="1111">
        <v>1136.7900000000002</v>
      </c>
      <c r="G27" s="1110">
        <v>4118249</v>
      </c>
      <c r="H27" s="1111">
        <v>364243.07999999996</v>
      </c>
      <c r="I27" s="1110">
        <v>2981709</v>
      </c>
      <c r="J27" s="1111">
        <v>22044.02</v>
      </c>
      <c r="K27" s="1110">
        <v>295979</v>
      </c>
      <c r="L27" s="1111">
        <v>208.49</v>
      </c>
      <c r="M27" s="1110">
        <v>9693</v>
      </c>
      <c r="N27" s="1111">
        <v>16.93</v>
      </c>
      <c r="O27" s="1110">
        <v>2474253</v>
      </c>
      <c r="P27" s="1111">
        <v>1345.5499999999997</v>
      </c>
      <c r="Q27" s="1110">
        <v>329789</v>
      </c>
      <c r="R27" s="1111">
        <v>317.87</v>
      </c>
      <c r="S27" s="1110">
        <v>211893</v>
      </c>
      <c r="T27" s="1111">
        <v>33.499999999999993</v>
      </c>
      <c r="U27" s="1110">
        <v>102034</v>
      </c>
      <c r="V27" s="1111">
        <v>97.09</v>
      </c>
      <c r="W27" s="1110">
        <v>3423641</v>
      </c>
      <c r="X27" s="1111">
        <v>2019.4699999999998</v>
      </c>
      <c r="Y27" s="1111">
        <v>2833.86</v>
      </c>
      <c r="Z27" s="1845"/>
      <c r="AA27" s="1113" t="s">
        <v>2148</v>
      </c>
      <c r="AB27" s="1110">
        <v>37526910</v>
      </c>
      <c r="AC27" s="1111">
        <v>28199.450000000004</v>
      </c>
      <c r="AD27" s="1110">
        <v>1056</v>
      </c>
      <c r="AE27" s="1111">
        <v>2.2999999999999998</v>
      </c>
      <c r="AF27" s="1110">
        <v>1845911</v>
      </c>
      <c r="AG27" s="1111">
        <v>1309.72</v>
      </c>
      <c r="AH27" s="1110">
        <v>6172</v>
      </c>
      <c r="AI27" s="1111">
        <v>12.560000000000002</v>
      </c>
      <c r="AJ27" s="1110">
        <v>211370</v>
      </c>
      <c r="AK27" s="1111">
        <v>39.449999999999989</v>
      </c>
      <c r="AL27" s="1110">
        <v>1751</v>
      </c>
      <c r="AM27" s="1111">
        <v>1.68</v>
      </c>
      <c r="AN27" s="1110">
        <v>39593170</v>
      </c>
      <c r="AO27" s="1111">
        <v>29565.190000000002</v>
      </c>
      <c r="AP27" s="1110">
        <v>200609</v>
      </c>
      <c r="AQ27" s="1112">
        <v>136.61000000000001</v>
      </c>
      <c r="AR27" s="1110">
        <v>27234</v>
      </c>
      <c r="AS27" s="1111">
        <v>10.96</v>
      </c>
      <c r="AT27" s="1110">
        <v>179472</v>
      </c>
      <c r="AU27" s="1111">
        <v>222.19</v>
      </c>
      <c r="AV27" s="1110">
        <v>269475</v>
      </c>
      <c r="AW27" s="1111">
        <v>247.91000000000003</v>
      </c>
      <c r="AX27" s="1845"/>
      <c r="AY27" s="1113" t="s">
        <v>2148</v>
      </c>
      <c r="AZ27" s="1110">
        <v>176497</v>
      </c>
      <c r="BA27" s="1111">
        <v>31.369999999999997</v>
      </c>
      <c r="BB27" s="1110">
        <v>625444</v>
      </c>
      <c r="BC27" s="1111">
        <v>501.48</v>
      </c>
      <c r="BD27" s="1110">
        <v>43863926</v>
      </c>
      <c r="BE27" s="1111">
        <v>32221.160000000003</v>
      </c>
      <c r="BF27" s="1110">
        <v>824543</v>
      </c>
      <c r="BG27" s="1110">
        <v>10317763</v>
      </c>
      <c r="BH27" s="1110">
        <v>171628</v>
      </c>
      <c r="BI27" s="1110">
        <v>11313934</v>
      </c>
      <c r="BJ27" s="1110">
        <v>1473814</v>
      </c>
      <c r="BK27" s="1110">
        <v>1251537</v>
      </c>
      <c r="BL27" s="1111">
        <v>1896.0800000000004</v>
      </c>
      <c r="BM27" s="1110">
        <v>668513</v>
      </c>
      <c r="BN27" s="1110">
        <v>456212004</v>
      </c>
      <c r="BO27" s="1111">
        <v>80208.849999999991</v>
      </c>
      <c r="BP27" s="1110">
        <v>44412008</v>
      </c>
      <c r="BQ27" s="1110">
        <v>2862</v>
      </c>
      <c r="BR27" s="1477">
        <v>2253462</v>
      </c>
      <c r="BS27" s="1111">
        <v>4489.6100000000006</v>
      </c>
      <c r="BT27" s="1110">
        <v>838598</v>
      </c>
      <c r="BU27" s="1110">
        <v>8886</v>
      </c>
      <c r="BV27" s="1119">
        <v>36288</v>
      </c>
    </row>
    <row r="28" spans="1:74" s="1039" customFormat="1" ht="10.35" customHeight="1">
      <c r="A28" s="1845"/>
      <c r="B28" s="1033" t="s">
        <v>2169</v>
      </c>
      <c r="C28" s="1105">
        <v>447627</v>
      </c>
      <c r="D28" s="1106">
        <v>41172.46</v>
      </c>
      <c r="E28" s="1105">
        <v>2</v>
      </c>
      <c r="F28" s="1106">
        <v>0</v>
      </c>
      <c r="G28" s="1105">
        <v>447629</v>
      </c>
      <c r="H28" s="1106">
        <v>41172.46</v>
      </c>
      <c r="I28" s="1105">
        <v>1031350</v>
      </c>
      <c r="J28" s="1106">
        <v>9005.51</v>
      </c>
      <c r="K28" s="1105">
        <v>22220</v>
      </c>
      <c r="L28" s="1106">
        <v>20.759999999999998</v>
      </c>
      <c r="M28" s="1105">
        <v>459</v>
      </c>
      <c r="N28" s="1106">
        <v>0.6100000000000001</v>
      </c>
      <c r="O28" s="1105">
        <v>709435</v>
      </c>
      <c r="P28" s="1106">
        <v>335.81</v>
      </c>
      <c r="Q28" s="1105">
        <v>22190</v>
      </c>
      <c r="R28" s="1106">
        <v>21.56</v>
      </c>
      <c r="S28" s="1105">
        <v>87232</v>
      </c>
      <c r="T28" s="1106">
        <v>18.670000000000002</v>
      </c>
      <c r="U28" s="1105">
        <v>9132</v>
      </c>
      <c r="V28" s="1106">
        <v>5.33</v>
      </c>
      <c r="W28" s="1105">
        <v>850668</v>
      </c>
      <c r="X28" s="1106">
        <v>402.77</v>
      </c>
      <c r="Y28" s="1106">
        <v>646.26</v>
      </c>
      <c r="Z28" s="1845"/>
      <c r="AA28" s="1033" t="s">
        <v>2169</v>
      </c>
      <c r="AB28" s="1105">
        <v>1688953</v>
      </c>
      <c r="AC28" s="1106">
        <v>2177.7000000000003</v>
      </c>
      <c r="AD28" s="1105">
        <v>3135</v>
      </c>
      <c r="AE28" s="1106">
        <v>7.33</v>
      </c>
      <c r="AF28" s="1105">
        <v>354224</v>
      </c>
      <c r="AG28" s="1106">
        <v>115.85999999999999</v>
      </c>
      <c r="AH28" s="1105">
        <v>8210</v>
      </c>
      <c r="AI28" s="1106">
        <v>11.98</v>
      </c>
      <c r="AJ28" s="1105">
        <v>40149</v>
      </c>
      <c r="AK28" s="1106">
        <v>3.3200000000000003</v>
      </c>
      <c r="AL28" s="1105">
        <v>3378</v>
      </c>
      <c r="AM28" s="1106">
        <v>4.58</v>
      </c>
      <c r="AN28" s="1105">
        <v>2098049</v>
      </c>
      <c r="AO28" s="1106">
        <v>2320.8000000000002</v>
      </c>
      <c r="AP28" s="1105">
        <v>0</v>
      </c>
      <c r="AQ28" s="1107">
        <v>0</v>
      </c>
      <c r="AR28" s="1105">
        <v>16404</v>
      </c>
      <c r="AS28" s="1106">
        <v>6.2200000000000006</v>
      </c>
      <c r="AT28" s="1105">
        <v>32328</v>
      </c>
      <c r="AU28" s="1106">
        <v>75.78</v>
      </c>
      <c r="AV28" s="1105">
        <v>0</v>
      </c>
      <c r="AW28" s="1106">
        <v>0</v>
      </c>
      <c r="AX28" s="1845"/>
      <c r="AY28" s="1033" t="s">
        <v>2169</v>
      </c>
      <c r="AZ28" s="1105">
        <v>0</v>
      </c>
      <c r="BA28" s="1106">
        <v>0</v>
      </c>
      <c r="BB28" s="1105">
        <v>32328</v>
      </c>
      <c r="BC28" s="1106">
        <v>75.78</v>
      </c>
      <c r="BD28" s="1105">
        <v>2989239</v>
      </c>
      <c r="BE28" s="1106">
        <v>2793.58</v>
      </c>
      <c r="BF28" s="1105">
        <v>105305</v>
      </c>
      <c r="BG28" s="1105">
        <v>320334</v>
      </c>
      <c r="BH28" s="1105">
        <v>30351</v>
      </c>
      <c r="BI28" s="1105">
        <v>455990</v>
      </c>
      <c r="BJ28" s="1105">
        <v>147563</v>
      </c>
      <c r="BK28" s="1105">
        <v>553057</v>
      </c>
      <c r="BL28" s="1106">
        <v>8014.34</v>
      </c>
      <c r="BM28" s="1105">
        <v>0</v>
      </c>
      <c r="BN28" s="1105">
        <v>0</v>
      </c>
      <c r="BO28" s="1106">
        <v>0</v>
      </c>
      <c r="BP28" s="1105">
        <v>0</v>
      </c>
      <c r="BQ28" s="1105">
        <v>0</v>
      </c>
      <c r="BR28" s="1478">
        <v>0</v>
      </c>
      <c r="BS28" s="1106">
        <v>0</v>
      </c>
      <c r="BT28" s="1105">
        <v>0</v>
      </c>
      <c r="BU28" s="1105">
        <v>171</v>
      </c>
      <c r="BV28" s="1118">
        <v>0</v>
      </c>
    </row>
    <row r="29" spans="1:74" s="1039" customFormat="1" ht="10.35" customHeight="1">
      <c r="A29" s="1845"/>
      <c r="B29" s="1211" t="s">
        <v>871</v>
      </c>
      <c r="C29" s="1472">
        <v>5750793</v>
      </c>
      <c r="D29" s="1473">
        <v>525368.99</v>
      </c>
      <c r="E29" s="1472">
        <v>12644</v>
      </c>
      <c r="F29" s="1473">
        <v>1164.8700000000001</v>
      </c>
      <c r="G29" s="1472">
        <v>5763437</v>
      </c>
      <c r="H29" s="1473">
        <v>526533.86</v>
      </c>
      <c r="I29" s="1472">
        <v>4086943</v>
      </c>
      <c r="J29" s="1473">
        <v>31993.910000000003</v>
      </c>
      <c r="K29" s="1472">
        <v>331243</v>
      </c>
      <c r="L29" s="1473">
        <v>242.48</v>
      </c>
      <c r="M29" s="1472">
        <v>10156</v>
      </c>
      <c r="N29" s="1473">
        <v>17.54</v>
      </c>
      <c r="O29" s="1472">
        <v>3190119</v>
      </c>
      <c r="P29" s="1473">
        <v>1683.6299999999997</v>
      </c>
      <c r="Q29" s="1472">
        <v>352124</v>
      </c>
      <c r="R29" s="1473">
        <v>339.55</v>
      </c>
      <c r="S29" s="1472">
        <v>299175</v>
      </c>
      <c r="T29" s="1473">
        <v>52.169999999999995</v>
      </c>
      <c r="U29" s="1472">
        <v>111166</v>
      </c>
      <c r="V29" s="1473">
        <v>102.42</v>
      </c>
      <c r="W29" s="1472">
        <v>4293983</v>
      </c>
      <c r="X29" s="1473">
        <v>2437.8599999999997</v>
      </c>
      <c r="Y29" s="1473">
        <v>3490.8100000000004</v>
      </c>
      <c r="Z29" s="1845"/>
      <c r="AA29" s="1211" t="s">
        <v>871</v>
      </c>
      <c r="AB29" s="1472">
        <v>39634632</v>
      </c>
      <c r="AC29" s="1473">
        <v>30754.490000000005</v>
      </c>
      <c r="AD29" s="1472">
        <v>4191</v>
      </c>
      <c r="AE29" s="1473">
        <v>9.629999999999999</v>
      </c>
      <c r="AF29" s="1472">
        <v>2220506</v>
      </c>
      <c r="AG29" s="1473">
        <v>1432.1599999999999</v>
      </c>
      <c r="AH29" s="1472">
        <v>14382</v>
      </c>
      <c r="AI29" s="1473">
        <v>24.540000000000003</v>
      </c>
      <c r="AJ29" s="1472">
        <v>251624</v>
      </c>
      <c r="AK29" s="1473">
        <v>42.769999999999989</v>
      </c>
      <c r="AL29" s="1472">
        <v>5129</v>
      </c>
      <c r="AM29" s="1473">
        <v>6.26</v>
      </c>
      <c r="AN29" s="1472">
        <v>42130464</v>
      </c>
      <c r="AO29" s="1473">
        <v>32269.9</v>
      </c>
      <c r="AP29" s="1472">
        <v>200630</v>
      </c>
      <c r="AQ29" s="1474">
        <v>136.61000000000001</v>
      </c>
      <c r="AR29" s="1472">
        <v>43638</v>
      </c>
      <c r="AS29" s="1473">
        <v>17.18</v>
      </c>
      <c r="AT29" s="1472">
        <v>211800</v>
      </c>
      <c r="AU29" s="1473">
        <v>297.97000000000003</v>
      </c>
      <c r="AV29" s="1472">
        <v>269475</v>
      </c>
      <c r="AW29" s="1473">
        <v>247.91000000000003</v>
      </c>
      <c r="AX29" s="1845"/>
      <c r="AY29" s="1211" t="s">
        <v>871</v>
      </c>
      <c r="AZ29" s="1472">
        <v>176497</v>
      </c>
      <c r="BA29" s="1473">
        <v>31.369999999999997</v>
      </c>
      <c r="BB29" s="1472">
        <v>657772</v>
      </c>
      <c r="BC29" s="1473">
        <v>577.26</v>
      </c>
      <c r="BD29" s="1472">
        <v>47312105</v>
      </c>
      <c r="BE29" s="1473">
        <v>35404.25</v>
      </c>
      <c r="BF29" s="1472">
        <v>936148</v>
      </c>
      <c r="BG29" s="1472">
        <v>10802217</v>
      </c>
      <c r="BH29" s="1472">
        <v>205285</v>
      </c>
      <c r="BI29" s="1472">
        <v>11943650</v>
      </c>
      <c r="BJ29" s="1472">
        <v>1621377</v>
      </c>
      <c r="BK29" s="1472">
        <v>1804594</v>
      </c>
      <c r="BL29" s="1473">
        <v>9910.42</v>
      </c>
      <c r="BM29" s="1472">
        <v>758570</v>
      </c>
      <c r="BN29" s="1472">
        <v>485060452</v>
      </c>
      <c r="BO29" s="1473">
        <v>81201.889999999985</v>
      </c>
      <c r="BP29" s="1472">
        <v>53702690</v>
      </c>
      <c r="BQ29" s="1472">
        <v>2891</v>
      </c>
      <c r="BR29" s="1475">
        <v>2266737</v>
      </c>
      <c r="BS29" s="1473">
        <v>4501.51</v>
      </c>
      <c r="BT29" s="1472">
        <v>845699</v>
      </c>
      <c r="BU29" s="1472">
        <v>9246</v>
      </c>
      <c r="BV29" s="1476">
        <v>36288</v>
      </c>
    </row>
    <row r="30" spans="1:74" s="1039" customFormat="1" ht="10.35" customHeight="1">
      <c r="A30" s="1835" t="s">
        <v>951</v>
      </c>
      <c r="B30" s="1252" t="s">
        <v>2146</v>
      </c>
      <c r="C30" s="1253">
        <v>403942</v>
      </c>
      <c r="D30" s="1254">
        <v>32225.59</v>
      </c>
      <c r="E30" s="1253">
        <v>8</v>
      </c>
      <c r="F30" s="1254">
        <v>0</v>
      </c>
      <c r="G30" s="1253">
        <v>403950</v>
      </c>
      <c r="H30" s="1254">
        <v>32225.59</v>
      </c>
      <c r="I30" s="1253">
        <v>21187</v>
      </c>
      <c r="J30" s="1254">
        <v>404.28</v>
      </c>
      <c r="K30" s="1253">
        <v>4435</v>
      </c>
      <c r="L30" s="1254">
        <v>4.07</v>
      </c>
      <c r="M30" s="1253">
        <v>0</v>
      </c>
      <c r="N30" s="1254">
        <v>0</v>
      </c>
      <c r="O30" s="1253">
        <v>1711</v>
      </c>
      <c r="P30" s="1254">
        <v>0.55000000000000004</v>
      </c>
      <c r="Q30" s="1253">
        <v>62</v>
      </c>
      <c r="R30" s="1254">
        <v>0.05</v>
      </c>
      <c r="S30" s="1253">
        <v>0</v>
      </c>
      <c r="T30" s="1254">
        <v>0</v>
      </c>
      <c r="U30" s="1253">
        <v>0</v>
      </c>
      <c r="V30" s="1254">
        <v>0</v>
      </c>
      <c r="W30" s="1253">
        <v>6208</v>
      </c>
      <c r="X30" s="1254">
        <v>4.68</v>
      </c>
      <c r="Y30" s="1479">
        <v>6.7799999999999994</v>
      </c>
      <c r="Z30" s="1835" t="s">
        <v>951</v>
      </c>
      <c r="AA30" s="1252" t="s">
        <v>2146</v>
      </c>
      <c r="AB30" s="1253">
        <v>159694</v>
      </c>
      <c r="AC30" s="1254">
        <v>148.99</v>
      </c>
      <c r="AD30" s="1253">
        <v>0</v>
      </c>
      <c r="AE30" s="1254">
        <v>0</v>
      </c>
      <c r="AF30" s="1253">
        <v>4162</v>
      </c>
      <c r="AG30" s="1254">
        <v>1.1199999999999999</v>
      </c>
      <c r="AH30" s="1253">
        <v>0</v>
      </c>
      <c r="AI30" s="1254">
        <v>0</v>
      </c>
      <c r="AJ30" s="1253">
        <v>0</v>
      </c>
      <c r="AK30" s="1254">
        <v>0</v>
      </c>
      <c r="AL30" s="1253">
        <v>0</v>
      </c>
      <c r="AM30" s="1254">
        <v>0</v>
      </c>
      <c r="AN30" s="1253">
        <v>163856</v>
      </c>
      <c r="AO30" s="1254">
        <v>150.1</v>
      </c>
      <c r="AP30" s="1253">
        <v>6</v>
      </c>
      <c r="AQ30" s="1255">
        <v>0</v>
      </c>
      <c r="AR30" s="1253">
        <v>0</v>
      </c>
      <c r="AS30" s="1254">
        <v>0</v>
      </c>
      <c r="AT30" s="1253">
        <v>0</v>
      </c>
      <c r="AU30" s="1254">
        <v>0</v>
      </c>
      <c r="AV30" s="1253">
        <v>0</v>
      </c>
      <c r="AW30" s="1479">
        <v>0</v>
      </c>
      <c r="AX30" s="1835" t="s">
        <v>951</v>
      </c>
      <c r="AY30" s="1252" t="s">
        <v>2146</v>
      </c>
      <c r="AZ30" s="1253">
        <v>0</v>
      </c>
      <c r="BA30" s="1254">
        <v>0</v>
      </c>
      <c r="BB30" s="1253">
        <v>0</v>
      </c>
      <c r="BC30" s="1254">
        <v>0</v>
      </c>
      <c r="BD30" s="1253">
        <v>170070</v>
      </c>
      <c r="BE30" s="1254">
        <v>154.78</v>
      </c>
      <c r="BF30" s="1253">
        <v>2762</v>
      </c>
      <c r="BG30" s="1253">
        <v>147078</v>
      </c>
      <c r="BH30" s="1253">
        <v>3306</v>
      </c>
      <c r="BI30" s="1253">
        <v>153146</v>
      </c>
      <c r="BJ30" s="1253">
        <v>0</v>
      </c>
      <c r="BK30" s="1253">
        <v>0</v>
      </c>
      <c r="BL30" s="1254">
        <v>0</v>
      </c>
      <c r="BM30" s="1253">
        <v>74550</v>
      </c>
      <c r="BN30" s="1253">
        <v>520855</v>
      </c>
      <c r="BO30" s="1254">
        <v>37.15</v>
      </c>
      <c r="BP30" s="1253">
        <v>7566512</v>
      </c>
      <c r="BQ30" s="1253">
        <v>29</v>
      </c>
      <c r="BR30" s="1253">
        <v>4536</v>
      </c>
      <c r="BS30" s="1254">
        <v>5.24</v>
      </c>
      <c r="BT30" s="1253">
        <v>6557</v>
      </c>
      <c r="BU30" s="1253">
        <v>221</v>
      </c>
      <c r="BV30" s="1256">
        <v>0</v>
      </c>
    </row>
    <row r="31" spans="1:74" s="1039" customFormat="1" ht="10.35" customHeight="1">
      <c r="A31" s="1835"/>
      <c r="B31" s="1113" t="s">
        <v>2147</v>
      </c>
      <c r="C31" s="1110">
        <v>16772</v>
      </c>
      <c r="D31" s="1111">
        <v>1513.21</v>
      </c>
      <c r="E31" s="1110">
        <v>458</v>
      </c>
      <c r="F31" s="1111">
        <v>8.1199999999999992</v>
      </c>
      <c r="G31" s="1110">
        <v>17230</v>
      </c>
      <c r="H31" s="1111">
        <v>1521.3300000000002</v>
      </c>
      <c r="I31" s="1110">
        <v>188</v>
      </c>
      <c r="J31" s="1111">
        <v>33.25</v>
      </c>
      <c r="K31" s="1110">
        <v>0</v>
      </c>
      <c r="L31" s="1111">
        <v>0</v>
      </c>
      <c r="M31" s="1110">
        <v>0</v>
      </c>
      <c r="N31" s="1111">
        <v>0</v>
      </c>
      <c r="O31" s="1110">
        <v>0</v>
      </c>
      <c r="P31" s="1111">
        <v>0</v>
      </c>
      <c r="Q31" s="1110">
        <v>0</v>
      </c>
      <c r="R31" s="1111">
        <v>0</v>
      </c>
      <c r="S31" s="1110">
        <v>0</v>
      </c>
      <c r="T31" s="1111">
        <v>0</v>
      </c>
      <c r="U31" s="1110">
        <v>0</v>
      </c>
      <c r="V31" s="1111">
        <v>0</v>
      </c>
      <c r="W31" s="1110">
        <v>0</v>
      </c>
      <c r="X31" s="1111">
        <v>0</v>
      </c>
      <c r="Y31" s="1111">
        <v>0</v>
      </c>
      <c r="Z31" s="1835"/>
      <c r="AA31" s="1113" t="s">
        <v>2147</v>
      </c>
      <c r="AB31" s="1110">
        <v>4267</v>
      </c>
      <c r="AC31" s="1111">
        <v>3.2</v>
      </c>
      <c r="AD31" s="1110">
        <v>0</v>
      </c>
      <c r="AE31" s="1111">
        <v>0</v>
      </c>
      <c r="AF31" s="1110">
        <v>93</v>
      </c>
      <c r="AG31" s="1111">
        <v>0.03</v>
      </c>
      <c r="AH31" s="1110">
        <v>0</v>
      </c>
      <c r="AI31" s="1111">
        <v>0</v>
      </c>
      <c r="AJ31" s="1110">
        <v>0</v>
      </c>
      <c r="AK31" s="1111">
        <v>0</v>
      </c>
      <c r="AL31" s="1110">
        <v>0</v>
      </c>
      <c r="AM31" s="1111">
        <v>0</v>
      </c>
      <c r="AN31" s="1110">
        <v>4360</v>
      </c>
      <c r="AO31" s="1111">
        <v>3.23</v>
      </c>
      <c r="AP31" s="1110">
        <v>0</v>
      </c>
      <c r="AQ31" s="1112">
        <v>0</v>
      </c>
      <c r="AR31" s="1110">
        <v>0</v>
      </c>
      <c r="AS31" s="1111">
        <v>0</v>
      </c>
      <c r="AT31" s="1110">
        <v>0</v>
      </c>
      <c r="AU31" s="1111">
        <v>0</v>
      </c>
      <c r="AV31" s="1110">
        <v>0</v>
      </c>
      <c r="AW31" s="1111">
        <v>0</v>
      </c>
      <c r="AX31" s="1835"/>
      <c r="AY31" s="1113" t="s">
        <v>2147</v>
      </c>
      <c r="AZ31" s="1110">
        <v>0</v>
      </c>
      <c r="BA31" s="1111">
        <v>0</v>
      </c>
      <c r="BB31" s="1110">
        <v>0</v>
      </c>
      <c r="BC31" s="1111">
        <v>0</v>
      </c>
      <c r="BD31" s="1110">
        <v>4360</v>
      </c>
      <c r="BE31" s="1111">
        <v>3.23</v>
      </c>
      <c r="BF31" s="1110">
        <v>0</v>
      </c>
      <c r="BG31" s="1110">
        <v>3745</v>
      </c>
      <c r="BH31" s="1110">
        <v>0</v>
      </c>
      <c r="BI31" s="1110">
        <v>3745</v>
      </c>
      <c r="BJ31" s="1110">
        <v>0</v>
      </c>
      <c r="BK31" s="1110">
        <v>0</v>
      </c>
      <c r="BL31" s="1111">
        <v>0</v>
      </c>
      <c r="BM31" s="1110">
        <v>0</v>
      </c>
      <c r="BN31" s="1110">
        <v>0</v>
      </c>
      <c r="BO31" s="1111">
        <v>0</v>
      </c>
      <c r="BP31" s="1110">
        <v>0</v>
      </c>
      <c r="BQ31" s="1110">
        <v>0</v>
      </c>
      <c r="BR31" s="1110">
        <v>0</v>
      </c>
      <c r="BS31" s="1111">
        <v>0</v>
      </c>
      <c r="BT31" s="1110">
        <v>0</v>
      </c>
      <c r="BU31" s="1110">
        <v>6</v>
      </c>
      <c r="BV31" s="1119">
        <v>0</v>
      </c>
    </row>
    <row r="32" spans="1:74" s="1039" customFormat="1" ht="10.35" customHeight="1">
      <c r="A32" s="1835"/>
      <c r="B32" s="1033" t="s">
        <v>2148</v>
      </c>
      <c r="C32" s="1105">
        <v>1438808</v>
      </c>
      <c r="D32" s="1106">
        <v>113815.28000000001</v>
      </c>
      <c r="E32" s="1105">
        <v>1026</v>
      </c>
      <c r="F32" s="1106">
        <v>46.47999999999999</v>
      </c>
      <c r="G32" s="1105">
        <v>1439834</v>
      </c>
      <c r="H32" s="1106">
        <v>113861.76000000001</v>
      </c>
      <c r="I32" s="1105">
        <v>784420</v>
      </c>
      <c r="J32" s="1106">
        <v>6974.2299999999977</v>
      </c>
      <c r="K32" s="1105">
        <v>99711</v>
      </c>
      <c r="L32" s="1106">
        <v>66.360000000000014</v>
      </c>
      <c r="M32" s="1105">
        <v>2991</v>
      </c>
      <c r="N32" s="1106">
        <v>4.4099999999999993</v>
      </c>
      <c r="O32" s="1105">
        <v>638184</v>
      </c>
      <c r="P32" s="1106">
        <v>374.80999999999995</v>
      </c>
      <c r="Q32" s="1105">
        <v>109803</v>
      </c>
      <c r="R32" s="1106">
        <v>109.57</v>
      </c>
      <c r="S32" s="1105">
        <v>65145</v>
      </c>
      <c r="T32" s="1106">
        <v>10.839999999999998</v>
      </c>
      <c r="U32" s="1105">
        <v>30851</v>
      </c>
      <c r="V32" s="1106">
        <v>27.890000000000008</v>
      </c>
      <c r="W32" s="1105">
        <v>946685</v>
      </c>
      <c r="X32" s="1106">
        <v>593.94000000000005</v>
      </c>
      <c r="Y32" s="1106">
        <v>2635.5099999999998</v>
      </c>
      <c r="Z32" s="1835"/>
      <c r="AA32" s="1033" t="s">
        <v>2148</v>
      </c>
      <c r="AB32" s="1105">
        <v>12147833</v>
      </c>
      <c r="AC32" s="1106">
        <v>8806.2899999999972</v>
      </c>
      <c r="AD32" s="1105">
        <v>326</v>
      </c>
      <c r="AE32" s="1106">
        <v>0.58000000000000007</v>
      </c>
      <c r="AF32" s="1105">
        <v>509678</v>
      </c>
      <c r="AG32" s="1106">
        <v>401.17000000000013</v>
      </c>
      <c r="AH32" s="1105">
        <v>1847</v>
      </c>
      <c r="AI32" s="1106">
        <v>3.41</v>
      </c>
      <c r="AJ32" s="1105">
        <v>66744</v>
      </c>
      <c r="AK32" s="1106">
        <v>12.19</v>
      </c>
      <c r="AL32" s="1105">
        <v>497</v>
      </c>
      <c r="AM32" s="1106">
        <v>0.49</v>
      </c>
      <c r="AN32" s="1105">
        <v>12726925</v>
      </c>
      <c r="AO32" s="1106">
        <v>9224.119999999999</v>
      </c>
      <c r="AP32" s="1105">
        <v>65790</v>
      </c>
      <c r="AQ32" s="1107">
        <v>43.230000000000018</v>
      </c>
      <c r="AR32" s="1105">
        <v>7387</v>
      </c>
      <c r="AS32" s="1106">
        <v>10.280000000000003</v>
      </c>
      <c r="AT32" s="1105">
        <v>60745</v>
      </c>
      <c r="AU32" s="1106">
        <v>75.37</v>
      </c>
      <c r="AV32" s="1105">
        <v>92996</v>
      </c>
      <c r="AW32" s="1106">
        <v>93.22999999999999</v>
      </c>
      <c r="AX32" s="1835"/>
      <c r="AY32" s="1033" t="s">
        <v>2148</v>
      </c>
      <c r="AZ32" s="1105">
        <v>66973</v>
      </c>
      <c r="BA32" s="1106">
        <v>9.81</v>
      </c>
      <c r="BB32" s="1105">
        <v>220714</v>
      </c>
      <c r="BC32" s="1106">
        <v>178.4</v>
      </c>
      <c r="BD32" s="1105">
        <v>13965654</v>
      </c>
      <c r="BE32" s="1106">
        <v>10046.560000000001</v>
      </c>
      <c r="BF32" s="1105">
        <v>801785</v>
      </c>
      <c r="BG32" s="1105">
        <v>9827284</v>
      </c>
      <c r="BH32" s="1105">
        <v>159700</v>
      </c>
      <c r="BI32" s="1105">
        <v>10788769</v>
      </c>
      <c r="BJ32" s="1105">
        <v>1433246</v>
      </c>
      <c r="BK32" s="1105">
        <v>359832</v>
      </c>
      <c r="BL32" s="1106">
        <v>573.98</v>
      </c>
      <c r="BM32" s="1105">
        <v>642493</v>
      </c>
      <c r="BN32" s="1105">
        <v>151257719</v>
      </c>
      <c r="BO32" s="1106">
        <v>25009.529999999995</v>
      </c>
      <c r="BP32" s="1105">
        <v>42862668</v>
      </c>
      <c r="BQ32" s="1105">
        <v>2744</v>
      </c>
      <c r="BR32" s="1105">
        <v>669209</v>
      </c>
      <c r="BS32" s="1106">
        <v>1203.5699999999997</v>
      </c>
      <c r="BT32" s="1105">
        <v>682937</v>
      </c>
      <c r="BU32" s="1105">
        <v>8761</v>
      </c>
      <c r="BV32" s="1118">
        <v>34228</v>
      </c>
    </row>
    <row r="33" spans="1:74" s="1039" customFormat="1" ht="9" customHeight="1">
      <c r="A33" s="1835"/>
      <c r="B33" s="1113" t="s">
        <v>2169</v>
      </c>
      <c r="C33" s="1110">
        <v>159291</v>
      </c>
      <c r="D33" s="1111">
        <v>13487.970000000001</v>
      </c>
      <c r="E33" s="1110">
        <v>0</v>
      </c>
      <c r="F33" s="1111">
        <v>0</v>
      </c>
      <c r="G33" s="1110">
        <v>159291</v>
      </c>
      <c r="H33" s="1111">
        <v>13487.970000000001</v>
      </c>
      <c r="I33" s="1110">
        <v>284308</v>
      </c>
      <c r="J33" s="1111">
        <v>2906.4100000000003</v>
      </c>
      <c r="K33" s="1110">
        <v>8036</v>
      </c>
      <c r="L33" s="1111">
        <v>7.2399999999999993</v>
      </c>
      <c r="M33" s="1110">
        <v>146</v>
      </c>
      <c r="N33" s="1111">
        <v>0.18</v>
      </c>
      <c r="O33" s="1110">
        <v>199441</v>
      </c>
      <c r="P33" s="1111">
        <v>95.17</v>
      </c>
      <c r="Q33" s="1110">
        <v>7668</v>
      </c>
      <c r="R33" s="1111">
        <v>7.35</v>
      </c>
      <c r="S33" s="1110">
        <v>25259</v>
      </c>
      <c r="T33" s="1111">
        <v>5.22</v>
      </c>
      <c r="U33" s="1110">
        <v>2608</v>
      </c>
      <c r="V33" s="1111">
        <v>1.6</v>
      </c>
      <c r="W33" s="1110">
        <v>243158</v>
      </c>
      <c r="X33" s="1111">
        <v>116.75999999999999</v>
      </c>
      <c r="Y33" s="1111">
        <v>608.89</v>
      </c>
      <c r="Z33" s="1835"/>
      <c r="AA33" s="1113" t="s">
        <v>2169</v>
      </c>
      <c r="AB33" s="1110">
        <v>530840</v>
      </c>
      <c r="AC33" s="1111">
        <v>629.47</v>
      </c>
      <c r="AD33" s="1110">
        <v>951</v>
      </c>
      <c r="AE33" s="1111">
        <v>2.27</v>
      </c>
      <c r="AF33" s="1110">
        <v>95567</v>
      </c>
      <c r="AG33" s="1111">
        <v>30.63</v>
      </c>
      <c r="AH33" s="1110">
        <v>2080</v>
      </c>
      <c r="AI33" s="1111">
        <v>3.48</v>
      </c>
      <c r="AJ33" s="1110">
        <v>12983</v>
      </c>
      <c r="AK33" s="1111">
        <v>1.07</v>
      </c>
      <c r="AL33" s="1110">
        <v>1218</v>
      </c>
      <c r="AM33" s="1111">
        <v>1.3</v>
      </c>
      <c r="AN33" s="1110">
        <v>643639</v>
      </c>
      <c r="AO33" s="1111">
        <v>668.19999999999993</v>
      </c>
      <c r="AP33" s="1110">
        <v>0</v>
      </c>
      <c r="AQ33" s="1112">
        <v>0</v>
      </c>
      <c r="AR33" s="1110">
        <v>4808</v>
      </c>
      <c r="AS33" s="1111">
        <v>2.5099999999999998</v>
      </c>
      <c r="AT33" s="1110">
        <v>12066</v>
      </c>
      <c r="AU33" s="1111">
        <v>27.740000000000002</v>
      </c>
      <c r="AV33" s="1110">
        <v>0</v>
      </c>
      <c r="AW33" s="1111">
        <v>0</v>
      </c>
      <c r="AX33" s="1835"/>
      <c r="AY33" s="1113" t="s">
        <v>2169</v>
      </c>
      <c r="AZ33" s="1110">
        <v>0</v>
      </c>
      <c r="BA33" s="1111">
        <v>0</v>
      </c>
      <c r="BB33" s="1110">
        <v>12066</v>
      </c>
      <c r="BC33" s="1111">
        <v>27.740000000000002</v>
      </c>
      <c r="BD33" s="1110">
        <v>901591</v>
      </c>
      <c r="BE33" s="1111">
        <v>811.72000000000014</v>
      </c>
      <c r="BF33" s="1110">
        <v>101820</v>
      </c>
      <c r="BG33" s="1110">
        <v>315201</v>
      </c>
      <c r="BH33" s="1110">
        <v>23085</v>
      </c>
      <c r="BI33" s="1110">
        <v>440106</v>
      </c>
      <c r="BJ33" s="1110">
        <v>142981</v>
      </c>
      <c r="BK33" s="1110">
        <v>171196</v>
      </c>
      <c r="BL33" s="1111">
        <v>2382.5100000000002</v>
      </c>
      <c r="BM33" s="1110">
        <v>0</v>
      </c>
      <c r="BN33" s="1110">
        <v>0</v>
      </c>
      <c r="BO33" s="1111">
        <v>0</v>
      </c>
      <c r="BP33" s="1110">
        <v>0</v>
      </c>
      <c r="BQ33" s="1110">
        <v>0</v>
      </c>
      <c r="BR33" s="1110">
        <v>0</v>
      </c>
      <c r="BS33" s="1111">
        <v>0</v>
      </c>
      <c r="BT33" s="1110">
        <v>0</v>
      </c>
      <c r="BU33" s="1110">
        <v>170</v>
      </c>
      <c r="BV33" s="1119">
        <v>0</v>
      </c>
    </row>
    <row r="34" spans="1:74" s="1039" customFormat="1" ht="10.35" customHeight="1">
      <c r="A34" s="1836"/>
      <c r="B34" s="1038" t="s">
        <v>871</v>
      </c>
      <c r="C34" s="1076">
        <v>2018813</v>
      </c>
      <c r="D34" s="1077">
        <v>161042.05000000002</v>
      </c>
      <c r="E34" s="1076">
        <v>1492</v>
      </c>
      <c r="F34" s="1077">
        <v>54.599999999999987</v>
      </c>
      <c r="G34" s="1076">
        <v>2020305</v>
      </c>
      <c r="H34" s="1077">
        <v>161096.65</v>
      </c>
      <c r="I34" s="1076">
        <v>1090103</v>
      </c>
      <c r="J34" s="1077">
        <v>10318.169999999998</v>
      </c>
      <c r="K34" s="1076">
        <v>112182</v>
      </c>
      <c r="L34" s="1077">
        <v>77.67</v>
      </c>
      <c r="M34" s="1076">
        <v>3137</v>
      </c>
      <c r="N34" s="1077">
        <v>4.589999999999999</v>
      </c>
      <c r="O34" s="1076">
        <v>839336</v>
      </c>
      <c r="P34" s="1077">
        <v>470.53</v>
      </c>
      <c r="Q34" s="1076">
        <v>117533</v>
      </c>
      <c r="R34" s="1077">
        <v>116.96999999999998</v>
      </c>
      <c r="S34" s="1076">
        <v>90404</v>
      </c>
      <c r="T34" s="1077">
        <v>16.059999999999999</v>
      </c>
      <c r="U34" s="1076">
        <v>33459</v>
      </c>
      <c r="V34" s="1077">
        <v>29.490000000000009</v>
      </c>
      <c r="W34" s="1076">
        <v>1196051</v>
      </c>
      <c r="X34" s="1077">
        <v>715.38</v>
      </c>
      <c r="Y34" s="1077">
        <v>3251.18</v>
      </c>
      <c r="Z34" s="1836"/>
      <c r="AA34" s="1038" t="s">
        <v>871</v>
      </c>
      <c r="AB34" s="1076">
        <v>12842634</v>
      </c>
      <c r="AC34" s="1077">
        <v>9587.9499999999971</v>
      </c>
      <c r="AD34" s="1076">
        <v>1277</v>
      </c>
      <c r="AE34" s="1077">
        <v>2.85</v>
      </c>
      <c r="AF34" s="1076">
        <v>609500</v>
      </c>
      <c r="AG34" s="1077">
        <v>432.9500000000001</v>
      </c>
      <c r="AH34" s="1076">
        <v>3927</v>
      </c>
      <c r="AI34" s="1077">
        <v>6.8900000000000006</v>
      </c>
      <c r="AJ34" s="1076">
        <v>79727</v>
      </c>
      <c r="AK34" s="1077">
        <v>13.26</v>
      </c>
      <c r="AL34" s="1076">
        <v>1715</v>
      </c>
      <c r="AM34" s="1077">
        <v>1.79</v>
      </c>
      <c r="AN34" s="1076">
        <v>13538780</v>
      </c>
      <c r="AO34" s="1077">
        <v>10045.65</v>
      </c>
      <c r="AP34" s="1076">
        <v>65796</v>
      </c>
      <c r="AQ34" s="1099">
        <v>43.230000000000018</v>
      </c>
      <c r="AR34" s="1076">
        <v>12195</v>
      </c>
      <c r="AS34" s="1077">
        <v>12.790000000000003</v>
      </c>
      <c r="AT34" s="1076">
        <v>72811</v>
      </c>
      <c r="AU34" s="1077">
        <v>103.11000000000001</v>
      </c>
      <c r="AV34" s="1076">
        <v>92996</v>
      </c>
      <c r="AW34" s="1077">
        <v>93.22999999999999</v>
      </c>
      <c r="AX34" s="1836"/>
      <c r="AY34" s="1038" t="s">
        <v>871</v>
      </c>
      <c r="AZ34" s="1076">
        <v>66973</v>
      </c>
      <c r="BA34" s="1077">
        <v>9.81</v>
      </c>
      <c r="BB34" s="1076">
        <v>232780</v>
      </c>
      <c r="BC34" s="1077">
        <v>206.14000000000001</v>
      </c>
      <c r="BD34" s="1076">
        <v>15045602</v>
      </c>
      <c r="BE34" s="1077">
        <v>11023.189999999999</v>
      </c>
      <c r="BF34" s="1076">
        <v>906367</v>
      </c>
      <c r="BG34" s="1076">
        <v>10293308</v>
      </c>
      <c r="BH34" s="1076">
        <v>186091</v>
      </c>
      <c r="BI34" s="1076">
        <v>11385766</v>
      </c>
      <c r="BJ34" s="1076">
        <v>1576227</v>
      </c>
      <c r="BK34" s="1076">
        <v>531028</v>
      </c>
      <c r="BL34" s="1077">
        <v>2956.4900000000002</v>
      </c>
      <c r="BM34" s="1076">
        <v>717043</v>
      </c>
      <c r="BN34" s="1076">
        <v>151778574</v>
      </c>
      <c r="BO34" s="1077">
        <v>25046.679999999997</v>
      </c>
      <c r="BP34" s="1076">
        <v>50429180</v>
      </c>
      <c r="BQ34" s="1076">
        <v>2773</v>
      </c>
      <c r="BR34" s="1076">
        <v>673745</v>
      </c>
      <c r="BS34" s="1077">
        <v>1208.8099999999997</v>
      </c>
      <c r="BT34" s="1076">
        <v>689494</v>
      </c>
      <c r="BU34" s="1076">
        <v>9158</v>
      </c>
      <c r="BV34" s="1078">
        <v>34228</v>
      </c>
    </row>
    <row r="35" spans="1:74" s="1039" customFormat="1" ht="10.35" customHeight="1">
      <c r="A35" s="1835" t="s">
        <v>960</v>
      </c>
      <c r="B35" s="1113" t="s">
        <v>2146</v>
      </c>
      <c r="C35" s="1110">
        <v>395243</v>
      </c>
      <c r="D35" s="1111">
        <v>35821.03</v>
      </c>
      <c r="E35" s="1110">
        <v>0</v>
      </c>
      <c r="F35" s="1111">
        <v>0</v>
      </c>
      <c r="G35" s="1110">
        <v>395243</v>
      </c>
      <c r="H35" s="1111">
        <v>35821.03</v>
      </c>
      <c r="I35" s="1110">
        <v>17127</v>
      </c>
      <c r="J35" s="1111">
        <v>171.73000000000002</v>
      </c>
      <c r="K35" s="1110">
        <v>4481</v>
      </c>
      <c r="L35" s="1111">
        <v>4.28</v>
      </c>
      <c r="M35" s="1110">
        <v>1</v>
      </c>
      <c r="N35" s="1111">
        <v>0</v>
      </c>
      <c r="O35" s="1110">
        <v>2135</v>
      </c>
      <c r="P35" s="1111">
        <v>0.73</v>
      </c>
      <c r="Q35" s="1110">
        <v>54</v>
      </c>
      <c r="R35" s="1111">
        <v>7.0000000000000007E-2</v>
      </c>
      <c r="S35" s="1110">
        <v>0</v>
      </c>
      <c r="T35" s="1111">
        <v>0</v>
      </c>
      <c r="U35" s="1110">
        <v>0</v>
      </c>
      <c r="V35" s="1111">
        <v>0</v>
      </c>
      <c r="W35" s="1110">
        <v>6671</v>
      </c>
      <c r="X35" s="1111">
        <v>5.08</v>
      </c>
      <c r="Y35" s="1111">
        <v>8.7799999999999994</v>
      </c>
      <c r="Z35" s="1835" t="s">
        <v>960</v>
      </c>
      <c r="AA35" s="1113" t="s">
        <v>2146</v>
      </c>
      <c r="AB35" s="1110">
        <v>131556</v>
      </c>
      <c r="AC35" s="1111">
        <v>108.71</v>
      </c>
      <c r="AD35" s="1110">
        <v>0</v>
      </c>
      <c r="AE35" s="1111">
        <v>0</v>
      </c>
      <c r="AF35" s="1110">
        <v>5064</v>
      </c>
      <c r="AG35" s="1111">
        <v>1.53</v>
      </c>
      <c r="AH35" s="1110">
        <v>0</v>
      </c>
      <c r="AI35" s="1111">
        <v>0</v>
      </c>
      <c r="AJ35" s="1110">
        <v>0</v>
      </c>
      <c r="AK35" s="1111">
        <v>0</v>
      </c>
      <c r="AL35" s="1110">
        <v>0</v>
      </c>
      <c r="AM35" s="1111">
        <v>0</v>
      </c>
      <c r="AN35" s="1110">
        <v>136620</v>
      </c>
      <c r="AO35" s="1111">
        <v>110.22999999999999</v>
      </c>
      <c r="AP35" s="1110">
        <v>11</v>
      </c>
      <c r="AQ35" s="1112">
        <v>0</v>
      </c>
      <c r="AR35" s="1110">
        <v>0</v>
      </c>
      <c r="AS35" s="1111">
        <v>0</v>
      </c>
      <c r="AT35" s="1110">
        <v>0</v>
      </c>
      <c r="AU35" s="1111">
        <v>0</v>
      </c>
      <c r="AV35" s="1110">
        <v>0</v>
      </c>
      <c r="AW35" s="1111">
        <v>0</v>
      </c>
      <c r="AX35" s="1835" t="s">
        <v>960</v>
      </c>
      <c r="AY35" s="1113" t="s">
        <v>2146</v>
      </c>
      <c r="AZ35" s="1110">
        <v>0</v>
      </c>
      <c r="BA35" s="1111">
        <v>0</v>
      </c>
      <c r="BB35" s="1110">
        <v>0</v>
      </c>
      <c r="BC35" s="1111">
        <v>0</v>
      </c>
      <c r="BD35" s="1110">
        <v>143302</v>
      </c>
      <c r="BE35" s="1111">
        <v>115.30999999999999</v>
      </c>
      <c r="BF35" s="1110">
        <v>2856</v>
      </c>
      <c r="BG35" s="1110">
        <v>143578</v>
      </c>
      <c r="BH35" s="1110">
        <v>3306</v>
      </c>
      <c r="BI35" s="1110">
        <v>149740</v>
      </c>
      <c r="BJ35" s="1110">
        <v>0</v>
      </c>
      <c r="BK35" s="1110">
        <v>0</v>
      </c>
      <c r="BL35" s="1111">
        <v>0</v>
      </c>
      <c r="BM35" s="1110">
        <v>81621</v>
      </c>
      <c r="BN35" s="1110">
        <v>2766223</v>
      </c>
      <c r="BO35" s="1111">
        <v>107.34</v>
      </c>
      <c r="BP35" s="1110">
        <v>7804894</v>
      </c>
      <c r="BQ35" s="1110">
        <v>29</v>
      </c>
      <c r="BR35" s="1110">
        <v>4386</v>
      </c>
      <c r="BS35" s="1111">
        <v>4.83</v>
      </c>
      <c r="BT35" s="1110">
        <v>6848</v>
      </c>
      <c r="BU35" s="1110">
        <v>182</v>
      </c>
      <c r="BV35" s="1119">
        <v>0</v>
      </c>
    </row>
    <row r="36" spans="1:74" s="1039" customFormat="1" ht="10.35" customHeight="1">
      <c r="A36" s="1835"/>
      <c r="B36" s="1033" t="s">
        <v>2147</v>
      </c>
      <c r="C36" s="1105">
        <v>15190</v>
      </c>
      <c r="D36" s="1106">
        <v>1248.1399999999999</v>
      </c>
      <c r="E36" s="1105">
        <v>525</v>
      </c>
      <c r="F36" s="1106">
        <v>9.3800000000000008</v>
      </c>
      <c r="G36" s="1105">
        <v>15715</v>
      </c>
      <c r="H36" s="1106">
        <v>1257.52</v>
      </c>
      <c r="I36" s="1105">
        <v>108</v>
      </c>
      <c r="J36" s="1106">
        <v>58.39</v>
      </c>
      <c r="K36" s="1105">
        <v>0</v>
      </c>
      <c r="L36" s="1106">
        <v>0</v>
      </c>
      <c r="M36" s="1105">
        <v>0</v>
      </c>
      <c r="N36" s="1106">
        <v>0</v>
      </c>
      <c r="O36" s="1105">
        <v>0</v>
      </c>
      <c r="P36" s="1106">
        <v>0</v>
      </c>
      <c r="Q36" s="1105">
        <v>0</v>
      </c>
      <c r="R36" s="1106">
        <v>0</v>
      </c>
      <c r="S36" s="1105">
        <v>0</v>
      </c>
      <c r="T36" s="1106">
        <v>0</v>
      </c>
      <c r="U36" s="1105">
        <v>0</v>
      </c>
      <c r="V36" s="1106">
        <v>0</v>
      </c>
      <c r="W36" s="1105">
        <v>0</v>
      </c>
      <c r="X36" s="1106">
        <v>0</v>
      </c>
      <c r="Y36" s="1106">
        <v>0</v>
      </c>
      <c r="Z36" s="1835"/>
      <c r="AA36" s="1033" t="s">
        <v>2147</v>
      </c>
      <c r="AB36" s="1105">
        <v>4757</v>
      </c>
      <c r="AC36" s="1106">
        <v>3.57</v>
      </c>
      <c r="AD36" s="1105">
        <v>0</v>
      </c>
      <c r="AE36" s="1106">
        <v>0</v>
      </c>
      <c r="AF36" s="1105">
        <v>120</v>
      </c>
      <c r="AG36" s="1106">
        <v>0.02</v>
      </c>
      <c r="AH36" s="1105">
        <v>0</v>
      </c>
      <c r="AI36" s="1106">
        <v>0</v>
      </c>
      <c r="AJ36" s="1105">
        <v>0</v>
      </c>
      <c r="AK36" s="1106">
        <v>0</v>
      </c>
      <c r="AL36" s="1105">
        <v>0</v>
      </c>
      <c r="AM36" s="1106">
        <v>0</v>
      </c>
      <c r="AN36" s="1105">
        <v>4877</v>
      </c>
      <c r="AO36" s="1106">
        <v>3.59</v>
      </c>
      <c r="AP36" s="1105">
        <v>0</v>
      </c>
      <c r="AQ36" s="1107">
        <v>0</v>
      </c>
      <c r="AR36" s="1105">
        <v>0</v>
      </c>
      <c r="AS36" s="1106">
        <v>0</v>
      </c>
      <c r="AT36" s="1105">
        <v>0</v>
      </c>
      <c r="AU36" s="1106">
        <v>0</v>
      </c>
      <c r="AV36" s="1105">
        <v>0</v>
      </c>
      <c r="AW36" s="1106">
        <v>0</v>
      </c>
      <c r="AX36" s="1835"/>
      <c r="AY36" s="1033" t="s">
        <v>2147</v>
      </c>
      <c r="AZ36" s="1105">
        <v>0</v>
      </c>
      <c r="BA36" s="1106">
        <v>0</v>
      </c>
      <c r="BB36" s="1105">
        <v>0</v>
      </c>
      <c r="BC36" s="1106">
        <v>0</v>
      </c>
      <c r="BD36" s="1105">
        <v>4877</v>
      </c>
      <c r="BE36" s="1106">
        <v>3.59</v>
      </c>
      <c r="BF36" s="1105">
        <v>0</v>
      </c>
      <c r="BG36" s="1105">
        <v>3817</v>
      </c>
      <c r="BH36" s="1105">
        <v>0</v>
      </c>
      <c r="BI36" s="1105">
        <v>3817</v>
      </c>
      <c r="BJ36" s="1105">
        <v>0</v>
      </c>
      <c r="BK36" s="1105">
        <v>0</v>
      </c>
      <c r="BL36" s="1106">
        <v>0</v>
      </c>
      <c r="BM36" s="1105">
        <v>0</v>
      </c>
      <c r="BN36" s="1105">
        <v>0</v>
      </c>
      <c r="BO36" s="1106">
        <v>0</v>
      </c>
      <c r="BP36" s="1105">
        <v>0</v>
      </c>
      <c r="BQ36" s="1105">
        <v>0</v>
      </c>
      <c r="BR36" s="1105">
        <v>0</v>
      </c>
      <c r="BS36" s="1106">
        <v>0</v>
      </c>
      <c r="BT36" s="1105">
        <v>0</v>
      </c>
      <c r="BU36" s="1105">
        <v>6</v>
      </c>
      <c r="BV36" s="1118">
        <v>0</v>
      </c>
    </row>
    <row r="37" spans="1:74" s="1039" customFormat="1" ht="10.35" customHeight="1">
      <c r="A37" s="1835"/>
      <c r="B37" s="1113" t="s">
        <v>2148</v>
      </c>
      <c r="C37" s="1110">
        <v>1399965</v>
      </c>
      <c r="D37" s="1111">
        <v>118320.18999999997</v>
      </c>
      <c r="E37" s="1110">
        <v>1227</v>
      </c>
      <c r="F37" s="1111">
        <v>150.21</v>
      </c>
      <c r="G37" s="1110">
        <v>1401192</v>
      </c>
      <c r="H37" s="1111">
        <v>118470.42999999998</v>
      </c>
      <c r="I37" s="1110">
        <v>894774</v>
      </c>
      <c r="J37" s="1111">
        <v>7427.82</v>
      </c>
      <c r="K37" s="1110">
        <v>100264</v>
      </c>
      <c r="L37" s="1111">
        <v>67.36999999999999</v>
      </c>
      <c r="M37" s="1110">
        <v>3377</v>
      </c>
      <c r="N37" s="1111">
        <v>5.71</v>
      </c>
      <c r="O37" s="1110">
        <v>683795</v>
      </c>
      <c r="P37" s="1111">
        <v>383.26999999999992</v>
      </c>
      <c r="Q37" s="1110">
        <v>113855</v>
      </c>
      <c r="R37" s="1111">
        <v>111.95</v>
      </c>
      <c r="S37" s="1110">
        <v>64950</v>
      </c>
      <c r="T37" s="1111">
        <v>10.469999999999997</v>
      </c>
      <c r="U37" s="1110">
        <v>33138</v>
      </c>
      <c r="V37" s="1111">
        <v>31.21</v>
      </c>
      <c r="W37" s="1110">
        <v>999379</v>
      </c>
      <c r="X37" s="1111">
        <v>610.01999999999987</v>
      </c>
      <c r="Y37" s="1111">
        <v>2691.5400000000004</v>
      </c>
      <c r="Z37" s="1835"/>
      <c r="AA37" s="1113" t="s">
        <v>2148</v>
      </c>
      <c r="AB37" s="1110">
        <v>11797244</v>
      </c>
      <c r="AC37" s="1111">
        <v>8637.94</v>
      </c>
      <c r="AD37" s="1110">
        <v>341</v>
      </c>
      <c r="AE37" s="1111">
        <v>0.73</v>
      </c>
      <c r="AF37" s="1110">
        <v>558027</v>
      </c>
      <c r="AG37" s="1111">
        <v>430.2600000000001</v>
      </c>
      <c r="AH37" s="1110">
        <v>2087</v>
      </c>
      <c r="AI37" s="1111">
        <v>4.07</v>
      </c>
      <c r="AJ37" s="1110">
        <v>67398</v>
      </c>
      <c r="AK37" s="1111">
        <v>13.589999999999996</v>
      </c>
      <c r="AL37" s="1110">
        <v>604</v>
      </c>
      <c r="AM37" s="1111">
        <v>0.42000000000000004</v>
      </c>
      <c r="AN37" s="1110">
        <v>12425701</v>
      </c>
      <c r="AO37" s="1111">
        <v>9087.0200000000041</v>
      </c>
      <c r="AP37" s="1110">
        <v>60933</v>
      </c>
      <c r="AQ37" s="1112">
        <v>39.550000000000004</v>
      </c>
      <c r="AR37" s="1110">
        <v>8156</v>
      </c>
      <c r="AS37" s="1111">
        <v>3.3100000000000009</v>
      </c>
      <c r="AT37" s="1110">
        <v>59345</v>
      </c>
      <c r="AU37" s="1111">
        <v>72.820000000000022</v>
      </c>
      <c r="AV37" s="1110">
        <v>90205</v>
      </c>
      <c r="AW37" s="1111">
        <v>83.050000000000011</v>
      </c>
      <c r="AX37" s="1835"/>
      <c r="AY37" s="1113" t="s">
        <v>2148</v>
      </c>
      <c r="AZ37" s="1110">
        <v>72780</v>
      </c>
      <c r="BA37" s="1111">
        <v>10.039999999999999</v>
      </c>
      <c r="BB37" s="1110">
        <v>222330</v>
      </c>
      <c r="BC37" s="1111">
        <v>165.91000000000003</v>
      </c>
      <c r="BD37" s="1110">
        <v>13714412</v>
      </c>
      <c r="BE37" s="1111">
        <v>9901.74</v>
      </c>
      <c r="BF37" s="1110">
        <v>802666</v>
      </c>
      <c r="BG37" s="1110">
        <v>9946929</v>
      </c>
      <c r="BH37" s="1110">
        <v>161510</v>
      </c>
      <c r="BI37" s="1110">
        <v>10911105</v>
      </c>
      <c r="BJ37" s="1110">
        <v>1449254</v>
      </c>
      <c r="BK37" s="1110">
        <v>366172</v>
      </c>
      <c r="BL37" s="1111">
        <v>575.99</v>
      </c>
      <c r="BM37" s="1110">
        <v>653086</v>
      </c>
      <c r="BN37" s="1110">
        <v>148313133</v>
      </c>
      <c r="BO37" s="1111">
        <v>24914.740000000005</v>
      </c>
      <c r="BP37" s="1110">
        <v>43578509</v>
      </c>
      <c r="BQ37" s="1110">
        <v>2788</v>
      </c>
      <c r="BR37" s="1110">
        <v>727483</v>
      </c>
      <c r="BS37" s="1111">
        <v>1382.1100000000004</v>
      </c>
      <c r="BT37" s="1110">
        <v>742703</v>
      </c>
      <c r="BU37" s="1110">
        <v>8814</v>
      </c>
      <c r="BV37" s="1119">
        <v>34879</v>
      </c>
    </row>
    <row r="38" spans="1:74" s="1039" customFormat="1" ht="10.35" customHeight="1">
      <c r="A38" s="1835"/>
      <c r="B38" s="1033" t="s">
        <v>2169</v>
      </c>
      <c r="C38" s="1105">
        <v>156362</v>
      </c>
      <c r="D38" s="1106">
        <v>14140.37</v>
      </c>
      <c r="E38" s="1105">
        <v>0</v>
      </c>
      <c r="F38" s="1106">
        <v>0</v>
      </c>
      <c r="G38" s="1105">
        <v>156362</v>
      </c>
      <c r="H38" s="1106">
        <v>14140.37</v>
      </c>
      <c r="I38" s="1105">
        <v>396239</v>
      </c>
      <c r="J38" s="1106">
        <v>3383.75</v>
      </c>
      <c r="K38" s="1105">
        <v>7776</v>
      </c>
      <c r="L38" s="1106">
        <v>6.9899999999999993</v>
      </c>
      <c r="M38" s="1105">
        <v>164</v>
      </c>
      <c r="N38" s="1106">
        <v>0.19</v>
      </c>
      <c r="O38" s="1105">
        <v>214488</v>
      </c>
      <c r="P38" s="1106">
        <v>99.12</v>
      </c>
      <c r="Q38" s="1105">
        <v>7226</v>
      </c>
      <c r="R38" s="1106">
        <v>7.22</v>
      </c>
      <c r="S38" s="1105">
        <v>28419</v>
      </c>
      <c r="T38" s="1106">
        <v>5.9799999999999995</v>
      </c>
      <c r="U38" s="1105">
        <v>3034</v>
      </c>
      <c r="V38" s="1106">
        <v>1.76</v>
      </c>
      <c r="W38" s="1105">
        <v>261107</v>
      </c>
      <c r="X38" s="1106">
        <v>121.27</v>
      </c>
      <c r="Y38" s="1106">
        <v>618.01</v>
      </c>
      <c r="Z38" s="1835"/>
      <c r="AA38" s="1033" t="s">
        <v>2169</v>
      </c>
      <c r="AB38" s="1105">
        <v>536751</v>
      </c>
      <c r="AC38" s="1106">
        <v>666.99</v>
      </c>
      <c r="AD38" s="1105">
        <v>798</v>
      </c>
      <c r="AE38" s="1106">
        <v>2.02</v>
      </c>
      <c r="AF38" s="1105">
        <v>108546</v>
      </c>
      <c r="AG38" s="1106">
        <v>34.29</v>
      </c>
      <c r="AH38" s="1105">
        <v>2590</v>
      </c>
      <c r="AI38" s="1106">
        <v>4.0200000000000005</v>
      </c>
      <c r="AJ38" s="1105">
        <v>13185</v>
      </c>
      <c r="AK38" s="1106">
        <v>1.01</v>
      </c>
      <c r="AL38" s="1105">
        <v>1213</v>
      </c>
      <c r="AM38" s="1106">
        <v>1.49</v>
      </c>
      <c r="AN38" s="1105">
        <v>663083</v>
      </c>
      <c r="AO38" s="1106">
        <v>709.83000000000015</v>
      </c>
      <c r="AP38" s="1105">
        <v>0</v>
      </c>
      <c r="AQ38" s="1107">
        <v>0</v>
      </c>
      <c r="AR38" s="1105">
        <v>6018</v>
      </c>
      <c r="AS38" s="1106">
        <v>2.23</v>
      </c>
      <c r="AT38" s="1105">
        <v>10802</v>
      </c>
      <c r="AU38" s="1106">
        <v>25.26</v>
      </c>
      <c r="AV38" s="1105">
        <v>0</v>
      </c>
      <c r="AW38" s="1106">
        <v>0</v>
      </c>
      <c r="AX38" s="1835"/>
      <c r="AY38" s="1033" t="s">
        <v>2169</v>
      </c>
      <c r="AZ38" s="1105">
        <v>0</v>
      </c>
      <c r="BA38" s="1106">
        <v>0</v>
      </c>
      <c r="BB38" s="1105">
        <v>10802</v>
      </c>
      <c r="BC38" s="1106">
        <v>25.26</v>
      </c>
      <c r="BD38" s="1105">
        <v>938420</v>
      </c>
      <c r="BE38" s="1106">
        <v>854.53999999999985</v>
      </c>
      <c r="BF38" s="1105">
        <v>103713</v>
      </c>
      <c r="BG38" s="1105">
        <v>317394</v>
      </c>
      <c r="BH38" s="1105">
        <v>27863</v>
      </c>
      <c r="BI38" s="1105">
        <v>448970</v>
      </c>
      <c r="BJ38" s="1105">
        <v>143365</v>
      </c>
      <c r="BK38" s="1105">
        <v>175669</v>
      </c>
      <c r="BL38" s="1106">
        <v>2434.73</v>
      </c>
      <c r="BM38" s="1105">
        <v>0</v>
      </c>
      <c r="BN38" s="1105">
        <v>0</v>
      </c>
      <c r="BO38" s="1106">
        <v>0</v>
      </c>
      <c r="BP38" s="1105">
        <v>0</v>
      </c>
      <c r="BQ38" s="1105">
        <v>0</v>
      </c>
      <c r="BR38" s="1105">
        <v>0</v>
      </c>
      <c r="BS38" s="1106">
        <v>0</v>
      </c>
      <c r="BT38" s="1105">
        <v>0</v>
      </c>
      <c r="BU38" s="1105">
        <v>170</v>
      </c>
      <c r="BV38" s="1118">
        <v>0</v>
      </c>
    </row>
    <row r="39" spans="1:74" s="1039" customFormat="1" ht="10.35" customHeight="1">
      <c r="A39" s="1836"/>
      <c r="B39" s="1211" t="s">
        <v>871</v>
      </c>
      <c r="C39" s="1108">
        <v>1966760</v>
      </c>
      <c r="D39" s="1109">
        <v>169529.72999999998</v>
      </c>
      <c r="E39" s="1108">
        <v>1752</v>
      </c>
      <c r="F39" s="1109">
        <v>159.59</v>
      </c>
      <c r="G39" s="1108">
        <v>1968512</v>
      </c>
      <c r="H39" s="1109">
        <v>169689.34999999998</v>
      </c>
      <c r="I39" s="1108">
        <v>1308248</v>
      </c>
      <c r="J39" s="1109">
        <v>11041.689999999999</v>
      </c>
      <c r="K39" s="1108">
        <v>112521</v>
      </c>
      <c r="L39" s="1109">
        <v>78.639999999999986</v>
      </c>
      <c r="M39" s="1108">
        <v>3542</v>
      </c>
      <c r="N39" s="1109">
        <v>5.9</v>
      </c>
      <c r="O39" s="1108">
        <v>900418</v>
      </c>
      <c r="P39" s="1109">
        <v>483.11999999999995</v>
      </c>
      <c r="Q39" s="1108">
        <v>121135</v>
      </c>
      <c r="R39" s="1109">
        <v>119.24</v>
      </c>
      <c r="S39" s="1108">
        <v>93369</v>
      </c>
      <c r="T39" s="1109">
        <v>16.449999999999996</v>
      </c>
      <c r="U39" s="1108">
        <v>36172</v>
      </c>
      <c r="V39" s="1109">
        <v>32.97</v>
      </c>
      <c r="W39" s="1108">
        <v>1267157</v>
      </c>
      <c r="X39" s="1109">
        <v>736.36999999999989</v>
      </c>
      <c r="Y39" s="1109">
        <v>3318.3300000000008</v>
      </c>
      <c r="Z39" s="1836"/>
      <c r="AA39" s="1211" t="s">
        <v>871</v>
      </c>
      <c r="AB39" s="1108">
        <v>12470308</v>
      </c>
      <c r="AC39" s="1109">
        <v>9417.2100000000009</v>
      </c>
      <c r="AD39" s="1108">
        <v>1139</v>
      </c>
      <c r="AE39" s="1109">
        <v>2.75</v>
      </c>
      <c r="AF39" s="1108">
        <v>671757</v>
      </c>
      <c r="AG39" s="1109">
        <v>466.10000000000014</v>
      </c>
      <c r="AH39" s="1108">
        <v>4677</v>
      </c>
      <c r="AI39" s="1109">
        <v>8.09</v>
      </c>
      <c r="AJ39" s="1108">
        <v>80583</v>
      </c>
      <c r="AK39" s="1109">
        <v>14.599999999999996</v>
      </c>
      <c r="AL39" s="1108">
        <v>1817</v>
      </c>
      <c r="AM39" s="1109">
        <v>1.9100000000000001</v>
      </c>
      <c r="AN39" s="1108">
        <v>13230281</v>
      </c>
      <c r="AO39" s="1109">
        <v>9910.6700000000037</v>
      </c>
      <c r="AP39" s="1108">
        <v>60944</v>
      </c>
      <c r="AQ39" s="1124">
        <v>39.550000000000004</v>
      </c>
      <c r="AR39" s="1108">
        <v>14174</v>
      </c>
      <c r="AS39" s="1109">
        <v>5.5400000000000009</v>
      </c>
      <c r="AT39" s="1108">
        <v>70147</v>
      </c>
      <c r="AU39" s="1109">
        <v>98.080000000000027</v>
      </c>
      <c r="AV39" s="1108">
        <v>90205</v>
      </c>
      <c r="AW39" s="1109">
        <v>83.050000000000011</v>
      </c>
      <c r="AX39" s="1836"/>
      <c r="AY39" s="1211" t="s">
        <v>871</v>
      </c>
      <c r="AZ39" s="1108">
        <v>72780</v>
      </c>
      <c r="BA39" s="1109">
        <v>10.039999999999999</v>
      </c>
      <c r="BB39" s="1108">
        <v>233132</v>
      </c>
      <c r="BC39" s="1109">
        <v>191.17000000000002</v>
      </c>
      <c r="BD39" s="1108">
        <v>14805688</v>
      </c>
      <c r="BE39" s="1109">
        <v>10883.300000000005</v>
      </c>
      <c r="BF39" s="1108">
        <v>909235</v>
      </c>
      <c r="BG39" s="1108">
        <v>10411718</v>
      </c>
      <c r="BH39" s="1108">
        <v>192679</v>
      </c>
      <c r="BI39" s="1108">
        <v>11513632</v>
      </c>
      <c r="BJ39" s="1108">
        <v>1592619</v>
      </c>
      <c r="BK39" s="1108">
        <v>541841</v>
      </c>
      <c r="BL39" s="1109">
        <v>3010.7200000000003</v>
      </c>
      <c r="BM39" s="1108">
        <v>734707</v>
      </c>
      <c r="BN39" s="1108">
        <v>151079356</v>
      </c>
      <c r="BO39" s="1109">
        <v>25022.080000000005</v>
      </c>
      <c r="BP39" s="1108">
        <v>51383403</v>
      </c>
      <c r="BQ39" s="1108">
        <v>2817</v>
      </c>
      <c r="BR39" s="1108">
        <v>731869</v>
      </c>
      <c r="BS39" s="1109">
        <v>1386.9400000000003</v>
      </c>
      <c r="BT39" s="1108">
        <v>749551</v>
      </c>
      <c r="BU39" s="1108">
        <v>9172</v>
      </c>
      <c r="BV39" s="1120">
        <v>34879</v>
      </c>
    </row>
    <row r="40" spans="1:74" s="1039" customFormat="1" ht="10.35" customHeight="1">
      <c r="A40" s="1835" t="s">
        <v>961</v>
      </c>
      <c r="B40" s="1033" t="s">
        <v>2146</v>
      </c>
      <c r="C40" s="1105">
        <v>370371</v>
      </c>
      <c r="D40" s="1106">
        <v>35290.120000000003</v>
      </c>
      <c r="E40" s="1105">
        <v>0</v>
      </c>
      <c r="F40" s="1106">
        <v>0</v>
      </c>
      <c r="G40" s="1105">
        <v>370371</v>
      </c>
      <c r="H40" s="1106">
        <v>35290.120000000003</v>
      </c>
      <c r="I40" s="1105">
        <v>33402</v>
      </c>
      <c r="J40" s="1106">
        <v>327.89</v>
      </c>
      <c r="K40" s="1105">
        <v>4923</v>
      </c>
      <c r="L40" s="1106">
        <v>4.76</v>
      </c>
      <c r="M40" s="1105">
        <v>3</v>
      </c>
      <c r="N40" s="1106">
        <v>0</v>
      </c>
      <c r="O40" s="1105">
        <v>2215</v>
      </c>
      <c r="P40" s="1106">
        <v>0.79</v>
      </c>
      <c r="Q40" s="1105">
        <v>77</v>
      </c>
      <c r="R40" s="1106">
        <v>0.04</v>
      </c>
      <c r="S40" s="1105">
        <v>0</v>
      </c>
      <c r="T40" s="1106">
        <v>0</v>
      </c>
      <c r="U40" s="1105">
        <v>0</v>
      </c>
      <c r="V40" s="1106">
        <v>0</v>
      </c>
      <c r="W40" s="1105">
        <v>7218</v>
      </c>
      <c r="X40" s="1106">
        <v>5.59</v>
      </c>
      <c r="Y40" s="1106">
        <v>9.43</v>
      </c>
      <c r="Z40" s="1835" t="s">
        <v>961</v>
      </c>
      <c r="AA40" s="1033" t="s">
        <v>2146</v>
      </c>
      <c r="AB40" s="1105">
        <v>133610</v>
      </c>
      <c r="AC40" s="1106">
        <v>117.61</v>
      </c>
      <c r="AD40" s="1105">
        <v>0</v>
      </c>
      <c r="AE40" s="1106">
        <v>0</v>
      </c>
      <c r="AF40" s="1105">
        <v>6117</v>
      </c>
      <c r="AG40" s="1106">
        <v>2.02</v>
      </c>
      <c r="AH40" s="1105">
        <v>0</v>
      </c>
      <c r="AI40" s="1106">
        <v>0</v>
      </c>
      <c r="AJ40" s="1105">
        <v>0</v>
      </c>
      <c r="AK40" s="1106">
        <v>0</v>
      </c>
      <c r="AL40" s="1105">
        <v>0</v>
      </c>
      <c r="AM40" s="1106">
        <v>0</v>
      </c>
      <c r="AN40" s="1105">
        <v>139727</v>
      </c>
      <c r="AO40" s="1106">
        <v>119.61</v>
      </c>
      <c r="AP40" s="1105">
        <v>7</v>
      </c>
      <c r="AQ40" s="1107">
        <v>0</v>
      </c>
      <c r="AR40" s="1105">
        <v>0</v>
      </c>
      <c r="AS40" s="1106">
        <v>0</v>
      </c>
      <c r="AT40" s="1105">
        <v>0</v>
      </c>
      <c r="AU40" s="1106">
        <v>0</v>
      </c>
      <c r="AV40" s="1105">
        <v>0</v>
      </c>
      <c r="AW40" s="1106">
        <v>0</v>
      </c>
      <c r="AX40" s="1835" t="s">
        <v>961</v>
      </c>
      <c r="AY40" s="1033" t="s">
        <v>2146</v>
      </c>
      <c r="AZ40" s="1105">
        <v>0</v>
      </c>
      <c r="BA40" s="1106">
        <v>0</v>
      </c>
      <c r="BB40" s="1105">
        <v>0</v>
      </c>
      <c r="BC40" s="1106">
        <v>0</v>
      </c>
      <c r="BD40" s="1105">
        <v>146952</v>
      </c>
      <c r="BE40" s="1106">
        <v>125.2</v>
      </c>
      <c r="BF40" s="1105">
        <v>2928</v>
      </c>
      <c r="BG40" s="1105">
        <v>150934</v>
      </c>
      <c r="BH40" s="1105">
        <v>3306</v>
      </c>
      <c r="BI40" s="1105">
        <v>157168</v>
      </c>
      <c r="BJ40" s="1105">
        <v>0</v>
      </c>
      <c r="BK40" s="1105">
        <v>0</v>
      </c>
      <c r="BL40" s="1106">
        <v>0</v>
      </c>
      <c r="BM40" s="1105">
        <v>84520</v>
      </c>
      <c r="BN40" s="1105">
        <v>2631482</v>
      </c>
      <c r="BO40" s="1106">
        <v>92.64</v>
      </c>
      <c r="BP40" s="1105">
        <v>8295959</v>
      </c>
      <c r="BQ40" s="1105">
        <v>29</v>
      </c>
      <c r="BR40" s="1105">
        <v>4637</v>
      </c>
      <c r="BS40" s="1106">
        <v>4.12</v>
      </c>
      <c r="BT40" s="1105">
        <v>6742</v>
      </c>
      <c r="BU40" s="1105">
        <v>182</v>
      </c>
      <c r="BV40" s="1256">
        <v>0</v>
      </c>
    </row>
    <row r="41" spans="1:74" s="1039" customFormat="1" ht="10.9" customHeight="1">
      <c r="A41" s="1835"/>
      <c r="B41" s="1113" t="s">
        <v>2147</v>
      </c>
      <c r="C41" s="1110">
        <v>13944</v>
      </c>
      <c r="D41" s="1111">
        <v>1201.03</v>
      </c>
      <c r="E41" s="1110">
        <v>614</v>
      </c>
      <c r="F41" s="1111">
        <v>9.36</v>
      </c>
      <c r="G41" s="1110">
        <v>14558</v>
      </c>
      <c r="H41" s="1111">
        <v>1210.3899999999999</v>
      </c>
      <c r="I41" s="1110">
        <v>749</v>
      </c>
      <c r="J41" s="1111">
        <v>48.82</v>
      </c>
      <c r="K41" s="1110">
        <v>0</v>
      </c>
      <c r="L41" s="1111">
        <v>0</v>
      </c>
      <c r="M41" s="1110">
        <v>0</v>
      </c>
      <c r="N41" s="1111">
        <v>0</v>
      </c>
      <c r="O41" s="1110">
        <v>0</v>
      </c>
      <c r="P41" s="1111">
        <v>0</v>
      </c>
      <c r="Q41" s="1110">
        <v>0</v>
      </c>
      <c r="R41" s="1111">
        <v>0</v>
      </c>
      <c r="S41" s="1110">
        <v>0</v>
      </c>
      <c r="T41" s="1111">
        <v>0</v>
      </c>
      <c r="U41" s="1110">
        <v>0</v>
      </c>
      <c r="V41" s="1111">
        <v>0</v>
      </c>
      <c r="W41" s="1110">
        <v>0</v>
      </c>
      <c r="X41" s="1111">
        <v>0</v>
      </c>
      <c r="Y41" s="1111">
        <v>0</v>
      </c>
      <c r="Z41" s="1835"/>
      <c r="AA41" s="1113" t="s">
        <v>2147</v>
      </c>
      <c r="AB41" s="1110">
        <v>4328</v>
      </c>
      <c r="AC41" s="1111">
        <v>3.33</v>
      </c>
      <c r="AD41" s="1110">
        <v>0</v>
      </c>
      <c r="AE41" s="1111">
        <v>0</v>
      </c>
      <c r="AF41" s="1110">
        <v>104</v>
      </c>
      <c r="AG41" s="1111">
        <v>0.03</v>
      </c>
      <c r="AH41" s="1110">
        <v>0</v>
      </c>
      <c r="AI41" s="1111">
        <v>0</v>
      </c>
      <c r="AJ41" s="1110">
        <v>0</v>
      </c>
      <c r="AK41" s="1111">
        <v>0</v>
      </c>
      <c r="AL41" s="1110">
        <v>0</v>
      </c>
      <c r="AM41" s="1111">
        <v>0</v>
      </c>
      <c r="AN41" s="1110">
        <v>4432</v>
      </c>
      <c r="AO41" s="1111">
        <v>3.36</v>
      </c>
      <c r="AP41" s="1110">
        <v>0</v>
      </c>
      <c r="AQ41" s="1112">
        <v>0</v>
      </c>
      <c r="AR41" s="1110">
        <v>0</v>
      </c>
      <c r="AS41" s="1111">
        <v>0</v>
      </c>
      <c r="AT41" s="1110">
        <v>0</v>
      </c>
      <c r="AU41" s="1111">
        <v>0</v>
      </c>
      <c r="AV41" s="1110">
        <v>0</v>
      </c>
      <c r="AW41" s="1111">
        <v>0</v>
      </c>
      <c r="AX41" s="1835"/>
      <c r="AY41" s="1113" t="s">
        <v>2147</v>
      </c>
      <c r="AZ41" s="1110">
        <v>0</v>
      </c>
      <c r="BA41" s="1111">
        <v>0</v>
      </c>
      <c r="BB41" s="1110">
        <v>0</v>
      </c>
      <c r="BC41" s="1111">
        <v>0</v>
      </c>
      <c r="BD41" s="1110">
        <v>4432</v>
      </c>
      <c r="BE41" s="1111">
        <v>3.36</v>
      </c>
      <c r="BF41" s="1110">
        <v>0</v>
      </c>
      <c r="BG41" s="1110">
        <v>3867</v>
      </c>
      <c r="BH41" s="1110">
        <v>0</v>
      </c>
      <c r="BI41" s="1110">
        <v>3867</v>
      </c>
      <c r="BJ41" s="1110">
        <v>0</v>
      </c>
      <c r="BK41" s="1110">
        <v>0</v>
      </c>
      <c r="BL41" s="1111">
        <v>0</v>
      </c>
      <c r="BM41" s="1110">
        <v>0</v>
      </c>
      <c r="BN41" s="1110">
        <v>0</v>
      </c>
      <c r="BO41" s="1111">
        <v>0</v>
      </c>
      <c r="BP41" s="1110">
        <v>0</v>
      </c>
      <c r="BQ41" s="1110">
        <v>0</v>
      </c>
      <c r="BR41" s="1110">
        <v>0</v>
      </c>
      <c r="BS41" s="1111">
        <v>0</v>
      </c>
      <c r="BT41" s="1110">
        <v>0</v>
      </c>
      <c r="BU41" s="1110">
        <v>6</v>
      </c>
      <c r="BV41" s="1119">
        <v>0</v>
      </c>
    </row>
    <row r="42" spans="1:74" s="1039" customFormat="1" ht="10.35" customHeight="1">
      <c r="A42" s="1835"/>
      <c r="B42" s="1033" t="s">
        <v>2148</v>
      </c>
      <c r="C42" s="1105">
        <v>1394292</v>
      </c>
      <c r="D42" s="1106">
        <v>123040.8</v>
      </c>
      <c r="E42" s="1105">
        <v>1174</v>
      </c>
      <c r="F42" s="1106">
        <v>130.75</v>
      </c>
      <c r="G42" s="1105">
        <v>1395466</v>
      </c>
      <c r="H42" s="1106">
        <v>123171.53</v>
      </c>
      <c r="I42" s="1105">
        <v>1173004</v>
      </c>
      <c r="J42" s="1106">
        <v>7709.1100000000006</v>
      </c>
      <c r="K42" s="1105">
        <v>114792</v>
      </c>
      <c r="L42" s="1106">
        <v>80.31</v>
      </c>
      <c r="M42" s="1105">
        <v>3764</v>
      </c>
      <c r="N42" s="1106">
        <v>6.54</v>
      </c>
      <c r="O42" s="1105">
        <v>876560</v>
      </c>
      <c r="P42" s="1106">
        <v>479.34000000000003</v>
      </c>
      <c r="Q42" s="1105">
        <v>122871</v>
      </c>
      <c r="R42" s="1106">
        <v>114.36999999999999</v>
      </c>
      <c r="S42" s="1105">
        <v>72680</v>
      </c>
      <c r="T42" s="1106">
        <v>11.339999999999996</v>
      </c>
      <c r="U42" s="1105">
        <v>34631</v>
      </c>
      <c r="V42" s="1106">
        <v>31.98</v>
      </c>
      <c r="W42" s="1105">
        <v>1225298</v>
      </c>
      <c r="X42" s="1106">
        <v>723.88999999999987</v>
      </c>
      <c r="Y42" s="1106">
        <v>3385.05</v>
      </c>
      <c r="Z42" s="1835"/>
      <c r="AA42" s="1033" t="s">
        <v>2148</v>
      </c>
      <c r="AB42" s="1105">
        <v>12261933</v>
      </c>
      <c r="AC42" s="1106">
        <v>9156.5600000000031</v>
      </c>
      <c r="AD42" s="1105">
        <v>395</v>
      </c>
      <c r="AE42" s="1106">
        <v>0.8600000000000001</v>
      </c>
      <c r="AF42" s="1105">
        <v>530836</v>
      </c>
      <c r="AG42" s="1106">
        <v>422.15000000000003</v>
      </c>
      <c r="AH42" s="1105">
        <v>2124</v>
      </c>
      <c r="AI42" s="1106">
        <v>4.28</v>
      </c>
      <c r="AJ42" s="1105">
        <v>69433</v>
      </c>
      <c r="AK42" s="1106">
        <v>15.099999999999998</v>
      </c>
      <c r="AL42" s="1105">
        <v>583</v>
      </c>
      <c r="AM42" s="1106">
        <v>0.55999999999999994</v>
      </c>
      <c r="AN42" s="1105">
        <v>12865304</v>
      </c>
      <c r="AO42" s="1106">
        <v>9599.5499999999993</v>
      </c>
      <c r="AP42" s="1105">
        <v>61589</v>
      </c>
      <c r="AQ42" s="1107">
        <v>39.68</v>
      </c>
      <c r="AR42" s="1105">
        <v>8231</v>
      </c>
      <c r="AS42" s="1106">
        <v>3.2600000000000002</v>
      </c>
      <c r="AT42" s="1105">
        <v>59916</v>
      </c>
      <c r="AU42" s="1106">
        <v>73.910000000000011</v>
      </c>
      <c r="AV42" s="1105">
        <v>87818</v>
      </c>
      <c r="AW42" s="1106">
        <v>89.450000000000017</v>
      </c>
      <c r="AX42" s="1835"/>
      <c r="AY42" s="1033" t="s">
        <v>2148</v>
      </c>
      <c r="AZ42" s="1105">
        <v>54207</v>
      </c>
      <c r="BA42" s="1106">
        <v>10.32</v>
      </c>
      <c r="BB42" s="1105">
        <v>201941</v>
      </c>
      <c r="BC42" s="1106">
        <v>173.69999999999996</v>
      </c>
      <c r="BD42" s="1105">
        <v>14360239</v>
      </c>
      <c r="BE42" s="1106">
        <v>10535.82</v>
      </c>
      <c r="BF42" s="1105">
        <v>816504</v>
      </c>
      <c r="BG42" s="1105">
        <v>10082044</v>
      </c>
      <c r="BH42" s="1105">
        <v>165194</v>
      </c>
      <c r="BI42" s="1105">
        <v>11063742</v>
      </c>
      <c r="BJ42" s="1105">
        <v>1464283</v>
      </c>
      <c r="BK42" s="1105">
        <v>445182</v>
      </c>
      <c r="BL42" s="1106">
        <v>673.07000000000016</v>
      </c>
      <c r="BM42" s="1105">
        <v>661958</v>
      </c>
      <c r="BN42" s="1105">
        <v>149416663</v>
      </c>
      <c r="BO42" s="1106">
        <v>26078.659999999993</v>
      </c>
      <c r="BP42" s="1105">
        <v>44388166</v>
      </c>
      <c r="BQ42" s="1105">
        <v>2833</v>
      </c>
      <c r="BR42" s="1105">
        <v>786121</v>
      </c>
      <c r="BS42" s="1106">
        <v>1542.7799999999997</v>
      </c>
      <c r="BT42" s="1105">
        <v>802944</v>
      </c>
      <c r="BU42" s="1105">
        <v>8862</v>
      </c>
      <c r="BV42" s="1118">
        <v>35716</v>
      </c>
    </row>
    <row r="43" spans="1:74" s="1039" customFormat="1" ht="10.35" customHeight="1">
      <c r="A43" s="1835"/>
      <c r="B43" s="1113" t="s">
        <v>2169</v>
      </c>
      <c r="C43" s="1110">
        <v>156336</v>
      </c>
      <c r="D43" s="1111">
        <v>13947.579999999998</v>
      </c>
      <c r="E43" s="1110">
        <v>2</v>
      </c>
      <c r="F43" s="1111">
        <v>0</v>
      </c>
      <c r="G43" s="1110">
        <v>156338</v>
      </c>
      <c r="H43" s="1111">
        <v>13947.579999999998</v>
      </c>
      <c r="I43" s="1110">
        <v>320134</v>
      </c>
      <c r="J43" s="1111">
        <v>2994.96</v>
      </c>
      <c r="K43" s="1110">
        <v>8261</v>
      </c>
      <c r="L43" s="1111">
        <v>7.46</v>
      </c>
      <c r="M43" s="1110">
        <v>155</v>
      </c>
      <c r="N43" s="1111">
        <v>0.22</v>
      </c>
      <c r="O43" s="1110">
        <v>229038</v>
      </c>
      <c r="P43" s="1111">
        <v>111.24000000000001</v>
      </c>
      <c r="Q43" s="1110">
        <v>8290</v>
      </c>
      <c r="R43" s="1111">
        <v>7.93</v>
      </c>
      <c r="S43" s="1110">
        <v>30153</v>
      </c>
      <c r="T43" s="1111">
        <v>6.25</v>
      </c>
      <c r="U43" s="1110">
        <v>3056</v>
      </c>
      <c r="V43" s="1111">
        <v>1.68</v>
      </c>
      <c r="W43" s="1110">
        <v>278953</v>
      </c>
      <c r="X43" s="1111">
        <v>134.79</v>
      </c>
      <c r="Y43" s="1111">
        <v>623.58000000000004</v>
      </c>
      <c r="Z43" s="1835"/>
      <c r="AA43" s="1113" t="s">
        <v>2169</v>
      </c>
      <c r="AB43" s="1110">
        <v>558396</v>
      </c>
      <c r="AC43" s="1111">
        <v>727.41000000000008</v>
      </c>
      <c r="AD43" s="1110">
        <v>1001</v>
      </c>
      <c r="AE43" s="1111">
        <v>2.2400000000000002</v>
      </c>
      <c r="AF43" s="1110">
        <v>107240</v>
      </c>
      <c r="AG43" s="1111">
        <v>34.68</v>
      </c>
      <c r="AH43" s="1110">
        <v>2525</v>
      </c>
      <c r="AI43" s="1111">
        <v>4.12</v>
      </c>
      <c r="AJ43" s="1110">
        <v>13876</v>
      </c>
      <c r="AK43" s="1111">
        <v>1.07</v>
      </c>
      <c r="AL43" s="1110">
        <v>1095</v>
      </c>
      <c r="AM43" s="1111">
        <v>1.4200000000000002</v>
      </c>
      <c r="AN43" s="1110">
        <v>684133</v>
      </c>
      <c r="AO43" s="1111">
        <v>770.94999999999993</v>
      </c>
      <c r="AP43" s="1110">
        <v>0</v>
      </c>
      <c r="AQ43" s="1112">
        <v>0</v>
      </c>
      <c r="AR43" s="1110">
        <v>5271</v>
      </c>
      <c r="AS43" s="1111">
        <v>1.97</v>
      </c>
      <c r="AT43" s="1110">
        <v>11444</v>
      </c>
      <c r="AU43" s="1111">
        <v>26.75</v>
      </c>
      <c r="AV43" s="1110">
        <v>0</v>
      </c>
      <c r="AW43" s="1111">
        <v>0</v>
      </c>
      <c r="AX43" s="1835"/>
      <c r="AY43" s="1113" t="s">
        <v>2169</v>
      </c>
      <c r="AZ43" s="1110">
        <v>0</v>
      </c>
      <c r="BA43" s="1111">
        <v>0</v>
      </c>
      <c r="BB43" s="1110">
        <v>11444</v>
      </c>
      <c r="BC43" s="1111">
        <v>26.75</v>
      </c>
      <c r="BD43" s="1110">
        <v>977276</v>
      </c>
      <c r="BE43" s="1111">
        <v>930.35</v>
      </c>
      <c r="BF43" s="1110">
        <v>104497</v>
      </c>
      <c r="BG43" s="1110">
        <v>318873</v>
      </c>
      <c r="BH43" s="1110">
        <v>28863</v>
      </c>
      <c r="BI43" s="1110">
        <v>452233</v>
      </c>
      <c r="BJ43" s="1110">
        <v>147568</v>
      </c>
      <c r="BK43" s="1110">
        <v>183208</v>
      </c>
      <c r="BL43" s="1111">
        <v>3284.73</v>
      </c>
      <c r="BM43" s="1110">
        <v>0</v>
      </c>
      <c r="BN43" s="1110">
        <v>0</v>
      </c>
      <c r="BO43" s="1111">
        <v>0</v>
      </c>
      <c r="BP43" s="1110">
        <v>0</v>
      </c>
      <c r="BQ43" s="1110">
        <v>0</v>
      </c>
      <c r="BR43" s="1110">
        <v>0</v>
      </c>
      <c r="BS43" s="1111">
        <v>0</v>
      </c>
      <c r="BT43" s="1110">
        <v>0</v>
      </c>
      <c r="BU43" s="1110">
        <v>170</v>
      </c>
      <c r="BV43" s="1119">
        <v>0</v>
      </c>
    </row>
    <row r="44" spans="1:74" s="1039" customFormat="1" ht="10.35" customHeight="1">
      <c r="A44" s="1836"/>
      <c r="B44" s="1038" t="s">
        <v>871</v>
      </c>
      <c r="C44" s="1076">
        <v>1934943</v>
      </c>
      <c r="D44" s="1077">
        <v>173479.53</v>
      </c>
      <c r="E44" s="1076">
        <v>1790</v>
      </c>
      <c r="F44" s="1077">
        <v>140.11000000000001</v>
      </c>
      <c r="G44" s="1076">
        <v>1936733</v>
      </c>
      <c r="H44" s="1077">
        <v>173619.62</v>
      </c>
      <c r="I44" s="1076">
        <v>1527289</v>
      </c>
      <c r="J44" s="1077">
        <v>11080.78</v>
      </c>
      <c r="K44" s="1076">
        <v>127976</v>
      </c>
      <c r="L44" s="1077">
        <v>92.53</v>
      </c>
      <c r="M44" s="1076">
        <v>3922</v>
      </c>
      <c r="N44" s="1077">
        <v>6.76</v>
      </c>
      <c r="O44" s="1076">
        <v>1107813</v>
      </c>
      <c r="P44" s="1077">
        <v>591.37000000000012</v>
      </c>
      <c r="Q44" s="1076">
        <v>131238</v>
      </c>
      <c r="R44" s="1077">
        <v>122.34</v>
      </c>
      <c r="S44" s="1076">
        <v>102833</v>
      </c>
      <c r="T44" s="1077">
        <v>17.589999999999996</v>
      </c>
      <c r="U44" s="1076">
        <v>37687</v>
      </c>
      <c r="V44" s="1077">
        <v>33.660000000000004</v>
      </c>
      <c r="W44" s="1076">
        <v>1511469</v>
      </c>
      <c r="X44" s="1077">
        <v>864.26999999999987</v>
      </c>
      <c r="Y44" s="1077">
        <v>4018.06</v>
      </c>
      <c r="Z44" s="1836"/>
      <c r="AA44" s="1038" t="s">
        <v>871</v>
      </c>
      <c r="AB44" s="1076">
        <v>12958267</v>
      </c>
      <c r="AC44" s="1077">
        <v>10004.910000000003</v>
      </c>
      <c r="AD44" s="1076">
        <v>1396</v>
      </c>
      <c r="AE44" s="1077">
        <v>3.1000000000000005</v>
      </c>
      <c r="AF44" s="1076">
        <v>644297</v>
      </c>
      <c r="AG44" s="1077">
        <v>458.88000000000005</v>
      </c>
      <c r="AH44" s="1076">
        <v>4649</v>
      </c>
      <c r="AI44" s="1077">
        <v>8.4</v>
      </c>
      <c r="AJ44" s="1076">
        <v>83309</v>
      </c>
      <c r="AK44" s="1077">
        <v>16.169999999999998</v>
      </c>
      <c r="AL44" s="1076">
        <v>1678</v>
      </c>
      <c r="AM44" s="1077">
        <v>1.98</v>
      </c>
      <c r="AN44" s="1076">
        <v>13693596</v>
      </c>
      <c r="AO44" s="1077">
        <v>10493.47</v>
      </c>
      <c r="AP44" s="1076">
        <v>61596</v>
      </c>
      <c r="AQ44" s="1099">
        <v>39.68</v>
      </c>
      <c r="AR44" s="1076">
        <v>13502</v>
      </c>
      <c r="AS44" s="1077">
        <v>5.23</v>
      </c>
      <c r="AT44" s="1076">
        <v>71360</v>
      </c>
      <c r="AU44" s="1077">
        <v>100.66000000000001</v>
      </c>
      <c r="AV44" s="1076">
        <v>87818</v>
      </c>
      <c r="AW44" s="1077">
        <v>89.450000000000017</v>
      </c>
      <c r="AX44" s="1836"/>
      <c r="AY44" s="1038" t="s">
        <v>871</v>
      </c>
      <c r="AZ44" s="1076">
        <v>54207</v>
      </c>
      <c r="BA44" s="1077">
        <v>10.32</v>
      </c>
      <c r="BB44" s="1076">
        <v>213385</v>
      </c>
      <c r="BC44" s="1077">
        <v>200.44999999999996</v>
      </c>
      <c r="BD44" s="1076">
        <v>15493548</v>
      </c>
      <c r="BE44" s="1077">
        <v>11603.1</v>
      </c>
      <c r="BF44" s="1076">
        <v>923929</v>
      </c>
      <c r="BG44" s="1076">
        <v>10555718</v>
      </c>
      <c r="BH44" s="1076">
        <v>197363</v>
      </c>
      <c r="BI44" s="1076">
        <v>11677010</v>
      </c>
      <c r="BJ44" s="1076">
        <v>1611851</v>
      </c>
      <c r="BK44" s="1076">
        <v>628390</v>
      </c>
      <c r="BL44" s="1077">
        <v>3957.8</v>
      </c>
      <c r="BM44" s="1076">
        <v>746478</v>
      </c>
      <c r="BN44" s="1076">
        <v>152048145</v>
      </c>
      <c r="BO44" s="1077">
        <v>26171.299999999992</v>
      </c>
      <c r="BP44" s="1076">
        <v>52684125</v>
      </c>
      <c r="BQ44" s="1076">
        <v>2862</v>
      </c>
      <c r="BR44" s="1076">
        <v>790758</v>
      </c>
      <c r="BS44" s="1077">
        <v>1546.8999999999996</v>
      </c>
      <c r="BT44" s="1076">
        <v>809686</v>
      </c>
      <c r="BU44" s="1076">
        <v>9220</v>
      </c>
      <c r="BV44" s="1078">
        <v>35716</v>
      </c>
    </row>
    <row r="45" spans="1:74" s="1039" customFormat="1" ht="10.35" customHeight="1">
      <c r="A45" s="1835" t="s">
        <v>952</v>
      </c>
      <c r="B45" s="1113" t="s">
        <v>2146</v>
      </c>
      <c r="C45" s="1110">
        <v>387812</v>
      </c>
      <c r="D45" s="1111">
        <v>45755.130000000005</v>
      </c>
      <c r="E45" s="1110">
        <v>2</v>
      </c>
      <c r="F45" s="1111">
        <v>0</v>
      </c>
      <c r="G45" s="1110">
        <v>387814</v>
      </c>
      <c r="H45" s="1111">
        <v>45755.130000000005</v>
      </c>
      <c r="I45" s="1110">
        <v>22271</v>
      </c>
      <c r="J45" s="1111">
        <v>303.43</v>
      </c>
      <c r="K45" s="1110">
        <v>3640</v>
      </c>
      <c r="L45" s="1111">
        <v>4.1899999999999995</v>
      </c>
      <c r="M45" s="1110">
        <v>0</v>
      </c>
      <c r="N45" s="1111">
        <v>0</v>
      </c>
      <c r="O45" s="1110">
        <v>2081</v>
      </c>
      <c r="P45" s="1111">
        <v>0.75</v>
      </c>
      <c r="Q45" s="1110">
        <v>14</v>
      </c>
      <c r="R45" s="1111">
        <v>0.01</v>
      </c>
      <c r="S45" s="1110">
        <v>50</v>
      </c>
      <c r="T45" s="1111">
        <v>0</v>
      </c>
      <c r="U45" s="1110">
        <v>0</v>
      </c>
      <c r="V45" s="1111">
        <v>0</v>
      </c>
      <c r="W45" s="1110">
        <v>5785</v>
      </c>
      <c r="X45" s="1111">
        <v>4.9499999999999993</v>
      </c>
      <c r="Y45" s="1111">
        <v>10.690000000000001</v>
      </c>
      <c r="Z45" s="1835" t="s">
        <v>952</v>
      </c>
      <c r="AA45" s="1113" t="s">
        <v>2146</v>
      </c>
      <c r="AB45" s="1110">
        <v>140032</v>
      </c>
      <c r="AC45" s="1111">
        <v>140.12</v>
      </c>
      <c r="AD45" s="1110">
        <v>0</v>
      </c>
      <c r="AE45" s="1111">
        <v>0</v>
      </c>
      <c r="AF45" s="1110">
        <v>8784</v>
      </c>
      <c r="AG45" s="1111">
        <v>2.91</v>
      </c>
      <c r="AH45" s="1110">
        <v>0</v>
      </c>
      <c r="AI45" s="1111">
        <v>0</v>
      </c>
      <c r="AJ45" s="1110">
        <v>105</v>
      </c>
      <c r="AK45" s="1111">
        <v>0</v>
      </c>
      <c r="AL45" s="1110">
        <v>0</v>
      </c>
      <c r="AM45" s="1111">
        <v>0</v>
      </c>
      <c r="AN45" s="1110">
        <v>148921</v>
      </c>
      <c r="AO45" s="1111">
        <v>143.05000000000001</v>
      </c>
      <c r="AP45" s="1110">
        <v>3</v>
      </c>
      <c r="AQ45" s="1112">
        <v>0</v>
      </c>
      <c r="AR45" s="1110">
        <v>0</v>
      </c>
      <c r="AS45" s="1111">
        <v>0</v>
      </c>
      <c r="AT45" s="1110">
        <v>0</v>
      </c>
      <c r="AU45" s="1111">
        <v>0</v>
      </c>
      <c r="AV45" s="1110">
        <v>0</v>
      </c>
      <c r="AW45" s="1111">
        <v>0</v>
      </c>
      <c r="AX45" s="1835" t="s">
        <v>952</v>
      </c>
      <c r="AY45" s="1113" t="s">
        <v>2146</v>
      </c>
      <c r="AZ45" s="1110">
        <v>0</v>
      </c>
      <c r="BA45" s="1111">
        <v>0</v>
      </c>
      <c r="BB45" s="1110">
        <v>0</v>
      </c>
      <c r="BC45" s="1111">
        <v>0</v>
      </c>
      <c r="BD45" s="1110">
        <v>154709</v>
      </c>
      <c r="BE45" s="1111">
        <v>148</v>
      </c>
      <c r="BF45" s="1110">
        <v>6300</v>
      </c>
      <c r="BG45" s="1110">
        <v>160229</v>
      </c>
      <c r="BH45" s="1110">
        <v>3306</v>
      </c>
      <c r="BI45" s="1110">
        <v>169835</v>
      </c>
      <c r="BJ45" s="1110">
        <v>0</v>
      </c>
      <c r="BK45" s="1110">
        <v>0</v>
      </c>
      <c r="BL45" s="1111">
        <v>0</v>
      </c>
      <c r="BM45" s="1110">
        <v>90057</v>
      </c>
      <c r="BN45" s="1110">
        <v>23450743</v>
      </c>
      <c r="BO45" s="1111">
        <v>793.06</v>
      </c>
      <c r="BP45" s="1110">
        <v>9290682</v>
      </c>
      <c r="BQ45" s="1110">
        <v>29</v>
      </c>
      <c r="BR45" s="1110">
        <v>4252</v>
      </c>
      <c r="BS45" s="1111">
        <v>2.95</v>
      </c>
      <c r="BT45" s="1110">
        <v>7101</v>
      </c>
      <c r="BU45" s="1110">
        <v>183</v>
      </c>
      <c r="BV45" s="1119">
        <v>0</v>
      </c>
    </row>
    <row r="46" spans="1:74" s="1039" customFormat="1" ht="10.35" customHeight="1">
      <c r="A46" s="1835"/>
      <c r="B46" s="1033" t="s">
        <v>2147</v>
      </c>
      <c r="C46" s="1105">
        <v>13323</v>
      </c>
      <c r="D46" s="1106">
        <v>1774.79</v>
      </c>
      <c r="E46" s="1105">
        <v>535</v>
      </c>
      <c r="F46" s="1106">
        <v>9.34</v>
      </c>
      <c r="G46" s="1105">
        <v>13858</v>
      </c>
      <c r="H46" s="1106">
        <v>1784.13</v>
      </c>
      <c r="I46" s="1105">
        <v>227</v>
      </c>
      <c r="J46" s="1106">
        <v>34.119999999999997</v>
      </c>
      <c r="K46" s="1105">
        <v>0</v>
      </c>
      <c r="L46" s="1106">
        <v>0</v>
      </c>
      <c r="M46" s="1105">
        <v>0</v>
      </c>
      <c r="N46" s="1106">
        <v>0</v>
      </c>
      <c r="O46" s="1105">
        <v>0</v>
      </c>
      <c r="P46" s="1106">
        <v>0</v>
      </c>
      <c r="Q46" s="1105">
        <v>0</v>
      </c>
      <c r="R46" s="1106">
        <v>0</v>
      </c>
      <c r="S46" s="1105">
        <v>0</v>
      </c>
      <c r="T46" s="1106">
        <v>0</v>
      </c>
      <c r="U46" s="1105">
        <v>0</v>
      </c>
      <c r="V46" s="1106">
        <v>0</v>
      </c>
      <c r="W46" s="1105">
        <v>0</v>
      </c>
      <c r="X46" s="1106">
        <v>0</v>
      </c>
      <c r="Y46" s="1106">
        <v>0</v>
      </c>
      <c r="Z46" s="1835"/>
      <c r="AA46" s="1033" t="s">
        <v>2147</v>
      </c>
      <c r="AB46" s="1105">
        <v>4486</v>
      </c>
      <c r="AC46" s="1106">
        <v>4</v>
      </c>
      <c r="AD46" s="1105">
        <v>0</v>
      </c>
      <c r="AE46" s="1106">
        <v>0</v>
      </c>
      <c r="AF46" s="1105">
        <v>182</v>
      </c>
      <c r="AG46" s="1106">
        <v>7.0000000000000007E-2</v>
      </c>
      <c r="AH46" s="1105">
        <v>0</v>
      </c>
      <c r="AI46" s="1106">
        <v>0</v>
      </c>
      <c r="AJ46" s="1105">
        <v>0</v>
      </c>
      <c r="AK46" s="1106">
        <v>0</v>
      </c>
      <c r="AL46" s="1105">
        <v>0</v>
      </c>
      <c r="AM46" s="1106">
        <v>0</v>
      </c>
      <c r="AN46" s="1105">
        <v>4668</v>
      </c>
      <c r="AO46" s="1106">
        <v>4.07</v>
      </c>
      <c r="AP46" s="1105">
        <v>0</v>
      </c>
      <c r="AQ46" s="1107">
        <v>0</v>
      </c>
      <c r="AR46" s="1105">
        <v>0</v>
      </c>
      <c r="AS46" s="1106">
        <v>0</v>
      </c>
      <c r="AT46" s="1105">
        <v>0</v>
      </c>
      <c r="AU46" s="1106">
        <v>0</v>
      </c>
      <c r="AV46" s="1105">
        <v>0</v>
      </c>
      <c r="AW46" s="1106">
        <v>0</v>
      </c>
      <c r="AX46" s="1835"/>
      <c r="AY46" s="1033" t="s">
        <v>2147</v>
      </c>
      <c r="AZ46" s="1105">
        <v>0</v>
      </c>
      <c r="BA46" s="1106">
        <v>0</v>
      </c>
      <c r="BB46" s="1105">
        <v>0</v>
      </c>
      <c r="BC46" s="1106">
        <v>0</v>
      </c>
      <c r="BD46" s="1105">
        <v>4668</v>
      </c>
      <c r="BE46" s="1106">
        <v>4.07</v>
      </c>
      <c r="BF46" s="1105">
        <v>0</v>
      </c>
      <c r="BG46" s="1105">
        <v>3891</v>
      </c>
      <c r="BH46" s="1105">
        <v>0</v>
      </c>
      <c r="BI46" s="1105">
        <v>3891</v>
      </c>
      <c r="BJ46" s="1105">
        <v>0</v>
      </c>
      <c r="BK46" s="1105">
        <v>0</v>
      </c>
      <c r="BL46" s="1106">
        <v>0</v>
      </c>
      <c r="BM46" s="1105">
        <v>0</v>
      </c>
      <c r="BN46" s="1105">
        <v>0</v>
      </c>
      <c r="BO46" s="1106">
        <v>0</v>
      </c>
      <c r="BP46" s="1105">
        <v>0</v>
      </c>
      <c r="BQ46" s="1105">
        <v>0</v>
      </c>
      <c r="BR46" s="1105">
        <v>0</v>
      </c>
      <c r="BS46" s="1106">
        <v>0</v>
      </c>
      <c r="BT46" s="1105">
        <v>0</v>
      </c>
      <c r="BU46" s="1105">
        <v>6</v>
      </c>
      <c r="BV46" s="1118">
        <v>0</v>
      </c>
    </row>
    <row r="47" spans="1:74" s="1039" customFormat="1" ht="10.35" customHeight="1">
      <c r="A47" s="1835"/>
      <c r="B47" s="1113" t="s">
        <v>2148</v>
      </c>
      <c r="C47" s="1110">
        <v>1313026</v>
      </c>
      <c r="D47" s="1111">
        <v>121745.29999999997</v>
      </c>
      <c r="E47" s="1110">
        <v>8565</v>
      </c>
      <c r="F47" s="1111">
        <v>855.83000000000015</v>
      </c>
      <c r="G47" s="1110">
        <v>1321591</v>
      </c>
      <c r="H47" s="1111">
        <v>122601.12000000001</v>
      </c>
      <c r="I47" s="1110">
        <v>913931</v>
      </c>
      <c r="J47" s="1111">
        <v>6907.0899999999992</v>
      </c>
      <c r="K47" s="1110">
        <v>80923</v>
      </c>
      <c r="L47" s="1111">
        <v>60.81</v>
      </c>
      <c r="M47" s="1110">
        <v>2552</v>
      </c>
      <c r="N47" s="1111">
        <v>4.68</v>
      </c>
      <c r="O47" s="1110">
        <v>913898</v>
      </c>
      <c r="P47" s="1111">
        <v>482.93999999999994</v>
      </c>
      <c r="Q47" s="1110">
        <v>93063</v>
      </c>
      <c r="R47" s="1111">
        <v>91.549999999999983</v>
      </c>
      <c r="S47" s="1110">
        <v>74263</v>
      </c>
      <c r="T47" s="1111">
        <v>11.689999999999998</v>
      </c>
      <c r="U47" s="1110">
        <v>34265</v>
      </c>
      <c r="V47" s="1111">
        <v>33.9</v>
      </c>
      <c r="W47" s="1110">
        <v>1198964</v>
      </c>
      <c r="X47" s="1111">
        <v>685.56000000000006</v>
      </c>
      <c r="Y47" s="1111">
        <v>2833.86</v>
      </c>
      <c r="Z47" s="1835"/>
      <c r="AA47" s="1113" t="s">
        <v>2148</v>
      </c>
      <c r="AB47" s="1110">
        <v>13467733</v>
      </c>
      <c r="AC47" s="1111">
        <v>10404.950000000001</v>
      </c>
      <c r="AD47" s="1110">
        <v>320</v>
      </c>
      <c r="AE47" s="1111">
        <v>0.71</v>
      </c>
      <c r="AF47" s="1110">
        <v>757048</v>
      </c>
      <c r="AG47" s="1111">
        <v>457.31</v>
      </c>
      <c r="AH47" s="1110">
        <v>1961</v>
      </c>
      <c r="AI47" s="1111">
        <v>4.21</v>
      </c>
      <c r="AJ47" s="1110">
        <v>74539</v>
      </c>
      <c r="AK47" s="1111">
        <v>10.759999999999996</v>
      </c>
      <c r="AL47" s="1110">
        <v>564</v>
      </c>
      <c r="AM47" s="1111">
        <v>0.7</v>
      </c>
      <c r="AN47" s="1110">
        <v>14302165</v>
      </c>
      <c r="AO47" s="1111">
        <v>10878.619999999997</v>
      </c>
      <c r="AP47" s="1110">
        <v>78087</v>
      </c>
      <c r="AQ47" s="1112">
        <v>57.379999999999995</v>
      </c>
      <c r="AR47" s="1110">
        <v>10847</v>
      </c>
      <c r="AS47" s="1111">
        <v>4.3900000000000006</v>
      </c>
      <c r="AT47" s="1110">
        <v>60211</v>
      </c>
      <c r="AU47" s="1111">
        <v>75.459999999999994</v>
      </c>
      <c r="AV47" s="1110">
        <v>91452</v>
      </c>
      <c r="AW47" s="1111">
        <v>75.41</v>
      </c>
      <c r="AX47" s="1835"/>
      <c r="AY47" s="1113" t="s">
        <v>2148</v>
      </c>
      <c r="AZ47" s="1110">
        <v>49510</v>
      </c>
      <c r="BA47" s="1111">
        <v>11.01</v>
      </c>
      <c r="BB47" s="1110">
        <v>201173</v>
      </c>
      <c r="BC47" s="1111">
        <v>161.86999999999998</v>
      </c>
      <c r="BD47" s="1110">
        <v>15789275</v>
      </c>
      <c r="BE47" s="1111">
        <v>11783.600000000004</v>
      </c>
      <c r="BF47" s="1110">
        <v>824543</v>
      </c>
      <c r="BG47" s="1110">
        <v>10317763</v>
      </c>
      <c r="BH47" s="1110">
        <v>171628</v>
      </c>
      <c r="BI47" s="1110">
        <v>11313934</v>
      </c>
      <c r="BJ47" s="1110">
        <v>1473814</v>
      </c>
      <c r="BK47" s="1110">
        <v>440183</v>
      </c>
      <c r="BL47" s="1111">
        <v>647.0200000000001</v>
      </c>
      <c r="BM47" s="1110">
        <v>668513</v>
      </c>
      <c r="BN47" s="1110">
        <v>158482208</v>
      </c>
      <c r="BO47" s="1111">
        <v>29215.449999999993</v>
      </c>
      <c r="BP47" s="1110">
        <v>44412008</v>
      </c>
      <c r="BQ47" s="1110">
        <v>2862</v>
      </c>
      <c r="BR47" s="1110">
        <v>739858</v>
      </c>
      <c r="BS47" s="1111">
        <v>1564.72</v>
      </c>
      <c r="BT47" s="1110">
        <v>838598</v>
      </c>
      <c r="BU47" s="1110">
        <v>8886</v>
      </c>
      <c r="BV47" s="1119">
        <v>36288</v>
      </c>
    </row>
    <row r="48" spans="1:74" s="1039" customFormat="1" ht="10.35" customHeight="1">
      <c r="A48" s="1835"/>
      <c r="B48" s="1033" t="s">
        <v>2169</v>
      </c>
      <c r="C48" s="1105">
        <v>134929</v>
      </c>
      <c r="D48" s="1106">
        <v>13084.51</v>
      </c>
      <c r="E48" s="1105">
        <v>0</v>
      </c>
      <c r="F48" s="1106">
        <v>0</v>
      </c>
      <c r="G48" s="1105">
        <v>134929</v>
      </c>
      <c r="H48" s="1106">
        <v>13084.51</v>
      </c>
      <c r="I48" s="1105">
        <v>314977</v>
      </c>
      <c r="J48" s="1106">
        <v>2626.8</v>
      </c>
      <c r="K48" s="1105">
        <v>6183</v>
      </c>
      <c r="L48" s="1106">
        <v>6.31</v>
      </c>
      <c r="M48" s="1105">
        <v>140</v>
      </c>
      <c r="N48" s="1106">
        <v>0.2</v>
      </c>
      <c r="O48" s="1105">
        <v>265909</v>
      </c>
      <c r="P48" s="1106">
        <v>125.45</v>
      </c>
      <c r="Q48" s="1105">
        <v>6674</v>
      </c>
      <c r="R48" s="1106">
        <v>6.4099999999999993</v>
      </c>
      <c r="S48" s="1105">
        <v>28660</v>
      </c>
      <c r="T48" s="1106">
        <v>6.4399999999999995</v>
      </c>
      <c r="U48" s="1105">
        <v>3042</v>
      </c>
      <c r="V48" s="1106">
        <v>1.8900000000000001</v>
      </c>
      <c r="W48" s="1105">
        <v>310608</v>
      </c>
      <c r="X48" s="1106">
        <v>146.71</v>
      </c>
      <c r="Y48" s="1106">
        <v>646.26</v>
      </c>
      <c r="Z48" s="1835"/>
      <c r="AA48" s="1033" t="s">
        <v>2169</v>
      </c>
      <c r="AB48" s="1105">
        <v>593806</v>
      </c>
      <c r="AC48" s="1106">
        <v>783.30000000000007</v>
      </c>
      <c r="AD48" s="1105">
        <v>1336</v>
      </c>
      <c r="AE48" s="1106">
        <v>3.07</v>
      </c>
      <c r="AF48" s="1105">
        <v>138438</v>
      </c>
      <c r="AG48" s="1106">
        <v>46.889999999999993</v>
      </c>
      <c r="AH48" s="1105">
        <v>3095</v>
      </c>
      <c r="AI48" s="1106">
        <v>3.84</v>
      </c>
      <c r="AJ48" s="1105">
        <v>13088</v>
      </c>
      <c r="AK48" s="1106">
        <v>1.24</v>
      </c>
      <c r="AL48" s="1105">
        <v>1070</v>
      </c>
      <c r="AM48" s="1106">
        <v>1.6700000000000002</v>
      </c>
      <c r="AN48" s="1105">
        <v>750833</v>
      </c>
      <c r="AO48" s="1106">
        <v>840.02</v>
      </c>
      <c r="AP48" s="1105">
        <v>0</v>
      </c>
      <c r="AQ48" s="1107">
        <v>0</v>
      </c>
      <c r="AR48" s="1105">
        <v>5115</v>
      </c>
      <c r="AS48" s="1106">
        <v>2.02</v>
      </c>
      <c r="AT48" s="1105">
        <v>10082</v>
      </c>
      <c r="AU48" s="1106">
        <v>23.77</v>
      </c>
      <c r="AV48" s="1105">
        <v>0</v>
      </c>
      <c r="AW48" s="1106">
        <v>0</v>
      </c>
      <c r="AX48" s="1835"/>
      <c r="AY48" s="1033" t="s">
        <v>2169</v>
      </c>
      <c r="AZ48" s="1105">
        <v>0</v>
      </c>
      <c r="BA48" s="1106">
        <v>0</v>
      </c>
      <c r="BB48" s="1105">
        <v>10082</v>
      </c>
      <c r="BC48" s="1106">
        <v>23.77</v>
      </c>
      <c r="BD48" s="1105">
        <v>1073543</v>
      </c>
      <c r="BE48" s="1106">
        <v>1008.69</v>
      </c>
      <c r="BF48" s="1105">
        <v>105305</v>
      </c>
      <c r="BG48" s="1105">
        <v>320334</v>
      </c>
      <c r="BH48" s="1105">
        <v>30351</v>
      </c>
      <c r="BI48" s="1105">
        <v>455990</v>
      </c>
      <c r="BJ48" s="1105">
        <v>147563</v>
      </c>
      <c r="BK48" s="1105">
        <v>194180</v>
      </c>
      <c r="BL48" s="1106">
        <v>2294.8800000000006</v>
      </c>
      <c r="BM48" s="1105">
        <v>0</v>
      </c>
      <c r="BN48" s="1105">
        <v>0</v>
      </c>
      <c r="BO48" s="1106">
        <v>0</v>
      </c>
      <c r="BP48" s="1105">
        <v>0</v>
      </c>
      <c r="BQ48" s="1105">
        <v>0</v>
      </c>
      <c r="BR48" s="1105">
        <v>0</v>
      </c>
      <c r="BS48" s="1106">
        <v>0</v>
      </c>
      <c r="BT48" s="1105">
        <v>0</v>
      </c>
      <c r="BU48" s="1105">
        <v>171</v>
      </c>
      <c r="BV48" s="1118">
        <v>0</v>
      </c>
    </row>
    <row r="49" spans="1:74" s="1039" customFormat="1" ht="10.35" customHeight="1">
      <c r="A49" s="1836"/>
      <c r="B49" s="1211" t="s">
        <v>871</v>
      </c>
      <c r="C49" s="1108">
        <v>1849090</v>
      </c>
      <c r="D49" s="1109">
        <v>182359.72999999998</v>
      </c>
      <c r="E49" s="1108">
        <v>9102</v>
      </c>
      <c r="F49" s="1109">
        <v>865.17000000000019</v>
      </c>
      <c r="G49" s="1108">
        <v>1858192</v>
      </c>
      <c r="H49" s="1109">
        <v>183224.89</v>
      </c>
      <c r="I49" s="1108">
        <v>1251406</v>
      </c>
      <c r="J49" s="1109">
        <v>9871.4399999999987</v>
      </c>
      <c r="K49" s="1108">
        <v>90746</v>
      </c>
      <c r="L49" s="1109">
        <v>71.31</v>
      </c>
      <c r="M49" s="1108">
        <v>2692</v>
      </c>
      <c r="N49" s="1109">
        <v>4.88</v>
      </c>
      <c r="O49" s="1108">
        <v>1181888</v>
      </c>
      <c r="P49" s="1109">
        <v>609.14</v>
      </c>
      <c r="Q49" s="1108">
        <v>99751</v>
      </c>
      <c r="R49" s="1109">
        <v>97.969999999999985</v>
      </c>
      <c r="S49" s="1108">
        <v>102973</v>
      </c>
      <c r="T49" s="1109">
        <v>18.129999999999995</v>
      </c>
      <c r="U49" s="1108">
        <v>37307</v>
      </c>
      <c r="V49" s="1109">
        <v>35.79</v>
      </c>
      <c r="W49" s="1108">
        <v>1515357</v>
      </c>
      <c r="X49" s="1109">
        <v>837.22000000000014</v>
      </c>
      <c r="Y49" s="1109">
        <v>3490.8100000000004</v>
      </c>
      <c r="Z49" s="1836"/>
      <c r="AA49" s="1211" t="s">
        <v>871</v>
      </c>
      <c r="AB49" s="1108">
        <v>14206057</v>
      </c>
      <c r="AC49" s="1109">
        <v>11332.37</v>
      </c>
      <c r="AD49" s="1108">
        <v>1656</v>
      </c>
      <c r="AE49" s="1109">
        <v>3.78</v>
      </c>
      <c r="AF49" s="1108">
        <v>904452</v>
      </c>
      <c r="AG49" s="1109">
        <v>507.18</v>
      </c>
      <c r="AH49" s="1108">
        <v>5056</v>
      </c>
      <c r="AI49" s="1109">
        <v>8.0500000000000007</v>
      </c>
      <c r="AJ49" s="1108">
        <v>87732</v>
      </c>
      <c r="AK49" s="1109">
        <v>11.999999999999996</v>
      </c>
      <c r="AL49" s="1108">
        <v>1634</v>
      </c>
      <c r="AM49" s="1109">
        <v>2.37</v>
      </c>
      <c r="AN49" s="1108">
        <v>15206587</v>
      </c>
      <c r="AO49" s="1109">
        <v>11865.759999999998</v>
      </c>
      <c r="AP49" s="1108">
        <v>78090</v>
      </c>
      <c r="AQ49" s="1124">
        <v>57.379999999999995</v>
      </c>
      <c r="AR49" s="1108">
        <v>15962</v>
      </c>
      <c r="AS49" s="1109">
        <v>6.41</v>
      </c>
      <c r="AT49" s="1108">
        <v>70293</v>
      </c>
      <c r="AU49" s="1109">
        <v>99.22999999999999</v>
      </c>
      <c r="AV49" s="1108">
        <v>91452</v>
      </c>
      <c r="AW49" s="1109">
        <v>75.41</v>
      </c>
      <c r="AX49" s="1836"/>
      <c r="AY49" s="1211" t="s">
        <v>871</v>
      </c>
      <c r="AZ49" s="1108">
        <v>49510</v>
      </c>
      <c r="BA49" s="1109">
        <v>11.01</v>
      </c>
      <c r="BB49" s="1108">
        <v>211255</v>
      </c>
      <c r="BC49" s="1109">
        <v>185.64</v>
      </c>
      <c r="BD49" s="1108">
        <v>17027251</v>
      </c>
      <c r="BE49" s="1109">
        <v>12952.409999999996</v>
      </c>
      <c r="BF49" s="1108">
        <v>936148</v>
      </c>
      <c r="BG49" s="1108">
        <v>10802217</v>
      </c>
      <c r="BH49" s="1108">
        <v>205285</v>
      </c>
      <c r="BI49" s="1108">
        <v>11943650</v>
      </c>
      <c r="BJ49" s="1108">
        <v>1621377</v>
      </c>
      <c r="BK49" s="1108">
        <v>634363</v>
      </c>
      <c r="BL49" s="1109">
        <v>2941.9000000000005</v>
      </c>
      <c r="BM49" s="1108">
        <v>758570</v>
      </c>
      <c r="BN49" s="1108">
        <v>181932951</v>
      </c>
      <c r="BO49" s="1109">
        <v>30008.509999999995</v>
      </c>
      <c r="BP49" s="1108">
        <v>53702690</v>
      </c>
      <c r="BQ49" s="1108">
        <v>2891</v>
      </c>
      <c r="BR49" s="1108">
        <v>744110</v>
      </c>
      <c r="BS49" s="1109">
        <v>1567.67</v>
      </c>
      <c r="BT49" s="1108">
        <v>845699</v>
      </c>
      <c r="BU49" s="1108">
        <v>9246</v>
      </c>
      <c r="BV49" s="1120">
        <v>36288</v>
      </c>
    </row>
    <row r="50" spans="1:74" s="1040" customFormat="1" ht="12" customHeight="1">
      <c r="B50" s="1040" t="s">
        <v>2145</v>
      </c>
      <c r="C50" s="1040" t="s">
        <v>2233</v>
      </c>
      <c r="M50" s="1040" t="s">
        <v>51</v>
      </c>
      <c r="N50" s="1040" t="s">
        <v>2646</v>
      </c>
      <c r="Z50" s="1114"/>
      <c r="AA50" s="1843" t="s">
        <v>2510</v>
      </c>
      <c r="AB50" s="1844"/>
      <c r="AC50" s="1844"/>
      <c r="AD50" s="1844"/>
      <c r="AE50" s="1844"/>
      <c r="AF50" s="1844"/>
      <c r="AG50" s="1844"/>
      <c r="AX50" s="1114"/>
      <c r="AY50" s="1040" t="s">
        <v>2511</v>
      </c>
    </row>
    <row r="51" spans="1:74">
      <c r="C51" s="1040"/>
      <c r="AB51" s="1040"/>
      <c r="AY51" s="1040"/>
    </row>
  </sheetData>
  <mergeCells count="122">
    <mergeCell ref="AA50:AG50"/>
    <mergeCell ref="AX15:AX19"/>
    <mergeCell ref="Z15:Z19"/>
    <mergeCell ref="AX40:AX44"/>
    <mergeCell ref="Z35:Z39"/>
    <mergeCell ref="AX35:AX39"/>
    <mergeCell ref="AX30:AX34"/>
    <mergeCell ref="A40:A44"/>
    <mergeCell ref="Z40:Z44"/>
    <mergeCell ref="A25:A29"/>
    <mergeCell ref="Z25:Z29"/>
    <mergeCell ref="AX25:AX29"/>
    <mergeCell ref="AX10:AX14"/>
    <mergeCell ref="A45:A49"/>
    <mergeCell ref="Z45:Z49"/>
    <mergeCell ref="A30:A34"/>
    <mergeCell ref="AX45:AX49"/>
    <mergeCell ref="A10:A14"/>
    <mergeCell ref="Z10:Z14"/>
    <mergeCell ref="A35:A39"/>
    <mergeCell ref="AX20:AX24"/>
    <mergeCell ref="Z20:Z24"/>
    <mergeCell ref="Z30:Z34"/>
    <mergeCell ref="Z9:AA9"/>
    <mergeCell ref="A20:A24"/>
    <mergeCell ref="I8:J8"/>
    <mergeCell ref="A9:B9"/>
    <mergeCell ref="A15:A19"/>
    <mergeCell ref="K8:L8"/>
    <mergeCell ref="O8:P8"/>
    <mergeCell ref="A3:B8"/>
    <mergeCell ref="C3:H4"/>
    <mergeCell ref="I3:J6"/>
    <mergeCell ref="K3:Y3"/>
    <mergeCell ref="M8:N8"/>
    <mergeCell ref="S8:T8"/>
    <mergeCell ref="U8:V8"/>
    <mergeCell ref="Q8:R8"/>
    <mergeCell ref="C5:D6"/>
    <mergeCell ref="E5:F6"/>
    <mergeCell ref="S6:T6"/>
    <mergeCell ref="K5:N5"/>
    <mergeCell ref="O5:R5"/>
    <mergeCell ref="S5:V5"/>
    <mergeCell ref="C8:D8"/>
    <mergeCell ref="E8:F8"/>
    <mergeCell ref="W5:X6"/>
    <mergeCell ref="AH8:AI8"/>
    <mergeCell ref="AF8:AG8"/>
    <mergeCell ref="AD8:AE8"/>
    <mergeCell ref="AB8:AC8"/>
    <mergeCell ref="AT6:AU6"/>
    <mergeCell ref="AZ4:BC5"/>
    <mergeCell ref="AZ8:BA8"/>
    <mergeCell ref="AT8:AU8"/>
    <mergeCell ref="AV8:AW8"/>
    <mergeCell ref="AJ8:AK8"/>
    <mergeCell ref="AL8:AM8"/>
    <mergeCell ref="AN8:AO8"/>
    <mergeCell ref="AP8:AQ8"/>
    <mergeCell ref="AR8:AS8"/>
    <mergeCell ref="AX3:AY8"/>
    <mergeCell ref="BB8:BC8"/>
    <mergeCell ref="AT4:AW5"/>
    <mergeCell ref="AH6:AI6"/>
    <mergeCell ref="AB3:AW3"/>
    <mergeCell ref="AX9:AY9"/>
    <mergeCell ref="BR8:BS8"/>
    <mergeCell ref="BN8:BO8"/>
    <mergeCell ref="BM3:BP4"/>
    <mergeCell ref="BQ3:BT4"/>
    <mergeCell ref="BQ5:BQ6"/>
    <mergeCell ref="BR5:BS6"/>
    <mergeCell ref="BH5:BH6"/>
    <mergeCell ref="BI5:BI6"/>
    <mergeCell ref="BB6:BC6"/>
    <mergeCell ref="AZ6:BA6"/>
    <mergeCell ref="BD8:BE8"/>
    <mergeCell ref="BF5:BF6"/>
    <mergeCell ref="BF3:BI4"/>
    <mergeCell ref="G5:H6"/>
    <mergeCell ref="V1:Y1"/>
    <mergeCell ref="K6:L6"/>
    <mergeCell ref="AP6:AQ6"/>
    <mergeCell ref="U6:V6"/>
    <mergeCell ref="M6:N6"/>
    <mergeCell ref="O6:P6"/>
    <mergeCell ref="Y5:Y6"/>
    <mergeCell ref="BG1:BO1"/>
    <mergeCell ref="BM5:BM6"/>
    <mergeCell ref="BN5:BO6"/>
    <mergeCell ref="BJ5:BJ6"/>
    <mergeCell ref="AZ3:BE3"/>
    <mergeCell ref="BD4:BE6"/>
    <mergeCell ref="AB5:AE5"/>
    <mergeCell ref="AR6:AS6"/>
    <mergeCell ref="AP4:AS5"/>
    <mergeCell ref="AF6:AG6"/>
    <mergeCell ref="BS1:BV1"/>
    <mergeCell ref="H1:S1"/>
    <mergeCell ref="BV3:BV6"/>
    <mergeCell ref="BK5:BL6"/>
    <mergeCell ref="BG5:BG6"/>
    <mergeCell ref="AT1:AW1"/>
    <mergeCell ref="AJ5:AM5"/>
    <mergeCell ref="BP5:BP6"/>
    <mergeCell ref="AD6:AE6"/>
    <mergeCell ref="AN5:AO6"/>
    <mergeCell ref="Z3:AA8"/>
    <mergeCell ref="W8:X8"/>
    <mergeCell ref="AL6:AM6"/>
    <mergeCell ref="AJ6:AK6"/>
    <mergeCell ref="Q6:R6"/>
    <mergeCell ref="AF5:AI5"/>
    <mergeCell ref="AB6:AC6"/>
    <mergeCell ref="BT5:BT6"/>
    <mergeCell ref="BJ3:BL4"/>
    <mergeCell ref="BU3:BU6"/>
    <mergeCell ref="AH1:AR1"/>
    <mergeCell ref="K4:Y4"/>
    <mergeCell ref="AB4:AO4"/>
    <mergeCell ref="AV6:AW6"/>
  </mergeCells>
  <pageMargins left="0.502" right="0.5" top="0.51" bottom="0.51" header="0.3" footer="0.3"/>
  <pageSetup paperSize="151" firstPageNumber="22" orientation="portrait" useFirstPageNumber="1" r:id="rId1"/>
  <headerFooter alignWithMargins="0">
    <oddFooter>&amp;C&amp;"Times New Roman,Regular"&amp;8&amp;P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W179"/>
  <sheetViews>
    <sheetView zoomScale="160" zoomScaleNormal="160" workbookViewId="0">
      <pane xSplit="2" ySplit="5" topLeftCell="C51" activePane="bottomRight" state="frozen"/>
      <selection pane="topRight" activeCell="C1" sqref="C1"/>
      <selection pane="bottomLeft" activeCell="A6" sqref="A6"/>
      <selection pane="bottomRight" activeCell="A44" sqref="A44"/>
    </sheetView>
  </sheetViews>
  <sheetFormatPr defaultColWidth="9.140625" defaultRowHeight="11.25"/>
  <cols>
    <col min="1" max="1" width="8.5703125" style="317" customWidth="1"/>
    <col min="2" max="2" width="1.7109375" style="317" customWidth="1"/>
    <col min="3" max="3" width="9.7109375" style="317" customWidth="1"/>
    <col min="4" max="4" width="11.140625" style="317" customWidth="1"/>
    <col min="5" max="5" width="11" style="317" customWidth="1"/>
    <col min="6" max="6" width="11.42578125" style="317" customWidth="1"/>
    <col min="7" max="7" width="12.28515625" style="317" customWidth="1"/>
    <col min="8" max="8" width="12.42578125" style="317" customWidth="1"/>
    <col min="9" max="9" width="10.42578125" style="317" customWidth="1"/>
    <col min="10" max="10" width="10.140625" style="317" customWidth="1"/>
    <col min="11" max="11" width="10.7109375" style="317" customWidth="1"/>
    <col min="12" max="12" width="11.85546875" style="317" customWidth="1"/>
    <col min="13" max="13" width="10.5703125" style="317" customWidth="1"/>
    <col min="14" max="14" width="12.140625" style="317" customWidth="1"/>
    <col min="15" max="15" width="12.28515625" style="317" customWidth="1"/>
    <col min="16" max="16" width="8.85546875" style="317" customWidth="1"/>
    <col min="17" max="17" width="7.7109375" style="317" customWidth="1"/>
    <col min="18" max="18" width="8.5703125" style="317" customWidth="1"/>
    <col min="19" max="19" width="8.7109375" style="317" customWidth="1"/>
    <col min="20" max="20" width="9.140625" style="317"/>
    <col min="21" max="21" width="8.5703125" style="317" customWidth="1"/>
    <col min="22" max="22" width="13.7109375" style="317" customWidth="1"/>
    <col min="23" max="23" width="12.28515625" style="317" customWidth="1"/>
    <col min="24" max="16384" width="9.140625" style="317"/>
  </cols>
  <sheetData>
    <row r="1" spans="1:23" s="303" customFormat="1" ht="15" customHeight="1">
      <c r="A1" s="301"/>
      <c r="B1" s="301"/>
      <c r="C1" s="301"/>
      <c r="D1" s="301"/>
      <c r="E1" s="301"/>
      <c r="F1" s="301"/>
      <c r="G1" s="1849" t="s">
        <v>206</v>
      </c>
      <c r="H1" s="1849"/>
      <c r="I1" s="1848" t="s">
        <v>205</v>
      </c>
      <c r="J1" s="1848"/>
      <c r="K1" s="302"/>
      <c r="L1" s="302"/>
      <c r="M1" s="1849" t="s">
        <v>803</v>
      </c>
      <c r="N1" s="1849"/>
      <c r="O1" s="1849"/>
      <c r="P1" s="1852" t="s">
        <v>364</v>
      </c>
      <c r="Q1" s="1852"/>
      <c r="R1" s="1852"/>
      <c r="S1" s="1852"/>
      <c r="T1" s="1852"/>
      <c r="U1" s="1849" t="s">
        <v>804</v>
      </c>
      <c r="V1" s="1849"/>
      <c r="W1" s="1849"/>
    </row>
    <row r="2" spans="1:23" s="306" customFormat="1" ht="11.25" customHeight="1">
      <c r="A2" s="304"/>
      <c r="B2" s="304"/>
      <c r="C2" s="304"/>
      <c r="D2" s="304"/>
      <c r="E2" s="305"/>
      <c r="G2" s="307"/>
      <c r="I2" s="305"/>
      <c r="J2" s="305"/>
      <c r="K2" s="305"/>
      <c r="L2" s="305"/>
      <c r="M2" s="1850" t="s">
        <v>41</v>
      </c>
      <c r="N2" s="1850"/>
      <c r="O2" s="1850"/>
      <c r="P2" s="305"/>
      <c r="Q2" s="305"/>
      <c r="R2" s="308"/>
      <c r="S2" s="308"/>
      <c r="T2" s="308"/>
      <c r="U2" s="308"/>
      <c r="V2" s="1850" t="s">
        <v>41</v>
      </c>
      <c r="W2" s="1850"/>
    </row>
    <row r="3" spans="1:23" s="306" customFormat="1" ht="12.75" customHeight="1">
      <c r="A3" s="1761" t="s">
        <v>875</v>
      </c>
      <c r="B3" s="1762"/>
      <c r="C3" s="1854" t="s">
        <v>880</v>
      </c>
      <c r="D3" s="1855"/>
      <c r="E3" s="1856"/>
      <c r="F3" s="1853" t="s">
        <v>674</v>
      </c>
      <c r="G3" s="1853"/>
      <c r="H3" s="1853"/>
      <c r="I3" s="1853" t="s">
        <v>1631</v>
      </c>
      <c r="J3" s="1853"/>
      <c r="K3" s="1853"/>
      <c r="L3" s="1851" t="s">
        <v>1632</v>
      </c>
      <c r="M3" s="1851"/>
      <c r="N3" s="1851"/>
      <c r="O3" s="1860" t="s">
        <v>1664</v>
      </c>
      <c r="P3" s="1756" t="s">
        <v>875</v>
      </c>
      <c r="Q3" s="1687" t="s">
        <v>1635</v>
      </c>
      <c r="R3" s="1854" t="s">
        <v>1634</v>
      </c>
      <c r="S3" s="1855"/>
      <c r="T3" s="1855"/>
      <c r="U3" s="1855"/>
      <c r="V3" s="1856"/>
      <c r="W3" s="1857" t="s">
        <v>2561</v>
      </c>
    </row>
    <row r="4" spans="1:23" s="309" customFormat="1" ht="29.25" customHeight="1">
      <c r="A4" s="1763"/>
      <c r="B4" s="1764"/>
      <c r="C4" s="126" t="s">
        <v>1661</v>
      </c>
      <c r="D4" s="126" t="s">
        <v>1662</v>
      </c>
      <c r="E4" s="126" t="s">
        <v>1663</v>
      </c>
      <c r="F4" s="126" t="s">
        <v>881</v>
      </c>
      <c r="G4" s="126" t="s">
        <v>882</v>
      </c>
      <c r="H4" s="126" t="s">
        <v>1062</v>
      </c>
      <c r="I4" s="126" t="s">
        <v>881</v>
      </c>
      <c r="J4" s="126" t="s">
        <v>882</v>
      </c>
      <c r="K4" s="126" t="s">
        <v>1063</v>
      </c>
      <c r="L4" s="126" t="s">
        <v>883</v>
      </c>
      <c r="M4" s="126" t="s">
        <v>872</v>
      </c>
      <c r="N4" s="126" t="s">
        <v>1067</v>
      </c>
      <c r="O4" s="1861"/>
      <c r="P4" s="1846"/>
      <c r="Q4" s="1690"/>
      <c r="R4" s="297" t="s">
        <v>1636</v>
      </c>
      <c r="S4" s="297" t="s">
        <v>1340</v>
      </c>
      <c r="T4" s="297" t="s">
        <v>1341</v>
      </c>
      <c r="U4" s="297" t="s">
        <v>1342</v>
      </c>
      <c r="V4" s="297" t="s">
        <v>1069</v>
      </c>
      <c r="W4" s="1858"/>
    </row>
    <row r="5" spans="1:23" s="399" customFormat="1" ht="17.25" customHeight="1">
      <c r="A5" s="1765"/>
      <c r="B5" s="1766"/>
      <c r="C5" s="613">
        <v>1</v>
      </c>
      <c r="D5" s="613">
        <v>2</v>
      </c>
      <c r="E5" s="613" t="s">
        <v>1066</v>
      </c>
      <c r="F5" s="613">
        <v>4</v>
      </c>
      <c r="G5" s="613">
        <v>5</v>
      </c>
      <c r="H5" s="613" t="s">
        <v>1065</v>
      </c>
      <c r="I5" s="613">
        <v>7</v>
      </c>
      <c r="J5" s="613">
        <v>8</v>
      </c>
      <c r="K5" s="613" t="s">
        <v>1064</v>
      </c>
      <c r="L5" s="613">
        <v>10</v>
      </c>
      <c r="M5" s="613">
        <v>11</v>
      </c>
      <c r="N5" s="613" t="s">
        <v>1068</v>
      </c>
      <c r="O5" s="613" t="s">
        <v>363</v>
      </c>
      <c r="P5" s="1847"/>
      <c r="Q5" s="887">
        <v>14</v>
      </c>
      <c r="R5" s="887">
        <v>15</v>
      </c>
      <c r="S5" s="887">
        <v>16</v>
      </c>
      <c r="T5" s="887">
        <v>17</v>
      </c>
      <c r="U5" s="887">
        <v>18</v>
      </c>
      <c r="V5" s="368" t="s">
        <v>1633</v>
      </c>
      <c r="W5" s="1859"/>
    </row>
    <row r="6" spans="1:23" s="300" customFormat="1" ht="10.35" customHeight="1">
      <c r="A6" s="299" t="s">
        <v>945</v>
      </c>
      <c r="B6" s="299"/>
      <c r="C6" s="420">
        <v>34037.699999999997</v>
      </c>
      <c r="D6" s="420">
        <v>44206.2</v>
      </c>
      <c r="E6" s="420">
        <f t="shared" ref="E6:E12" si="0">C6-D6</f>
        <v>-10168.5</v>
      </c>
      <c r="F6" s="420">
        <v>4964.3999999999996</v>
      </c>
      <c r="G6" s="420">
        <v>7830.5</v>
      </c>
      <c r="H6" s="420">
        <f t="shared" ref="H6:H12" si="1">F6-G6</f>
        <v>-2866.1000000000004</v>
      </c>
      <c r="I6" s="420">
        <v>287.39999999999998</v>
      </c>
      <c r="J6" s="420">
        <v>2598.1</v>
      </c>
      <c r="K6" s="420">
        <f t="shared" ref="K6:K11" si="2">I6-J6</f>
        <v>-2310.6999999999998</v>
      </c>
      <c r="L6" s="420">
        <f t="shared" ref="L6:L9" si="3">N6-M6</f>
        <v>1890.1999999999989</v>
      </c>
      <c r="M6" s="420">
        <v>14377.1</v>
      </c>
      <c r="N6" s="420">
        <v>16267.3</v>
      </c>
      <c r="O6" s="420">
        <f t="shared" ref="O6:O12" si="4">E6++H6+K6+N6</f>
        <v>922</v>
      </c>
      <c r="P6" s="299" t="s">
        <v>945</v>
      </c>
      <c r="Q6" s="420">
        <v>2353.5</v>
      </c>
      <c r="R6" s="420">
        <v>2243.4</v>
      </c>
      <c r="S6" s="420">
        <v>-31.8</v>
      </c>
      <c r="T6" s="420">
        <v>-687.8</v>
      </c>
      <c r="U6" s="420">
        <v>-1552.5</v>
      </c>
      <c r="V6" s="420">
        <f t="shared" ref="V6:V19" si="5">R6+S6+T6+U6</f>
        <v>-28.700000000000045</v>
      </c>
      <c r="W6" s="86">
        <f t="shared" ref="W6:W24" si="6">-(O6+Q6+V6)</f>
        <v>-3246.8</v>
      </c>
    </row>
    <row r="7" spans="1:23" s="300" customFormat="1" ht="10.35" customHeight="1">
      <c r="A7" s="530" t="s">
        <v>946</v>
      </c>
      <c r="B7" s="530"/>
      <c r="C7" s="509">
        <v>37587.199999999997</v>
      </c>
      <c r="D7" s="509">
        <v>51172.7</v>
      </c>
      <c r="E7" s="509">
        <f t="shared" si="0"/>
        <v>-13585.5</v>
      </c>
      <c r="F7" s="509">
        <v>5136.7</v>
      </c>
      <c r="G7" s="509">
        <v>9149.4</v>
      </c>
      <c r="H7" s="509">
        <f t="shared" si="1"/>
        <v>-4012.7</v>
      </c>
      <c r="I7" s="509">
        <v>367.7</v>
      </c>
      <c r="J7" s="509">
        <v>2458.3000000000002</v>
      </c>
      <c r="K7" s="509">
        <f t="shared" si="2"/>
        <v>-2090.6000000000004</v>
      </c>
      <c r="L7" s="509">
        <f t="shared" si="3"/>
        <v>2158.2999999999993</v>
      </c>
      <c r="M7" s="509">
        <v>17728.8</v>
      </c>
      <c r="N7" s="509">
        <v>19887.099999999999</v>
      </c>
      <c r="O7" s="509">
        <f t="shared" si="4"/>
        <v>198.29999999999563</v>
      </c>
      <c r="P7" s="530" t="s">
        <v>946</v>
      </c>
      <c r="Q7" s="509">
        <v>2480.5</v>
      </c>
      <c r="R7" s="509">
        <v>2177.6</v>
      </c>
      <c r="S7" s="509">
        <v>5.6</v>
      </c>
      <c r="T7" s="509">
        <v>318.10000000000002</v>
      </c>
      <c r="U7" s="509">
        <v>-5117.8</v>
      </c>
      <c r="V7" s="509">
        <f t="shared" si="5"/>
        <v>-2616.5000000000005</v>
      </c>
      <c r="W7" s="503">
        <f t="shared" si="6"/>
        <v>-62.29999999999518</v>
      </c>
    </row>
    <row r="8" spans="1:23" s="300" customFormat="1" ht="10.35" customHeight="1">
      <c r="A8" s="299" t="s">
        <v>947</v>
      </c>
      <c r="B8" s="299"/>
      <c r="C8" s="420">
        <v>45534.7</v>
      </c>
      <c r="D8" s="420">
        <v>58847.7</v>
      </c>
      <c r="E8" s="420">
        <f t="shared" si="0"/>
        <v>-13313</v>
      </c>
      <c r="F8" s="420">
        <v>5959.1</v>
      </c>
      <c r="G8" s="420">
        <v>10455.4</v>
      </c>
      <c r="H8" s="420">
        <f t="shared" si="1"/>
        <v>-4496.2999999999993</v>
      </c>
      <c r="I8" s="420">
        <v>406.5</v>
      </c>
      <c r="J8" s="420">
        <v>2723.5</v>
      </c>
      <c r="K8" s="420">
        <f t="shared" si="2"/>
        <v>-2317</v>
      </c>
      <c r="L8" s="420">
        <f t="shared" si="3"/>
        <v>2143.5999999999985</v>
      </c>
      <c r="M8" s="420">
        <v>19847</v>
      </c>
      <c r="N8" s="420">
        <v>21990.6</v>
      </c>
      <c r="O8" s="420">
        <f t="shared" si="4"/>
        <v>1864.2999999999993</v>
      </c>
      <c r="P8" s="299" t="s">
        <v>947</v>
      </c>
      <c r="Q8" s="420">
        <v>1374.3</v>
      </c>
      <c r="R8" s="420">
        <v>2269</v>
      </c>
      <c r="S8" s="420">
        <v>31.6</v>
      </c>
      <c r="T8" s="420">
        <v>-3430.6</v>
      </c>
      <c r="U8" s="420">
        <v>-1339.9</v>
      </c>
      <c r="V8" s="420">
        <f t="shared" si="5"/>
        <v>-2469.9</v>
      </c>
      <c r="W8" s="86">
        <f t="shared" si="6"/>
        <v>-768.69999999999936</v>
      </c>
    </row>
    <row r="9" spans="1:23" s="300" customFormat="1" ht="10.35" customHeight="1">
      <c r="A9" s="530" t="s">
        <v>948</v>
      </c>
      <c r="B9" s="530"/>
      <c r="C9" s="509">
        <v>53961.4</v>
      </c>
      <c r="D9" s="509">
        <v>72945.2</v>
      </c>
      <c r="E9" s="509">
        <f t="shared" si="0"/>
        <v>-18983.799999999996</v>
      </c>
      <c r="F9" s="509">
        <v>7506.7</v>
      </c>
      <c r="G9" s="509">
        <v>12487.1</v>
      </c>
      <c r="H9" s="509">
        <f t="shared" si="1"/>
        <v>-4980.4000000000005</v>
      </c>
      <c r="I9" s="509">
        <v>729.4</v>
      </c>
      <c r="J9" s="509">
        <v>5671.3</v>
      </c>
      <c r="K9" s="509">
        <f t="shared" si="2"/>
        <v>-4941.9000000000005</v>
      </c>
      <c r="L9" s="509">
        <f t="shared" si="3"/>
        <v>2706.7999999999993</v>
      </c>
      <c r="M9" s="509">
        <v>23843.9</v>
      </c>
      <c r="N9" s="509">
        <v>26550.7</v>
      </c>
      <c r="O9" s="509">
        <f t="shared" si="4"/>
        <v>-2355.3999999999978</v>
      </c>
      <c r="P9" s="530" t="s">
        <v>948</v>
      </c>
      <c r="Q9" s="509">
        <v>1001.1</v>
      </c>
      <c r="R9" s="509">
        <v>4758</v>
      </c>
      <c r="S9" s="509">
        <v>0.3</v>
      </c>
      <c r="T9" s="509">
        <v>1488.6</v>
      </c>
      <c r="U9" s="509">
        <v>-1900.8</v>
      </c>
      <c r="V9" s="509">
        <f t="shared" si="5"/>
        <v>4346.0999999999995</v>
      </c>
      <c r="W9" s="503">
        <f t="shared" si="6"/>
        <v>-2991.8000000000015</v>
      </c>
    </row>
    <row r="10" spans="1:23" s="300" customFormat="1" ht="10.35" customHeight="1">
      <c r="A10" s="299" t="s">
        <v>953</v>
      </c>
      <c r="B10" s="299"/>
      <c r="C10" s="420">
        <v>69900.800000000003</v>
      </c>
      <c r="D10" s="420">
        <v>89321.2</v>
      </c>
      <c r="E10" s="420">
        <v>-19420.400000000001</v>
      </c>
      <c r="F10" s="420">
        <v>8978</v>
      </c>
      <c r="G10" s="420">
        <v>15627.9</v>
      </c>
      <c r="H10" s="420">
        <v>-6649.9</v>
      </c>
      <c r="I10" s="420">
        <v>950.4</v>
      </c>
      <c r="J10" s="420">
        <v>5953.8</v>
      </c>
      <c r="K10" s="420">
        <f t="shared" si="2"/>
        <v>-5003.4000000000005</v>
      </c>
      <c r="L10" s="420">
        <f>N10-M10</f>
        <v>3668.2000000000044</v>
      </c>
      <c r="M10" s="420">
        <v>32195.599999999999</v>
      </c>
      <c r="N10" s="420">
        <v>35863.800000000003</v>
      </c>
      <c r="O10" s="420">
        <f t="shared" si="4"/>
        <v>4790.0999999999985</v>
      </c>
      <c r="P10" s="299" t="s">
        <v>953</v>
      </c>
      <c r="Q10" s="420">
        <v>1622.7</v>
      </c>
      <c r="R10" s="420">
        <v>4527.8999999999996</v>
      </c>
      <c r="S10" s="420">
        <v>240.7</v>
      </c>
      <c r="T10" s="420">
        <v>-3708.3</v>
      </c>
      <c r="U10" s="420">
        <v>-3579.6</v>
      </c>
      <c r="V10" s="420">
        <f t="shared" si="5"/>
        <v>-2519.3000000000006</v>
      </c>
      <c r="W10" s="86">
        <f t="shared" si="6"/>
        <v>-3893.4999999999977</v>
      </c>
    </row>
    <row r="11" spans="1:23" s="300" customFormat="1" ht="10.35" customHeight="1">
      <c r="A11" s="530" t="s">
        <v>962</v>
      </c>
      <c r="B11" s="530"/>
      <c r="C11" s="509">
        <v>83205.100000000006</v>
      </c>
      <c r="D11" s="509">
        <v>107234.3</v>
      </c>
      <c r="E11" s="509">
        <f t="shared" si="0"/>
        <v>-24029.199999999997</v>
      </c>
      <c r="F11" s="509">
        <v>10235.200000000001</v>
      </c>
      <c r="G11" s="509">
        <v>18964.900000000001</v>
      </c>
      <c r="H11" s="509">
        <f t="shared" si="1"/>
        <v>-8729.7000000000007</v>
      </c>
      <c r="I11" s="509">
        <v>1687.6</v>
      </c>
      <c r="J11" s="509">
        <v>7788.9</v>
      </c>
      <c r="K11" s="509">
        <f t="shared" si="2"/>
        <v>-6101.2999999999993</v>
      </c>
      <c r="L11" s="509">
        <f>N11-M11</f>
        <v>4004.1999999999971</v>
      </c>
      <c r="M11" s="509">
        <v>41269.800000000003</v>
      </c>
      <c r="N11" s="509">
        <v>45274</v>
      </c>
      <c r="O11" s="509">
        <f t="shared" si="4"/>
        <v>6413.8000000000029</v>
      </c>
      <c r="P11" s="530" t="s">
        <v>962</v>
      </c>
      <c r="Q11" s="509">
        <v>3381.4</v>
      </c>
      <c r="R11" s="509">
        <v>5246.6</v>
      </c>
      <c r="S11" s="509">
        <v>727.7</v>
      </c>
      <c r="T11" s="509">
        <v>-369.3</v>
      </c>
      <c r="U11" s="509">
        <v>-10893.1</v>
      </c>
      <c r="V11" s="509">
        <f t="shared" si="5"/>
        <v>-5288.1</v>
      </c>
      <c r="W11" s="503">
        <f t="shared" si="6"/>
        <v>-4507.1000000000022</v>
      </c>
    </row>
    <row r="12" spans="1:23" s="310" customFormat="1" ht="10.35" customHeight="1">
      <c r="A12" s="299" t="s">
        <v>675</v>
      </c>
      <c r="B12" s="299"/>
      <c r="C12" s="86">
        <v>97110.1</v>
      </c>
      <c r="D12" s="40">
        <v>133765.29999999999</v>
      </c>
      <c r="E12" s="86">
        <f t="shared" si="0"/>
        <v>-36655.199999999983</v>
      </c>
      <c r="F12" s="86">
        <v>12910.3</v>
      </c>
      <c r="G12" s="40">
        <v>23166.7</v>
      </c>
      <c r="H12" s="40">
        <f t="shared" si="1"/>
        <v>-10256.400000000001</v>
      </c>
      <c r="I12" s="40">
        <v>1515.1</v>
      </c>
      <c r="J12" s="40">
        <v>7422.5</v>
      </c>
      <c r="K12" s="40">
        <f>I12-J12</f>
        <v>-5907.4</v>
      </c>
      <c r="L12" s="86">
        <f>N12-M12</f>
        <v>4017.9000000000015</v>
      </c>
      <c r="M12" s="86">
        <v>54296.9</v>
      </c>
      <c r="N12" s="40">
        <v>58314.8</v>
      </c>
      <c r="O12" s="420">
        <f t="shared" si="4"/>
        <v>5495.8000000000175</v>
      </c>
      <c r="P12" s="299" t="s">
        <v>675</v>
      </c>
      <c r="Q12" s="40">
        <v>3952.5</v>
      </c>
      <c r="R12" s="86">
        <v>4459</v>
      </c>
      <c r="S12" s="40">
        <v>325.10000000000002</v>
      </c>
      <c r="T12" s="40">
        <v>-6802.5</v>
      </c>
      <c r="U12" s="40">
        <v>-7137.1</v>
      </c>
      <c r="V12" s="420">
        <f t="shared" si="5"/>
        <v>-9155.5</v>
      </c>
      <c r="W12" s="86">
        <f t="shared" si="6"/>
        <v>-292.80000000001746</v>
      </c>
    </row>
    <row r="13" spans="1:23" s="310" customFormat="1" ht="10.35" customHeight="1">
      <c r="A13" s="530" t="s">
        <v>141</v>
      </c>
      <c r="B13" s="530"/>
      <c r="C13" s="503">
        <v>107195</v>
      </c>
      <c r="D13" s="508">
        <v>139579.5</v>
      </c>
      <c r="E13" s="503">
        <v>-32384.500000000004</v>
      </c>
      <c r="F13" s="503">
        <v>12245.099999999999</v>
      </c>
      <c r="G13" s="508">
        <v>23663.4</v>
      </c>
      <c r="H13" s="508">
        <v>-11418.300000000001</v>
      </c>
      <c r="I13" s="508">
        <v>653.1</v>
      </c>
      <c r="J13" s="508">
        <v>10312.6</v>
      </c>
      <c r="K13" s="508">
        <v>-9659.5</v>
      </c>
      <c r="L13" s="503">
        <v>251.79999999999998</v>
      </c>
      <c r="M13" s="503">
        <v>67715.799999999988</v>
      </c>
      <c r="N13" s="508">
        <v>67967.600000000006</v>
      </c>
      <c r="O13" s="509">
        <v>14505.299999999997</v>
      </c>
      <c r="P13" s="530" t="s">
        <v>141</v>
      </c>
      <c r="Q13" s="508">
        <v>3345.4000000000005</v>
      </c>
      <c r="R13" s="503">
        <v>6980.3</v>
      </c>
      <c r="S13" s="508">
        <v>-702.1</v>
      </c>
      <c r="T13" s="508">
        <v>-11420.2</v>
      </c>
      <c r="U13" s="508">
        <v>-12959.999999999998</v>
      </c>
      <c r="V13" s="509">
        <f t="shared" si="5"/>
        <v>-18102</v>
      </c>
      <c r="W13" s="503">
        <f t="shared" si="6"/>
        <v>251.30000000000291</v>
      </c>
    </row>
    <row r="14" spans="1:23" s="335" customFormat="1" ht="10.35" customHeight="1">
      <c r="A14" s="299" t="s">
        <v>136</v>
      </c>
      <c r="B14" s="299"/>
      <c r="C14" s="40">
        <v>112345.1</v>
      </c>
      <c r="D14" s="86">
        <v>147983</v>
      </c>
      <c r="E14" s="86">
        <v>-35637.9</v>
      </c>
      <c r="F14" s="40">
        <v>15453.4</v>
      </c>
      <c r="G14" s="40">
        <v>25710.799999999999</v>
      </c>
      <c r="H14" s="40">
        <v>-10257.400000000001</v>
      </c>
      <c r="I14" s="40">
        <v>551.70000000000005</v>
      </c>
      <c r="J14" s="86">
        <v>10566.400000000001</v>
      </c>
      <c r="K14" s="40">
        <v>-10014.700000000001</v>
      </c>
      <c r="L14" s="40">
        <v>864.8</v>
      </c>
      <c r="M14" s="40">
        <v>78001.299999999988</v>
      </c>
      <c r="N14" s="40">
        <v>78866.100000000006</v>
      </c>
      <c r="O14" s="420">
        <v>22956.1</v>
      </c>
      <c r="P14" s="299" t="s">
        <v>136</v>
      </c>
      <c r="Q14" s="40">
        <v>3373.5999999999995</v>
      </c>
      <c r="R14" s="40">
        <v>6316.4000000000005</v>
      </c>
      <c r="S14" s="40">
        <v>-2029.5</v>
      </c>
      <c r="T14" s="40">
        <v>-820.69999999999936</v>
      </c>
      <c r="U14" s="40">
        <v>-24814.3</v>
      </c>
      <c r="V14" s="420">
        <f t="shared" si="5"/>
        <v>-21348.1</v>
      </c>
      <c r="W14" s="86">
        <f t="shared" si="6"/>
        <v>-4981.5999999999985</v>
      </c>
    </row>
    <row r="15" spans="1:23" s="336" customFormat="1" ht="10.35" customHeight="1">
      <c r="A15" s="530" t="s">
        <v>317</v>
      </c>
      <c r="B15" s="530"/>
      <c r="C15" s="503">
        <f t="shared" ref="C15:O15" si="7">SUM(C16:C19)</f>
        <v>164159.20000000001</v>
      </c>
      <c r="D15" s="503">
        <f t="shared" si="7"/>
        <v>216341.09999999998</v>
      </c>
      <c r="E15" s="503">
        <f t="shared" si="7"/>
        <v>-52181.899999999994</v>
      </c>
      <c r="F15" s="503">
        <f t="shared" si="7"/>
        <v>18292.900000000001</v>
      </c>
      <c r="G15" s="503">
        <f t="shared" si="7"/>
        <v>35500.6</v>
      </c>
      <c r="H15" s="503">
        <f t="shared" si="7"/>
        <v>-17207.7</v>
      </c>
      <c r="I15" s="503">
        <f t="shared" si="7"/>
        <v>871.7</v>
      </c>
      <c r="J15" s="503">
        <f t="shared" si="7"/>
        <v>11267.1</v>
      </c>
      <c r="K15" s="503">
        <f t="shared" si="7"/>
        <v>-10395.4</v>
      </c>
      <c r="L15" s="503">
        <f t="shared" si="7"/>
        <v>1047.0999999999999</v>
      </c>
      <c r="M15" s="503">
        <f t="shared" si="7"/>
        <v>84013.2</v>
      </c>
      <c r="N15" s="503">
        <f t="shared" si="7"/>
        <v>85060.299999999988</v>
      </c>
      <c r="O15" s="503">
        <f t="shared" si="7"/>
        <v>5275.3000000000011</v>
      </c>
      <c r="P15" s="530" t="s">
        <v>317</v>
      </c>
      <c r="Q15" s="503">
        <f>SUM(Q16:Q19)</f>
        <v>4138.1000000000004</v>
      </c>
      <c r="R15" s="503">
        <f>SUM(R16:R19)</f>
        <v>5585.6</v>
      </c>
      <c r="S15" s="503">
        <f>SUM(S16:S19)</f>
        <v>-6109.2000000000007</v>
      </c>
      <c r="T15" s="503">
        <f>SUM(T16:T19)</f>
        <v>-9589.7999999999993</v>
      </c>
      <c r="U15" s="503">
        <f>SUM(U16:U19)</f>
        <v>5351</v>
      </c>
      <c r="V15" s="503">
        <f t="shared" ref="V15:W15" si="8">SUM(V16:V19)</f>
        <v>-4762.3999999999996</v>
      </c>
      <c r="W15" s="503">
        <f t="shared" si="8"/>
        <v>-4651.0000000000018</v>
      </c>
    </row>
    <row r="16" spans="1:23" s="298" customFormat="1" ht="10.35" customHeight="1">
      <c r="A16" s="299" t="s">
        <v>2280</v>
      </c>
      <c r="B16" s="299"/>
      <c r="C16" s="86">
        <v>35076.400000000001</v>
      </c>
      <c r="D16" s="86">
        <v>44034.6</v>
      </c>
      <c r="E16" s="86">
        <f t="shared" ref="E16:E24" si="9">C16-D16</f>
        <v>-8958.1999999999971</v>
      </c>
      <c r="F16" s="40">
        <v>3669.6</v>
      </c>
      <c r="G16" s="40">
        <v>7600.3</v>
      </c>
      <c r="H16" s="86">
        <f t="shared" ref="H16:H24" si="10">F16-G16</f>
        <v>-3930.7000000000003</v>
      </c>
      <c r="I16" s="86">
        <v>188.4</v>
      </c>
      <c r="J16" s="86">
        <v>2462.8000000000002</v>
      </c>
      <c r="K16" s="86">
        <f>I16-J16</f>
        <v>-2274.4</v>
      </c>
      <c r="L16" s="86">
        <v>285.10000000000002</v>
      </c>
      <c r="M16" s="86">
        <v>19106.599999999999</v>
      </c>
      <c r="N16" s="86">
        <f t="shared" ref="N16:N24" si="11">L16+M16</f>
        <v>19391.699999999997</v>
      </c>
      <c r="O16" s="420">
        <f t="shared" ref="O16:O24" si="12">E16++H16+K16+N16</f>
        <v>4228.3999999999996</v>
      </c>
      <c r="P16" s="299" t="s">
        <v>2280</v>
      </c>
      <c r="Q16" s="86">
        <v>733.6</v>
      </c>
      <c r="R16" s="86">
        <v>1208.4000000000001</v>
      </c>
      <c r="S16" s="86">
        <v>-966</v>
      </c>
      <c r="T16" s="86">
        <v>-7030</v>
      </c>
      <c r="U16" s="40">
        <v>2396.3000000000002</v>
      </c>
      <c r="V16" s="420">
        <f t="shared" si="5"/>
        <v>-4391.3</v>
      </c>
      <c r="W16" s="86">
        <f t="shared" si="6"/>
        <v>-570.69999999999982</v>
      </c>
    </row>
    <row r="17" spans="1:23" s="298" customFormat="1" ht="10.35" customHeight="1">
      <c r="A17" s="530" t="s">
        <v>2676</v>
      </c>
      <c r="B17" s="530"/>
      <c r="C17" s="503">
        <v>37000.5</v>
      </c>
      <c r="D17" s="503">
        <v>52238.2</v>
      </c>
      <c r="E17" s="503">
        <f t="shared" si="9"/>
        <v>-15237.699999999997</v>
      </c>
      <c r="F17" s="503">
        <v>5362</v>
      </c>
      <c r="G17" s="508">
        <v>9746.6</v>
      </c>
      <c r="H17" s="503">
        <f t="shared" si="10"/>
        <v>-4384.6000000000004</v>
      </c>
      <c r="I17" s="503">
        <v>193.7</v>
      </c>
      <c r="J17" s="503">
        <v>2872.6</v>
      </c>
      <c r="K17" s="503">
        <f>I17-J17</f>
        <v>-2678.9</v>
      </c>
      <c r="L17" s="503">
        <v>253.7</v>
      </c>
      <c r="M17" s="503">
        <v>20942.5</v>
      </c>
      <c r="N17" s="503">
        <f t="shared" si="11"/>
        <v>21196.2</v>
      </c>
      <c r="O17" s="509">
        <f t="shared" si="12"/>
        <v>-1104.9999999999964</v>
      </c>
      <c r="P17" s="530" t="s">
        <v>2676</v>
      </c>
      <c r="Q17" s="503">
        <v>1774.7</v>
      </c>
      <c r="R17" s="503">
        <v>1218.8</v>
      </c>
      <c r="S17" s="503">
        <v>-925.1</v>
      </c>
      <c r="T17" s="503">
        <v>2560.9</v>
      </c>
      <c r="U17" s="508">
        <v>-3473.5</v>
      </c>
      <c r="V17" s="509">
        <f t="shared" si="5"/>
        <v>-618.90000000000009</v>
      </c>
      <c r="W17" s="503">
        <f t="shared" si="6"/>
        <v>-50.800000000003593</v>
      </c>
    </row>
    <row r="18" spans="1:23" s="298" customFormat="1" ht="10.35" customHeight="1">
      <c r="A18" s="299" t="s">
        <v>2677</v>
      </c>
      <c r="B18" s="299"/>
      <c r="C18" s="86">
        <v>42647</v>
      </c>
      <c r="D18" s="86">
        <v>57795.4</v>
      </c>
      <c r="E18" s="86">
        <f t="shared" si="9"/>
        <v>-15148.400000000001</v>
      </c>
      <c r="F18" s="40">
        <v>3988.2</v>
      </c>
      <c r="G18" s="40">
        <v>8633.7999999999993</v>
      </c>
      <c r="H18" s="86">
        <f t="shared" si="10"/>
        <v>-4645.5999999999995</v>
      </c>
      <c r="I18" s="86">
        <v>240.1</v>
      </c>
      <c r="J18" s="86">
        <v>2704.8</v>
      </c>
      <c r="K18" s="86">
        <f>I18-J18</f>
        <v>-2464.7000000000003</v>
      </c>
      <c r="L18" s="86">
        <v>198.3</v>
      </c>
      <c r="M18" s="86">
        <v>21676.5</v>
      </c>
      <c r="N18" s="86">
        <f t="shared" si="11"/>
        <v>21874.799999999999</v>
      </c>
      <c r="O18" s="420">
        <f t="shared" si="12"/>
        <v>-383.90000000000146</v>
      </c>
      <c r="P18" s="299" t="s">
        <v>2677</v>
      </c>
      <c r="Q18" s="86">
        <v>651.70000000000005</v>
      </c>
      <c r="R18" s="86">
        <v>1577.3</v>
      </c>
      <c r="S18" s="86">
        <v>-2622</v>
      </c>
      <c r="T18" s="86">
        <v>-4257.8999999999996</v>
      </c>
      <c r="U18" s="86">
        <v>7600</v>
      </c>
      <c r="V18" s="420">
        <f t="shared" si="5"/>
        <v>2297.4000000000005</v>
      </c>
      <c r="W18" s="86">
        <f t="shared" si="6"/>
        <v>-2565.1999999999989</v>
      </c>
    </row>
    <row r="19" spans="1:23" s="298" customFormat="1" ht="10.35" customHeight="1">
      <c r="A19" s="530" t="s">
        <v>2678</v>
      </c>
      <c r="B19" s="530"/>
      <c r="C19" s="503">
        <v>49435.3</v>
      </c>
      <c r="D19" s="503">
        <v>62272.9</v>
      </c>
      <c r="E19" s="503">
        <f t="shared" si="9"/>
        <v>-12837.599999999999</v>
      </c>
      <c r="F19" s="508">
        <v>5273.1</v>
      </c>
      <c r="G19" s="508">
        <v>9519.9</v>
      </c>
      <c r="H19" s="503">
        <f t="shared" si="10"/>
        <v>-4246.7999999999993</v>
      </c>
      <c r="I19" s="503">
        <v>249.5</v>
      </c>
      <c r="J19" s="503">
        <v>3226.9</v>
      </c>
      <c r="K19" s="503">
        <f>I19-J19</f>
        <v>-2977.4</v>
      </c>
      <c r="L19" s="503">
        <v>310</v>
      </c>
      <c r="M19" s="503">
        <v>22287.599999999999</v>
      </c>
      <c r="N19" s="503">
        <f t="shared" si="11"/>
        <v>22597.599999999999</v>
      </c>
      <c r="O19" s="509">
        <f t="shared" si="12"/>
        <v>2535.7999999999993</v>
      </c>
      <c r="P19" s="530" t="s">
        <v>2678</v>
      </c>
      <c r="Q19" s="503">
        <v>978.1</v>
      </c>
      <c r="R19" s="503">
        <v>1581.1</v>
      </c>
      <c r="S19" s="503">
        <v>-1596.1</v>
      </c>
      <c r="T19" s="503">
        <v>-862.8</v>
      </c>
      <c r="U19" s="508">
        <v>-1171.8</v>
      </c>
      <c r="V19" s="509">
        <f t="shared" si="5"/>
        <v>-2049.6</v>
      </c>
      <c r="W19" s="503">
        <f t="shared" si="6"/>
        <v>-1464.2999999999993</v>
      </c>
    </row>
    <row r="20" spans="1:23" s="298" customFormat="1" ht="10.35" customHeight="1">
      <c r="A20" s="299" t="s">
        <v>1299</v>
      </c>
      <c r="B20" s="299"/>
      <c r="C20" s="86">
        <f t="shared" ref="C20:O20" si="13">SUM(C21:C24)</f>
        <v>193375.5</v>
      </c>
      <c r="D20" s="86">
        <f t="shared" si="13"/>
        <v>253042.2</v>
      </c>
      <c r="E20" s="86">
        <f t="shared" si="13"/>
        <v>-59666.7</v>
      </c>
      <c r="F20" s="86">
        <f t="shared" si="13"/>
        <v>19370.400000000001</v>
      </c>
      <c r="G20" s="86">
        <f t="shared" si="13"/>
        <v>41880.299999999996</v>
      </c>
      <c r="H20" s="86">
        <f t="shared" si="13"/>
        <v>-22509.899999999998</v>
      </c>
      <c r="I20" s="86">
        <f t="shared" si="13"/>
        <v>1523.3000000000002</v>
      </c>
      <c r="J20" s="86">
        <f t="shared" si="13"/>
        <v>13242.2</v>
      </c>
      <c r="K20" s="86">
        <f t="shared" si="13"/>
        <v>-11718.9</v>
      </c>
      <c r="L20" s="86">
        <f t="shared" si="13"/>
        <v>829.19999999999993</v>
      </c>
      <c r="M20" s="86">
        <f t="shared" si="13"/>
        <v>101982.6</v>
      </c>
      <c r="N20" s="86">
        <f t="shared" si="13"/>
        <v>102811.8</v>
      </c>
      <c r="O20" s="86">
        <f t="shared" si="13"/>
        <v>8916.2999999999993</v>
      </c>
      <c r="P20" s="299" t="s">
        <v>1299</v>
      </c>
      <c r="Q20" s="86">
        <f t="shared" ref="Q20:W20" si="14">SUM(Q21:Q24)</f>
        <v>3678.5</v>
      </c>
      <c r="R20" s="86">
        <f t="shared" si="14"/>
        <v>9088.2000000000007</v>
      </c>
      <c r="S20" s="86">
        <f t="shared" si="14"/>
        <v>4142.6000000000004</v>
      </c>
      <c r="T20" s="86">
        <f t="shared" si="14"/>
        <v>-17391</v>
      </c>
      <c r="U20" s="86">
        <f t="shared" si="14"/>
        <v>-2324.4999999999991</v>
      </c>
      <c r="V20" s="86">
        <f t="shared" si="14"/>
        <v>-6484.699999999998</v>
      </c>
      <c r="W20" s="86">
        <f t="shared" si="14"/>
        <v>-6110.1000000000022</v>
      </c>
    </row>
    <row r="21" spans="1:23" s="298" customFormat="1" ht="10.35" customHeight="1">
      <c r="A21" s="530" t="s">
        <v>1630</v>
      </c>
      <c r="B21" s="530"/>
      <c r="C21" s="503">
        <v>46291.8</v>
      </c>
      <c r="D21" s="503">
        <v>58989.8</v>
      </c>
      <c r="E21" s="503">
        <f t="shared" si="9"/>
        <v>-12698</v>
      </c>
      <c r="F21" s="503">
        <v>4751.6000000000004</v>
      </c>
      <c r="G21" s="503">
        <v>9796.7999999999993</v>
      </c>
      <c r="H21" s="503">
        <f t="shared" si="10"/>
        <v>-5045.1999999999989</v>
      </c>
      <c r="I21" s="503">
        <v>260.39999999999998</v>
      </c>
      <c r="J21" s="503">
        <v>3372.8</v>
      </c>
      <c r="K21" s="503">
        <f>I21-J21</f>
        <v>-3112.4</v>
      </c>
      <c r="L21" s="503">
        <v>181.2</v>
      </c>
      <c r="M21" s="503">
        <v>21970.799999999999</v>
      </c>
      <c r="N21" s="503">
        <f t="shared" si="11"/>
        <v>22152</v>
      </c>
      <c r="O21" s="509">
        <f t="shared" si="12"/>
        <v>1296.4000000000015</v>
      </c>
      <c r="P21" s="530" t="s">
        <v>1630</v>
      </c>
      <c r="Q21" s="503">
        <v>896.2</v>
      </c>
      <c r="R21" s="503">
        <v>2656.1</v>
      </c>
      <c r="S21" s="503">
        <v>1771.3</v>
      </c>
      <c r="T21" s="503">
        <v>-9675.7999999999993</v>
      </c>
      <c r="U21" s="508">
        <v>4560.1000000000004</v>
      </c>
      <c r="V21" s="509">
        <f>R21+S21+T21+U21</f>
        <v>-688.29999999999927</v>
      </c>
      <c r="W21" s="503">
        <f t="shared" si="6"/>
        <v>-1504.300000000002</v>
      </c>
    </row>
    <row r="22" spans="1:23" s="298" customFormat="1" ht="10.35" customHeight="1">
      <c r="A22" s="299" t="s">
        <v>2676</v>
      </c>
      <c r="B22" s="299"/>
      <c r="C22" s="86">
        <v>43642.6</v>
      </c>
      <c r="D22" s="86">
        <v>62697.9</v>
      </c>
      <c r="E22" s="86">
        <f t="shared" si="9"/>
        <v>-19055.300000000003</v>
      </c>
      <c r="F22" s="86">
        <v>4119.5</v>
      </c>
      <c r="G22" s="86">
        <v>11375.9</v>
      </c>
      <c r="H22" s="86">
        <f t="shared" si="10"/>
        <v>-7256.4</v>
      </c>
      <c r="I22" s="86">
        <v>427.3</v>
      </c>
      <c r="J22" s="86">
        <v>3143.7</v>
      </c>
      <c r="K22" s="86">
        <f>I22-J22</f>
        <v>-2716.3999999999996</v>
      </c>
      <c r="L22" s="86">
        <v>221.7</v>
      </c>
      <c r="M22" s="86">
        <v>23952.799999999999</v>
      </c>
      <c r="N22" s="86">
        <f t="shared" si="11"/>
        <v>24174.5</v>
      </c>
      <c r="O22" s="420">
        <f t="shared" si="12"/>
        <v>-4853.6000000000058</v>
      </c>
      <c r="P22" s="299" t="s">
        <v>2676</v>
      </c>
      <c r="Q22" s="86">
        <v>1295.5</v>
      </c>
      <c r="R22" s="86">
        <v>2643.5</v>
      </c>
      <c r="S22" s="86">
        <v>3619</v>
      </c>
      <c r="T22" s="86">
        <v>-2824.1</v>
      </c>
      <c r="U22" s="86">
        <v>3294.1</v>
      </c>
      <c r="V22" s="420">
        <f>R22+S22+T22+U22</f>
        <v>6732.5</v>
      </c>
      <c r="W22" s="86">
        <f t="shared" si="6"/>
        <v>-3174.3999999999942</v>
      </c>
    </row>
    <row r="23" spans="1:23" s="298" customFormat="1" ht="10.35" customHeight="1">
      <c r="A23" s="530" t="s">
        <v>2677</v>
      </c>
      <c r="B23" s="530"/>
      <c r="C23" s="503">
        <v>50847.3</v>
      </c>
      <c r="D23" s="503">
        <v>68206.7</v>
      </c>
      <c r="E23" s="503">
        <f t="shared" si="9"/>
        <v>-17359.399999999994</v>
      </c>
      <c r="F23" s="503">
        <v>5434.9</v>
      </c>
      <c r="G23" s="503">
        <v>10641.5</v>
      </c>
      <c r="H23" s="503">
        <f t="shared" si="10"/>
        <v>-5206.6000000000004</v>
      </c>
      <c r="I23" s="503">
        <v>396</v>
      </c>
      <c r="J23" s="503">
        <v>3239.7</v>
      </c>
      <c r="K23" s="503">
        <f>I23-J23</f>
        <v>-2843.7</v>
      </c>
      <c r="L23" s="503">
        <v>176.7</v>
      </c>
      <c r="M23" s="503">
        <v>29111.4</v>
      </c>
      <c r="N23" s="503">
        <f t="shared" si="11"/>
        <v>29288.100000000002</v>
      </c>
      <c r="O23" s="509">
        <f t="shared" si="12"/>
        <v>3878.4000000000087</v>
      </c>
      <c r="P23" s="530" t="s">
        <v>2677</v>
      </c>
      <c r="Q23" s="503">
        <v>669.6</v>
      </c>
      <c r="R23" s="503">
        <v>1891.5</v>
      </c>
      <c r="S23" s="503">
        <v>-315.39999999999998</v>
      </c>
      <c r="T23" s="503">
        <v>-7646.9</v>
      </c>
      <c r="U23" s="503">
        <v>-345.3</v>
      </c>
      <c r="V23" s="509">
        <f>R23+S23+T23+U23</f>
        <v>-6416.0999999999995</v>
      </c>
      <c r="W23" s="503">
        <f t="shared" si="6"/>
        <v>1868.0999999999904</v>
      </c>
    </row>
    <row r="24" spans="1:23" s="298" customFormat="1" ht="10.35" customHeight="1">
      <c r="A24" s="299" t="s">
        <v>2678</v>
      </c>
      <c r="B24" s="299"/>
      <c r="C24" s="86">
        <v>52593.8</v>
      </c>
      <c r="D24" s="86">
        <v>63147.8</v>
      </c>
      <c r="E24" s="86">
        <f t="shared" si="9"/>
        <v>-10554</v>
      </c>
      <c r="F24" s="86">
        <v>5064.3999999999996</v>
      </c>
      <c r="G24" s="86">
        <v>10066.1</v>
      </c>
      <c r="H24" s="86">
        <f t="shared" si="10"/>
        <v>-5001.7000000000007</v>
      </c>
      <c r="I24" s="86">
        <v>439.6</v>
      </c>
      <c r="J24" s="86">
        <v>3486</v>
      </c>
      <c r="K24" s="86">
        <f>I24-J24</f>
        <v>-3046.4</v>
      </c>
      <c r="L24" s="86">
        <v>249.6</v>
      </c>
      <c r="M24" s="86">
        <v>26947.599999999999</v>
      </c>
      <c r="N24" s="86">
        <f t="shared" si="11"/>
        <v>27197.199999999997</v>
      </c>
      <c r="O24" s="420">
        <f t="shared" si="12"/>
        <v>8595.0999999999949</v>
      </c>
      <c r="P24" s="299" t="s">
        <v>2678</v>
      </c>
      <c r="Q24" s="86">
        <v>817.2</v>
      </c>
      <c r="R24" s="86">
        <v>1897.1</v>
      </c>
      <c r="S24" s="86">
        <v>-932.3</v>
      </c>
      <c r="T24" s="86">
        <v>2755.8</v>
      </c>
      <c r="U24" s="86">
        <v>-9833.4</v>
      </c>
      <c r="V24" s="420">
        <f>R24+S24+T24+U24</f>
        <v>-6112.7999999999993</v>
      </c>
      <c r="W24" s="86">
        <f t="shared" si="6"/>
        <v>-3299.4999999999964</v>
      </c>
    </row>
    <row r="25" spans="1:23" s="298" customFormat="1" ht="11.25" customHeight="1">
      <c r="A25" s="531" t="s">
        <v>1955</v>
      </c>
      <c r="B25" s="530"/>
      <c r="C25" s="515">
        <f t="shared" ref="C25:O25" si="15">SUM(C26:C29)</f>
        <v>211643</v>
      </c>
      <c r="D25" s="515">
        <f t="shared" si="15"/>
        <v>272427.10000000003</v>
      </c>
      <c r="E25" s="515">
        <f t="shared" si="15"/>
        <v>-60784.099999999991</v>
      </c>
      <c r="F25" s="515">
        <f t="shared" si="15"/>
        <v>22601.1</v>
      </c>
      <c r="G25" s="515">
        <f t="shared" si="15"/>
        <v>48387.100000000006</v>
      </c>
      <c r="H25" s="515">
        <f t="shared" si="15"/>
        <v>-25786.000000000004</v>
      </c>
      <c r="I25" s="515">
        <f t="shared" si="15"/>
        <v>965.00000000000011</v>
      </c>
      <c r="J25" s="515">
        <f t="shared" si="15"/>
        <v>19441.600000000002</v>
      </c>
      <c r="K25" s="515">
        <f t="shared" si="15"/>
        <v>-18476.600000000002</v>
      </c>
      <c r="L25" s="515">
        <f t="shared" si="15"/>
        <v>516.6</v>
      </c>
      <c r="M25" s="515">
        <f t="shared" si="15"/>
        <v>119520.40000000001</v>
      </c>
      <c r="N25" s="515">
        <f t="shared" si="15"/>
        <v>120037</v>
      </c>
      <c r="O25" s="515">
        <f t="shared" si="15"/>
        <v>14990.300000000003</v>
      </c>
      <c r="P25" s="531" t="s">
        <v>1955</v>
      </c>
      <c r="Q25" s="515">
        <f t="shared" ref="Q25:W25" si="16">SUM(Q26:Q29)</f>
        <v>4690.7999999999993</v>
      </c>
      <c r="R25" s="515">
        <f t="shared" si="16"/>
        <v>-13776.300000000001</v>
      </c>
      <c r="S25" s="515">
        <f t="shared" si="16"/>
        <v>742.90000000000009</v>
      </c>
      <c r="T25" s="515">
        <f t="shared" si="16"/>
        <v>-15951.5</v>
      </c>
      <c r="U25" s="515">
        <f t="shared" si="16"/>
        <v>41316</v>
      </c>
      <c r="V25" s="515">
        <f t="shared" si="16"/>
        <v>12331.100000000002</v>
      </c>
      <c r="W25" s="515">
        <f t="shared" si="16"/>
        <v>-7350.0000000000018</v>
      </c>
    </row>
    <row r="26" spans="1:23" s="298" customFormat="1" ht="10.35" customHeight="1">
      <c r="A26" s="299" t="s">
        <v>2679</v>
      </c>
      <c r="B26" s="299"/>
      <c r="C26" s="86">
        <v>50410.7</v>
      </c>
      <c r="D26" s="86">
        <v>66242.399999999994</v>
      </c>
      <c r="E26" s="86">
        <f>C26-D26</f>
        <v>-15831.699999999997</v>
      </c>
      <c r="F26" s="40">
        <v>5609.4</v>
      </c>
      <c r="G26" s="40">
        <v>12293.4</v>
      </c>
      <c r="H26" s="86">
        <f>F26-G26</f>
        <v>-6684</v>
      </c>
      <c r="I26" s="86">
        <v>349.3</v>
      </c>
      <c r="J26" s="86">
        <v>5446.4</v>
      </c>
      <c r="K26" s="86">
        <f>I26-J26</f>
        <v>-5097.0999999999995</v>
      </c>
      <c r="L26" s="86">
        <v>242.6</v>
      </c>
      <c r="M26" s="86">
        <v>29798.7</v>
      </c>
      <c r="N26" s="86">
        <f>L26+M26</f>
        <v>30041.3</v>
      </c>
      <c r="O26" s="420">
        <f>E26++H26+K26+N26</f>
        <v>2428.5000000000036</v>
      </c>
      <c r="P26" s="299" t="s">
        <v>2679</v>
      </c>
      <c r="Q26" s="86">
        <v>1051</v>
      </c>
      <c r="R26" s="86">
        <v>-3242.7</v>
      </c>
      <c r="S26" s="86">
        <v>-1032.5999999999999</v>
      </c>
      <c r="T26" s="86">
        <v>2109.8000000000002</v>
      </c>
      <c r="U26" s="86">
        <v>6019</v>
      </c>
      <c r="V26" s="420">
        <f t="shared" ref="V26:V39" si="17">R26+S26+T26+U26</f>
        <v>3853.5000000000009</v>
      </c>
      <c r="W26" s="86">
        <f>-(O26+Q26-V26)</f>
        <v>373.99999999999727</v>
      </c>
    </row>
    <row r="27" spans="1:23" s="298" customFormat="1" ht="10.35" customHeight="1">
      <c r="A27" s="530" t="s">
        <v>2676</v>
      </c>
      <c r="B27" s="530"/>
      <c r="C27" s="503">
        <v>50177.8</v>
      </c>
      <c r="D27" s="503">
        <v>65773.3</v>
      </c>
      <c r="E27" s="503">
        <f>C27-D27</f>
        <v>-15595.5</v>
      </c>
      <c r="F27" s="503">
        <v>5759.8</v>
      </c>
      <c r="G27" s="508">
        <v>12670.2</v>
      </c>
      <c r="H27" s="503">
        <f>F27-G27</f>
        <v>-6910.4000000000005</v>
      </c>
      <c r="I27" s="503">
        <v>265.10000000000002</v>
      </c>
      <c r="J27" s="503">
        <v>4126.3</v>
      </c>
      <c r="K27" s="503">
        <f>I27-J27</f>
        <v>-3861.2000000000003</v>
      </c>
      <c r="L27" s="503">
        <v>116.6</v>
      </c>
      <c r="M27" s="503">
        <v>32413.599999999999</v>
      </c>
      <c r="N27" s="503">
        <f>L27+M27</f>
        <v>32530.199999999997</v>
      </c>
      <c r="O27" s="509">
        <f>E27++H27+K27+N27</f>
        <v>6163.0999999999949</v>
      </c>
      <c r="P27" s="530" t="s">
        <v>2676</v>
      </c>
      <c r="Q27" s="503">
        <v>1548.6</v>
      </c>
      <c r="R27" s="503">
        <v>-3238.3</v>
      </c>
      <c r="S27" s="503">
        <v>1528.8</v>
      </c>
      <c r="T27" s="503">
        <v>-7249.6</v>
      </c>
      <c r="U27" s="508">
        <v>12228.5</v>
      </c>
      <c r="V27" s="509">
        <f t="shared" si="17"/>
        <v>3269.3999999999996</v>
      </c>
      <c r="W27" s="503">
        <f>-(O27+Q27-V27)</f>
        <v>-4442.2999999999956</v>
      </c>
    </row>
    <row r="28" spans="1:23" s="298" customFormat="1" ht="10.35" customHeight="1">
      <c r="A28" s="299" t="s">
        <v>2677</v>
      </c>
      <c r="B28" s="299"/>
      <c r="C28" s="86">
        <v>55023.1</v>
      </c>
      <c r="D28" s="86">
        <v>66242.7</v>
      </c>
      <c r="E28" s="86">
        <f>C28-D28</f>
        <v>-11219.599999999999</v>
      </c>
      <c r="F28" s="40">
        <v>5395.4</v>
      </c>
      <c r="G28" s="40">
        <v>10954.2</v>
      </c>
      <c r="H28" s="86">
        <f>F28-G28</f>
        <v>-5558.8000000000011</v>
      </c>
      <c r="I28" s="86">
        <v>152.69999999999999</v>
      </c>
      <c r="J28" s="86">
        <v>4615.1000000000004</v>
      </c>
      <c r="K28" s="86">
        <f>I28-J28</f>
        <v>-4462.4000000000005</v>
      </c>
      <c r="L28" s="86">
        <v>79.900000000000006</v>
      </c>
      <c r="M28" s="86">
        <v>30301.4</v>
      </c>
      <c r="N28" s="86">
        <f>L28+M28</f>
        <v>30381.300000000003</v>
      </c>
      <c r="O28" s="420">
        <f>E28++H28+K28+N28</f>
        <v>9140.5</v>
      </c>
      <c r="P28" s="299" t="s">
        <v>2677</v>
      </c>
      <c r="Q28" s="86">
        <v>1061.0999999999999</v>
      </c>
      <c r="R28" s="86">
        <v>-3658.2</v>
      </c>
      <c r="S28" s="86">
        <v>-6.1</v>
      </c>
      <c r="T28" s="86">
        <v>1996.8</v>
      </c>
      <c r="U28" s="86">
        <v>10823.3</v>
      </c>
      <c r="V28" s="420">
        <f t="shared" si="17"/>
        <v>9155.7999999999993</v>
      </c>
      <c r="W28" s="86">
        <f>-(O28+Q28-V28)</f>
        <v>-1045.8000000000011</v>
      </c>
    </row>
    <row r="29" spans="1:23" s="298" customFormat="1" ht="10.35" customHeight="1">
      <c r="A29" s="530" t="s">
        <v>2678</v>
      </c>
      <c r="B29" s="530"/>
      <c r="C29" s="503">
        <v>56031.4</v>
      </c>
      <c r="D29" s="503">
        <v>74168.7</v>
      </c>
      <c r="E29" s="503">
        <f>C29-D29</f>
        <v>-18137.299999999996</v>
      </c>
      <c r="F29" s="508">
        <v>5836.5</v>
      </c>
      <c r="G29" s="508">
        <v>12469.3</v>
      </c>
      <c r="H29" s="503">
        <f>F29-G29</f>
        <v>-6632.7999999999993</v>
      </c>
      <c r="I29" s="503">
        <v>197.9</v>
      </c>
      <c r="J29" s="503">
        <v>5253.8</v>
      </c>
      <c r="K29" s="503">
        <f>I29-J29</f>
        <v>-5055.9000000000005</v>
      </c>
      <c r="L29" s="503">
        <v>77.5</v>
      </c>
      <c r="M29" s="503">
        <v>27006.7</v>
      </c>
      <c r="N29" s="503">
        <f>L29+M29</f>
        <v>27084.2</v>
      </c>
      <c r="O29" s="509">
        <f>E29++H29+K29+N29</f>
        <v>-2741.7999999999956</v>
      </c>
      <c r="P29" s="530" t="s">
        <v>2678</v>
      </c>
      <c r="Q29" s="503">
        <v>1030.0999999999999</v>
      </c>
      <c r="R29" s="503">
        <v>-3637.1</v>
      </c>
      <c r="S29" s="503">
        <v>252.8</v>
      </c>
      <c r="T29" s="503">
        <v>-12808.5</v>
      </c>
      <c r="U29" s="508">
        <v>12245.2</v>
      </c>
      <c r="V29" s="509">
        <f t="shared" si="17"/>
        <v>-3947.5999999999985</v>
      </c>
      <c r="W29" s="503">
        <f>-(O29+Q29-V29)</f>
        <v>-2235.9000000000028</v>
      </c>
    </row>
    <row r="30" spans="1:23" s="298" customFormat="1" ht="10.35" customHeight="1">
      <c r="A30" s="311" t="s">
        <v>1886</v>
      </c>
      <c r="B30" s="299"/>
      <c r="C30" s="806">
        <f t="shared" ref="C30:O30" si="18">SUM(C31:C34)</f>
        <v>230946.3</v>
      </c>
      <c r="D30" s="806">
        <f t="shared" si="18"/>
        <v>286835.69999999995</v>
      </c>
      <c r="E30" s="806">
        <f t="shared" si="18"/>
        <v>-55889.4</v>
      </c>
      <c r="F30" s="806">
        <f t="shared" si="18"/>
        <v>24212.899999999998</v>
      </c>
      <c r="G30" s="806">
        <f t="shared" si="18"/>
        <v>56129.399999999994</v>
      </c>
      <c r="H30" s="806">
        <f t="shared" si="18"/>
        <v>-31916.5</v>
      </c>
      <c r="I30" s="806">
        <f t="shared" si="18"/>
        <v>1011.5000000000001</v>
      </c>
      <c r="J30" s="806">
        <f t="shared" si="18"/>
        <v>21168.1</v>
      </c>
      <c r="K30" s="806">
        <f t="shared" si="18"/>
        <v>-20156.599999999999</v>
      </c>
      <c r="L30" s="806">
        <f t="shared" si="18"/>
        <v>615.20000000000005</v>
      </c>
      <c r="M30" s="806">
        <f t="shared" si="18"/>
        <v>115425</v>
      </c>
      <c r="N30" s="806">
        <f t="shared" si="18"/>
        <v>116040.2</v>
      </c>
      <c r="O30" s="806">
        <f t="shared" si="18"/>
        <v>8077.7000000000044</v>
      </c>
      <c r="P30" s="311" t="s">
        <v>1886</v>
      </c>
      <c r="Q30" s="806">
        <f t="shared" ref="Q30:W30" si="19">SUM(Q31:Q34)</f>
        <v>5009.5</v>
      </c>
      <c r="R30" s="806">
        <f t="shared" si="19"/>
        <v>-11562.9</v>
      </c>
      <c r="S30" s="806">
        <f t="shared" si="19"/>
        <v>-3019.8999999999996</v>
      </c>
      <c r="T30" s="806">
        <f t="shared" si="19"/>
        <v>-17019.400000000001</v>
      </c>
      <c r="U30" s="806">
        <f t="shared" si="19"/>
        <v>45942.100000000006</v>
      </c>
      <c r="V30" s="806">
        <f t="shared" si="19"/>
        <v>14339.899999999998</v>
      </c>
      <c r="W30" s="806">
        <f t="shared" si="19"/>
        <v>1252.6999999999916</v>
      </c>
    </row>
    <row r="31" spans="1:23" s="298" customFormat="1" ht="10.35" customHeight="1">
      <c r="A31" s="530" t="s">
        <v>2679</v>
      </c>
      <c r="B31" s="530"/>
      <c r="C31" s="503">
        <v>58485.3</v>
      </c>
      <c r="D31" s="503">
        <v>69051.100000000006</v>
      </c>
      <c r="E31" s="503">
        <f>C31-D31</f>
        <v>-10565.800000000003</v>
      </c>
      <c r="F31" s="503">
        <v>5686.6</v>
      </c>
      <c r="G31" s="503">
        <v>13333.4</v>
      </c>
      <c r="H31" s="503">
        <f>F31-G31</f>
        <v>-7646.7999999999993</v>
      </c>
      <c r="I31" s="503">
        <v>371.8</v>
      </c>
      <c r="J31" s="503">
        <v>5638.6</v>
      </c>
      <c r="K31" s="503">
        <f>I31-J31</f>
        <v>-5266.8</v>
      </c>
      <c r="L31" s="503">
        <v>117.3</v>
      </c>
      <c r="M31" s="503">
        <v>26557.8</v>
      </c>
      <c r="N31" s="503">
        <f>L31+M31</f>
        <v>26675.1</v>
      </c>
      <c r="O31" s="509">
        <f>E31++H31+K31+N31</f>
        <v>3195.6999999999971</v>
      </c>
      <c r="P31" s="530" t="s">
        <v>2679</v>
      </c>
      <c r="Q31" s="503">
        <v>1558.6</v>
      </c>
      <c r="R31" s="503">
        <v>-2578.1999999999998</v>
      </c>
      <c r="S31" s="503">
        <v>-1321.4</v>
      </c>
      <c r="T31" s="503">
        <v>2920.1</v>
      </c>
      <c r="U31" s="508">
        <v>4898.7</v>
      </c>
      <c r="V31" s="509">
        <f t="shared" si="17"/>
        <v>3919.2</v>
      </c>
      <c r="W31" s="503">
        <f>-(O31+Q31-V31)</f>
        <v>-835.09999999999764</v>
      </c>
    </row>
    <row r="32" spans="1:23" s="298" customFormat="1" ht="10.35" customHeight="1">
      <c r="A32" s="299" t="s">
        <v>2676</v>
      </c>
      <c r="B32" s="299"/>
      <c r="C32" s="86">
        <v>54108.6</v>
      </c>
      <c r="D32" s="86">
        <v>63864.9</v>
      </c>
      <c r="E32" s="86">
        <f>C32-D32</f>
        <v>-9756.3000000000029</v>
      </c>
      <c r="F32" s="86">
        <v>6480.5</v>
      </c>
      <c r="G32" s="86">
        <v>14506.4</v>
      </c>
      <c r="H32" s="86">
        <f>F32-G32</f>
        <v>-8025.9</v>
      </c>
      <c r="I32" s="86">
        <v>309.3</v>
      </c>
      <c r="J32" s="86">
        <v>5102.3999999999996</v>
      </c>
      <c r="K32" s="86">
        <f>I32-J32</f>
        <v>-4793.0999999999995</v>
      </c>
      <c r="L32" s="86">
        <v>334.6</v>
      </c>
      <c r="M32" s="86">
        <v>28796.1</v>
      </c>
      <c r="N32" s="86">
        <f>L32+M32</f>
        <v>29130.699999999997</v>
      </c>
      <c r="O32" s="420">
        <f>E32++H32+K32+N32</f>
        <v>6555.3999999999942</v>
      </c>
      <c r="P32" s="299" t="s">
        <v>2676</v>
      </c>
      <c r="Q32" s="86">
        <v>2009.6</v>
      </c>
      <c r="R32" s="86">
        <v>-2579.8000000000002</v>
      </c>
      <c r="S32" s="86">
        <v>44.2</v>
      </c>
      <c r="T32" s="86">
        <v>-10405.1</v>
      </c>
      <c r="U32" s="86">
        <v>15407.7</v>
      </c>
      <c r="V32" s="420">
        <f t="shared" si="17"/>
        <v>2467</v>
      </c>
      <c r="W32" s="86">
        <f>-(O32+Q32-V32)</f>
        <v>-6097.9999999999945</v>
      </c>
    </row>
    <row r="33" spans="1:23" s="298" customFormat="1" ht="10.35" customHeight="1">
      <c r="A33" s="530" t="s">
        <v>2677</v>
      </c>
      <c r="B33" s="530"/>
      <c r="C33" s="503">
        <v>57795.4</v>
      </c>
      <c r="D33" s="503">
        <v>75040.3</v>
      </c>
      <c r="E33" s="503">
        <f>C33-D33</f>
        <v>-17244.900000000001</v>
      </c>
      <c r="F33" s="503">
        <v>5784</v>
      </c>
      <c r="G33" s="503">
        <v>12885.8</v>
      </c>
      <c r="H33" s="503">
        <f>F33-G33</f>
        <v>-7101.7999999999993</v>
      </c>
      <c r="I33" s="503">
        <v>191.8</v>
      </c>
      <c r="J33" s="503">
        <v>4686.8999999999996</v>
      </c>
      <c r="K33" s="503">
        <f>I33-J33</f>
        <v>-4495.0999999999995</v>
      </c>
      <c r="L33" s="503">
        <v>111.9</v>
      </c>
      <c r="M33" s="503">
        <v>29979.7</v>
      </c>
      <c r="N33" s="503">
        <f>L33+M33</f>
        <v>30091.600000000002</v>
      </c>
      <c r="O33" s="509">
        <f>E33++H33+K33+N33</f>
        <v>1249.8000000000029</v>
      </c>
      <c r="P33" s="530" t="s">
        <v>2677</v>
      </c>
      <c r="Q33" s="503">
        <v>758</v>
      </c>
      <c r="R33" s="503">
        <v>-3404.8</v>
      </c>
      <c r="S33" s="503">
        <v>1627.5</v>
      </c>
      <c r="T33" s="503">
        <v>2039.2</v>
      </c>
      <c r="U33" s="503">
        <v>8876.4</v>
      </c>
      <c r="V33" s="509">
        <f t="shared" si="17"/>
        <v>9138.2999999999993</v>
      </c>
      <c r="W33" s="503">
        <f>-(O33+Q33-V33)</f>
        <v>7130.4999999999964</v>
      </c>
    </row>
    <row r="34" spans="1:23" s="298" customFormat="1" ht="10.35" customHeight="1">
      <c r="A34" s="299" t="s">
        <v>2678</v>
      </c>
      <c r="B34" s="299"/>
      <c r="C34" s="86">
        <v>60557</v>
      </c>
      <c r="D34" s="86">
        <v>78879.399999999994</v>
      </c>
      <c r="E34" s="86">
        <f>C34-D34</f>
        <v>-18322.399999999994</v>
      </c>
      <c r="F34" s="86">
        <v>6261.8</v>
      </c>
      <c r="G34" s="86">
        <v>15403.8</v>
      </c>
      <c r="H34" s="86">
        <f>F34-G34</f>
        <v>-9142</v>
      </c>
      <c r="I34" s="86">
        <v>138.6</v>
      </c>
      <c r="J34" s="86">
        <v>5740.2</v>
      </c>
      <c r="K34" s="86">
        <f>I34-J34</f>
        <v>-5601.5999999999995</v>
      </c>
      <c r="L34" s="86">
        <v>51.4</v>
      </c>
      <c r="M34" s="86">
        <v>30091.4</v>
      </c>
      <c r="N34" s="86">
        <f>L34+M34</f>
        <v>30142.800000000003</v>
      </c>
      <c r="O34" s="420">
        <f>E34++H34+K34+N34</f>
        <v>-2923.1999999999898</v>
      </c>
      <c r="P34" s="299" t="s">
        <v>2678</v>
      </c>
      <c r="Q34" s="86">
        <v>683.3</v>
      </c>
      <c r="R34" s="86">
        <v>-3000.1</v>
      </c>
      <c r="S34" s="86">
        <v>-3370.2</v>
      </c>
      <c r="T34" s="86">
        <v>-11573.6</v>
      </c>
      <c r="U34" s="86">
        <v>16759.3</v>
      </c>
      <c r="V34" s="420">
        <f t="shared" si="17"/>
        <v>-1184.6000000000022</v>
      </c>
      <c r="W34" s="86">
        <f>-(O34+Q34-V34)</f>
        <v>1055.2999999999874</v>
      </c>
    </row>
    <row r="35" spans="1:23" s="336" customFormat="1" ht="10.35" customHeight="1">
      <c r="A35" s="531" t="s">
        <v>2017</v>
      </c>
      <c r="B35" s="531"/>
      <c r="C35" s="515">
        <f t="shared" ref="C35:O35" si="20">SUM(C36:C39)</f>
        <v>238483.7</v>
      </c>
      <c r="D35" s="515">
        <f t="shared" si="20"/>
        <v>284654.7</v>
      </c>
      <c r="E35" s="515">
        <f t="shared" si="20"/>
        <v>-46170.999999999993</v>
      </c>
      <c r="F35" s="515">
        <f t="shared" si="20"/>
        <v>23956.9</v>
      </c>
      <c r="G35" s="515">
        <f t="shared" si="20"/>
        <v>64556.600000000006</v>
      </c>
      <c r="H35" s="515">
        <f t="shared" si="20"/>
        <v>-40599.699999999997</v>
      </c>
      <c r="I35" s="515">
        <f t="shared" si="20"/>
        <v>582.6</v>
      </c>
      <c r="J35" s="515">
        <f t="shared" si="20"/>
        <v>22769.799999999996</v>
      </c>
      <c r="K35" s="515">
        <f t="shared" si="20"/>
        <v>-22187.200000000001</v>
      </c>
      <c r="L35" s="515">
        <f t="shared" si="20"/>
        <v>594.6</v>
      </c>
      <c r="M35" s="515">
        <f t="shared" si="20"/>
        <v>122888.8</v>
      </c>
      <c r="N35" s="515">
        <f t="shared" si="20"/>
        <v>123483.4</v>
      </c>
      <c r="O35" s="515">
        <f t="shared" si="20"/>
        <v>14525.500000000015</v>
      </c>
      <c r="P35" s="1430" t="s">
        <v>2017</v>
      </c>
      <c r="Q35" s="515">
        <f t="shared" ref="Q35:W35" si="21">SUM(Q36:Q39)</f>
        <v>4024.8999999999996</v>
      </c>
      <c r="R35" s="515">
        <f t="shared" si="21"/>
        <v>-14216.999999999998</v>
      </c>
      <c r="S35" s="515">
        <f t="shared" si="21"/>
        <v>-4157.5</v>
      </c>
      <c r="T35" s="515">
        <f t="shared" si="21"/>
        <v>-3579.9999999999991</v>
      </c>
      <c r="U35" s="515">
        <f t="shared" si="21"/>
        <v>33041</v>
      </c>
      <c r="V35" s="515">
        <f t="shared" si="21"/>
        <v>11086.5</v>
      </c>
      <c r="W35" s="515">
        <f t="shared" si="21"/>
        <v>-7463.9000000000133</v>
      </c>
    </row>
    <row r="36" spans="1:23" s="298" customFormat="1" ht="10.35" customHeight="1">
      <c r="A36" s="299" t="s">
        <v>2679</v>
      </c>
      <c r="B36" s="311"/>
      <c r="C36" s="86">
        <v>58763.3</v>
      </c>
      <c r="D36" s="86">
        <v>67955.600000000006</v>
      </c>
      <c r="E36" s="86">
        <f t="shared" ref="E36:E39" si="22">C36-D36</f>
        <v>-9192.3000000000029</v>
      </c>
      <c r="F36" s="86">
        <v>5790</v>
      </c>
      <c r="G36" s="86">
        <v>15003.6</v>
      </c>
      <c r="H36" s="86">
        <f t="shared" ref="H36:H39" si="23">F36-G36</f>
        <v>-9213.6</v>
      </c>
      <c r="I36" s="413">
        <v>189.5</v>
      </c>
      <c r="J36" s="413">
        <v>6243.7</v>
      </c>
      <c r="K36" s="413">
        <f t="shared" ref="K36" si="24">I36-J36</f>
        <v>-6054.2</v>
      </c>
      <c r="L36" s="413">
        <v>158</v>
      </c>
      <c r="M36" s="413">
        <v>31829.8</v>
      </c>
      <c r="N36" s="413">
        <f t="shared" ref="N36:N39" si="25">L36+M36</f>
        <v>31987.8</v>
      </c>
      <c r="O36" s="412">
        <f t="shared" ref="O36:O39" si="26">E36++H36+K36+N36</f>
        <v>7527.6999999999971</v>
      </c>
      <c r="P36" s="430" t="s">
        <v>2679</v>
      </c>
      <c r="Q36" s="413">
        <v>1108.5999999999999</v>
      </c>
      <c r="R36" s="413">
        <v>-2637.7</v>
      </c>
      <c r="S36" s="413">
        <v>-3010.8</v>
      </c>
      <c r="T36" s="413">
        <v>4057.2</v>
      </c>
      <c r="U36" s="413">
        <v>5014.2</v>
      </c>
      <c r="V36" s="412">
        <f t="shared" si="17"/>
        <v>3422.8999999999996</v>
      </c>
      <c r="W36" s="86">
        <f t="shared" ref="W36:W39" si="27">-(O36+Q36-V36)</f>
        <v>-5213.3999999999978</v>
      </c>
    </row>
    <row r="37" spans="1:23" s="298" customFormat="1" ht="10.35" customHeight="1">
      <c r="A37" s="530" t="s">
        <v>2676</v>
      </c>
      <c r="B37" s="531"/>
      <c r="C37" s="503">
        <v>55218</v>
      </c>
      <c r="D37" s="503">
        <v>68562.399999999994</v>
      </c>
      <c r="E37" s="503">
        <f t="shared" si="22"/>
        <v>-13344.399999999994</v>
      </c>
      <c r="F37" s="503">
        <v>6487.3</v>
      </c>
      <c r="G37" s="503">
        <v>17034.3</v>
      </c>
      <c r="H37" s="503">
        <f t="shared" si="23"/>
        <v>-10547</v>
      </c>
      <c r="I37" s="498">
        <v>108.8</v>
      </c>
      <c r="J37" s="498">
        <v>5131.3999999999996</v>
      </c>
      <c r="K37" s="498">
        <f>I37-J37</f>
        <v>-5022.5999999999995</v>
      </c>
      <c r="L37" s="498">
        <v>176.8</v>
      </c>
      <c r="M37" s="498">
        <v>28737</v>
      </c>
      <c r="N37" s="498">
        <f t="shared" si="25"/>
        <v>28913.8</v>
      </c>
      <c r="O37" s="497">
        <f t="shared" si="26"/>
        <v>-0.19999999999345164</v>
      </c>
      <c r="P37" s="530" t="s">
        <v>2676</v>
      </c>
      <c r="Q37" s="498">
        <v>1305.5</v>
      </c>
      <c r="R37" s="498">
        <v>-3067.2</v>
      </c>
      <c r="S37" s="498">
        <v>1173.0999999999999</v>
      </c>
      <c r="T37" s="498">
        <v>-7116</v>
      </c>
      <c r="U37" s="498">
        <v>5362.8</v>
      </c>
      <c r="V37" s="497">
        <f t="shared" si="17"/>
        <v>-3647.3</v>
      </c>
      <c r="W37" s="503">
        <f t="shared" si="27"/>
        <v>-4952.6000000000067</v>
      </c>
    </row>
    <row r="38" spans="1:23" s="298" customFormat="1" ht="10.35" customHeight="1">
      <c r="A38" s="299" t="s">
        <v>2677</v>
      </c>
      <c r="B38" s="311"/>
      <c r="C38" s="86">
        <v>61177.1</v>
      </c>
      <c r="D38" s="86">
        <v>69187.7</v>
      </c>
      <c r="E38" s="86">
        <f t="shared" si="22"/>
        <v>-8010.5999999999985</v>
      </c>
      <c r="F38" s="86">
        <v>5508.7</v>
      </c>
      <c r="G38" s="86">
        <v>15305.2</v>
      </c>
      <c r="H38" s="86">
        <f t="shared" si="23"/>
        <v>-9796.5</v>
      </c>
      <c r="I38" s="413">
        <v>156</v>
      </c>
      <c r="J38" s="413">
        <v>5663.1</v>
      </c>
      <c r="K38" s="413">
        <f t="shared" ref="K38:K39" si="28">I38-J38</f>
        <v>-5507.1</v>
      </c>
      <c r="L38" s="413">
        <v>81.400000000000006</v>
      </c>
      <c r="M38" s="413">
        <v>30021.5</v>
      </c>
      <c r="N38" s="413">
        <f t="shared" si="25"/>
        <v>30102.9</v>
      </c>
      <c r="O38" s="412">
        <f t="shared" si="26"/>
        <v>6788.7000000000044</v>
      </c>
      <c r="P38" s="299" t="s">
        <v>2677</v>
      </c>
      <c r="Q38" s="413">
        <v>542.79999999999995</v>
      </c>
      <c r="R38" s="413">
        <v>-4719.2</v>
      </c>
      <c r="S38" s="413">
        <v>-932.7</v>
      </c>
      <c r="T38" s="413">
        <v>9475.2000000000007</v>
      </c>
      <c r="U38" s="413">
        <v>8244.6</v>
      </c>
      <c r="V38" s="412">
        <f t="shared" si="17"/>
        <v>12067.900000000001</v>
      </c>
      <c r="W38" s="86">
        <f t="shared" si="27"/>
        <v>4736.3999999999969</v>
      </c>
    </row>
    <row r="39" spans="1:23" s="298" customFormat="1" ht="10.35" customHeight="1">
      <c r="A39" s="530" t="s">
        <v>2678</v>
      </c>
      <c r="B39" s="531"/>
      <c r="C39" s="503">
        <v>63325.3</v>
      </c>
      <c r="D39" s="503">
        <v>78949</v>
      </c>
      <c r="E39" s="503">
        <f t="shared" si="22"/>
        <v>-15623.699999999997</v>
      </c>
      <c r="F39" s="503">
        <v>6170.9</v>
      </c>
      <c r="G39" s="503">
        <v>17213.5</v>
      </c>
      <c r="H39" s="503">
        <f t="shared" si="23"/>
        <v>-11042.6</v>
      </c>
      <c r="I39" s="498">
        <v>128.30000000000001</v>
      </c>
      <c r="J39" s="498">
        <v>5731.6</v>
      </c>
      <c r="K39" s="498">
        <f t="shared" si="28"/>
        <v>-5603.3</v>
      </c>
      <c r="L39" s="498">
        <v>178.4</v>
      </c>
      <c r="M39" s="498">
        <v>32300.5</v>
      </c>
      <c r="N39" s="498">
        <f t="shared" si="25"/>
        <v>32478.9</v>
      </c>
      <c r="O39" s="497">
        <f t="shared" si="26"/>
        <v>209.30000000000655</v>
      </c>
      <c r="P39" s="530" t="s">
        <v>2678</v>
      </c>
      <c r="Q39" s="498">
        <v>1068</v>
      </c>
      <c r="R39" s="498">
        <v>-3792.9</v>
      </c>
      <c r="S39" s="498">
        <v>-1387.1</v>
      </c>
      <c r="T39" s="498">
        <v>-9996.4</v>
      </c>
      <c r="U39" s="498">
        <v>14419.4</v>
      </c>
      <c r="V39" s="497">
        <f t="shared" si="17"/>
        <v>-757</v>
      </c>
      <c r="W39" s="503">
        <f t="shared" si="27"/>
        <v>-2034.3000000000065</v>
      </c>
    </row>
    <row r="40" spans="1:23" s="298" customFormat="1" ht="10.35" customHeight="1">
      <c r="A40" s="311" t="s">
        <v>2226</v>
      </c>
      <c r="B40" s="299"/>
      <c r="C40" s="806">
        <f t="shared" ref="C40:O40" si="29">SUM(C41:C44)</f>
        <v>261822.6</v>
      </c>
      <c r="D40" s="806">
        <f t="shared" si="29"/>
        <v>303951.89999999997</v>
      </c>
      <c r="E40" s="806">
        <f t="shared" si="29"/>
        <v>-42129.299999999996</v>
      </c>
      <c r="F40" s="806">
        <f t="shared" si="29"/>
        <v>27156.699999999997</v>
      </c>
      <c r="G40" s="806">
        <f t="shared" si="29"/>
        <v>57509.7</v>
      </c>
      <c r="H40" s="806">
        <f t="shared" si="29"/>
        <v>-30353</v>
      </c>
      <c r="I40" s="806">
        <f t="shared" si="29"/>
        <v>1200.1000000000001</v>
      </c>
      <c r="J40" s="806">
        <f t="shared" si="29"/>
        <v>20802</v>
      </c>
      <c r="K40" s="806">
        <f t="shared" si="29"/>
        <v>-19601.899999999998</v>
      </c>
      <c r="L40" s="806">
        <f t="shared" si="29"/>
        <v>532.1</v>
      </c>
      <c r="M40" s="806">
        <f t="shared" si="29"/>
        <v>119572.5</v>
      </c>
      <c r="N40" s="806">
        <f t="shared" si="29"/>
        <v>120104.59999999999</v>
      </c>
      <c r="O40" s="806">
        <f t="shared" si="29"/>
        <v>28020.399999999994</v>
      </c>
      <c r="P40" s="311" t="s">
        <v>2226</v>
      </c>
      <c r="Q40" s="806">
        <f t="shared" ref="Q40:W40" si="30">SUM(Q41:Q44)</f>
        <v>3748.4</v>
      </c>
      <c r="R40" s="806">
        <f t="shared" si="30"/>
        <v>-15496</v>
      </c>
      <c r="S40" s="806">
        <f t="shared" si="30"/>
        <v>3977.3</v>
      </c>
      <c r="T40" s="806">
        <f t="shared" si="30"/>
        <v>-13250.5</v>
      </c>
      <c r="U40" s="806">
        <f t="shared" si="30"/>
        <v>42962.3</v>
      </c>
      <c r="V40" s="806">
        <f t="shared" si="30"/>
        <v>18193.099999999999</v>
      </c>
      <c r="W40" s="806">
        <f t="shared" si="30"/>
        <v>-13575.699999999997</v>
      </c>
    </row>
    <row r="41" spans="1:23" s="298" customFormat="1" ht="10.35" customHeight="1">
      <c r="A41" s="530" t="s">
        <v>2679</v>
      </c>
      <c r="B41" s="530"/>
      <c r="C41" s="503">
        <v>59442.1</v>
      </c>
      <c r="D41" s="503">
        <v>66334.2</v>
      </c>
      <c r="E41" s="503">
        <f t="shared" ref="E41:E44" si="31">C41-D41</f>
        <v>-6892.0999999999985</v>
      </c>
      <c r="F41" s="503">
        <v>6720.8</v>
      </c>
      <c r="G41" s="503">
        <v>13331.9</v>
      </c>
      <c r="H41" s="503">
        <f t="shared" ref="H41:H44" si="32">F41-G41</f>
        <v>-6611.0999999999995</v>
      </c>
      <c r="I41" s="498">
        <v>438.1</v>
      </c>
      <c r="J41" s="498">
        <v>5119.5</v>
      </c>
      <c r="K41" s="498">
        <f t="shared" ref="K41:K44" si="33">I41-J41</f>
        <v>-4681.3999999999996</v>
      </c>
      <c r="L41" s="498">
        <v>106.1</v>
      </c>
      <c r="M41" s="498">
        <v>31252.799999999999</v>
      </c>
      <c r="N41" s="498">
        <f t="shared" ref="N41:N44" si="34">L41+M41</f>
        <v>31358.899999999998</v>
      </c>
      <c r="O41" s="497">
        <f t="shared" ref="O41:O44" si="35">E41++H41+K41+N41</f>
        <v>13174.3</v>
      </c>
      <c r="P41" s="553" t="s">
        <v>2679</v>
      </c>
      <c r="Q41" s="498">
        <v>741</v>
      </c>
      <c r="R41" s="498">
        <v>-4603.5</v>
      </c>
      <c r="S41" s="498">
        <v>-68.599999999999994</v>
      </c>
      <c r="T41" s="498">
        <v>3482.7</v>
      </c>
      <c r="U41" s="498">
        <v>11547</v>
      </c>
      <c r="V41" s="497">
        <f t="shared" ref="V41:V44" si="36">R41+S41+T41+U41</f>
        <v>10357.599999999999</v>
      </c>
      <c r="W41" s="503">
        <f t="shared" ref="W41:W44" si="37">-(O41+Q41-V41)</f>
        <v>-3557.7000000000007</v>
      </c>
    </row>
    <row r="42" spans="1:23" s="298" customFormat="1" ht="10.35" customHeight="1">
      <c r="A42" s="299" t="s">
        <v>2676</v>
      </c>
      <c r="B42" s="299"/>
      <c r="C42" s="86">
        <v>63437</v>
      </c>
      <c r="D42" s="86">
        <v>80652.399999999994</v>
      </c>
      <c r="E42" s="86">
        <f>C42-D42</f>
        <v>-17215.399999999994</v>
      </c>
      <c r="F42" s="86">
        <v>6804.7</v>
      </c>
      <c r="G42" s="86">
        <v>14314.6</v>
      </c>
      <c r="H42" s="86">
        <f t="shared" si="32"/>
        <v>-7509.9000000000005</v>
      </c>
      <c r="I42" s="413">
        <v>359.3</v>
      </c>
      <c r="J42" s="413">
        <v>4697.5</v>
      </c>
      <c r="K42" s="413">
        <f t="shared" si="33"/>
        <v>-4338.2</v>
      </c>
      <c r="L42" s="413">
        <v>130.9</v>
      </c>
      <c r="M42" s="413">
        <v>28831.1</v>
      </c>
      <c r="N42" s="413">
        <f t="shared" si="34"/>
        <v>28962</v>
      </c>
      <c r="O42" s="412">
        <f t="shared" si="35"/>
        <v>-101.49999999999636</v>
      </c>
      <c r="P42" s="430" t="s">
        <v>2676</v>
      </c>
      <c r="Q42" s="413">
        <v>1096.5999999999999</v>
      </c>
      <c r="R42" s="413">
        <v>-4138.8</v>
      </c>
      <c r="S42" s="413">
        <v>811.5</v>
      </c>
      <c r="T42" s="413">
        <v>-5942.4</v>
      </c>
      <c r="U42" s="413">
        <v>9622.5</v>
      </c>
      <c r="V42" s="412">
        <f t="shared" si="36"/>
        <v>352.79999999999927</v>
      </c>
      <c r="W42" s="86">
        <f t="shared" si="37"/>
        <v>-642.30000000000427</v>
      </c>
    </row>
    <row r="43" spans="1:23" s="298" customFormat="1" ht="10.35" customHeight="1">
      <c r="A43" s="530" t="s">
        <v>2677</v>
      </c>
      <c r="B43" s="530"/>
      <c r="C43" s="503">
        <v>67692.899999999994</v>
      </c>
      <c r="D43" s="503">
        <v>74910.100000000006</v>
      </c>
      <c r="E43" s="503">
        <f t="shared" si="31"/>
        <v>-7217.2000000000116</v>
      </c>
      <c r="F43" s="503">
        <v>6535.6</v>
      </c>
      <c r="G43" s="503">
        <v>14012.2</v>
      </c>
      <c r="H43" s="503">
        <f t="shared" si="32"/>
        <v>-7476.6</v>
      </c>
      <c r="I43" s="498">
        <v>222.1</v>
      </c>
      <c r="J43" s="498">
        <v>4594.3999999999996</v>
      </c>
      <c r="K43" s="498">
        <f t="shared" si="33"/>
        <v>-4372.2999999999993</v>
      </c>
      <c r="L43" s="498">
        <v>181.5</v>
      </c>
      <c r="M43" s="498">
        <v>28449</v>
      </c>
      <c r="N43" s="498">
        <f t="shared" si="34"/>
        <v>28630.5</v>
      </c>
      <c r="O43" s="497">
        <f t="shared" si="35"/>
        <v>9564.3999999999869</v>
      </c>
      <c r="P43" s="553" t="s">
        <v>2677</v>
      </c>
      <c r="Q43" s="498">
        <v>1102.7</v>
      </c>
      <c r="R43" s="498">
        <v>-3207.5</v>
      </c>
      <c r="S43" s="498">
        <v>-191.7</v>
      </c>
      <c r="T43" s="498">
        <v>3484</v>
      </c>
      <c r="U43" s="498">
        <v>6149.2</v>
      </c>
      <c r="V43" s="497">
        <f t="shared" si="36"/>
        <v>6234</v>
      </c>
      <c r="W43" s="503">
        <f t="shared" si="37"/>
        <v>-4433.0999999999876</v>
      </c>
    </row>
    <row r="44" spans="1:23" s="298" customFormat="1" ht="10.35" customHeight="1">
      <c r="A44" s="299" t="s">
        <v>2678</v>
      </c>
      <c r="B44" s="299"/>
      <c r="C44" s="86">
        <v>71250.600000000006</v>
      </c>
      <c r="D44" s="86">
        <v>82055.199999999997</v>
      </c>
      <c r="E44" s="86">
        <f t="shared" si="31"/>
        <v>-10804.599999999991</v>
      </c>
      <c r="F44" s="86">
        <v>7095.6</v>
      </c>
      <c r="G44" s="86">
        <v>15851</v>
      </c>
      <c r="H44" s="86">
        <f t="shared" si="32"/>
        <v>-8755.4</v>
      </c>
      <c r="I44" s="413">
        <v>180.6</v>
      </c>
      <c r="J44" s="413">
        <v>6390.6</v>
      </c>
      <c r="K44" s="413">
        <f t="shared" si="33"/>
        <v>-6210</v>
      </c>
      <c r="L44" s="413">
        <v>113.6</v>
      </c>
      <c r="M44" s="413">
        <v>31039.599999999999</v>
      </c>
      <c r="N44" s="413">
        <f t="shared" si="34"/>
        <v>31153.199999999997</v>
      </c>
      <c r="O44" s="412">
        <f t="shared" si="35"/>
        <v>5383.2000000000044</v>
      </c>
      <c r="P44" s="430" t="s">
        <v>2678</v>
      </c>
      <c r="Q44" s="413">
        <v>808.1</v>
      </c>
      <c r="R44" s="413">
        <v>-3546.2</v>
      </c>
      <c r="S44" s="413">
        <v>3426.1</v>
      </c>
      <c r="T44" s="413">
        <v>-14274.8</v>
      </c>
      <c r="U44" s="413">
        <v>15643.6</v>
      </c>
      <c r="V44" s="412">
        <f t="shared" si="36"/>
        <v>1248.7000000000007</v>
      </c>
      <c r="W44" s="86">
        <f t="shared" si="37"/>
        <v>-4942.600000000004</v>
      </c>
    </row>
    <row r="45" spans="1:23" s="300" customFormat="1" ht="21.75">
      <c r="A45" s="531" t="s">
        <v>2427</v>
      </c>
      <c r="B45" s="530"/>
      <c r="C45" s="503"/>
      <c r="D45" s="503"/>
      <c r="E45" s="503"/>
      <c r="F45" s="503"/>
      <c r="G45" s="503"/>
      <c r="H45" s="503"/>
      <c r="I45" s="498"/>
      <c r="J45" s="498"/>
      <c r="K45" s="498"/>
      <c r="L45" s="498"/>
      <c r="M45" s="498"/>
      <c r="N45" s="498"/>
      <c r="O45" s="497"/>
      <c r="P45" s="531" t="s">
        <v>2427</v>
      </c>
      <c r="Q45" s="498"/>
      <c r="R45" s="498"/>
      <c r="S45" s="498"/>
      <c r="T45" s="498"/>
      <c r="U45" s="498"/>
      <c r="V45" s="497"/>
      <c r="W45" s="503"/>
    </row>
    <row r="46" spans="1:23" s="300" customFormat="1">
      <c r="A46" s="299" t="s">
        <v>954</v>
      </c>
      <c r="B46" s="299"/>
      <c r="C46" s="86">
        <v>19493.900000000001</v>
      </c>
      <c r="D46" s="86">
        <v>20765.5</v>
      </c>
      <c r="E46" s="86">
        <f t="shared" ref="E46:E56" si="38">C46-D46</f>
        <v>-1271.5999999999985</v>
      </c>
      <c r="F46" s="86">
        <v>1827.3</v>
      </c>
      <c r="G46" s="86">
        <v>4457.7</v>
      </c>
      <c r="H46" s="86">
        <f t="shared" ref="H46:H56" si="39">F46-G46</f>
        <v>-2630.3999999999996</v>
      </c>
      <c r="I46" s="413">
        <v>27.3</v>
      </c>
      <c r="J46" s="413">
        <v>1764.1</v>
      </c>
      <c r="K46" s="413">
        <f t="shared" ref="K46:K56" si="40">I46-J46</f>
        <v>-1736.8</v>
      </c>
      <c r="L46" s="413">
        <v>0.8</v>
      </c>
      <c r="M46" s="413">
        <v>8102.6</v>
      </c>
      <c r="N46" s="413">
        <f t="shared" ref="N46:N56" si="41">L46+M46</f>
        <v>8103.4000000000005</v>
      </c>
      <c r="O46" s="412">
        <f t="shared" ref="O46:O56" si="42">E46+H46+K46+N46</f>
        <v>2464.6000000000022</v>
      </c>
      <c r="P46" s="299" t="s">
        <v>954</v>
      </c>
      <c r="Q46" s="413">
        <v>10.8</v>
      </c>
      <c r="R46" s="413">
        <v>-952.1</v>
      </c>
      <c r="S46" s="413">
        <v>-226.3</v>
      </c>
      <c r="T46" s="413">
        <v>5911.2</v>
      </c>
      <c r="U46" s="413">
        <v>-1132.9000000000001</v>
      </c>
      <c r="V46" s="412">
        <f t="shared" ref="V46:V56" si="43">R46+S46+T46+U46</f>
        <v>3599.8999999999992</v>
      </c>
      <c r="W46" s="86">
        <f t="shared" ref="W46:W56" si="44">-(O46+Q46-V46)</f>
        <v>1124.4999999999968</v>
      </c>
    </row>
    <row r="47" spans="1:23" s="300" customFormat="1">
      <c r="A47" s="530" t="s">
        <v>955</v>
      </c>
      <c r="B47" s="530"/>
      <c r="C47" s="503">
        <v>25275.4</v>
      </c>
      <c r="D47" s="503">
        <v>26798.5</v>
      </c>
      <c r="E47" s="503">
        <f t="shared" si="38"/>
        <v>-1523.0999999999985</v>
      </c>
      <c r="F47" s="503">
        <v>2379.6</v>
      </c>
      <c r="G47" s="503">
        <v>5434.1</v>
      </c>
      <c r="H47" s="503">
        <f t="shared" si="39"/>
        <v>-3054.5000000000005</v>
      </c>
      <c r="I47" s="498">
        <v>48.8</v>
      </c>
      <c r="J47" s="498">
        <v>2158.4</v>
      </c>
      <c r="K47" s="498">
        <f t="shared" si="40"/>
        <v>-2109.6</v>
      </c>
      <c r="L47" s="498">
        <v>13.4</v>
      </c>
      <c r="M47" s="498">
        <v>9490.5</v>
      </c>
      <c r="N47" s="498">
        <f t="shared" si="41"/>
        <v>9503.9</v>
      </c>
      <c r="O47" s="497">
        <f t="shared" si="42"/>
        <v>2816.7000000000007</v>
      </c>
      <c r="P47" s="530" t="s">
        <v>955</v>
      </c>
      <c r="Q47" s="498">
        <v>178.6</v>
      </c>
      <c r="R47" s="498">
        <v>-2224.1</v>
      </c>
      <c r="S47" s="498">
        <v>-422.8</v>
      </c>
      <c r="T47" s="498">
        <v>-2420.6</v>
      </c>
      <c r="U47" s="498">
        <v>7342.8</v>
      </c>
      <c r="V47" s="497">
        <f t="shared" si="43"/>
        <v>2275.3000000000002</v>
      </c>
      <c r="W47" s="503">
        <f t="shared" si="44"/>
        <v>-720.00000000000045</v>
      </c>
    </row>
    <row r="48" spans="1:23" s="300" customFormat="1">
      <c r="A48" s="299" t="s">
        <v>949</v>
      </c>
      <c r="B48" s="299"/>
      <c r="C48" s="86">
        <v>17236.599999999999</v>
      </c>
      <c r="D48" s="86">
        <v>24926.6</v>
      </c>
      <c r="E48" s="86">
        <f t="shared" si="38"/>
        <v>-7690</v>
      </c>
      <c r="F48" s="86">
        <v>2508</v>
      </c>
      <c r="G48" s="86">
        <v>5044.6000000000004</v>
      </c>
      <c r="H48" s="86">
        <f t="shared" si="39"/>
        <v>-2536.6000000000004</v>
      </c>
      <c r="I48" s="413">
        <v>32.200000000000003</v>
      </c>
      <c r="J48" s="413">
        <v>1935.1</v>
      </c>
      <c r="K48" s="413">
        <f t="shared" si="40"/>
        <v>-1902.8999999999999</v>
      </c>
      <c r="L48" s="413">
        <v>23.7</v>
      </c>
      <c r="M48" s="413">
        <v>9009.4</v>
      </c>
      <c r="N48" s="413">
        <f t="shared" si="41"/>
        <v>9033.1</v>
      </c>
      <c r="O48" s="412">
        <f t="shared" si="42"/>
        <v>-3096.3999999999996</v>
      </c>
      <c r="P48" s="299" t="s">
        <v>949</v>
      </c>
      <c r="Q48" s="413">
        <v>314.60000000000002</v>
      </c>
      <c r="R48" s="413">
        <v>-965.1</v>
      </c>
      <c r="S48" s="413">
        <v>206</v>
      </c>
      <c r="T48" s="413">
        <v>-2112.8000000000002</v>
      </c>
      <c r="U48" s="413">
        <v>1535.3</v>
      </c>
      <c r="V48" s="412">
        <f t="shared" si="43"/>
        <v>-1336.6000000000001</v>
      </c>
      <c r="W48" s="86">
        <f t="shared" si="44"/>
        <v>1445.1999999999996</v>
      </c>
    </row>
    <row r="49" spans="1:23" s="300" customFormat="1">
      <c r="A49" s="530" t="s">
        <v>956</v>
      </c>
      <c r="B49" s="530"/>
      <c r="C49" s="503">
        <v>20664.7</v>
      </c>
      <c r="D49" s="503">
        <v>29116.2</v>
      </c>
      <c r="E49" s="503">
        <f t="shared" si="38"/>
        <v>-8451.5</v>
      </c>
      <c r="F49" s="503">
        <v>2203.6</v>
      </c>
      <c r="G49" s="503">
        <v>5478.5</v>
      </c>
      <c r="H49" s="503">
        <f t="shared" si="39"/>
        <v>-3274.9</v>
      </c>
      <c r="I49" s="498">
        <v>27.9</v>
      </c>
      <c r="J49" s="498">
        <v>1526.3</v>
      </c>
      <c r="K49" s="498">
        <f t="shared" si="40"/>
        <v>-1498.3999999999999</v>
      </c>
      <c r="L49" s="498">
        <v>94.3</v>
      </c>
      <c r="M49" s="498">
        <v>8235.2999999999993</v>
      </c>
      <c r="N49" s="498">
        <f t="shared" si="41"/>
        <v>8329.5999999999985</v>
      </c>
      <c r="O49" s="497">
        <f t="shared" si="42"/>
        <v>-4895.2000000000007</v>
      </c>
      <c r="P49" s="530" t="s">
        <v>956</v>
      </c>
      <c r="Q49" s="498">
        <v>33</v>
      </c>
      <c r="R49" s="498">
        <v>-3013</v>
      </c>
      <c r="S49" s="498">
        <v>-2262.3000000000002</v>
      </c>
      <c r="T49" s="498">
        <v>-6249.2</v>
      </c>
      <c r="U49" s="498">
        <v>5320</v>
      </c>
      <c r="V49" s="497">
        <f t="shared" si="43"/>
        <v>-6204.5</v>
      </c>
      <c r="W49" s="503">
        <f t="shared" si="44"/>
        <v>-1342.2999999999993</v>
      </c>
    </row>
    <row r="50" spans="1:23" s="300" customFormat="1">
      <c r="A50" s="299" t="s">
        <v>957</v>
      </c>
      <c r="B50" s="299"/>
      <c r="C50" s="86">
        <v>22092</v>
      </c>
      <c r="D50" s="86">
        <v>29850.9</v>
      </c>
      <c r="E50" s="86">
        <f t="shared" si="38"/>
        <v>-7758.9000000000015</v>
      </c>
      <c r="F50" s="86">
        <v>2253.1</v>
      </c>
      <c r="G50" s="86">
        <v>6244.7</v>
      </c>
      <c r="H50" s="86">
        <f t="shared" si="39"/>
        <v>-3991.6</v>
      </c>
      <c r="I50" s="413">
        <v>37.1</v>
      </c>
      <c r="J50" s="413">
        <v>1663.5</v>
      </c>
      <c r="K50" s="413">
        <f t="shared" si="40"/>
        <v>-1626.4</v>
      </c>
      <c r="L50" s="413">
        <v>2.6</v>
      </c>
      <c r="M50" s="413">
        <v>7841.4</v>
      </c>
      <c r="N50" s="413">
        <f t="shared" si="41"/>
        <v>7844</v>
      </c>
      <c r="O50" s="412">
        <f t="shared" si="42"/>
        <v>-5532.9000000000015</v>
      </c>
      <c r="P50" s="299" t="s">
        <v>957</v>
      </c>
      <c r="Q50" s="413">
        <v>34.5</v>
      </c>
      <c r="R50" s="413">
        <v>-1074</v>
      </c>
      <c r="S50" s="413">
        <v>-734.4</v>
      </c>
      <c r="T50" s="413">
        <v>-160.5</v>
      </c>
      <c r="U50" s="413">
        <v>-2645.4</v>
      </c>
      <c r="V50" s="412">
        <f t="shared" si="43"/>
        <v>-4614.3</v>
      </c>
      <c r="W50" s="86">
        <f t="shared" si="44"/>
        <v>884.10000000000127</v>
      </c>
    </row>
    <row r="51" spans="1:23" s="300" customFormat="1">
      <c r="A51" s="530" t="s">
        <v>950</v>
      </c>
      <c r="B51" s="530"/>
      <c r="C51" s="503">
        <v>24154.5</v>
      </c>
      <c r="D51" s="503">
        <v>28334.7</v>
      </c>
      <c r="E51" s="503">
        <f t="shared" si="38"/>
        <v>-4180.2000000000007</v>
      </c>
      <c r="F51" s="503">
        <v>3013.5</v>
      </c>
      <c r="G51" s="503">
        <v>5251.9</v>
      </c>
      <c r="H51" s="503">
        <f t="shared" si="39"/>
        <v>-2238.3999999999996</v>
      </c>
      <c r="I51" s="498">
        <v>43</v>
      </c>
      <c r="J51" s="498">
        <v>1540.2</v>
      </c>
      <c r="K51" s="498">
        <f t="shared" si="40"/>
        <v>-1497.2</v>
      </c>
      <c r="L51" s="498">
        <v>96.2</v>
      </c>
      <c r="M51" s="498">
        <v>7999.7</v>
      </c>
      <c r="N51" s="498">
        <f t="shared" si="41"/>
        <v>8095.9</v>
      </c>
      <c r="O51" s="497">
        <f t="shared" si="42"/>
        <v>180.09999999999945</v>
      </c>
      <c r="P51" s="530" t="s">
        <v>950</v>
      </c>
      <c r="Q51" s="498">
        <v>732.2</v>
      </c>
      <c r="R51" s="498">
        <v>-1377.1</v>
      </c>
      <c r="S51" s="498">
        <v>-598.1</v>
      </c>
      <c r="T51" s="498">
        <v>-3184.9</v>
      </c>
      <c r="U51" s="498">
        <v>6618.9</v>
      </c>
      <c r="V51" s="497">
        <f t="shared" si="43"/>
        <v>1458.7999999999993</v>
      </c>
      <c r="W51" s="503">
        <f t="shared" si="44"/>
        <v>546.49999999999977</v>
      </c>
    </row>
    <row r="52" spans="1:23" s="300" customFormat="1">
      <c r="A52" s="299" t="s">
        <v>958</v>
      </c>
      <c r="B52" s="299"/>
      <c r="C52" s="86">
        <v>25306.2</v>
      </c>
      <c r="D52" s="86">
        <v>30545.200000000001</v>
      </c>
      <c r="E52" s="86">
        <f t="shared" si="38"/>
        <v>-5239</v>
      </c>
      <c r="F52" s="86">
        <v>2442</v>
      </c>
      <c r="G52" s="86">
        <v>6430.5</v>
      </c>
      <c r="H52" s="86">
        <f t="shared" si="39"/>
        <v>-3988.5</v>
      </c>
      <c r="I52" s="413">
        <v>71.3</v>
      </c>
      <c r="J52" s="413">
        <v>1723.7</v>
      </c>
      <c r="K52" s="413">
        <f t="shared" si="40"/>
        <v>-1652.4</v>
      </c>
      <c r="L52" s="413">
        <v>2.5</v>
      </c>
      <c r="M52" s="413">
        <v>8314.2999999999993</v>
      </c>
      <c r="N52" s="413">
        <f t="shared" si="41"/>
        <v>8316.7999999999993</v>
      </c>
      <c r="O52" s="412">
        <f t="shared" si="42"/>
        <v>-2563.1000000000004</v>
      </c>
      <c r="P52" s="299" t="s">
        <v>958</v>
      </c>
      <c r="Q52" s="413">
        <v>33.299999999999997</v>
      </c>
      <c r="R52" s="413">
        <v>-1603.2</v>
      </c>
      <c r="S52" s="413">
        <v>1705.5</v>
      </c>
      <c r="T52" s="413">
        <v>2512</v>
      </c>
      <c r="U52" s="413">
        <v>-4106.8</v>
      </c>
      <c r="V52" s="412">
        <f t="shared" si="43"/>
        <v>-1492.5</v>
      </c>
      <c r="W52" s="86">
        <f t="shared" si="44"/>
        <v>1037.3000000000002</v>
      </c>
    </row>
    <row r="53" spans="1:23" s="300" customFormat="1">
      <c r="A53" s="530" t="s">
        <v>959</v>
      </c>
      <c r="B53" s="530"/>
      <c r="C53" s="503">
        <v>21173.5</v>
      </c>
      <c r="D53" s="503">
        <v>26826.6</v>
      </c>
      <c r="E53" s="503">
        <f t="shared" si="38"/>
        <v>-5653.0999999999985</v>
      </c>
      <c r="F53" s="503">
        <v>2006.3</v>
      </c>
      <c r="G53" s="503">
        <v>4961.2</v>
      </c>
      <c r="H53" s="503">
        <f t="shared" si="39"/>
        <v>-2954.8999999999996</v>
      </c>
      <c r="I53" s="498">
        <v>49.7</v>
      </c>
      <c r="J53" s="498">
        <v>1168</v>
      </c>
      <c r="K53" s="498">
        <f t="shared" si="40"/>
        <v>-1118.3</v>
      </c>
      <c r="L53" s="498">
        <v>0.7</v>
      </c>
      <c r="M53" s="498">
        <v>7691.3</v>
      </c>
      <c r="N53" s="498">
        <f t="shared" si="41"/>
        <v>7692</v>
      </c>
      <c r="O53" s="497">
        <f t="shared" si="42"/>
        <v>-2034.2999999999975</v>
      </c>
      <c r="P53" s="530" t="s">
        <v>959</v>
      </c>
      <c r="Q53" s="498">
        <v>9.3000000000000007</v>
      </c>
      <c r="R53" s="498">
        <v>-1263.9000000000001</v>
      </c>
      <c r="S53" s="498">
        <v>220.1</v>
      </c>
      <c r="T53" s="498">
        <v>-7219.1</v>
      </c>
      <c r="U53" s="498">
        <v>6439.7</v>
      </c>
      <c r="V53" s="497">
        <f t="shared" si="43"/>
        <v>-1823.2000000000016</v>
      </c>
      <c r="W53" s="503">
        <f t="shared" si="44"/>
        <v>201.79999999999586</v>
      </c>
    </row>
    <row r="54" spans="1:23" s="300" customFormat="1">
      <c r="A54" s="299" t="s">
        <v>951</v>
      </c>
      <c r="B54" s="299"/>
      <c r="C54" s="86">
        <v>24177.1</v>
      </c>
      <c r="D54" s="86">
        <v>30869.599999999999</v>
      </c>
      <c r="E54" s="86">
        <f t="shared" si="38"/>
        <v>-6692.5</v>
      </c>
      <c r="F54" s="86">
        <v>2848.2</v>
      </c>
      <c r="G54" s="86">
        <v>5453</v>
      </c>
      <c r="H54" s="86">
        <f t="shared" si="39"/>
        <v>-2604.8000000000002</v>
      </c>
      <c r="I54" s="413">
        <v>41.5</v>
      </c>
      <c r="J54" s="413">
        <v>1940.4</v>
      </c>
      <c r="K54" s="413">
        <f t="shared" si="40"/>
        <v>-1898.9</v>
      </c>
      <c r="L54" s="413">
        <v>21.4</v>
      </c>
      <c r="M54" s="413">
        <v>8688.2999999999993</v>
      </c>
      <c r="N54" s="413">
        <f t="shared" si="41"/>
        <v>8709.6999999999989</v>
      </c>
      <c r="O54" s="412">
        <f t="shared" si="42"/>
        <v>-2486.5</v>
      </c>
      <c r="P54" s="299" t="s">
        <v>951</v>
      </c>
      <c r="Q54" s="413">
        <v>284.2</v>
      </c>
      <c r="R54" s="413">
        <v>-1145.5999999999999</v>
      </c>
      <c r="S54" s="413">
        <v>-1174</v>
      </c>
      <c r="T54" s="413">
        <v>4208.3999999999996</v>
      </c>
      <c r="U54" s="413">
        <v>-2906.7</v>
      </c>
      <c r="V54" s="412">
        <f t="shared" si="43"/>
        <v>-1017.9000000000001</v>
      </c>
      <c r="W54" s="86">
        <f t="shared" si="44"/>
        <v>1184.4000000000001</v>
      </c>
    </row>
    <row r="55" spans="1:23" s="300" customFormat="1">
      <c r="A55" s="530" t="s">
        <v>960</v>
      </c>
      <c r="B55" s="530"/>
      <c r="C55" s="503">
        <v>21690.3</v>
      </c>
      <c r="D55" s="503">
        <v>29977.8</v>
      </c>
      <c r="E55" s="503">
        <f t="shared" si="38"/>
        <v>-8287.5</v>
      </c>
      <c r="F55" s="503">
        <v>2485</v>
      </c>
      <c r="G55" s="503">
        <v>5645.1</v>
      </c>
      <c r="H55" s="503">
        <f t="shared" si="39"/>
        <v>-3160.1000000000004</v>
      </c>
      <c r="I55" s="498">
        <v>72.8</v>
      </c>
      <c r="J55" s="498">
        <v>1255.5999999999999</v>
      </c>
      <c r="K55" s="498">
        <f t="shared" si="40"/>
        <v>-1182.8</v>
      </c>
      <c r="L55" s="498">
        <v>19.399999999999999</v>
      </c>
      <c r="M55" s="498">
        <v>8977.2000000000007</v>
      </c>
      <c r="N55" s="498">
        <f t="shared" si="41"/>
        <v>8996.6</v>
      </c>
      <c r="O55" s="497">
        <f t="shared" si="42"/>
        <v>-3633.7999999999993</v>
      </c>
      <c r="P55" s="530" t="s">
        <v>960</v>
      </c>
      <c r="Q55" s="498">
        <v>257.7</v>
      </c>
      <c r="R55" s="498">
        <v>-700.8</v>
      </c>
      <c r="S55" s="498">
        <v>1147.2</v>
      </c>
      <c r="T55" s="498">
        <v>-6306.7</v>
      </c>
      <c r="U55" s="498">
        <v>1988.1</v>
      </c>
      <c r="V55" s="497">
        <f t="shared" si="43"/>
        <v>-3872.1999999999994</v>
      </c>
      <c r="W55" s="503">
        <f t="shared" si="44"/>
        <v>-496.09999999999991</v>
      </c>
    </row>
    <row r="56" spans="1:23" s="300" customFormat="1" ht="12" thickBot="1">
      <c r="A56" s="1555" t="s">
        <v>961</v>
      </c>
      <c r="B56" s="1555"/>
      <c r="C56" s="1435">
        <v>23242.5</v>
      </c>
      <c r="D56" s="1435">
        <v>31535.5</v>
      </c>
      <c r="E56" s="1435">
        <f t="shared" si="38"/>
        <v>-8293</v>
      </c>
      <c r="F56" s="1435">
        <v>2261.4</v>
      </c>
      <c r="G56" s="1435">
        <v>5993.4</v>
      </c>
      <c r="H56" s="1435">
        <f t="shared" si="39"/>
        <v>-3731.9999999999995</v>
      </c>
      <c r="I56" s="1374">
        <v>60.3</v>
      </c>
      <c r="J56" s="1374">
        <v>2393</v>
      </c>
      <c r="K56" s="1374">
        <f t="shared" si="40"/>
        <v>-2332.6999999999998</v>
      </c>
      <c r="L56" s="1374">
        <v>2.2999999999999998</v>
      </c>
      <c r="M56" s="1374">
        <v>10406.5</v>
      </c>
      <c r="N56" s="1374">
        <f t="shared" si="41"/>
        <v>10408.799999999999</v>
      </c>
      <c r="O56" s="1434">
        <f t="shared" si="42"/>
        <v>-3948.9000000000015</v>
      </c>
      <c r="P56" s="1555" t="s">
        <v>961</v>
      </c>
      <c r="Q56" s="1374">
        <v>30.2</v>
      </c>
      <c r="R56" s="1374">
        <v>-1158.8</v>
      </c>
      <c r="S56" s="1374">
        <v>546.29999999999995</v>
      </c>
      <c r="T56" s="1374">
        <v>-1938.5</v>
      </c>
      <c r="U56" s="1374">
        <v>-2516.8000000000002</v>
      </c>
      <c r="V56" s="1434">
        <f t="shared" si="43"/>
        <v>-5067.8</v>
      </c>
      <c r="W56" s="1435">
        <f t="shared" si="44"/>
        <v>-1149.0999999999985</v>
      </c>
    </row>
    <row r="57" spans="1:23" s="300" customFormat="1">
      <c r="A57" s="312" t="s">
        <v>351</v>
      </c>
      <c r="B57" s="312" t="s">
        <v>304</v>
      </c>
      <c r="C57" s="1774" t="s">
        <v>2604</v>
      </c>
      <c r="D57" s="1774"/>
      <c r="E57" s="1774"/>
      <c r="F57" s="1774"/>
      <c r="G57" s="1774"/>
      <c r="H57" s="1774"/>
      <c r="I57" s="313" t="s">
        <v>32</v>
      </c>
      <c r="J57" s="1768" t="s">
        <v>2603</v>
      </c>
      <c r="K57" s="1768"/>
      <c r="L57" s="1768"/>
      <c r="M57" s="1768"/>
      <c r="N57" s="314"/>
      <c r="O57" s="314"/>
      <c r="P57" s="163" t="s">
        <v>1296</v>
      </c>
      <c r="Q57" s="315" t="s">
        <v>1638</v>
      </c>
      <c r="R57" s="315"/>
      <c r="S57" s="315"/>
      <c r="T57" s="315"/>
      <c r="U57" s="315"/>
      <c r="V57" s="315"/>
      <c r="W57" s="315"/>
    </row>
    <row r="58" spans="1:23" s="300" customFormat="1">
      <c r="A58" s="298"/>
      <c r="B58" s="298"/>
      <c r="C58" s="315" t="s">
        <v>556</v>
      </c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315" t="s">
        <v>1637</v>
      </c>
      <c r="R58" s="315"/>
      <c r="S58" s="315"/>
      <c r="T58" s="315"/>
      <c r="U58" s="315"/>
      <c r="V58" s="315"/>
      <c r="W58" s="315"/>
    </row>
    <row r="59" spans="1:23" s="300" customFormat="1">
      <c r="Q59" s="315" t="s">
        <v>556</v>
      </c>
    </row>
    <row r="60" spans="1:23" s="300" customFormat="1">
      <c r="R60" s="811"/>
    </row>
    <row r="61" spans="1:23" s="300" customFormat="1">
      <c r="H61" s="316"/>
    </row>
    <row r="62" spans="1:23" s="300" customFormat="1"/>
    <row r="63" spans="1:23" s="300" customFormat="1"/>
    <row r="64" spans="1:23" s="300" customFormat="1">
      <c r="C64" s="316"/>
      <c r="D64" s="316"/>
      <c r="E64" s="316"/>
      <c r="F64" s="316"/>
      <c r="G64" s="316"/>
      <c r="H64" s="316"/>
      <c r="I64" s="316"/>
      <c r="J64" s="316"/>
      <c r="K64" s="316"/>
      <c r="L64" s="316"/>
      <c r="M64" s="316"/>
      <c r="N64" s="316"/>
      <c r="O64" s="316"/>
      <c r="P64" s="316"/>
      <c r="Q64" s="316"/>
      <c r="R64" s="316"/>
      <c r="S64" s="316"/>
      <c r="T64" s="316"/>
      <c r="U64" s="316"/>
      <c r="V64" s="316"/>
      <c r="W64" s="316"/>
    </row>
    <row r="65" spans="8:23" s="300" customFormat="1">
      <c r="W65" s="316"/>
    </row>
    <row r="66" spans="8:23" s="300" customFormat="1">
      <c r="H66" s="316"/>
    </row>
    <row r="67" spans="8:23" s="300" customFormat="1"/>
    <row r="68" spans="8:23" s="300" customFormat="1"/>
    <row r="69" spans="8:23" s="300" customFormat="1"/>
    <row r="70" spans="8:23" s="300" customFormat="1"/>
    <row r="71" spans="8:23" s="300" customFormat="1"/>
    <row r="72" spans="8:23" s="300" customFormat="1"/>
    <row r="73" spans="8:23" s="300" customFormat="1"/>
    <row r="74" spans="8:23" s="300" customFormat="1"/>
    <row r="75" spans="8:23" s="300" customFormat="1"/>
    <row r="76" spans="8:23" s="300" customFormat="1">
      <c r="H76" s="316"/>
    </row>
    <row r="77" spans="8:23" s="300" customFormat="1"/>
    <row r="78" spans="8:23" s="300" customFormat="1"/>
    <row r="79" spans="8:23" s="300" customFormat="1"/>
    <row r="80" spans="8:23" s="300" customFormat="1"/>
    <row r="81" s="300" customFormat="1"/>
    <row r="82" s="300" customFormat="1"/>
    <row r="83" s="300" customFormat="1"/>
    <row r="84" s="300" customFormat="1"/>
    <row r="85" s="300" customFormat="1"/>
    <row r="86" s="300" customFormat="1"/>
    <row r="87" s="300" customFormat="1"/>
    <row r="88" s="300" customFormat="1"/>
    <row r="89" s="300" customFormat="1"/>
    <row r="90" s="300" customFormat="1"/>
    <row r="91" s="300" customFormat="1"/>
    <row r="92" s="300" customFormat="1"/>
    <row r="93" s="300" customFormat="1"/>
    <row r="94" s="300" customFormat="1"/>
    <row r="95" s="300" customFormat="1"/>
    <row r="96" s="300" customFormat="1"/>
    <row r="97" s="300" customFormat="1"/>
    <row r="98" s="300" customFormat="1"/>
    <row r="99" s="300" customFormat="1"/>
    <row r="100" s="300" customFormat="1"/>
    <row r="101" s="300" customFormat="1"/>
    <row r="102" s="300" customFormat="1"/>
    <row r="103" s="300" customFormat="1"/>
    <row r="104" s="300" customFormat="1"/>
    <row r="105" s="300" customFormat="1"/>
    <row r="106" s="300" customFormat="1"/>
    <row r="107" s="300" customFormat="1"/>
    <row r="108" s="300" customFormat="1"/>
    <row r="109" s="300" customFormat="1"/>
    <row r="110" s="300" customFormat="1"/>
    <row r="111" s="300" customFormat="1"/>
    <row r="112" s="300" customFormat="1"/>
    <row r="113" s="300" customFormat="1"/>
    <row r="114" s="300" customFormat="1"/>
    <row r="115" s="300" customFormat="1"/>
    <row r="116" s="300" customFormat="1"/>
    <row r="117" s="300" customFormat="1"/>
    <row r="118" s="300" customFormat="1"/>
    <row r="119" s="300" customFormat="1"/>
    <row r="120" s="300" customFormat="1"/>
    <row r="121" s="300" customFormat="1"/>
    <row r="122" s="300" customFormat="1"/>
    <row r="123" s="300" customFormat="1"/>
    <row r="124" s="300" customFormat="1"/>
    <row r="125" s="300" customFormat="1"/>
    <row r="126" s="300" customFormat="1"/>
    <row r="127" s="300" customFormat="1"/>
    <row r="128" s="300" customFormat="1"/>
    <row r="129" s="300" customFormat="1"/>
    <row r="130" s="300" customFormat="1"/>
    <row r="131" s="300" customFormat="1"/>
    <row r="132" s="300" customFormat="1"/>
    <row r="133" s="300" customFormat="1"/>
    <row r="134" s="300" customFormat="1"/>
    <row r="135" s="300" customFormat="1"/>
    <row r="136" s="300" customFormat="1"/>
    <row r="137" s="300" customFormat="1"/>
    <row r="138" s="300" customFormat="1"/>
    <row r="139" s="300" customFormat="1"/>
    <row r="140" s="300" customFormat="1"/>
    <row r="141" s="300" customFormat="1"/>
    <row r="142" s="300" customFormat="1"/>
    <row r="143" s="300" customFormat="1"/>
    <row r="144" s="300" customFormat="1"/>
    <row r="145" s="300" customFormat="1"/>
    <row r="146" s="300" customFormat="1"/>
    <row r="147" s="300" customFormat="1"/>
    <row r="148" s="300" customFormat="1"/>
    <row r="149" s="300" customFormat="1"/>
    <row r="150" s="300" customFormat="1"/>
    <row r="151" s="300" customFormat="1"/>
    <row r="152" s="300" customFormat="1"/>
    <row r="153" s="300" customFormat="1"/>
    <row r="154" s="300" customFormat="1"/>
    <row r="155" s="300" customFormat="1"/>
    <row r="156" s="300" customFormat="1"/>
    <row r="157" s="300" customFormat="1"/>
    <row r="158" s="300" customFormat="1"/>
    <row r="159" s="300" customFormat="1"/>
    <row r="160" s="300" customFormat="1"/>
    <row r="161" spans="1:23" s="300" customFormat="1"/>
    <row r="162" spans="1:23" s="300" customFormat="1"/>
    <row r="163" spans="1:23" s="300" customFormat="1"/>
    <row r="164" spans="1:23" s="300" customFormat="1"/>
    <row r="165" spans="1:23" s="300" customFormat="1"/>
    <row r="166" spans="1:23" s="300" customFormat="1"/>
    <row r="167" spans="1:23" s="300" customFormat="1"/>
    <row r="168" spans="1:23" s="300" customFormat="1"/>
    <row r="169" spans="1:23" s="300" customFormat="1"/>
    <row r="170" spans="1:23">
      <c r="A170" s="300"/>
      <c r="B170" s="300"/>
      <c r="C170" s="300"/>
      <c r="D170" s="300"/>
      <c r="E170" s="300"/>
      <c r="F170" s="300"/>
      <c r="G170" s="300"/>
      <c r="H170" s="300"/>
      <c r="I170" s="300"/>
      <c r="J170" s="300"/>
      <c r="K170" s="300"/>
      <c r="L170" s="300"/>
      <c r="M170" s="300"/>
      <c r="N170" s="300"/>
      <c r="O170" s="300"/>
      <c r="P170" s="300"/>
      <c r="Q170" s="300"/>
      <c r="R170" s="300"/>
      <c r="S170" s="300"/>
      <c r="T170" s="300"/>
      <c r="U170" s="300"/>
      <c r="V170" s="300"/>
      <c r="W170" s="300"/>
    </row>
    <row r="171" spans="1:23">
      <c r="A171" s="300"/>
      <c r="B171" s="300"/>
      <c r="C171" s="300"/>
      <c r="D171" s="300"/>
      <c r="E171" s="300"/>
      <c r="F171" s="300"/>
      <c r="G171" s="300"/>
      <c r="H171" s="300"/>
      <c r="I171" s="300"/>
      <c r="J171" s="300"/>
      <c r="K171" s="300"/>
      <c r="L171" s="300"/>
      <c r="M171" s="300"/>
      <c r="N171" s="300"/>
      <c r="O171" s="300"/>
      <c r="P171" s="300"/>
      <c r="Q171" s="300"/>
      <c r="R171" s="300"/>
      <c r="S171" s="300"/>
      <c r="T171" s="300"/>
      <c r="U171" s="300"/>
      <c r="V171" s="300"/>
      <c r="W171" s="300"/>
    </row>
    <row r="172" spans="1:23">
      <c r="A172" s="300"/>
      <c r="B172" s="300"/>
      <c r="C172" s="300"/>
      <c r="D172" s="300"/>
      <c r="E172" s="300"/>
      <c r="F172" s="300"/>
      <c r="G172" s="300"/>
      <c r="H172" s="300"/>
      <c r="I172" s="300"/>
      <c r="J172" s="300"/>
      <c r="K172" s="300"/>
      <c r="L172" s="300"/>
      <c r="M172" s="300"/>
      <c r="N172" s="300"/>
      <c r="O172" s="300"/>
      <c r="P172" s="300"/>
      <c r="Q172" s="300"/>
      <c r="R172" s="300"/>
      <c r="S172" s="300"/>
      <c r="T172" s="300"/>
      <c r="U172" s="300"/>
      <c r="V172" s="300"/>
      <c r="W172" s="300"/>
    </row>
    <row r="173" spans="1:23">
      <c r="A173" s="300"/>
      <c r="B173" s="300"/>
      <c r="C173" s="300"/>
      <c r="D173" s="300"/>
      <c r="E173" s="300"/>
      <c r="F173" s="300"/>
      <c r="G173" s="300"/>
      <c r="H173" s="300"/>
      <c r="I173" s="300"/>
      <c r="J173" s="300"/>
      <c r="K173" s="300"/>
      <c r="L173" s="300"/>
      <c r="M173" s="300"/>
      <c r="N173" s="300"/>
      <c r="O173" s="300"/>
      <c r="P173" s="300"/>
      <c r="Q173" s="300"/>
      <c r="R173" s="300"/>
      <c r="S173" s="300"/>
      <c r="T173" s="300"/>
      <c r="U173" s="300"/>
      <c r="V173" s="300"/>
      <c r="W173" s="300"/>
    </row>
    <row r="174" spans="1:23">
      <c r="A174" s="300"/>
      <c r="B174" s="300"/>
      <c r="C174" s="300"/>
      <c r="D174" s="300"/>
      <c r="E174" s="300"/>
      <c r="F174" s="300"/>
      <c r="G174" s="300"/>
      <c r="H174" s="300"/>
      <c r="I174" s="300"/>
      <c r="J174" s="300"/>
      <c r="K174" s="300"/>
      <c r="L174" s="300"/>
      <c r="M174" s="300"/>
      <c r="N174" s="300"/>
      <c r="O174" s="300"/>
      <c r="P174" s="300"/>
      <c r="Q174" s="300"/>
      <c r="R174" s="300"/>
      <c r="S174" s="300"/>
      <c r="T174" s="300"/>
      <c r="U174" s="300"/>
      <c r="V174" s="300"/>
      <c r="W174" s="300"/>
    </row>
    <row r="175" spans="1:23">
      <c r="A175" s="300"/>
      <c r="B175" s="300"/>
      <c r="C175" s="300"/>
      <c r="D175" s="300"/>
      <c r="E175" s="300"/>
      <c r="F175" s="300"/>
      <c r="G175" s="300"/>
      <c r="H175" s="300"/>
      <c r="I175" s="300"/>
      <c r="J175" s="300"/>
      <c r="K175" s="300"/>
      <c r="L175" s="300"/>
      <c r="M175" s="300"/>
      <c r="N175" s="300"/>
      <c r="O175" s="300"/>
      <c r="P175" s="300"/>
      <c r="Q175" s="300"/>
      <c r="R175" s="300"/>
      <c r="S175" s="300"/>
      <c r="T175" s="300"/>
      <c r="U175" s="300"/>
      <c r="V175" s="300"/>
      <c r="W175" s="300"/>
    </row>
    <row r="176" spans="1:23">
      <c r="A176" s="300"/>
      <c r="B176" s="300"/>
      <c r="C176" s="300"/>
      <c r="D176" s="300"/>
      <c r="E176" s="300"/>
      <c r="F176" s="300"/>
      <c r="G176" s="300"/>
      <c r="H176" s="300"/>
      <c r="I176" s="300"/>
      <c r="J176" s="300"/>
      <c r="K176" s="300"/>
      <c r="L176" s="300"/>
      <c r="M176" s="300"/>
      <c r="N176" s="300"/>
      <c r="O176" s="300"/>
      <c r="P176" s="300"/>
      <c r="Q176" s="300"/>
      <c r="R176" s="300"/>
      <c r="S176" s="300"/>
      <c r="T176" s="300"/>
      <c r="U176" s="300"/>
      <c r="V176" s="300"/>
      <c r="W176" s="300"/>
    </row>
    <row r="177" spans="1:23">
      <c r="A177" s="300"/>
      <c r="B177" s="300"/>
      <c r="C177" s="300"/>
      <c r="D177" s="300"/>
      <c r="E177" s="300"/>
      <c r="F177" s="300"/>
      <c r="G177" s="300"/>
      <c r="H177" s="300"/>
      <c r="I177" s="300"/>
      <c r="J177" s="300"/>
      <c r="K177" s="300"/>
      <c r="L177" s="300"/>
      <c r="M177" s="300"/>
      <c r="N177" s="300"/>
      <c r="O177" s="300"/>
      <c r="P177" s="300"/>
      <c r="Q177" s="300"/>
      <c r="R177" s="300"/>
      <c r="S177" s="300"/>
      <c r="T177" s="300"/>
      <c r="U177" s="300"/>
      <c r="V177" s="300"/>
      <c r="W177" s="300"/>
    </row>
    <row r="178" spans="1:23">
      <c r="A178" s="300"/>
      <c r="B178" s="300"/>
      <c r="C178" s="300"/>
      <c r="D178" s="300"/>
      <c r="E178" s="300"/>
      <c r="F178" s="300"/>
      <c r="G178" s="300"/>
      <c r="H178" s="300"/>
      <c r="I178" s="300"/>
      <c r="J178" s="300"/>
      <c r="K178" s="300"/>
      <c r="L178" s="300"/>
      <c r="M178" s="300"/>
      <c r="N178" s="300"/>
      <c r="O178" s="300"/>
      <c r="P178" s="300"/>
      <c r="Q178" s="300"/>
      <c r="R178" s="300"/>
      <c r="S178" s="300"/>
      <c r="T178" s="300"/>
      <c r="U178" s="300"/>
      <c r="V178" s="300"/>
      <c r="W178" s="300"/>
    </row>
    <row r="179" spans="1:23">
      <c r="A179" s="300"/>
      <c r="B179" s="300"/>
      <c r="C179" s="300"/>
      <c r="D179" s="300"/>
      <c r="E179" s="300"/>
      <c r="F179" s="300"/>
      <c r="G179" s="300"/>
      <c r="H179" s="300"/>
      <c r="I179" s="300"/>
      <c r="J179" s="300"/>
      <c r="K179" s="300"/>
      <c r="L179" s="300"/>
      <c r="M179" s="300"/>
      <c r="N179" s="300"/>
      <c r="O179" s="300"/>
      <c r="P179" s="300"/>
      <c r="Q179" s="300"/>
      <c r="R179" s="300"/>
      <c r="S179" s="300"/>
      <c r="T179" s="300"/>
      <c r="U179" s="300"/>
      <c r="V179" s="300"/>
      <c r="W179" s="300"/>
    </row>
  </sheetData>
  <mergeCells count="19">
    <mergeCell ref="W3:W5"/>
    <mergeCell ref="C57:H57"/>
    <mergeCell ref="V2:W2"/>
    <mergeCell ref="U1:W1"/>
    <mergeCell ref="I3:K3"/>
    <mergeCell ref="O3:O4"/>
    <mergeCell ref="C3:E3"/>
    <mergeCell ref="J57:M57"/>
    <mergeCell ref="Q3:Q4"/>
    <mergeCell ref="A3:B5"/>
    <mergeCell ref="P3:P5"/>
    <mergeCell ref="I1:J1"/>
    <mergeCell ref="M1:O1"/>
    <mergeCell ref="M2:O2"/>
    <mergeCell ref="G1:H1"/>
    <mergeCell ref="L3:N3"/>
    <mergeCell ref="P1:T1"/>
    <mergeCell ref="F3:H3"/>
    <mergeCell ref="R3:V3"/>
  </mergeCells>
  <phoneticPr fontId="0" type="noConversion"/>
  <pageMargins left="0.62992125984252001" right="0.511811023622047" top="0.511811023622047" bottom="0.511811023622047" header="0" footer="0.47244094488188998"/>
  <pageSetup paperSize="151" firstPageNumber="28" orientation="portrait" useFirstPageNumber="1" r:id="rId1"/>
  <headerFooter alignWithMargins="0">
    <oddFooter>&amp;C&amp;"Times New Roman,Regular"&amp;8&amp;P</oddFooter>
  </headerFooter>
  <ignoredErrors>
    <ignoredError sqref="N20:O20 K20 H20 E20 E25 H25 K25 N25:O25 V25:W25 E30 H30 K30 N30:O30 W30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I69"/>
  <sheetViews>
    <sheetView zoomScale="160" zoomScaleNormal="160" workbookViewId="0">
      <pane xSplit="1" ySplit="5" topLeftCell="B24" activePane="bottomRight" state="frozen"/>
      <selection pane="topRight" activeCell="B1" sqref="B1"/>
      <selection pane="bottomLeft" activeCell="A7" sqref="A7"/>
      <selection pane="bottomRight" activeCell="A62" sqref="A62"/>
    </sheetView>
  </sheetViews>
  <sheetFormatPr defaultRowHeight="12.75"/>
  <cols>
    <col min="1" max="1" width="7.85546875" customWidth="1"/>
    <col min="2" max="2" width="8.28515625" customWidth="1"/>
    <col min="3" max="3" width="9.42578125" customWidth="1"/>
    <col min="5" max="6" width="8.28515625" customWidth="1"/>
    <col min="8" max="8" width="8.5703125" customWidth="1"/>
    <col min="9" max="9" width="8.42578125" customWidth="1"/>
  </cols>
  <sheetData>
    <row r="1" spans="1:9" ht="15.75" customHeight="1">
      <c r="A1" s="1865" t="s">
        <v>2562</v>
      </c>
      <c r="B1" s="1865"/>
      <c r="C1" s="1865"/>
      <c r="D1" s="1865"/>
      <c r="E1" s="1865"/>
      <c r="F1" s="1865"/>
      <c r="G1" s="1865"/>
      <c r="H1" s="257"/>
      <c r="I1" s="258" t="s">
        <v>654</v>
      </c>
    </row>
    <row r="2" spans="1:9" ht="15" customHeight="1">
      <c r="A2" s="1865"/>
      <c r="B2" s="1865"/>
      <c r="C2" s="1865"/>
      <c r="D2" s="1865"/>
      <c r="E2" s="1865"/>
      <c r="F2" s="1865"/>
      <c r="G2" s="1865"/>
      <c r="H2" s="257"/>
    </row>
    <row r="3" spans="1:9" ht="10.5" customHeight="1">
      <c r="A3" s="259"/>
      <c r="B3" s="260"/>
      <c r="C3" s="260"/>
      <c r="D3" s="260"/>
      <c r="F3" s="261"/>
      <c r="H3" s="1866" t="s">
        <v>0</v>
      </c>
      <c r="I3" s="1866"/>
    </row>
    <row r="4" spans="1:9" s="262" customFormat="1" ht="12.95" customHeight="1">
      <c r="A4" s="1867" t="s">
        <v>875</v>
      </c>
      <c r="B4" s="1869" t="s">
        <v>679</v>
      </c>
      <c r="C4" s="1870"/>
      <c r="D4" s="1870"/>
      <c r="E4" s="1871"/>
      <c r="F4" s="1869" t="s">
        <v>680</v>
      </c>
      <c r="G4" s="1870"/>
      <c r="H4" s="1870"/>
      <c r="I4" s="1871"/>
    </row>
    <row r="5" spans="1:9" ht="36">
      <c r="A5" s="1868"/>
      <c r="B5" s="263" t="s">
        <v>1368</v>
      </c>
      <c r="C5" s="263" t="s">
        <v>1395</v>
      </c>
      <c r="D5" s="263" t="s">
        <v>1397</v>
      </c>
      <c r="E5" s="1527" t="s">
        <v>681</v>
      </c>
      <c r="F5" s="263" t="s">
        <v>1369</v>
      </c>
      <c r="G5" s="263" t="s">
        <v>1398</v>
      </c>
      <c r="H5" s="263" t="s">
        <v>1396</v>
      </c>
      <c r="I5" s="1527" t="s">
        <v>682</v>
      </c>
    </row>
    <row r="6" spans="1:9" s="125" customFormat="1" ht="9.1999999999999993" customHeight="1">
      <c r="A6" s="266" t="s">
        <v>944</v>
      </c>
      <c r="B6" s="267">
        <v>372.27</v>
      </c>
      <c r="C6" s="271">
        <v>81</v>
      </c>
      <c r="D6" s="271">
        <v>110.66</v>
      </c>
      <c r="E6" s="271">
        <f t="shared" ref="E6:E19" si="0">SUM(B6:D6)</f>
        <v>563.92999999999995</v>
      </c>
      <c r="F6" s="271">
        <v>1182.07</v>
      </c>
      <c r="G6" s="271">
        <v>470.44</v>
      </c>
      <c r="H6" s="272">
        <v>454.29</v>
      </c>
      <c r="I6" s="272">
        <f t="shared" ref="I6:I37" si="1">SUM(F6:H6)</f>
        <v>2106.8000000000002</v>
      </c>
    </row>
    <row r="7" spans="1:9" s="125" customFormat="1" ht="9.1999999999999993" customHeight="1">
      <c r="A7" s="532" t="s">
        <v>945</v>
      </c>
      <c r="B7" s="533">
        <v>230.11</v>
      </c>
      <c r="C7" s="534">
        <v>84.66</v>
      </c>
      <c r="D7" s="534">
        <v>79</v>
      </c>
      <c r="E7" s="533">
        <f t="shared" si="0"/>
        <v>393.77</v>
      </c>
      <c r="F7" s="534">
        <v>1408.98</v>
      </c>
      <c r="G7" s="540">
        <v>505.13</v>
      </c>
      <c r="H7" s="534">
        <v>448.82</v>
      </c>
      <c r="I7" s="538">
        <f t="shared" si="1"/>
        <v>2362.9300000000003</v>
      </c>
    </row>
    <row r="8" spans="1:9" s="125" customFormat="1" ht="9.1999999999999993" customHeight="1">
      <c r="A8" s="266" t="s">
        <v>946</v>
      </c>
      <c r="B8" s="267">
        <v>163.98</v>
      </c>
      <c r="C8" s="271">
        <v>164.97</v>
      </c>
      <c r="D8" s="271">
        <v>50.23</v>
      </c>
      <c r="E8" s="271">
        <f t="shared" si="0"/>
        <v>379.18</v>
      </c>
      <c r="F8" s="271">
        <v>1579.15</v>
      </c>
      <c r="G8" s="276">
        <v>637.75</v>
      </c>
      <c r="H8" s="272">
        <v>410.64</v>
      </c>
      <c r="I8" s="272">
        <f t="shared" si="1"/>
        <v>2627.54</v>
      </c>
    </row>
    <row r="9" spans="1:9" s="125" customFormat="1" ht="9.1999999999999993" customHeight="1">
      <c r="A9" s="532" t="s">
        <v>947</v>
      </c>
      <c r="B9" s="533">
        <v>111.23</v>
      </c>
      <c r="C9" s="534">
        <v>161.38</v>
      </c>
      <c r="D9" s="534">
        <v>11.55</v>
      </c>
      <c r="E9" s="533">
        <f t="shared" si="0"/>
        <v>284.16000000000003</v>
      </c>
      <c r="F9" s="534">
        <v>1854.1</v>
      </c>
      <c r="G9" s="541">
        <v>708.43</v>
      </c>
      <c r="H9" s="534">
        <v>321.16000000000003</v>
      </c>
      <c r="I9" s="538">
        <f t="shared" si="1"/>
        <v>2883.6899999999996</v>
      </c>
    </row>
    <row r="10" spans="1:9" s="24" customFormat="1" ht="9.1999999999999993" customHeight="1">
      <c r="A10" s="268" t="s">
        <v>584</v>
      </c>
      <c r="B10" s="269">
        <v>64.13</v>
      </c>
      <c r="C10" s="270">
        <v>74.58</v>
      </c>
      <c r="D10" s="270">
        <v>7.11</v>
      </c>
      <c r="E10" s="962">
        <f t="shared" si="0"/>
        <v>145.82</v>
      </c>
      <c r="F10" s="270">
        <v>1818.86</v>
      </c>
      <c r="G10" s="277">
        <v>649.08000000000004</v>
      </c>
      <c r="H10" s="274">
        <v>408.03</v>
      </c>
      <c r="I10" s="275">
        <f t="shared" si="1"/>
        <v>2875.9700000000003</v>
      </c>
    </row>
    <row r="11" spans="1:9" s="24" customFormat="1" ht="9.1999999999999993" customHeight="1">
      <c r="A11" s="535" t="s">
        <v>585</v>
      </c>
      <c r="B11" s="536">
        <v>47.1</v>
      </c>
      <c r="C11" s="537">
        <v>86.8</v>
      </c>
      <c r="D11" s="537">
        <v>4.4400000000000004</v>
      </c>
      <c r="E11" s="537">
        <f t="shared" si="0"/>
        <v>138.34</v>
      </c>
      <c r="F11" s="537">
        <v>1854.1</v>
      </c>
      <c r="G11" s="542">
        <v>708.43</v>
      </c>
      <c r="H11" s="537">
        <v>321.16000000000003</v>
      </c>
      <c r="I11" s="537">
        <f t="shared" si="1"/>
        <v>2883.6899999999996</v>
      </c>
    </row>
    <row r="12" spans="1:9" s="125" customFormat="1" ht="9.1999999999999993" customHeight="1">
      <c r="A12" s="266" t="s">
        <v>948</v>
      </c>
      <c r="B12" s="267">
        <v>361.14</v>
      </c>
      <c r="C12" s="271">
        <v>297.11</v>
      </c>
      <c r="D12" s="271">
        <v>145.53</v>
      </c>
      <c r="E12" s="422">
        <f t="shared" si="0"/>
        <v>803.78</v>
      </c>
      <c r="F12" s="271">
        <v>2123.5</v>
      </c>
      <c r="G12" s="271">
        <v>880.01</v>
      </c>
      <c r="H12" s="272">
        <v>362.1</v>
      </c>
      <c r="I12" s="272">
        <f t="shared" si="1"/>
        <v>3365.61</v>
      </c>
    </row>
    <row r="13" spans="1:9" s="24" customFormat="1" ht="9.1999999999999993" customHeight="1">
      <c r="A13" s="535" t="s">
        <v>584</v>
      </c>
      <c r="B13" s="536">
        <v>108.79</v>
      </c>
      <c r="C13" s="537">
        <v>152.99</v>
      </c>
      <c r="D13" s="537">
        <v>60.28</v>
      </c>
      <c r="E13" s="537">
        <f t="shared" si="0"/>
        <v>322.06000000000006</v>
      </c>
      <c r="F13" s="537">
        <v>1940.57</v>
      </c>
      <c r="G13" s="537">
        <v>822.04</v>
      </c>
      <c r="H13" s="539">
        <v>328.07</v>
      </c>
      <c r="I13" s="537">
        <f t="shared" si="1"/>
        <v>3090.68</v>
      </c>
    </row>
    <row r="14" spans="1:9" s="24" customFormat="1" ht="9.1999999999999993" customHeight="1">
      <c r="A14" s="268" t="s">
        <v>585</v>
      </c>
      <c r="B14" s="269">
        <v>252.35</v>
      </c>
      <c r="C14" s="270">
        <v>144.12</v>
      </c>
      <c r="D14" s="270">
        <v>85.25</v>
      </c>
      <c r="E14" s="962">
        <f t="shared" si="0"/>
        <v>481.72</v>
      </c>
      <c r="F14" s="270">
        <v>2123.5</v>
      </c>
      <c r="G14" s="270">
        <v>880.01</v>
      </c>
      <c r="H14" s="275">
        <v>362.1</v>
      </c>
      <c r="I14" s="275">
        <f t="shared" si="1"/>
        <v>3365.61</v>
      </c>
    </row>
    <row r="15" spans="1:9" s="125" customFormat="1" ht="9.1999999999999993" customHeight="1">
      <c r="A15" s="532" t="s">
        <v>953</v>
      </c>
      <c r="B15" s="533">
        <v>447.22</v>
      </c>
      <c r="C15" s="534">
        <v>198.64</v>
      </c>
      <c r="D15" s="534">
        <v>98.75</v>
      </c>
      <c r="E15" s="533">
        <f t="shared" si="0"/>
        <v>744.61</v>
      </c>
      <c r="F15" s="534">
        <v>2468.63</v>
      </c>
      <c r="G15" s="534">
        <v>974.18</v>
      </c>
      <c r="H15" s="534">
        <v>322.72000000000003</v>
      </c>
      <c r="I15" s="538">
        <f t="shared" si="1"/>
        <v>3765.5299999999997</v>
      </c>
    </row>
    <row r="16" spans="1:9" s="24" customFormat="1" ht="9.1999999999999993" customHeight="1">
      <c r="A16" s="268" t="s">
        <v>584</v>
      </c>
      <c r="B16" s="269">
        <v>173.24</v>
      </c>
      <c r="C16" s="270">
        <v>103.36</v>
      </c>
      <c r="D16" s="270">
        <v>86.94</v>
      </c>
      <c r="E16" s="962">
        <f t="shared" si="0"/>
        <v>363.54</v>
      </c>
      <c r="F16" s="270">
        <v>2268.39</v>
      </c>
      <c r="G16" s="270">
        <v>904.81</v>
      </c>
      <c r="H16" s="274">
        <v>363.95</v>
      </c>
      <c r="I16" s="275">
        <f t="shared" si="1"/>
        <v>3537.1499999999996</v>
      </c>
    </row>
    <row r="17" spans="1:9" s="24" customFormat="1" ht="9.1999999999999993" customHeight="1">
      <c r="A17" s="535" t="s">
        <v>585</v>
      </c>
      <c r="B17" s="536">
        <v>273.98</v>
      </c>
      <c r="C17" s="537">
        <v>95.28</v>
      </c>
      <c r="D17" s="537">
        <v>11.81</v>
      </c>
      <c r="E17" s="537">
        <f t="shared" si="0"/>
        <v>381.07</v>
      </c>
      <c r="F17" s="537">
        <v>2468.63</v>
      </c>
      <c r="G17" s="537">
        <v>974.18</v>
      </c>
      <c r="H17" s="537">
        <v>322.72000000000003</v>
      </c>
      <c r="I17" s="537">
        <f t="shared" si="1"/>
        <v>3765.5299999999997</v>
      </c>
    </row>
    <row r="18" spans="1:9" s="125" customFormat="1" ht="9.1999999999999993" customHeight="1">
      <c r="A18" s="266" t="s">
        <v>962</v>
      </c>
      <c r="B18" s="267">
        <v>464.5</v>
      </c>
      <c r="C18" s="271">
        <v>281</v>
      </c>
      <c r="D18" s="271">
        <v>47.24</v>
      </c>
      <c r="E18" s="271">
        <f t="shared" si="0"/>
        <v>792.74</v>
      </c>
      <c r="F18" s="271">
        <v>2857.96</v>
      </c>
      <c r="G18" s="271">
        <v>1146.22</v>
      </c>
      <c r="H18" s="272">
        <v>364.23</v>
      </c>
      <c r="I18" s="272">
        <f t="shared" si="1"/>
        <v>4368.41</v>
      </c>
    </row>
    <row r="19" spans="1:9" s="24" customFormat="1" ht="9.1999999999999993" customHeight="1">
      <c r="A19" s="535" t="s">
        <v>584</v>
      </c>
      <c r="B19" s="536">
        <v>229.67</v>
      </c>
      <c r="C19" s="537">
        <v>169.46</v>
      </c>
      <c r="D19" s="537">
        <v>12.28</v>
      </c>
      <c r="E19" s="537">
        <f t="shared" si="0"/>
        <v>411.40999999999997</v>
      </c>
      <c r="F19" s="539">
        <v>2736.5</v>
      </c>
      <c r="G19" s="539">
        <v>1133.8699999999999</v>
      </c>
      <c r="H19" s="539">
        <v>316.86</v>
      </c>
      <c r="I19" s="537">
        <f t="shared" si="1"/>
        <v>4187.2299999999996</v>
      </c>
    </row>
    <row r="20" spans="1:9" s="24" customFormat="1" ht="9.1999999999999993" customHeight="1">
      <c r="A20" s="268" t="s">
        <v>585</v>
      </c>
      <c r="B20" s="269">
        <v>234.83</v>
      </c>
      <c r="C20" s="270">
        <v>111.54</v>
      </c>
      <c r="D20" s="270">
        <v>34.96</v>
      </c>
      <c r="E20" s="962">
        <f t="shared" ref="E20:E21" si="2">SUM(B20:D20)</f>
        <v>381.33</v>
      </c>
      <c r="F20" s="270">
        <v>2857.96</v>
      </c>
      <c r="G20" s="270">
        <v>1146.22</v>
      </c>
      <c r="H20" s="275">
        <v>364.23</v>
      </c>
      <c r="I20" s="275">
        <f t="shared" si="1"/>
        <v>4368.41</v>
      </c>
    </row>
    <row r="21" spans="1:9" s="125" customFormat="1" ht="9.1999999999999993" customHeight="1">
      <c r="A21" s="532" t="s">
        <v>675</v>
      </c>
      <c r="B21" s="533">
        <v>545.69000000000005</v>
      </c>
      <c r="C21" s="534">
        <v>197.71</v>
      </c>
      <c r="D21" s="534">
        <v>25.29</v>
      </c>
      <c r="E21" s="533">
        <f t="shared" si="2"/>
        <v>768.69</v>
      </c>
      <c r="F21" s="538">
        <v>3719.99</v>
      </c>
      <c r="G21" s="534">
        <v>873.76</v>
      </c>
      <c r="H21" s="534">
        <v>210.68</v>
      </c>
      <c r="I21" s="538">
        <f t="shared" si="1"/>
        <v>4804.43</v>
      </c>
    </row>
    <row r="22" spans="1:9" s="24" customFormat="1" ht="9.1999999999999993" customHeight="1">
      <c r="A22" s="268" t="s">
        <v>584</v>
      </c>
      <c r="B22" s="269">
        <v>166.78</v>
      </c>
      <c r="C22" s="270">
        <v>101.7</v>
      </c>
      <c r="D22" s="270">
        <v>16.55</v>
      </c>
      <c r="E22" s="962">
        <f t="shared" ref="E22:E23" si="3">SUM(B22:D22)</f>
        <v>285.03000000000003</v>
      </c>
      <c r="F22" s="270">
        <v>3068.07</v>
      </c>
      <c r="G22" s="270">
        <v>1109.5899999999999</v>
      </c>
      <c r="H22" s="274">
        <v>221.12</v>
      </c>
      <c r="I22" s="275">
        <f t="shared" si="1"/>
        <v>4398.78</v>
      </c>
    </row>
    <row r="23" spans="1:9" s="24" customFormat="1" ht="9.1999999999999993" customHeight="1">
      <c r="A23" s="535" t="s">
        <v>585</v>
      </c>
      <c r="B23" s="536">
        <v>378.91</v>
      </c>
      <c r="C23" s="537">
        <v>96.01</v>
      </c>
      <c r="D23" s="537">
        <v>8.74</v>
      </c>
      <c r="E23" s="537">
        <f t="shared" si="3"/>
        <v>483.66</v>
      </c>
      <c r="F23" s="539">
        <v>3719.99</v>
      </c>
      <c r="G23" s="537">
        <v>873.76</v>
      </c>
      <c r="H23" s="537">
        <v>210.68</v>
      </c>
      <c r="I23" s="537">
        <f t="shared" si="1"/>
        <v>4804.43</v>
      </c>
    </row>
    <row r="24" spans="1:9" s="125" customFormat="1" ht="9.1999999999999993" customHeight="1">
      <c r="A24" s="266" t="s">
        <v>141</v>
      </c>
      <c r="B24" s="267">
        <v>535.41999999999996</v>
      </c>
      <c r="C24" s="271">
        <v>336.61</v>
      </c>
      <c r="D24" s="271">
        <v>88.56</v>
      </c>
      <c r="E24" s="271">
        <f t="shared" ref="E24:E25" si="4">SUM(B24:D24)</f>
        <v>960.58999999999992</v>
      </c>
      <c r="F24" s="273">
        <v>3909.6</v>
      </c>
      <c r="G24" s="272">
        <v>903.65</v>
      </c>
      <c r="H24" s="272">
        <v>325.94</v>
      </c>
      <c r="I24" s="272">
        <f t="shared" si="1"/>
        <v>5139.1899999999996</v>
      </c>
    </row>
    <row r="25" spans="1:9" s="24" customFormat="1" ht="9.1999999999999993" customHeight="1">
      <c r="A25" s="535" t="s">
        <v>584</v>
      </c>
      <c r="B25" s="536">
        <v>430.34</v>
      </c>
      <c r="C25" s="537">
        <v>149.72</v>
      </c>
      <c r="D25" s="537">
        <v>22.59</v>
      </c>
      <c r="E25" s="537">
        <f t="shared" si="4"/>
        <v>602.65</v>
      </c>
      <c r="F25" s="539">
        <v>3823.32</v>
      </c>
      <c r="G25" s="539">
        <v>742.04</v>
      </c>
      <c r="H25" s="539">
        <v>250.66</v>
      </c>
      <c r="I25" s="537">
        <f t="shared" si="1"/>
        <v>4816.0200000000004</v>
      </c>
    </row>
    <row r="26" spans="1:9" s="64" customFormat="1" ht="9.1999999999999993" customHeight="1">
      <c r="A26" s="268" t="s">
        <v>585</v>
      </c>
      <c r="B26" s="269">
        <v>105.08</v>
      </c>
      <c r="C26" s="269">
        <v>186.89</v>
      </c>
      <c r="D26" s="269">
        <v>65.97</v>
      </c>
      <c r="E26" s="962">
        <f t="shared" ref="E26:E27" si="5">SUM(B26:D26)</f>
        <v>357.93999999999994</v>
      </c>
      <c r="F26" s="282">
        <v>3909.6</v>
      </c>
      <c r="G26" s="282">
        <v>903.65</v>
      </c>
      <c r="H26" s="282">
        <v>325.94</v>
      </c>
      <c r="I26" s="275">
        <f t="shared" si="1"/>
        <v>5139.1899999999996</v>
      </c>
    </row>
    <row r="27" spans="1:9" s="84" customFormat="1" ht="9.1999999999999993" customHeight="1">
      <c r="A27" s="532" t="s">
        <v>136</v>
      </c>
      <c r="B27" s="533">
        <f>B28+B29</f>
        <v>515.14</v>
      </c>
      <c r="C27" s="533">
        <f>C28+C29</f>
        <v>331.1</v>
      </c>
      <c r="D27" s="533">
        <f>D28+D29</f>
        <v>66.78</v>
      </c>
      <c r="E27" s="533">
        <f t="shared" si="5"/>
        <v>913.02</v>
      </c>
      <c r="F27" s="533">
        <f>F29</f>
        <v>5014.96</v>
      </c>
      <c r="G27" s="533">
        <f>G29</f>
        <v>544.21</v>
      </c>
      <c r="H27" s="533">
        <f>H29</f>
        <v>410.29</v>
      </c>
      <c r="I27" s="538">
        <f t="shared" si="1"/>
        <v>5969.46</v>
      </c>
    </row>
    <row r="28" spans="1:9" s="64" customFormat="1" ht="9.1999999999999993" customHeight="1">
      <c r="A28" s="268" t="s">
        <v>584</v>
      </c>
      <c r="B28" s="269">
        <v>113.47</v>
      </c>
      <c r="C28" s="269">
        <v>178.05</v>
      </c>
      <c r="D28" s="269">
        <v>50.7</v>
      </c>
      <c r="E28" s="962">
        <f t="shared" ref="E28:E29" si="6">SUM(B28:D28)</f>
        <v>342.21999999999997</v>
      </c>
      <c r="F28" s="282">
        <v>4426.6899999999996</v>
      </c>
      <c r="G28" s="282">
        <v>474.06</v>
      </c>
      <c r="H28" s="282">
        <v>378.17</v>
      </c>
      <c r="I28" s="275">
        <f t="shared" si="1"/>
        <v>5278.92</v>
      </c>
    </row>
    <row r="29" spans="1:9" s="64" customFormat="1" ht="9.1999999999999993" customHeight="1">
      <c r="A29" s="535" t="s">
        <v>585</v>
      </c>
      <c r="B29" s="536">
        <v>401.67</v>
      </c>
      <c r="C29" s="536">
        <v>153.05000000000001</v>
      </c>
      <c r="D29" s="536">
        <v>16.079999999999998</v>
      </c>
      <c r="E29" s="537">
        <f t="shared" si="6"/>
        <v>570.80000000000007</v>
      </c>
      <c r="F29" s="543">
        <v>5014.96</v>
      </c>
      <c r="G29" s="543">
        <v>544.21</v>
      </c>
      <c r="H29" s="543">
        <v>410.29</v>
      </c>
      <c r="I29" s="537">
        <f t="shared" si="1"/>
        <v>5969.46</v>
      </c>
    </row>
    <row r="30" spans="1:9" s="64" customFormat="1" ht="9.1999999999999993" customHeight="1">
      <c r="A30" s="266" t="s">
        <v>317</v>
      </c>
      <c r="B30" s="422">
        <f>B31+B32</f>
        <v>249.95</v>
      </c>
      <c r="C30" s="422">
        <f>C31+C32</f>
        <v>445.19</v>
      </c>
      <c r="D30" s="422">
        <f>D31+D32</f>
        <v>83.9</v>
      </c>
      <c r="E30" s="271">
        <f t="shared" ref="E30:E31" si="7">SUM(B30:D30)</f>
        <v>779.04</v>
      </c>
      <c r="F30" s="422">
        <f>F32</f>
        <v>5143.7</v>
      </c>
      <c r="G30" s="422">
        <f>G32</f>
        <v>612.69000000000005</v>
      </c>
      <c r="H30" s="422">
        <f>H32</f>
        <v>462.67</v>
      </c>
      <c r="I30" s="272">
        <f t="shared" si="1"/>
        <v>6219.0599999999995</v>
      </c>
    </row>
    <row r="31" spans="1:9" s="64" customFormat="1" ht="9.1999999999999993" customHeight="1">
      <c r="A31" s="535" t="s">
        <v>584</v>
      </c>
      <c r="B31" s="536">
        <v>118.31</v>
      </c>
      <c r="C31" s="536">
        <v>211.57</v>
      </c>
      <c r="D31" s="536">
        <v>12.64</v>
      </c>
      <c r="E31" s="537">
        <f t="shared" si="7"/>
        <v>342.52</v>
      </c>
      <c r="F31" s="543">
        <v>5196.21</v>
      </c>
      <c r="G31" s="543">
        <v>533.65</v>
      </c>
      <c r="H31" s="543">
        <v>342.21</v>
      </c>
      <c r="I31" s="537">
        <f t="shared" si="1"/>
        <v>6072.07</v>
      </c>
    </row>
    <row r="32" spans="1:9" s="64" customFormat="1" ht="9.1999999999999993" customHeight="1">
      <c r="A32" s="268" t="s">
        <v>585</v>
      </c>
      <c r="B32" s="269">
        <v>131.63999999999999</v>
      </c>
      <c r="C32" s="269">
        <v>233.62</v>
      </c>
      <c r="D32" s="269">
        <v>71.260000000000005</v>
      </c>
      <c r="E32" s="962">
        <f t="shared" ref="E32:E33" si="8">SUM(B32:D32)</f>
        <v>436.52</v>
      </c>
      <c r="F32" s="282">
        <v>5143.7</v>
      </c>
      <c r="G32" s="282">
        <v>612.69000000000005</v>
      </c>
      <c r="H32" s="282">
        <v>462.67</v>
      </c>
      <c r="I32" s="275">
        <f t="shared" si="1"/>
        <v>6219.0599999999995</v>
      </c>
    </row>
    <row r="33" spans="1:9" s="64" customFormat="1" ht="9.1999999999999993" customHeight="1">
      <c r="A33" s="532" t="s">
        <v>1299</v>
      </c>
      <c r="B33" s="533">
        <f>B34+B35</f>
        <v>454.09999999999997</v>
      </c>
      <c r="C33" s="533">
        <f>C34+C35</f>
        <v>542.34999999999991</v>
      </c>
      <c r="D33" s="533">
        <f>D34+D35</f>
        <v>198.42999999999998</v>
      </c>
      <c r="E33" s="533">
        <f t="shared" si="8"/>
        <v>1194.8799999999999</v>
      </c>
      <c r="F33" s="533">
        <f>F35</f>
        <v>4855.47</v>
      </c>
      <c r="G33" s="533">
        <f>G35</f>
        <v>861.44</v>
      </c>
      <c r="H33" s="533">
        <f>H35</f>
        <v>533.95000000000005</v>
      </c>
      <c r="I33" s="538">
        <f t="shared" si="1"/>
        <v>6250.86</v>
      </c>
    </row>
    <row r="34" spans="1:9" s="64" customFormat="1" ht="9.1999999999999993" customHeight="1">
      <c r="A34" s="268" t="s">
        <v>584</v>
      </c>
      <c r="B34" s="269">
        <v>300.20999999999998</v>
      </c>
      <c r="C34" s="269">
        <v>256.01</v>
      </c>
      <c r="D34" s="269">
        <v>143.63999999999999</v>
      </c>
      <c r="E34" s="962">
        <f t="shared" ref="E34:E35" si="9">SUM(B34:D34)</f>
        <v>699.86</v>
      </c>
      <c r="F34" s="282">
        <v>4943.83</v>
      </c>
      <c r="G34" s="282">
        <v>670.37</v>
      </c>
      <c r="H34" s="282">
        <v>551.61</v>
      </c>
      <c r="I34" s="275">
        <f t="shared" si="1"/>
        <v>6165.8099999999995</v>
      </c>
    </row>
    <row r="35" spans="1:9" s="64" customFormat="1" ht="9.1999999999999993" customHeight="1">
      <c r="A35" s="535" t="s">
        <v>585</v>
      </c>
      <c r="B35" s="536">
        <v>153.88999999999999</v>
      </c>
      <c r="C35" s="536">
        <v>286.33999999999997</v>
      </c>
      <c r="D35" s="536">
        <v>54.79</v>
      </c>
      <c r="E35" s="537">
        <f t="shared" si="9"/>
        <v>495.02</v>
      </c>
      <c r="F35" s="543">
        <v>4855.47</v>
      </c>
      <c r="G35" s="543">
        <v>861.44</v>
      </c>
      <c r="H35" s="543">
        <v>533.95000000000005</v>
      </c>
      <c r="I35" s="537">
        <f t="shared" si="1"/>
        <v>6250.86</v>
      </c>
    </row>
    <row r="36" spans="1:9" s="64" customFormat="1" ht="9.1999999999999993" customHeight="1">
      <c r="A36" s="424" t="s">
        <v>1505</v>
      </c>
      <c r="B36" s="422">
        <f>B37+B38</f>
        <v>761.03</v>
      </c>
      <c r="C36" s="422">
        <f>C37+C38</f>
        <v>645.64</v>
      </c>
      <c r="D36" s="422">
        <f>D37+D38</f>
        <v>323.96000000000004</v>
      </c>
      <c r="E36" s="271">
        <f t="shared" ref="E36:E37" si="10">SUM(B36:D36)</f>
        <v>1730.63</v>
      </c>
      <c r="F36" s="422">
        <f>F38</f>
        <v>6333.41</v>
      </c>
      <c r="G36" s="422">
        <f>G38</f>
        <v>995.87</v>
      </c>
      <c r="H36" s="422">
        <f>H38</f>
        <v>1033.78</v>
      </c>
      <c r="I36" s="272">
        <f t="shared" si="1"/>
        <v>8363.06</v>
      </c>
    </row>
    <row r="37" spans="1:9" s="64" customFormat="1" ht="9.1999999999999993" customHeight="1">
      <c r="A37" s="535" t="s">
        <v>584</v>
      </c>
      <c r="B37" s="536">
        <v>343.74</v>
      </c>
      <c r="C37" s="536">
        <v>301.19</v>
      </c>
      <c r="D37" s="536">
        <v>152.61000000000001</v>
      </c>
      <c r="E37" s="537">
        <f t="shared" si="10"/>
        <v>797.54000000000008</v>
      </c>
      <c r="F37" s="543">
        <v>6085.39</v>
      </c>
      <c r="G37" s="543">
        <v>846.55</v>
      </c>
      <c r="H37" s="543">
        <v>818.3</v>
      </c>
      <c r="I37" s="537">
        <f t="shared" si="1"/>
        <v>7750.2400000000007</v>
      </c>
    </row>
    <row r="38" spans="1:9" s="64" customFormat="1" ht="9.1999999999999993" customHeight="1">
      <c r="A38" s="268" t="s">
        <v>585</v>
      </c>
      <c r="B38" s="962">
        <v>417.29</v>
      </c>
      <c r="C38" s="962">
        <v>344.45</v>
      </c>
      <c r="D38" s="962">
        <v>171.35</v>
      </c>
      <c r="E38" s="962">
        <f t="shared" ref="E38:E39" si="11">SUM(B38:D38)</f>
        <v>933.09</v>
      </c>
      <c r="F38" s="892">
        <v>6333.41</v>
      </c>
      <c r="G38" s="892">
        <v>995.87</v>
      </c>
      <c r="H38" s="892">
        <v>1033.78</v>
      </c>
      <c r="I38" s="275">
        <f t="shared" ref="I38:I57" si="12">SUM(F38:H38)</f>
        <v>8363.06</v>
      </c>
    </row>
    <row r="39" spans="1:9" s="64" customFormat="1" ht="9.1999999999999993" customHeight="1">
      <c r="A39" s="532" t="s">
        <v>1886</v>
      </c>
      <c r="B39" s="533">
        <f>B40+B43+B42</f>
        <v>233.83999999999997</v>
      </c>
      <c r="C39" s="533">
        <f>C40+C43+C42</f>
        <v>795.78</v>
      </c>
      <c r="D39" s="533">
        <f>D40+D43+D42</f>
        <v>450.71999999999997</v>
      </c>
      <c r="E39" s="533">
        <f t="shared" si="11"/>
        <v>1480.34</v>
      </c>
      <c r="F39" s="533">
        <f>F43</f>
        <v>6375.35</v>
      </c>
      <c r="G39" s="533">
        <f>G43</f>
        <v>964.83</v>
      </c>
      <c r="H39" s="533">
        <f>H43</f>
        <v>2000.05</v>
      </c>
      <c r="I39" s="538">
        <f t="shared" si="12"/>
        <v>9340.23</v>
      </c>
    </row>
    <row r="40" spans="1:9" s="64" customFormat="1" ht="9.1999999999999993" customHeight="1">
      <c r="A40" s="1010" t="s">
        <v>584</v>
      </c>
      <c r="B40" s="962">
        <v>123.77</v>
      </c>
      <c r="C40" s="962">
        <v>352.66</v>
      </c>
      <c r="D40" s="962">
        <v>189.64</v>
      </c>
      <c r="E40" s="962">
        <f t="shared" ref="E40:E43" si="13">SUM(B40:D40)</f>
        <v>666.06999999999994</v>
      </c>
      <c r="F40" s="892">
        <v>6345.56</v>
      </c>
      <c r="G40" s="892">
        <v>969.93</v>
      </c>
      <c r="H40" s="892">
        <v>1278</v>
      </c>
      <c r="I40" s="275">
        <f t="shared" si="12"/>
        <v>8593.4900000000016</v>
      </c>
    </row>
    <row r="41" spans="1:9" s="64" customFormat="1" ht="9.1999999999999993" customHeight="1">
      <c r="A41" s="535" t="s">
        <v>585</v>
      </c>
      <c r="B41" s="536">
        <f>B42+B43</f>
        <v>110.07</v>
      </c>
      <c r="C41" s="536">
        <f>C42+C43</f>
        <v>443.12</v>
      </c>
      <c r="D41" s="536">
        <f>D42+D43</f>
        <v>261.08</v>
      </c>
      <c r="E41" s="537">
        <f t="shared" si="13"/>
        <v>814.27</v>
      </c>
      <c r="F41" s="543">
        <v>6375.35</v>
      </c>
      <c r="G41" s="543">
        <v>964.83</v>
      </c>
      <c r="H41" s="543">
        <v>2000.05</v>
      </c>
      <c r="I41" s="537">
        <f t="shared" si="12"/>
        <v>9340.23</v>
      </c>
    </row>
    <row r="42" spans="1:9" s="64" customFormat="1" ht="9.1999999999999993" customHeight="1">
      <c r="A42" s="1222" t="s">
        <v>2278</v>
      </c>
      <c r="B42" s="962">
        <v>71.7</v>
      </c>
      <c r="C42" s="962">
        <v>246.42</v>
      </c>
      <c r="D42" s="962">
        <v>129.38</v>
      </c>
      <c r="E42" s="962">
        <f t="shared" ref="E42" si="14">SUM(B42:D42)</f>
        <v>447.5</v>
      </c>
      <c r="F42" s="892">
        <v>6228.02</v>
      </c>
      <c r="G42" s="892">
        <v>850.53</v>
      </c>
      <c r="H42" s="892">
        <v>1768.18</v>
      </c>
      <c r="I42" s="275">
        <f t="shared" si="12"/>
        <v>8846.73</v>
      </c>
    </row>
    <row r="43" spans="1:9" s="64" customFormat="1" ht="9.1999999999999993" customHeight="1">
      <c r="A43" s="535" t="s">
        <v>2279</v>
      </c>
      <c r="B43" s="536">
        <v>38.369999999999997</v>
      </c>
      <c r="C43" s="536">
        <v>196.7</v>
      </c>
      <c r="D43" s="536">
        <v>131.69999999999999</v>
      </c>
      <c r="E43" s="537">
        <f t="shared" si="13"/>
        <v>366.77</v>
      </c>
      <c r="F43" s="543">
        <v>6375.35</v>
      </c>
      <c r="G43" s="543">
        <v>964.83</v>
      </c>
      <c r="H43" s="543">
        <v>2000.05</v>
      </c>
      <c r="I43" s="537">
        <f t="shared" si="12"/>
        <v>9340.23</v>
      </c>
    </row>
    <row r="44" spans="1:9" s="64" customFormat="1" ht="9.75" customHeight="1">
      <c r="A44" s="424" t="s">
        <v>2017</v>
      </c>
      <c r="B44" s="422">
        <f>B45+B48</f>
        <v>528.03</v>
      </c>
      <c r="C44" s="422">
        <f>C45+C48</f>
        <v>1141.3400000000001</v>
      </c>
      <c r="D44" s="422">
        <f>D45+D48</f>
        <v>164.5</v>
      </c>
      <c r="E44" s="271">
        <f t="shared" ref="E44:E45" si="15">SUM(B44:D44)</f>
        <v>1833.8700000000001</v>
      </c>
      <c r="F44" s="1096">
        <f>F50</f>
        <v>9027.07</v>
      </c>
      <c r="G44" s="1096">
        <f>G50</f>
        <v>1326.11</v>
      </c>
      <c r="H44" s="1096">
        <f>H50</f>
        <v>2147.9499999999998</v>
      </c>
      <c r="I44" s="272">
        <f t="shared" si="12"/>
        <v>12501.130000000001</v>
      </c>
    </row>
    <row r="45" spans="1:9" s="64" customFormat="1" ht="9.1999999999999993" customHeight="1">
      <c r="A45" s="535" t="s">
        <v>584</v>
      </c>
      <c r="B45" s="536">
        <f>B46+B47</f>
        <v>170.23000000000002</v>
      </c>
      <c r="C45" s="536">
        <f>C46+C47</f>
        <v>545.69000000000005</v>
      </c>
      <c r="D45" s="536">
        <f>D46+D47</f>
        <v>21.090000000000003</v>
      </c>
      <c r="E45" s="537">
        <f t="shared" si="15"/>
        <v>737.0100000000001</v>
      </c>
      <c r="F45" s="1165">
        <v>6717.59</v>
      </c>
      <c r="G45" s="1165">
        <v>1142.17</v>
      </c>
      <c r="H45" s="1165">
        <v>2169.04</v>
      </c>
      <c r="I45" s="537">
        <f t="shared" si="12"/>
        <v>10028.799999999999</v>
      </c>
    </row>
    <row r="46" spans="1:9" s="64" customFormat="1" ht="9.1999999999999993" customHeight="1">
      <c r="A46" s="1010" t="s">
        <v>2280</v>
      </c>
      <c r="B46" s="962">
        <v>51.06</v>
      </c>
      <c r="C46" s="962">
        <v>260.08</v>
      </c>
      <c r="D46" s="962">
        <v>29.96</v>
      </c>
      <c r="E46" s="962">
        <f t="shared" ref="E46:E57" si="16">SUM(B46:D46)</f>
        <v>341.09999999999997</v>
      </c>
      <c r="F46" s="892">
        <v>6372.25</v>
      </c>
      <c r="G46" s="892">
        <v>1086.7</v>
      </c>
      <c r="H46" s="892">
        <v>2120.88</v>
      </c>
      <c r="I46" s="275">
        <f t="shared" si="12"/>
        <v>9579.83</v>
      </c>
    </row>
    <row r="47" spans="1:9" s="64" customFormat="1" ht="9.1999999999999993" customHeight="1">
      <c r="A47" s="1163" t="s">
        <v>2622</v>
      </c>
      <c r="B47" s="1164">
        <v>119.17</v>
      </c>
      <c r="C47" s="1164">
        <v>285.61</v>
      </c>
      <c r="D47" s="1164">
        <v>-8.8699999999999992</v>
      </c>
      <c r="E47" s="537">
        <f t="shared" si="16"/>
        <v>395.91</v>
      </c>
      <c r="F47" s="1165">
        <v>6717.59</v>
      </c>
      <c r="G47" s="1165">
        <v>1142.17</v>
      </c>
      <c r="H47" s="1165">
        <v>2169.04</v>
      </c>
      <c r="I47" s="537">
        <f t="shared" si="12"/>
        <v>10028.799999999999</v>
      </c>
    </row>
    <row r="48" spans="1:9" s="64" customFormat="1" ht="9.1999999999999993" customHeight="1">
      <c r="A48" s="425" t="s">
        <v>585</v>
      </c>
      <c r="B48" s="962">
        <f>B49+B50</f>
        <v>357.8</v>
      </c>
      <c r="C48" s="962">
        <f>C49+C50</f>
        <v>595.65</v>
      </c>
      <c r="D48" s="962">
        <f>D49+D50</f>
        <v>143.41</v>
      </c>
      <c r="E48" s="962">
        <f t="shared" si="16"/>
        <v>1096.8600000000001</v>
      </c>
      <c r="F48" s="1203">
        <v>9027.07</v>
      </c>
      <c r="G48" s="1203">
        <v>1326.11</v>
      </c>
      <c r="H48" s="1203">
        <v>2147.9499999999998</v>
      </c>
      <c r="I48" s="275">
        <f t="shared" si="12"/>
        <v>12501.130000000001</v>
      </c>
    </row>
    <row r="49" spans="1:9" s="64" customFormat="1" ht="9.1999999999999993" customHeight="1">
      <c r="A49" s="1163" t="s">
        <v>2278</v>
      </c>
      <c r="B49" s="1164">
        <v>195.69</v>
      </c>
      <c r="C49" s="1164">
        <v>330.5</v>
      </c>
      <c r="D49" s="1164">
        <v>80.73</v>
      </c>
      <c r="E49" s="537">
        <f t="shared" si="16"/>
        <v>606.92000000000007</v>
      </c>
      <c r="F49" s="1165">
        <v>8996.68</v>
      </c>
      <c r="G49" s="1165">
        <v>1401.28</v>
      </c>
      <c r="H49" s="1165">
        <v>2287.89</v>
      </c>
      <c r="I49" s="537">
        <f t="shared" si="12"/>
        <v>12685.85</v>
      </c>
    </row>
    <row r="50" spans="1:9" s="64" customFormat="1" ht="9.1999999999999993" customHeight="1">
      <c r="A50" s="425" t="s">
        <v>2279</v>
      </c>
      <c r="B50" s="1223">
        <v>162.11000000000001</v>
      </c>
      <c r="C50" s="1223">
        <v>265.14999999999998</v>
      </c>
      <c r="D50" s="1223">
        <v>62.68</v>
      </c>
      <c r="E50" s="962">
        <f t="shared" si="16"/>
        <v>489.94</v>
      </c>
      <c r="F50" s="1203">
        <v>9027.07</v>
      </c>
      <c r="G50" s="1203">
        <v>1326.11</v>
      </c>
      <c r="H50" s="1203">
        <v>2147.9499999999998</v>
      </c>
      <c r="I50" s="275">
        <f t="shared" si="12"/>
        <v>12501.130000000001</v>
      </c>
    </row>
    <row r="51" spans="1:9" s="64" customFormat="1" ht="10.5" customHeight="1">
      <c r="A51" s="1225" t="s">
        <v>2226</v>
      </c>
      <c r="B51" s="533">
        <f>B52+B55</f>
        <v>505.55</v>
      </c>
      <c r="C51" s="533">
        <f>C52+C55</f>
        <v>1154.4499999999998</v>
      </c>
      <c r="D51" s="533">
        <f>D52+D55</f>
        <v>343.53</v>
      </c>
      <c r="E51" s="533">
        <f t="shared" si="16"/>
        <v>2003.5299999999997</v>
      </c>
      <c r="F51" s="1312">
        <f>F57</f>
        <v>9549.39</v>
      </c>
      <c r="G51" s="1312">
        <f>G57</f>
        <v>1585.21</v>
      </c>
      <c r="H51" s="1312">
        <f>H57</f>
        <v>2311.54</v>
      </c>
      <c r="I51" s="538">
        <f t="shared" si="12"/>
        <v>13446.14</v>
      </c>
    </row>
    <row r="52" spans="1:9" s="64" customFormat="1" ht="11.25" customHeight="1">
      <c r="A52" s="425" t="s">
        <v>584</v>
      </c>
      <c r="B52" s="1223">
        <f>B53+B54</f>
        <v>338.87</v>
      </c>
      <c r="C52" s="1223">
        <f>C53+C54</f>
        <v>549.08999999999992</v>
      </c>
      <c r="D52" s="1223">
        <f>D53+D54</f>
        <v>250.57</v>
      </c>
      <c r="E52" s="962">
        <f t="shared" si="16"/>
        <v>1138.53</v>
      </c>
      <c r="F52" s="1203">
        <v>9276.15</v>
      </c>
      <c r="G52" s="1203">
        <v>1325.46</v>
      </c>
      <c r="H52" s="1203">
        <v>2310.5300000000002</v>
      </c>
      <c r="I52" s="275">
        <f t="shared" si="12"/>
        <v>12912.140000000001</v>
      </c>
    </row>
    <row r="53" spans="1:9" s="64" customFormat="1" ht="10.5" customHeight="1">
      <c r="A53" s="1163" t="s">
        <v>2280</v>
      </c>
      <c r="B53" s="1164">
        <v>224.91</v>
      </c>
      <c r="C53" s="1164">
        <v>244.38</v>
      </c>
      <c r="D53" s="1164">
        <v>128.79</v>
      </c>
      <c r="E53" s="537">
        <f t="shared" si="16"/>
        <v>598.07999999999993</v>
      </c>
      <c r="F53" s="1165">
        <v>9211.5499999999993</v>
      </c>
      <c r="G53" s="1165">
        <v>1257.28</v>
      </c>
      <c r="H53" s="1165">
        <v>2141.58</v>
      </c>
      <c r="I53" s="537">
        <f t="shared" si="12"/>
        <v>12610.41</v>
      </c>
    </row>
    <row r="54" spans="1:9" s="64" customFormat="1" ht="10.5" customHeight="1">
      <c r="A54" s="425" t="s">
        <v>2622</v>
      </c>
      <c r="B54" s="1223">
        <v>113.96</v>
      </c>
      <c r="C54" s="1223">
        <v>304.70999999999998</v>
      </c>
      <c r="D54" s="1223">
        <v>121.78</v>
      </c>
      <c r="E54" s="962">
        <f t="shared" si="16"/>
        <v>540.44999999999993</v>
      </c>
      <c r="F54" s="1203">
        <v>9276.15</v>
      </c>
      <c r="G54" s="1203">
        <v>1325.46</v>
      </c>
      <c r="H54" s="1203">
        <v>2310.5300000000002</v>
      </c>
      <c r="I54" s="275">
        <f t="shared" si="12"/>
        <v>12912.140000000001</v>
      </c>
    </row>
    <row r="55" spans="1:9" s="64" customFormat="1" ht="10.5" customHeight="1">
      <c r="A55" s="1163" t="s">
        <v>585</v>
      </c>
      <c r="B55" s="1164">
        <f>B56+B57</f>
        <v>166.68</v>
      </c>
      <c r="C55" s="1164">
        <f>C56+C57</f>
        <v>605.36</v>
      </c>
      <c r="D55" s="1164">
        <f>D56+D57</f>
        <v>92.960000000000008</v>
      </c>
      <c r="E55" s="537">
        <f t="shared" si="16"/>
        <v>865</v>
      </c>
      <c r="F55" s="1165">
        <f>F57</f>
        <v>9549.39</v>
      </c>
      <c r="G55" s="1165">
        <f>G57</f>
        <v>1585.21</v>
      </c>
      <c r="H55" s="1165">
        <f>H57</f>
        <v>2311.54</v>
      </c>
      <c r="I55" s="537">
        <f t="shared" si="12"/>
        <v>13446.14</v>
      </c>
    </row>
    <row r="56" spans="1:9" s="64" customFormat="1" ht="10.5" customHeight="1">
      <c r="A56" s="425" t="s">
        <v>2278</v>
      </c>
      <c r="B56" s="1223">
        <v>90.29</v>
      </c>
      <c r="C56" s="1223">
        <v>299.86</v>
      </c>
      <c r="D56" s="1223">
        <v>20.53</v>
      </c>
      <c r="E56" s="962">
        <f t="shared" si="16"/>
        <v>410.68000000000006</v>
      </c>
      <c r="F56" s="1203">
        <v>9674.09</v>
      </c>
      <c r="G56" s="1203">
        <v>1567.33</v>
      </c>
      <c r="H56" s="1203">
        <v>2298.65</v>
      </c>
      <c r="I56" s="275">
        <f t="shared" si="12"/>
        <v>13540.07</v>
      </c>
    </row>
    <row r="57" spans="1:9" s="64" customFormat="1" ht="10.5" customHeight="1">
      <c r="A57" s="1163" t="s">
        <v>2279</v>
      </c>
      <c r="B57" s="1164">
        <v>76.39</v>
      </c>
      <c r="C57" s="1164">
        <v>305.5</v>
      </c>
      <c r="D57" s="1164">
        <v>72.430000000000007</v>
      </c>
      <c r="E57" s="537">
        <f t="shared" si="16"/>
        <v>454.32</v>
      </c>
      <c r="F57" s="1165">
        <v>9549.39</v>
      </c>
      <c r="G57" s="1165">
        <v>1585.21</v>
      </c>
      <c r="H57" s="1165">
        <v>2311.54</v>
      </c>
      <c r="I57" s="537">
        <f t="shared" si="12"/>
        <v>13446.14</v>
      </c>
    </row>
    <row r="58" spans="1:9" s="64" customFormat="1" ht="10.5" customHeight="1">
      <c r="A58" s="1340" t="s">
        <v>2384</v>
      </c>
      <c r="B58" s="1223"/>
      <c r="C58" s="1223"/>
      <c r="D58" s="1223"/>
      <c r="E58" s="1223"/>
      <c r="F58" s="1203"/>
      <c r="G58" s="1203"/>
      <c r="H58" s="1203"/>
      <c r="I58" s="1203"/>
    </row>
    <row r="59" spans="1:9" s="64" customFormat="1" ht="10.5" customHeight="1">
      <c r="A59" s="1163" t="s">
        <v>584</v>
      </c>
      <c r="B59" s="1164">
        <f>B60+B61</f>
        <v>744.7</v>
      </c>
      <c r="C59" s="1164">
        <f>C60+C61</f>
        <v>610.03</v>
      </c>
      <c r="D59" s="1164">
        <f>D60+D61</f>
        <v>112.99000000000001</v>
      </c>
      <c r="E59" s="537">
        <f t="shared" ref="E59" si="17">SUM(B59:D59)</f>
        <v>1467.72</v>
      </c>
      <c r="F59" s="1165">
        <v>10735.38</v>
      </c>
      <c r="G59" s="1165">
        <v>1640.2</v>
      </c>
      <c r="H59" s="1165">
        <v>2163.7399999999998</v>
      </c>
      <c r="I59" s="537">
        <f>SUM(F59:H59)</f>
        <v>14539.32</v>
      </c>
    </row>
    <row r="60" spans="1:9" s="64" customFormat="1" ht="10.5" customHeight="1">
      <c r="A60" s="425" t="s">
        <v>2280</v>
      </c>
      <c r="B60" s="1223">
        <v>258.52</v>
      </c>
      <c r="C60" s="1223">
        <v>294.55</v>
      </c>
      <c r="D60" s="1223">
        <v>60.92</v>
      </c>
      <c r="E60" s="962">
        <f t="shared" ref="E60" si="18">SUM(B60:D60)</f>
        <v>613.9899999999999</v>
      </c>
      <c r="F60" s="1203">
        <v>9846.48</v>
      </c>
      <c r="G60" s="1203">
        <v>1517.16</v>
      </c>
      <c r="H60" s="1203">
        <v>2430.59</v>
      </c>
      <c r="I60" s="275">
        <f>SUM(F60:H60)</f>
        <v>13794.23</v>
      </c>
    </row>
    <row r="61" spans="1:9" s="64" customFormat="1" ht="10.5" customHeight="1">
      <c r="A61" s="1163" t="s">
        <v>2622</v>
      </c>
      <c r="B61" s="1164">
        <v>486.18</v>
      </c>
      <c r="C61" s="1164">
        <v>315.48</v>
      </c>
      <c r="D61" s="1164">
        <v>52.07</v>
      </c>
      <c r="E61" s="1164">
        <f t="shared" ref="E61" si="19">SUM(B61:D61)</f>
        <v>853.73000000000013</v>
      </c>
      <c r="F61" s="1165">
        <v>10735.38</v>
      </c>
      <c r="G61" s="1165">
        <v>1640.2</v>
      </c>
      <c r="H61" s="1165">
        <v>2163.7399999999998</v>
      </c>
      <c r="I61" s="537">
        <f>SUM(F61:H61)</f>
        <v>14539.32</v>
      </c>
    </row>
    <row r="62" spans="1:9" s="64" customFormat="1" ht="10.5" customHeight="1" thickBot="1">
      <c r="A62" s="1524" t="s">
        <v>2278</v>
      </c>
      <c r="B62" s="1525">
        <v>140.35</v>
      </c>
      <c r="C62" s="1525">
        <v>319.3</v>
      </c>
      <c r="D62" s="1525">
        <v>36.19</v>
      </c>
      <c r="E62" s="1526">
        <f t="shared" ref="E62" si="20">SUM(B62:D62)</f>
        <v>495.84</v>
      </c>
      <c r="F62" s="1500">
        <v>9528.91</v>
      </c>
      <c r="G62" s="1500">
        <v>2705.15</v>
      </c>
      <c r="H62" s="1500">
        <v>2144.1</v>
      </c>
      <c r="I62" s="1526">
        <f>SUM(F62:H62)</f>
        <v>14378.16</v>
      </c>
    </row>
    <row r="63" spans="1:9" s="402" customFormat="1" ht="9.9499999999999993" customHeight="1">
      <c r="A63" s="424" t="s">
        <v>1012</v>
      </c>
      <c r="B63" s="1863" t="s">
        <v>2647</v>
      </c>
      <c r="C63" s="1863"/>
      <c r="D63" s="1863"/>
      <c r="E63" s="1863"/>
      <c r="F63" s="1863"/>
      <c r="G63" s="1863"/>
      <c r="H63" s="1863"/>
      <c r="I63" s="1863"/>
    </row>
    <row r="64" spans="1:9" s="264" customFormat="1" ht="9.9499999999999993" customHeight="1">
      <c r="A64" s="24"/>
      <c r="B64" s="1864" t="s">
        <v>2648</v>
      </c>
      <c r="C64" s="1864"/>
      <c r="D64" s="1864"/>
      <c r="E64" s="1864"/>
      <c r="F64" s="1864"/>
      <c r="G64" s="1864"/>
      <c r="H64" s="1864"/>
      <c r="I64" s="1864"/>
    </row>
    <row r="65" spans="1:9" ht="9.9499999999999993" customHeight="1">
      <c r="A65" s="1"/>
      <c r="B65" s="104"/>
      <c r="C65" s="423"/>
      <c r="D65" s="18"/>
      <c r="E65" s="1385"/>
      <c r="F65" s="423"/>
      <c r="G65" s="423"/>
      <c r="H65" s="423"/>
      <c r="I65" s="423"/>
    </row>
    <row r="66" spans="1:9" ht="9.9499999999999993" customHeight="1">
      <c r="A66" s="425" t="s">
        <v>1502</v>
      </c>
      <c r="B66" s="1862" t="s">
        <v>2508</v>
      </c>
      <c r="C66" s="1862"/>
      <c r="D66" s="1862"/>
      <c r="E66" s="1862"/>
      <c r="F66" s="423"/>
      <c r="G66" s="423"/>
      <c r="H66" s="423"/>
      <c r="I66" s="423"/>
    </row>
    <row r="68" spans="1:9">
      <c r="E68" s="1224"/>
    </row>
    <row r="69" spans="1:9">
      <c r="E69" s="1224"/>
    </row>
  </sheetData>
  <mergeCells count="8">
    <mergeCell ref="B66:E66"/>
    <mergeCell ref="B63:I63"/>
    <mergeCell ref="B64:I64"/>
    <mergeCell ref="A1:G2"/>
    <mergeCell ref="H3:I3"/>
    <mergeCell ref="A4:A5"/>
    <mergeCell ref="B4:E4"/>
    <mergeCell ref="F4:I4"/>
  </mergeCells>
  <phoneticPr fontId="58" type="noConversion"/>
  <pageMargins left="0.59055118110236204" right="0.511811023622047" top="0.39370078740157499" bottom="0.511811023622047" header="0" footer="0.39370078740157499"/>
  <pageSetup paperSize="151" firstPageNumber="31" orientation="portrait" useFirstPageNumber="1" r:id="rId1"/>
  <headerFooter>
    <oddFooter>&amp;C&amp;"Times New Roman,Regular"&amp;8&amp;P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AQ47"/>
  <sheetViews>
    <sheetView zoomScale="130" zoomScaleNormal="13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A16" sqref="A16:XFD16"/>
    </sheetView>
  </sheetViews>
  <sheetFormatPr defaultColWidth="9.140625" defaultRowHeight="9"/>
  <cols>
    <col min="1" max="1" width="9.85546875" style="104" customWidth="1"/>
    <col min="2" max="2" width="5.28515625" style="45" customWidth="1"/>
    <col min="3" max="3" width="6.85546875" style="45" customWidth="1"/>
    <col min="4" max="4" width="4.85546875" style="45" customWidth="1"/>
    <col min="5" max="5" width="5.5703125" style="45" customWidth="1"/>
    <col min="6" max="6" width="5.42578125" style="45" customWidth="1"/>
    <col min="7" max="7" width="8.85546875" style="45" customWidth="1"/>
    <col min="8" max="8" width="6.85546875" style="45" customWidth="1"/>
    <col min="9" max="9" width="5.42578125" style="45" customWidth="1"/>
    <col min="10" max="10" width="5.5703125" style="45" customWidth="1"/>
    <col min="11" max="12" width="6.42578125" style="45" customWidth="1"/>
    <col min="13" max="13" width="7.140625" style="45" customWidth="1"/>
    <col min="14" max="14" width="1.28515625" style="45" customWidth="1"/>
    <col min="15" max="15" width="8.85546875" style="45" customWidth="1"/>
    <col min="16" max="16" width="8.5703125" style="45" customWidth="1"/>
    <col min="17" max="17" width="9" style="45" customWidth="1"/>
    <col min="18" max="18" width="8.140625" style="45" customWidth="1"/>
    <col min="19" max="19" width="7.7109375" style="45" customWidth="1"/>
    <col min="20" max="20" width="7.42578125" style="45" customWidth="1"/>
    <col min="21" max="21" width="7.85546875" style="45" customWidth="1"/>
    <col min="22" max="22" width="9.5703125" style="104" customWidth="1"/>
    <col min="23" max="23" width="9.7109375" style="104" customWidth="1"/>
    <col min="24" max="25" width="6" style="45" customWidth="1"/>
    <col min="26" max="26" width="7.5703125" style="45" customWidth="1"/>
    <col min="27" max="27" width="6.85546875" style="45" customWidth="1"/>
    <col min="28" max="28" width="6.7109375" style="45" customWidth="1"/>
    <col min="29" max="29" width="6.85546875" style="45" customWidth="1"/>
    <col min="30" max="30" width="6.5703125" style="45" customWidth="1"/>
    <col min="31" max="31" width="7.28515625" style="45" customWidth="1"/>
    <col min="32" max="32" width="8.140625" style="45" customWidth="1"/>
    <col min="33" max="33" width="6.85546875" style="45" customWidth="1"/>
    <col min="34" max="34" width="5.5703125" style="45" customWidth="1"/>
    <col min="35" max="35" width="7.7109375" style="45" customWidth="1"/>
    <col min="36" max="36" width="7" style="45" customWidth="1"/>
    <col min="37" max="37" width="7.140625" style="45" customWidth="1"/>
    <col min="38" max="38" width="7.7109375" style="45" customWidth="1"/>
    <col min="39" max="39" width="7.85546875" style="45" customWidth="1"/>
    <col min="40" max="40" width="8.42578125" style="45" customWidth="1"/>
    <col min="41" max="41" width="9.140625" style="45" customWidth="1"/>
    <col min="42" max="42" width="8.85546875" style="45" customWidth="1"/>
    <col min="43" max="43" width="9.7109375" style="104" customWidth="1"/>
    <col min="44" max="16384" width="9.140625" style="45"/>
  </cols>
  <sheetData>
    <row r="1" spans="1:43" s="32" customFormat="1" ht="15.75">
      <c r="A1" s="1888" t="s">
        <v>1051</v>
      </c>
      <c r="B1" s="1888"/>
      <c r="C1" s="1888"/>
      <c r="D1" s="1888"/>
      <c r="E1" s="93"/>
      <c r="F1" s="93"/>
      <c r="J1" s="1886" t="s">
        <v>200</v>
      </c>
      <c r="K1" s="1886"/>
      <c r="L1" s="1886"/>
      <c r="M1" s="1872" t="s">
        <v>199</v>
      </c>
      <c r="N1" s="1872"/>
      <c r="O1" s="1872"/>
      <c r="T1" s="1886" t="s">
        <v>224</v>
      </c>
      <c r="U1" s="1886"/>
      <c r="V1" s="1886"/>
      <c r="AF1" s="1886" t="s">
        <v>200</v>
      </c>
      <c r="AG1" s="1886"/>
      <c r="AH1" s="1872" t="s">
        <v>199</v>
      </c>
      <c r="AI1" s="1872"/>
      <c r="AJ1" s="1872"/>
      <c r="AO1" s="1886" t="s">
        <v>358</v>
      </c>
      <c r="AP1" s="1886"/>
      <c r="AQ1" s="1886"/>
    </row>
    <row r="2" spans="1:43" s="30" customFormat="1" ht="11.25" customHeight="1">
      <c r="A2" s="94"/>
      <c r="B2" s="94"/>
      <c r="C2" s="94"/>
      <c r="D2" s="94"/>
      <c r="E2" s="95"/>
      <c r="F2" s="95"/>
      <c r="G2" s="96"/>
      <c r="H2" s="96"/>
      <c r="I2" s="96"/>
      <c r="M2" s="96"/>
      <c r="N2" s="96"/>
      <c r="T2" s="94"/>
      <c r="U2" s="1878" t="s">
        <v>41</v>
      </c>
      <c r="V2" s="1878"/>
      <c r="AP2" s="1878" t="s">
        <v>41</v>
      </c>
      <c r="AQ2" s="1878"/>
    </row>
    <row r="3" spans="1:43" s="174" customFormat="1" ht="13.5" customHeight="1">
      <c r="A3" s="1887" t="s">
        <v>38</v>
      </c>
      <c r="B3" s="1882" t="s">
        <v>285</v>
      </c>
      <c r="C3" s="1873"/>
      <c r="D3" s="1873"/>
      <c r="E3" s="1873"/>
      <c r="F3" s="1873"/>
      <c r="G3" s="1873"/>
      <c r="H3" s="1873"/>
      <c r="I3" s="1873"/>
      <c r="J3" s="1873"/>
      <c r="K3" s="1873"/>
      <c r="L3" s="1874"/>
      <c r="M3" s="1882" t="s">
        <v>286</v>
      </c>
      <c r="N3" s="1873"/>
      <c r="O3" s="1873"/>
      <c r="P3" s="1873"/>
      <c r="Q3" s="1873"/>
      <c r="R3" s="1873"/>
      <c r="S3" s="1873"/>
      <c r="T3" s="1873"/>
      <c r="U3" s="1874"/>
      <c r="V3" s="1887" t="s">
        <v>38</v>
      </c>
      <c r="W3" s="1879" t="s">
        <v>38</v>
      </c>
      <c r="X3" s="1882" t="s">
        <v>287</v>
      </c>
      <c r="Y3" s="1873"/>
      <c r="Z3" s="1873"/>
      <c r="AA3" s="1873"/>
      <c r="AB3" s="1873"/>
      <c r="AC3" s="1873"/>
      <c r="AD3" s="1873"/>
      <c r="AE3" s="1873"/>
      <c r="AF3" s="1873"/>
      <c r="AG3" s="1873"/>
      <c r="AH3" s="1873"/>
      <c r="AI3" s="1873" t="s">
        <v>288</v>
      </c>
      <c r="AJ3" s="1873"/>
      <c r="AK3" s="1873"/>
      <c r="AL3" s="1873"/>
      <c r="AM3" s="1873"/>
      <c r="AN3" s="1873"/>
      <c r="AO3" s="1874"/>
      <c r="AP3" s="1875" t="s">
        <v>1668</v>
      </c>
      <c r="AQ3" s="1887" t="s">
        <v>875</v>
      </c>
    </row>
    <row r="4" spans="1:43" s="122" customFormat="1" ht="11.25" customHeight="1">
      <c r="A4" s="1880"/>
      <c r="B4" s="1895" t="s">
        <v>1692</v>
      </c>
      <c r="C4" s="1890" t="s">
        <v>175</v>
      </c>
      <c r="D4" s="1889" t="s">
        <v>176</v>
      </c>
      <c r="E4" s="1889" t="s">
        <v>1343</v>
      </c>
      <c r="F4" s="1889" t="s">
        <v>177</v>
      </c>
      <c r="G4" s="1892" t="s">
        <v>1344</v>
      </c>
      <c r="H4" s="1890" t="s">
        <v>2564</v>
      </c>
      <c r="I4" s="1889" t="s">
        <v>1345</v>
      </c>
      <c r="J4" s="1889" t="s">
        <v>1346</v>
      </c>
      <c r="K4" s="1889" t="s">
        <v>1074</v>
      </c>
      <c r="L4" s="1898" t="s">
        <v>356</v>
      </c>
      <c r="M4" s="1891" t="s">
        <v>885</v>
      </c>
      <c r="N4" s="1891"/>
      <c r="O4" s="1891"/>
      <c r="P4" s="1891"/>
      <c r="Q4" s="1891" t="s">
        <v>352</v>
      </c>
      <c r="R4" s="1891"/>
      <c r="S4" s="1891"/>
      <c r="T4" s="1891"/>
      <c r="U4" s="1891"/>
      <c r="V4" s="1880"/>
      <c r="W4" s="1880"/>
      <c r="X4" s="1883" t="s">
        <v>357</v>
      </c>
      <c r="Y4" s="1884"/>
      <c r="Z4" s="1884"/>
      <c r="AA4" s="1884"/>
      <c r="AB4" s="1884"/>
      <c r="AC4" s="1884"/>
      <c r="AD4" s="1884"/>
      <c r="AE4" s="1884"/>
      <c r="AF4" s="1884"/>
      <c r="AG4" s="1884"/>
      <c r="AH4" s="1884"/>
      <c r="AI4" s="1884"/>
      <c r="AJ4" s="1884"/>
      <c r="AK4" s="1884"/>
      <c r="AL4" s="1884"/>
      <c r="AM4" s="1884"/>
      <c r="AN4" s="1884"/>
      <c r="AO4" s="1885"/>
      <c r="AP4" s="1876"/>
      <c r="AQ4" s="1880"/>
    </row>
    <row r="5" spans="1:43" s="98" customFormat="1" ht="44.25" customHeight="1">
      <c r="A5" s="1880"/>
      <c r="B5" s="1895"/>
      <c r="C5" s="1890"/>
      <c r="D5" s="1889"/>
      <c r="E5" s="1889"/>
      <c r="F5" s="1889"/>
      <c r="G5" s="1893"/>
      <c r="H5" s="1890"/>
      <c r="I5" s="1889"/>
      <c r="J5" s="1889"/>
      <c r="K5" s="1889"/>
      <c r="L5" s="1898"/>
      <c r="M5" s="1894" t="s">
        <v>886</v>
      </c>
      <c r="N5" s="1895"/>
      <c r="O5" s="43" t="s">
        <v>887</v>
      </c>
      <c r="P5" s="43" t="s">
        <v>1070</v>
      </c>
      <c r="Q5" s="43" t="s">
        <v>2354</v>
      </c>
      <c r="R5" s="43" t="s">
        <v>888</v>
      </c>
      <c r="S5" s="43" t="s">
        <v>1347</v>
      </c>
      <c r="T5" s="43" t="s">
        <v>1348</v>
      </c>
      <c r="U5" s="185" t="s">
        <v>1401</v>
      </c>
      <c r="V5" s="1880"/>
      <c r="W5" s="1880"/>
      <c r="X5" s="186" t="s">
        <v>1006</v>
      </c>
      <c r="Y5" s="240" t="s">
        <v>195</v>
      </c>
      <c r="Z5" s="240" t="s">
        <v>1665</v>
      </c>
      <c r="AA5" s="240" t="s">
        <v>1399</v>
      </c>
      <c r="AB5" s="240" t="s">
        <v>1349</v>
      </c>
      <c r="AC5" s="240" t="s">
        <v>354</v>
      </c>
      <c r="AD5" s="240" t="s">
        <v>1346</v>
      </c>
      <c r="AE5" s="240" t="s">
        <v>196</v>
      </c>
      <c r="AF5" s="1411" t="s">
        <v>2565</v>
      </c>
      <c r="AG5" s="240" t="s">
        <v>197</v>
      </c>
      <c r="AH5" s="240" t="s">
        <v>889</v>
      </c>
      <c r="AI5" s="1410" t="s">
        <v>2566</v>
      </c>
      <c r="AJ5" s="43" t="s">
        <v>1350</v>
      </c>
      <c r="AK5" s="43" t="s">
        <v>1351</v>
      </c>
      <c r="AL5" s="43" t="s">
        <v>355</v>
      </c>
      <c r="AM5" s="43" t="s">
        <v>1400</v>
      </c>
      <c r="AN5" s="43" t="s">
        <v>1667</v>
      </c>
      <c r="AO5" s="185" t="s">
        <v>1666</v>
      </c>
      <c r="AP5" s="1877"/>
      <c r="AQ5" s="1880"/>
    </row>
    <row r="6" spans="1:43" s="105" customFormat="1" ht="12" customHeight="1">
      <c r="A6" s="1881"/>
      <c r="B6" s="100">
        <v>1</v>
      </c>
      <c r="C6" s="82">
        <v>2</v>
      </c>
      <c r="D6" s="82">
        <v>3</v>
      </c>
      <c r="E6" s="82">
        <v>4</v>
      </c>
      <c r="F6" s="82">
        <v>5</v>
      </c>
      <c r="G6" s="82">
        <v>6</v>
      </c>
      <c r="H6" s="82">
        <v>7</v>
      </c>
      <c r="I6" s="82">
        <v>8</v>
      </c>
      <c r="J6" s="82">
        <v>9</v>
      </c>
      <c r="K6" s="82">
        <v>10</v>
      </c>
      <c r="L6" s="82">
        <v>11</v>
      </c>
      <c r="M6" s="83">
        <v>12</v>
      </c>
      <c r="N6" s="106"/>
      <c r="O6" s="82">
        <v>13</v>
      </c>
      <c r="P6" s="82" t="s">
        <v>1071</v>
      </c>
      <c r="Q6" s="82">
        <v>15</v>
      </c>
      <c r="R6" s="82">
        <v>16</v>
      </c>
      <c r="S6" s="82">
        <v>17</v>
      </c>
      <c r="T6" s="82">
        <v>18</v>
      </c>
      <c r="U6" s="83">
        <v>19</v>
      </c>
      <c r="V6" s="1881"/>
      <c r="W6" s="1881"/>
      <c r="X6" s="100">
        <v>20</v>
      </c>
      <c r="Y6" s="82">
        <v>21</v>
      </c>
      <c r="Z6" s="82">
        <v>22</v>
      </c>
      <c r="AA6" s="82">
        <v>23</v>
      </c>
      <c r="AB6" s="82">
        <v>24</v>
      </c>
      <c r="AC6" s="82">
        <v>25</v>
      </c>
      <c r="AD6" s="82">
        <v>26</v>
      </c>
      <c r="AE6" s="82">
        <v>27</v>
      </c>
      <c r="AF6" s="82">
        <v>28</v>
      </c>
      <c r="AG6" s="82">
        <v>29</v>
      </c>
      <c r="AH6" s="82">
        <v>30</v>
      </c>
      <c r="AI6" s="82">
        <v>31</v>
      </c>
      <c r="AJ6" s="82">
        <v>32</v>
      </c>
      <c r="AK6" s="82">
        <v>33</v>
      </c>
      <c r="AL6" s="82">
        <v>34</v>
      </c>
      <c r="AM6" s="82">
        <v>35</v>
      </c>
      <c r="AN6" s="82">
        <v>36</v>
      </c>
      <c r="AO6" s="82" t="s">
        <v>1072</v>
      </c>
      <c r="AP6" s="101" t="s">
        <v>1073</v>
      </c>
      <c r="AQ6" s="1881"/>
    </row>
    <row r="7" spans="1:43" s="88" customFormat="1" ht="13.9" customHeight="1">
      <c r="A7" s="544" t="s">
        <v>948</v>
      </c>
      <c r="B7" s="545">
        <v>564</v>
      </c>
      <c r="C7" s="545">
        <v>1677</v>
      </c>
      <c r="D7" s="545">
        <v>94</v>
      </c>
      <c r="E7" s="545">
        <v>1608</v>
      </c>
      <c r="F7" s="545">
        <v>2576</v>
      </c>
      <c r="G7" s="545">
        <v>33333</v>
      </c>
      <c r="H7" s="545">
        <v>194</v>
      </c>
      <c r="I7" s="545">
        <v>0</v>
      </c>
      <c r="J7" s="545">
        <v>82</v>
      </c>
      <c r="K7" s="545">
        <v>10707</v>
      </c>
      <c r="L7" s="545">
        <f t="shared" ref="L7:L8" si="0">SUM(B7:K7)</f>
        <v>50835</v>
      </c>
      <c r="M7" s="545">
        <v>1627</v>
      </c>
      <c r="N7" s="545"/>
      <c r="O7" s="545">
        <v>1915</v>
      </c>
      <c r="P7" s="545">
        <f t="shared" ref="P7:P8" si="1">M7+O7</f>
        <v>3542</v>
      </c>
      <c r="Q7" s="545">
        <v>532</v>
      </c>
      <c r="R7" s="545">
        <v>254</v>
      </c>
      <c r="S7" s="545">
        <v>526</v>
      </c>
      <c r="T7" s="545">
        <v>2698</v>
      </c>
      <c r="U7" s="545">
        <v>974</v>
      </c>
      <c r="V7" s="546" t="s">
        <v>948</v>
      </c>
      <c r="W7" s="544" t="s">
        <v>948</v>
      </c>
      <c r="X7" s="547" t="s">
        <v>2793</v>
      </c>
      <c r="Y7" s="547" t="s">
        <v>2794</v>
      </c>
      <c r="Z7" s="547" t="s">
        <v>2795</v>
      </c>
      <c r="AA7" s="547" t="s">
        <v>2796</v>
      </c>
      <c r="AB7" s="547" t="s">
        <v>2797</v>
      </c>
      <c r="AC7" s="547" t="s">
        <v>2798</v>
      </c>
      <c r="AD7" s="547" t="s">
        <v>2799</v>
      </c>
      <c r="AE7" s="547">
        <v>814</v>
      </c>
      <c r="AF7" s="547">
        <v>2934</v>
      </c>
      <c r="AG7" s="547">
        <v>4096</v>
      </c>
      <c r="AH7" s="547" t="s">
        <v>2800</v>
      </c>
      <c r="AI7" s="547">
        <v>9646</v>
      </c>
      <c r="AJ7" s="547">
        <v>461</v>
      </c>
      <c r="AK7" s="547">
        <v>4193</v>
      </c>
      <c r="AL7" s="547" t="s">
        <v>2801</v>
      </c>
      <c r="AM7" s="547">
        <v>23209</v>
      </c>
      <c r="AN7" s="547">
        <v>77353</v>
      </c>
      <c r="AO7" s="545">
        <f t="shared" ref="AO7:AO8" si="2">P7+AN7</f>
        <v>80895</v>
      </c>
      <c r="AP7" s="545">
        <f t="shared" ref="AP7:AP8" si="3">L7-AO7</f>
        <v>-30060</v>
      </c>
      <c r="AQ7" s="527" t="s">
        <v>2802</v>
      </c>
    </row>
    <row r="8" spans="1:43" s="88" customFormat="1" ht="13.9" customHeight="1">
      <c r="A8" s="1441" t="s">
        <v>953</v>
      </c>
      <c r="B8" s="1442">
        <v>860</v>
      </c>
      <c r="C8" s="1442">
        <v>2159</v>
      </c>
      <c r="D8" s="1442">
        <v>80</v>
      </c>
      <c r="E8" s="1442">
        <v>1981</v>
      </c>
      <c r="F8" s="1442">
        <v>2951</v>
      </c>
      <c r="G8" s="1442">
        <v>40529</v>
      </c>
      <c r="H8" s="1442">
        <v>316</v>
      </c>
      <c r="I8" s="1442">
        <v>0</v>
      </c>
      <c r="J8" s="1442">
        <v>0</v>
      </c>
      <c r="K8" s="1442">
        <v>13725</v>
      </c>
      <c r="L8" s="1442">
        <f t="shared" si="0"/>
        <v>62601</v>
      </c>
      <c r="M8" s="1442">
        <v>787</v>
      </c>
      <c r="N8" s="1442"/>
      <c r="O8" s="1442">
        <v>2012</v>
      </c>
      <c r="P8" s="1442">
        <f t="shared" si="1"/>
        <v>2799</v>
      </c>
      <c r="Q8" s="1442">
        <v>489</v>
      </c>
      <c r="R8" s="1442">
        <v>212</v>
      </c>
      <c r="S8" s="1442">
        <v>607</v>
      </c>
      <c r="T8" s="1442">
        <v>3174</v>
      </c>
      <c r="U8" s="1442">
        <v>1094</v>
      </c>
      <c r="V8" s="1443" t="s">
        <v>953</v>
      </c>
      <c r="W8" s="1441" t="s">
        <v>953</v>
      </c>
      <c r="X8" s="1574">
        <v>837</v>
      </c>
      <c r="Y8" s="1574">
        <v>1413</v>
      </c>
      <c r="Z8" s="1574">
        <v>4080</v>
      </c>
      <c r="AA8" s="1574">
        <v>9437</v>
      </c>
      <c r="AB8" s="1574">
        <v>3897</v>
      </c>
      <c r="AC8" s="1574">
        <v>336</v>
      </c>
      <c r="AD8" s="1574">
        <v>2262</v>
      </c>
      <c r="AE8" s="1574">
        <v>997</v>
      </c>
      <c r="AF8" s="1574">
        <v>3516</v>
      </c>
      <c r="AG8" s="1574">
        <v>4987</v>
      </c>
      <c r="AH8" s="1574">
        <v>3367</v>
      </c>
      <c r="AI8" s="1574">
        <v>11598</v>
      </c>
      <c r="AJ8" s="1574">
        <v>507</v>
      </c>
      <c r="AK8" s="1574">
        <v>6590</v>
      </c>
      <c r="AL8" s="1574">
        <v>10365</v>
      </c>
      <c r="AM8" s="1574">
        <v>26566</v>
      </c>
      <c r="AN8" s="1574">
        <v>96331</v>
      </c>
      <c r="AO8" s="1442">
        <f t="shared" si="2"/>
        <v>99130</v>
      </c>
      <c r="AP8" s="1442">
        <f t="shared" si="3"/>
        <v>-36529</v>
      </c>
      <c r="AQ8" s="111" t="s">
        <v>2803</v>
      </c>
    </row>
    <row r="9" spans="1:43" s="88" customFormat="1" ht="13.9" customHeight="1">
      <c r="A9" s="544" t="s">
        <v>962</v>
      </c>
      <c r="B9" s="545">
        <v>977</v>
      </c>
      <c r="C9" s="512">
        <v>2602</v>
      </c>
      <c r="D9" s="512">
        <v>42</v>
      </c>
      <c r="E9" s="512">
        <v>2290</v>
      </c>
      <c r="F9" s="512">
        <v>3702</v>
      </c>
      <c r="G9" s="512">
        <v>51891</v>
      </c>
      <c r="H9" s="545">
        <v>325</v>
      </c>
      <c r="I9" s="545">
        <v>0</v>
      </c>
      <c r="J9" s="545">
        <v>271</v>
      </c>
      <c r="K9" s="545">
        <v>16831</v>
      </c>
      <c r="L9" s="545">
        <v>78931</v>
      </c>
      <c r="M9" s="545">
        <v>1234</v>
      </c>
      <c r="N9" s="545"/>
      <c r="O9" s="545">
        <v>2774</v>
      </c>
      <c r="P9" s="545">
        <v>4008</v>
      </c>
      <c r="Q9" s="545">
        <v>572</v>
      </c>
      <c r="R9" s="545">
        <v>525</v>
      </c>
      <c r="S9" s="545">
        <v>736</v>
      </c>
      <c r="T9" s="545">
        <v>4022</v>
      </c>
      <c r="U9" s="545">
        <v>1356</v>
      </c>
      <c r="V9" s="546" t="s">
        <v>962</v>
      </c>
      <c r="W9" s="544" t="s">
        <v>962</v>
      </c>
      <c r="X9" s="508">
        <v>2034</v>
      </c>
      <c r="Y9" s="508">
        <v>1656</v>
      </c>
      <c r="Z9" s="508">
        <v>3607</v>
      </c>
      <c r="AA9" s="508">
        <v>11807</v>
      </c>
      <c r="AB9" s="508">
        <v>4616</v>
      </c>
      <c r="AC9" s="508">
        <v>338</v>
      </c>
      <c r="AD9" s="508">
        <v>2370</v>
      </c>
      <c r="AE9" s="508">
        <v>1113</v>
      </c>
      <c r="AF9" s="508">
        <v>4440</v>
      </c>
      <c r="AG9" s="508">
        <v>5926</v>
      </c>
      <c r="AH9" s="508">
        <v>4023</v>
      </c>
      <c r="AI9" s="508">
        <v>13064</v>
      </c>
      <c r="AJ9" s="547">
        <v>671</v>
      </c>
      <c r="AK9" s="547">
        <v>6805</v>
      </c>
      <c r="AL9" s="547">
        <v>13332</v>
      </c>
      <c r="AM9" s="547">
        <v>31410</v>
      </c>
      <c r="AN9" s="547">
        <v>114470</v>
      </c>
      <c r="AO9" s="545">
        <v>118478</v>
      </c>
      <c r="AP9" s="545">
        <v>-39560</v>
      </c>
      <c r="AQ9" s="527" t="s">
        <v>962</v>
      </c>
    </row>
    <row r="10" spans="1:43" s="88" customFormat="1" ht="13.9" customHeight="1">
      <c r="A10" s="1441" t="s">
        <v>675</v>
      </c>
      <c r="B10" s="1442">
        <v>1075</v>
      </c>
      <c r="C10" s="42">
        <v>2490</v>
      </c>
      <c r="D10" s="42">
        <v>107</v>
      </c>
      <c r="E10" s="42">
        <v>2425</v>
      </c>
      <c r="F10" s="42">
        <v>3892</v>
      </c>
      <c r="G10" s="42">
        <v>56878</v>
      </c>
      <c r="H10" s="1442">
        <v>759</v>
      </c>
      <c r="I10" s="1442">
        <v>0</v>
      </c>
      <c r="J10" s="1442">
        <v>408</v>
      </c>
      <c r="K10" s="1442">
        <v>18988</v>
      </c>
      <c r="L10" s="1442">
        <v>87022</v>
      </c>
      <c r="M10" s="1442">
        <v>5993</v>
      </c>
      <c r="N10" s="1442"/>
      <c r="O10" s="1442">
        <v>3681</v>
      </c>
      <c r="P10" s="1442">
        <v>9674</v>
      </c>
      <c r="Q10" s="1442">
        <v>943</v>
      </c>
      <c r="R10" s="1442">
        <v>550</v>
      </c>
      <c r="S10" s="1442">
        <v>932</v>
      </c>
      <c r="T10" s="1442">
        <v>6905</v>
      </c>
      <c r="U10" s="1442">
        <v>2242</v>
      </c>
      <c r="V10" s="1443" t="s">
        <v>675</v>
      </c>
      <c r="W10" s="1441" t="s">
        <v>675</v>
      </c>
      <c r="X10" s="36">
        <v>2718</v>
      </c>
      <c r="Y10" s="36">
        <v>2380</v>
      </c>
      <c r="Z10" s="36">
        <v>4767</v>
      </c>
      <c r="AA10" s="36">
        <v>14116</v>
      </c>
      <c r="AB10" s="36">
        <v>6103</v>
      </c>
      <c r="AC10" s="36">
        <v>426</v>
      </c>
      <c r="AD10" s="36">
        <v>4330</v>
      </c>
      <c r="AE10" s="36">
        <v>1492</v>
      </c>
      <c r="AF10" s="36">
        <v>5542</v>
      </c>
      <c r="AG10" s="36">
        <v>8317</v>
      </c>
      <c r="AH10" s="36">
        <v>4739</v>
      </c>
      <c r="AI10" s="36">
        <v>12984</v>
      </c>
      <c r="AJ10" s="1574">
        <v>756</v>
      </c>
      <c r="AK10" s="1574">
        <v>8091</v>
      </c>
      <c r="AL10" s="1574">
        <v>11440</v>
      </c>
      <c r="AM10" s="1574">
        <v>38926</v>
      </c>
      <c r="AN10" s="1574">
        <v>138696</v>
      </c>
      <c r="AO10" s="1442">
        <v>148370</v>
      </c>
      <c r="AP10" s="1442">
        <v>-62087</v>
      </c>
      <c r="AQ10" s="111" t="s">
        <v>675</v>
      </c>
    </row>
    <row r="11" spans="1:43" s="88" customFormat="1" ht="13.9" customHeight="1">
      <c r="A11" s="544" t="s">
        <v>141</v>
      </c>
      <c r="B11" s="545">
        <v>923</v>
      </c>
      <c r="C11" s="512">
        <v>2348</v>
      </c>
      <c r="D11" s="512">
        <v>82</v>
      </c>
      <c r="E11" s="512">
        <v>1963</v>
      </c>
      <c r="F11" s="512">
        <v>3131</v>
      </c>
      <c r="G11" s="512">
        <v>67257</v>
      </c>
      <c r="H11" s="545">
        <v>661</v>
      </c>
      <c r="I11" s="545">
        <v>0</v>
      </c>
      <c r="J11" s="545">
        <v>712</v>
      </c>
      <c r="K11" s="545">
        <v>20421</v>
      </c>
      <c r="L11" s="545">
        <v>97498</v>
      </c>
      <c r="M11" s="545">
        <v>1645.4</v>
      </c>
      <c r="N11" s="545"/>
      <c r="O11" s="545">
        <v>4428.7</v>
      </c>
      <c r="P11" s="545">
        <v>6070.1</v>
      </c>
      <c r="Q11" s="545">
        <v>664.1</v>
      </c>
      <c r="R11" s="545">
        <v>428</v>
      </c>
      <c r="S11" s="545">
        <v>1095</v>
      </c>
      <c r="T11" s="545">
        <v>5951.6</v>
      </c>
      <c r="U11" s="545">
        <v>1610</v>
      </c>
      <c r="V11" s="546" t="s">
        <v>141</v>
      </c>
      <c r="W11" s="544" t="s">
        <v>141</v>
      </c>
      <c r="X11" s="508">
        <v>2843</v>
      </c>
      <c r="Y11" s="508">
        <v>2160</v>
      </c>
      <c r="Z11" s="508">
        <v>4011</v>
      </c>
      <c r="AA11" s="508">
        <v>13729</v>
      </c>
      <c r="AB11" s="508">
        <v>6604.8</v>
      </c>
      <c r="AC11" s="508">
        <v>548</v>
      </c>
      <c r="AD11" s="508">
        <v>6559.5</v>
      </c>
      <c r="AE11" s="508">
        <v>1779</v>
      </c>
      <c r="AF11" s="508">
        <v>5779</v>
      </c>
      <c r="AG11" s="508">
        <v>8880</v>
      </c>
      <c r="AH11" s="508">
        <v>5448</v>
      </c>
      <c r="AI11" s="508">
        <v>14444</v>
      </c>
      <c r="AJ11" s="547">
        <v>774</v>
      </c>
      <c r="AK11" s="547">
        <v>10336</v>
      </c>
      <c r="AL11" s="547">
        <v>9764</v>
      </c>
      <c r="AM11" s="547">
        <v>45346.400000000001</v>
      </c>
      <c r="AN11" s="547">
        <v>148752.4</v>
      </c>
      <c r="AO11" s="545">
        <v>154822.5</v>
      </c>
      <c r="AP11" s="545">
        <v>-57324.5</v>
      </c>
      <c r="AQ11" s="527" t="s">
        <v>141</v>
      </c>
    </row>
    <row r="12" spans="1:43" s="88" customFormat="1" ht="13.9" customHeight="1">
      <c r="A12" s="1441" t="s">
        <v>136</v>
      </c>
      <c r="B12" s="1442">
        <v>1328</v>
      </c>
      <c r="C12" s="42">
        <v>3656</v>
      </c>
      <c r="D12" s="42">
        <v>37</v>
      </c>
      <c r="E12" s="42">
        <v>2431</v>
      </c>
      <c r="F12" s="42">
        <v>3208</v>
      </c>
      <c r="G12" s="42">
        <v>67248</v>
      </c>
      <c r="H12" s="1442">
        <v>993</v>
      </c>
      <c r="I12" s="1442">
        <v>0</v>
      </c>
      <c r="J12" s="1442">
        <v>236</v>
      </c>
      <c r="K12" s="1442">
        <v>23011</v>
      </c>
      <c r="L12" s="1442">
        <v>102148</v>
      </c>
      <c r="M12" s="1442">
        <v>522</v>
      </c>
      <c r="N12" s="1442"/>
      <c r="O12" s="1442">
        <v>5267</v>
      </c>
      <c r="P12" s="1442">
        <v>5789</v>
      </c>
      <c r="Q12" s="1442">
        <v>736</v>
      </c>
      <c r="R12" s="1442">
        <v>755</v>
      </c>
      <c r="S12" s="1442">
        <v>900</v>
      </c>
      <c r="T12" s="1442">
        <v>7260</v>
      </c>
      <c r="U12" s="1442">
        <v>2422</v>
      </c>
      <c r="V12" s="1443" t="s">
        <v>136</v>
      </c>
      <c r="W12" s="1441" t="s">
        <v>136</v>
      </c>
      <c r="X12" s="36">
        <v>4497</v>
      </c>
      <c r="Y12" s="36">
        <v>2305</v>
      </c>
      <c r="Z12" s="36">
        <v>3700</v>
      </c>
      <c r="AA12" s="36">
        <v>13984</v>
      </c>
      <c r="AB12" s="36">
        <v>6722</v>
      </c>
      <c r="AC12" s="36">
        <v>713</v>
      </c>
      <c r="AD12" s="36">
        <v>4960</v>
      </c>
      <c r="AE12" s="36">
        <v>1899</v>
      </c>
      <c r="AF12" s="36">
        <v>6683</v>
      </c>
      <c r="AG12" s="36">
        <v>9959</v>
      </c>
      <c r="AH12" s="36">
        <v>4971</v>
      </c>
      <c r="AI12" s="36">
        <v>13742</v>
      </c>
      <c r="AJ12" s="1429">
        <v>814</v>
      </c>
      <c r="AK12" s="1429">
        <v>10052</v>
      </c>
      <c r="AL12" s="1429">
        <v>11032</v>
      </c>
      <c r="AM12" s="1429">
        <v>50346</v>
      </c>
      <c r="AN12" s="1429">
        <v>158452</v>
      </c>
      <c r="AO12" s="1442">
        <v>164241</v>
      </c>
      <c r="AP12" s="1442">
        <v>-62093</v>
      </c>
      <c r="AQ12" s="111" t="s">
        <v>136</v>
      </c>
    </row>
    <row r="13" spans="1:43" s="88" customFormat="1" ht="13.9" customHeight="1">
      <c r="A13" s="544" t="s">
        <v>317</v>
      </c>
      <c r="B13" s="545">
        <v>1888</v>
      </c>
      <c r="C13" s="512">
        <v>4750</v>
      </c>
      <c r="D13" s="512">
        <v>19</v>
      </c>
      <c r="E13" s="512">
        <v>3365</v>
      </c>
      <c r="F13" s="512">
        <v>4149</v>
      </c>
      <c r="G13" s="512">
        <v>96711</v>
      </c>
      <c r="H13" s="545">
        <v>851</v>
      </c>
      <c r="I13" s="545">
        <v>0</v>
      </c>
      <c r="J13" s="545">
        <v>182</v>
      </c>
      <c r="K13" s="545">
        <v>32516.062909</v>
      </c>
      <c r="L13" s="545">
        <v>144431.062909</v>
      </c>
      <c r="M13" s="545">
        <v>5943</v>
      </c>
      <c r="N13" s="545"/>
      <c r="O13" s="545">
        <v>7721</v>
      </c>
      <c r="P13" s="545">
        <v>13664</v>
      </c>
      <c r="Q13" s="545">
        <v>1153</v>
      </c>
      <c r="R13" s="545">
        <v>898</v>
      </c>
      <c r="S13" s="545">
        <v>736</v>
      </c>
      <c r="T13" s="545">
        <v>7600</v>
      </c>
      <c r="U13" s="545">
        <v>2073</v>
      </c>
      <c r="V13" s="546" t="s">
        <v>317</v>
      </c>
      <c r="W13" s="544" t="s">
        <v>317</v>
      </c>
      <c r="X13" s="508">
        <v>4667</v>
      </c>
      <c r="Y13" s="508">
        <v>3182</v>
      </c>
      <c r="Z13" s="508">
        <v>6350</v>
      </c>
      <c r="AA13" s="508">
        <v>23060</v>
      </c>
      <c r="AB13" s="508">
        <v>8938</v>
      </c>
      <c r="AC13" s="508">
        <v>824</v>
      </c>
      <c r="AD13" s="508">
        <v>8817</v>
      </c>
      <c r="AE13" s="508">
        <v>2371</v>
      </c>
      <c r="AF13" s="508">
        <v>9278</v>
      </c>
      <c r="AG13" s="508">
        <v>19115</v>
      </c>
      <c r="AH13" s="508">
        <v>9927</v>
      </c>
      <c r="AI13" s="508">
        <v>19102</v>
      </c>
      <c r="AJ13" s="547">
        <v>1283</v>
      </c>
      <c r="AK13" s="547">
        <v>14290</v>
      </c>
      <c r="AL13" s="547">
        <v>16589</v>
      </c>
      <c r="AM13" s="547">
        <v>66111</v>
      </c>
      <c r="AN13" s="547">
        <v>226364</v>
      </c>
      <c r="AO13" s="545">
        <v>240028</v>
      </c>
      <c r="AP13" s="545">
        <v>-95596.937090999985</v>
      </c>
      <c r="AQ13" s="527" t="s">
        <v>317</v>
      </c>
    </row>
    <row r="14" spans="1:43" s="105" customFormat="1" ht="13.9" customHeight="1">
      <c r="A14" s="443" t="s">
        <v>1299</v>
      </c>
      <c r="B14" s="109">
        <v>1866</v>
      </c>
      <c r="C14" s="109">
        <v>5200</v>
      </c>
      <c r="D14" s="109">
        <v>28</v>
      </c>
      <c r="E14" s="109">
        <v>4115</v>
      </c>
      <c r="F14" s="109">
        <v>4758</v>
      </c>
      <c r="G14" s="109">
        <v>122701</v>
      </c>
      <c r="H14" s="109">
        <v>975</v>
      </c>
      <c r="I14" s="109">
        <v>0</v>
      </c>
      <c r="J14" s="109">
        <v>130</v>
      </c>
      <c r="K14" s="1444">
        <v>40540.264029999998</v>
      </c>
      <c r="L14" s="1444">
        <v>180313.26402999999</v>
      </c>
      <c r="M14" s="109">
        <v>2188</v>
      </c>
      <c r="N14" s="107"/>
      <c r="O14" s="109">
        <v>4763</v>
      </c>
      <c r="P14" s="109">
        <v>6951</v>
      </c>
      <c r="Q14" s="109">
        <v>1750</v>
      </c>
      <c r="R14" s="109">
        <v>1080</v>
      </c>
      <c r="S14" s="109">
        <v>1420</v>
      </c>
      <c r="T14" s="109">
        <v>13051</v>
      </c>
      <c r="U14" s="109">
        <v>1911</v>
      </c>
      <c r="V14" s="1246" t="s">
        <v>1299</v>
      </c>
      <c r="W14" s="443" t="s">
        <v>1299</v>
      </c>
      <c r="X14" s="109">
        <v>9390</v>
      </c>
      <c r="Y14" s="109">
        <v>3994</v>
      </c>
      <c r="Z14" s="109">
        <v>8387</v>
      </c>
      <c r="AA14" s="109">
        <v>30484</v>
      </c>
      <c r="AB14" s="109">
        <v>9575</v>
      </c>
      <c r="AC14" s="109">
        <v>934</v>
      </c>
      <c r="AD14" s="109">
        <v>10907</v>
      </c>
      <c r="AE14" s="109">
        <v>2977</v>
      </c>
      <c r="AF14" s="109">
        <v>10835</v>
      </c>
      <c r="AG14" s="109">
        <v>16601</v>
      </c>
      <c r="AH14" s="109">
        <v>10833</v>
      </c>
      <c r="AI14" s="109">
        <v>24168</v>
      </c>
      <c r="AJ14" s="109">
        <v>3250</v>
      </c>
      <c r="AK14" s="109">
        <v>17637</v>
      </c>
      <c r="AL14" s="109">
        <v>15765</v>
      </c>
      <c r="AM14" s="109">
        <v>79063</v>
      </c>
      <c r="AN14" s="109">
        <v>274012</v>
      </c>
      <c r="AO14" s="109">
        <v>280963</v>
      </c>
      <c r="AP14" s="1444">
        <v>-100649.73597000001</v>
      </c>
      <c r="AQ14" s="1246" t="s">
        <v>1299</v>
      </c>
    </row>
    <row r="15" spans="1:43" s="471" customFormat="1" ht="13.9" customHeight="1">
      <c r="A15" s="544" t="s">
        <v>1505</v>
      </c>
      <c r="B15" s="545">
        <v>1699</v>
      </c>
      <c r="C15" s="512">
        <v>5989</v>
      </c>
      <c r="D15" s="512">
        <v>17</v>
      </c>
      <c r="E15" s="512">
        <v>4778</v>
      </c>
      <c r="F15" s="512">
        <v>3399</v>
      </c>
      <c r="G15" s="512">
        <v>128285</v>
      </c>
      <c r="H15" s="545">
        <v>431</v>
      </c>
      <c r="I15" s="545">
        <v>0</v>
      </c>
      <c r="J15" s="545">
        <v>0</v>
      </c>
      <c r="K15" s="545">
        <v>44838.842640000003</v>
      </c>
      <c r="L15" s="545">
        <v>189436.84263999999</v>
      </c>
      <c r="M15" s="545">
        <v>239</v>
      </c>
      <c r="N15" s="545"/>
      <c r="O15" s="545">
        <v>5575</v>
      </c>
      <c r="P15" s="545">
        <v>5814</v>
      </c>
      <c r="Q15" s="545">
        <v>1708</v>
      </c>
      <c r="R15" s="545">
        <v>947</v>
      </c>
      <c r="S15" s="545">
        <v>1932</v>
      </c>
      <c r="T15" s="545">
        <v>11185</v>
      </c>
      <c r="U15" s="545">
        <v>3373</v>
      </c>
      <c r="V15" s="546" t="s">
        <v>1505</v>
      </c>
      <c r="W15" s="544" t="s">
        <v>1505</v>
      </c>
      <c r="X15" s="508">
        <v>5853</v>
      </c>
      <c r="Y15" s="508">
        <v>3888</v>
      </c>
      <c r="Z15" s="508">
        <v>8801</v>
      </c>
      <c r="AA15" s="508">
        <v>29122</v>
      </c>
      <c r="AB15" s="508">
        <v>10405</v>
      </c>
      <c r="AC15" s="508">
        <v>952</v>
      </c>
      <c r="AD15" s="508">
        <v>9563</v>
      </c>
      <c r="AE15" s="508">
        <v>3190</v>
      </c>
      <c r="AF15" s="508">
        <v>10905</v>
      </c>
      <c r="AG15" s="508">
        <v>16004</v>
      </c>
      <c r="AH15" s="508">
        <v>10849</v>
      </c>
      <c r="AI15" s="508">
        <v>26133</v>
      </c>
      <c r="AJ15" s="547">
        <v>3627</v>
      </c>
      <c r="AK15" s="547">
        <v>18642</v>
      </c>
      <c r="AL15" s="547">
        <v>14672</v>
      </c>
      <c r="AM15" s="547">
        <v>74763</v>
      </c>
      <c r="AN15" s="547">
        <v>266514</v>
      </c>
      <c r="AO15" s="545">
        <v>272328</v>
      </c>
      <c r="AP15" s="545">
        <v>-82891.157360000012</v>
      </c>
      <c r="AQ15" s="527" t="s">
        <v>1505</v>
      </c>
    </row>
    <row r="16" spans="1:43" s="457" customFormat="1" ht="13.9" customHeight="1">
      <c r="A16" s="854" t="s">
        <v>1886</v>
      </c>
      <c r="B16" s="40">
        <v>948</v>
      </c>
      <c r="C16" s="40">
        <v>5315</v>
      </c>
      <c r="D16" s="40">
        <v>17</v>
      </c>
      <c r="E16" s="40">
        <v>3759</v>
      </c>
      <c r="F16" s="40">
        <v>4098</v>
      </c>
      <c r="G16" s="40">
        <v>146626</v>
      </c>
      <c r="H16" s="40">
        <v>134</v>
      </c>
      <c r="I16" s="40">
        <v>0</v>
      </c>
      <c r="J16" s="40">
        <v>0</v>
      </c>
      <c r="K16" s="242">
        <v>52476.544890000005</v>
      </c>
      <c r="L16" s="242">
        <v>213373.54489000002</v>
      </c>
      <c r="M16" s="40">
        <v>2701</v>
      </c>
      <c r="N16" s="40"/>
      <c r="O16" s="40">
        <v>8685</v>
      </c>
      <c r="P16" s="40">
        <v>11386</v>
      </c>
      <c r="Q16" s="40">
        <v>2249</v>
      </c>
      <c r="R16" s="40">
        <v>1423</v>
      </c>
      <c r="S16" s="40">
        <v>3952</v>
      </c>
      <c r="T16" s="40">
        <v>13686</v>
      </c>
      <c r="U16" s="40">
        <v>3536</v>
      </c>
      <c r="V16" s="855" t="s">
        <v>1886</v>
      </c>
      <c r="W16" s="854" t="s">
        <v>1886</v>
      </c>
      <c r="X16" s="40">
        <v>7014</v>
      </c>
      <c r="Y16" s="40">
        <v>4812</v>
      </c>
      <c r="Z16" s="40">
        <v>7218</v>
      </c>
      <c r="AA16" s="40">
        <v>31628</v>
      </c>
      <c r="AB16" s="40">
        <v>11644</v>
      </c>
      <c r="AC16" s="40">
        <v>931</v>
      </c>
      <c r="AD16" s="40">
        <v>7977</v>
      </c>
      <c r="AE16" s="40">
        <v>4185</v>
      </c>
      <c r="AF16" s="40">
        <v>13937</v>
      </c>
      <c r="AG16" s="40">
        <v>18850</v>
      </c>
      <c r="AH16" s="40">
        <v>11705</v>
      </c>
      <c r="AI16" s="40">
        <v>27853</v>
      </c>
      <c r="AJ16" s="40">
        <v>3833</v>
      </c>
      <c r="AK16" s="40">
        <v>20654</v>
      </c>
      <c r="AL16" s="40">
        <v>18122</v>
      </c>
      <c r="AM16" s="40">
        <v>89977</v>
      </c>
      <c r="AN16" s="40">
        <v>305186</v>
      </c>
      <c r="AO16" s="40">
        <v>316572</v>
      </c>
      <c r="AP16" s="242">
        <v>-103198.45510999998</v>
      </c>
      <c r="AQ16" s="855" t="s">
        <v>1886</v>
      </c>
    </row>
    <row r="17" spans="1:43" s="312" customFormat="1" ht="13.9" customHeight="1">
      <c r="A17" s="1049" t="s">
        <v>2017</v>
      </c>
      <c r="B17" s="1050">
        <v>856</v>
      </c>
      <c r="C17" s="1050">
        <v>5351</v>
      </c>
      <c r="D17" s="1050">
        <v>33</v>
      </c>
      <c r="E17" s="1050">
        <v>3081</v>
      </c>
      <c r="F17" s="1050">
        <v>3988</v>
      </c>
      <c r="G17" s="1050">
        <v>156045</v>
      </c>
      <c r="H17" s="1050">
        <v>291</v>
      </c>
      <c r="I17" s="1050">
        <v>0</v>
      </c>
      <c r="J17" s="1050">
        <v>0</v>
      </c>
      <c r="K17" s="1050">
        <v>56840.869556799982</v>
      </c>
      <c r="L17" s="1050">
        <v>226485.8695568</v>
      </c>
      <c r="M17" s="1050">
        <v>4309.6000000000004</v>
      </c>
      <c r="N17" s="1050"/>
      <c r="O17" s="1050">
        <v>7914.6</v>
      </c>
      <c r="P17" s="1050">
        <v>12224.2</v>
      </c>
      <c r="Q17" s="1050">
        <v>2409</v>
      </c>
      <c r="R17" s="1050">
        <v>1668</v>
      </c>
      <c r="S17" s="1050">
        <v>2745</v>
      </c>
      <c r="T17" s="1050">
        <v>12223</v>
      </c>
      <c r="U17" s="1050">
        <v>3057</v>
      </c>
      <c r="V17" s="1051" t="s">
        <v>2017</v>
      </c>
      <c r="W17" s="1049" t="s">
        <v>2017</v>
      </c>
      <c r="X17" s="1052">
        <v>5770</v>
      </c>
      <c r="Y17" s="1052">
        <v>4632</v>
      </c>
      <c r="Z17" s="1052">
        <v>6629</v>
      </c>
      <c r="AA17" s="1052">
        <v>26175</v>
      </c>
      <c r="AB17" s="1052">
        <v>12192</v>
      </c>
      <c r="AC17" s="1052">
        <v>875</v>
      </c>
      <c r="AD17" s="1052">
        <v>9647</v>
      </c>
      <c r="AE17" s="1052">
        <v>4312</v>
      </c>
      <c r="AF17" s="1052">
        <v>14333</v>
      </c>
      <c r="AG17" s="1052">
        <v>17672</v>
      </c>
      <c r="AH17" s="1052">
        <v>12377</v>
      </c>
      <c r="AI17" s="1052">
        <v>28569</v>
      </c>
      <c r="AJ17" s="1052">
        <v>4078</v>
      </c>
      <c r="AK17" s="1052">
        <v>22909</v>
      </c>
      <c r="AL17" s="1052">
        <v>20294</v>
      </c>
      <c r="AM17" s="1052">
        <v>90395</v>
      </c>
      <c r="AN17" s="1052">
        <v>302961</v>
      </c>
      <c r="AO17" s="1130">
        <v>315185.2</v>
      </c>
      <c r="AP17" s="1130">
        <v>-88699.330443200015</v>
      </c>
      <c r="AQ17" s="1051" t="s">
        <v>2017</v>
      </c>
    </row>
    <row r="18" spans="1:43" s="457" customFormat="1" ht="13.9" customHeight="1">
      <c r="A18" s="1168" t="s">
        <v>2226</v>
      </c>
      <c r="B18" s="1269">
        <f>SUM(B19:B30)</f>
        <v>1257</v>
      </c>
      <c r="C18" s="1269">
        <f t="shared" ref="C18:U18" si="4">SUM(C19:C30)</f>
        <v>5700</v>
      </c>
      <c r="D18" s="1269">
        <f t="shared" si="4"/>
        <v>15</v>
      </c>
      <c r="E18" s="1269">
        <f t="shared" si="4"/>
        <v>2133</v>
      </c>
      <c r="F18" s="1269">
        <f t="shared" si="4"/>
        <v>3003</v>
      </c>
      <c r="G18" s="1269">
        <f t="shared" si="4"/>
        <v>163120</v>
      </c>
      <c r="H18" s="1269">
        <f t="shared" si="4"/>
        <v>101</v>
      </c>
      <c r="I18" s="1269">
        <f t="shared" si="4"/>
        <v>0</v>
      </c>
      <c r="J18" s="1269">
        <f t="shared" si="4"/>
        <v>0</v>
      </c>
      <c r="K18" s="1269">
        <f t="shared" si="4"/>
        <v>61472.895545300002</v>
      </c>
      <c r="L18" s="1269">
        <f t="shared" si="4"/>
        <v>236801.89554530004</v>
      </c>
      <c r="M18" s="1269">
        <f t="shared" si="4"/>
        <v>931.40000000000009</v>
      </c>
      <c r="N18" s="1378"/>
      <c r="O18" s="1269">
        <f t="shared" si="4"/>
        <v>7159.0999999999995</v>
      </c>
      <c r="P18" s="1269">
        <f t="shared" si="4"/>
        <v>8090.4999999999991</v>
      </c>
      <c r="Q18" s="1269">
        <f t="shared" si="4"/>
        <v>1766.1999999999998</v>
      </c>
      <c r="R18" s="1269">
        <f t="shared" si="4"/>
        <v>1597.8</v>
      </c>
      <c r="S18" s="1269">
        <f t="shared" si="4"/>
        <v>4083.2</v>
      </c>
      <c r="T18" s="1269">
        <f t="shared" si="4"/>
        <v>10409.300000000001</v>
      </c>
      <c r="U18" s="1269">
        <f t="shared" si="4"/>
        <v>3625.2000000000003</v>
      </c>
      <c r="V18" s="1169" t="s">
        <v>2226</v>
      </c>
      <c r="W18" s="1168" t="s">
        <v>2226</v>
      </c>
      <c r="X18" s="1269">
        <f t="shared" ref="X18:AP18" si="5">SUM(X19:X30)</f>
        <v>5171.3999999999996</v>
      </c>
      <c r="Y18" s="1269">
        <f t="shared" si="5"/>
        <v>3467.4</v>
      </c>
      <c r="Z18" s="1269">
        <f t="shared" si="5"/>
        <v>2985.2</v>
      </c>
      <c r="AA18" s="1269">
        <f t="shared" si="5"/>
        <v>17826.600000000002</v>
      </c>
      <c r="AB18" s="1269">
        <f t="shared" si="5"/>
        <v>13214.499999999998</v>
      </c>
      <c r="AC18" s="1269">
        <f t="shared" si="5"/>
        <v>937.49999999999989</v>
      </c>
      <c r="AD18" s="1269">
        <f t="shared" si="5"/>
        <v>8170.1</v>
      </c>
      <c r="AE18" s="1269">
        <f t="shared" si="5"/>
        <v>4271.7</v>
      </c>
      <c r="AF18" s="1269">
        <f t="shared" si="5"/>
        <v>14233.1</v>
      </c>
      <c r="AG18" s="1269">
        <f t="shared" si="5"/>
        <v>16844</v>
      </c>
      <c r="AH18" s="1269">
        <f t="shared" si="5"/>
        <v>12884.699999999999</v>
      </c>
      <c r="AI18" s="1269">
        <f t="shared" si="5"/>
        <v>32259.099999999995</v>
      </c>
      <c r="AJ18" s="1269">
        <f t="shared" si="5"/>
        <v>4713.0999999999995</v>
      </c>
      <c r="AK18" s="1269">
        <f t="shared" si="5"/>
        <v>21924.899999999998</v>
      </c>
      <c r="AL18" s="1269">
        <f t="shared" si="5"/>
        <v>23920.3</v>
      </c>
      <c r="AM18" s="1269">
        <f t="shared" si="5"/>
        <v>101483.00000000001</v>
      </c>
      <c r="AN18" s="1269">
        <f t="shared" si="5"/>
        <v>305788.3</v>
      </c>
      <c r="AO18" s="1269">
        <f t="shared" si="5"/>
        <v>313878.80000000005</v>
      </c>
      <c r="AP18" s="1269">
        <f t="shared" si="5"/>
        <v>-77076.904454699994</v>
      </c>
      <c r="AQ18" s="1169" t="s">
        <v>2226</v>
      </c>
    </row>
    <row r="19" spans="1:43" s="457" customFormat="1" ht="13.9" customHeight="1">
      <c r="A19" s="544" t="s">
        <v>954</v>
      </c>
      <c r="B19" s="718">
        <v>111</v>
      </c>
      <c r="C19" s="718">
        <v>447</v>
      </c>
      <c r="D19" s="718">
        <v>3</v>
      </c>
      <c r="E19" s="718">
        <v>224</v>
      </c>
      <c r="F19" s="500">
        <v>235</v>
      </c>
      <c r="G19" s="500">
        <v>12930</v>
      </c>
      <c r="H19" s="718">
        <v>0</v>
      </c>
      <c r="I19" s="718">
        <v>0</v>
      </c>
      <c r="J19" s="718">
        <v>0</v>
      </c>
      <c r="K19" s="718">
        <f t="shared" ref="K19:K23" si="6">L19-SUM(B19:J19)</f>
        <v>4563.1464674000017</v>
      </c>
      <c r="L19" s="506">
        <f>15527+38.382*77.8007</f>
        <v>18513.146467400002</v>
      </c>
      <c r="M19" s="506">
        <v>109.5</v>
      </c>
      <c r="N19" s="506"/>
      <c r="O19" s="506">
        <v>256.10000000000002</v>
      </c>
      <c r="P19" s="506">
        <f t="shared" ref="P19:P43" si="7">M19+O19</f>
        <v>365.6</v>
      </c>
      <c r="Q19" s="506">
        <v>145.1</v>
      </c>
      <c r="R19" s="506">
        <v>154</v>
      </c>
      <c r="S19" s="506">
        <v>347.7</v>
      </c>
      <c r="T19" s="506">
        <v>616.6</v>
      </c>
      <c r="U19" s="506">
        <v>160.30000000000001</v>
      </c>
      <c r="V19" s="546" t="s">
        <v>954</v>
      </c>
      <c r="W19" s="544" t="s">
        <v>954</v>
      </c>
      <c r="X19" s="1241">
        <v>228.7</v>
      </c>
      <c r="Y19" s="1241">
        <v>233.6</v>
      </c>
      <c r="Z19" s="506">
        <v>398.4</v>
      </c>
      <c r="AA19" s="506">
        <v>1626.7</v>
      </c>
      <c r="AB19" s="506">
        <v>973.2</v>
      </c>
      <c r="AC19" s="506">
        <v>75.8</v>
      </c>
      <c r="AD19" s="506">
        <v>270.39999999999998</v>
      </c>
      <c r="AE19" s="506">
        <v>370.3</v>
      </c>
      <c r="AF19" s="506">
        <v>1009.8</v>
      </c>
      <c r="AG19" s="504">
        <v>1218.7</v>
      </c>
      <c r="AH19" s="506">
        <v>967.9</v>
      </c>
      <c r="AI19" s="506">
        <v>2373.8000000000002</v>
      </c>
      <c r="AJ19" s="506">
        <v>283.7</v>
      </c>
      <c r="AK19" s="506">
        <v>1431.6</v>
      </c>
      <c r="AL19" s="506">
        <v>1823.9</v>
      </c>
      <c r="AM19" s="506">
        <f>3563.9+2205.6+1741.2</f>
        <v>7510.7</v>
      </c>
      <c r="AN19" s="506">
        <f t="shared" ref="AN19:AN23" si="8">SUM(Q19:U19)+SUM(X19:AM19)</f>
        <v>22220.9</v>
      </c>
      <c r="AO19" s="506">
        <f t="shared" ref="AO19:AO26" si="9">P19+AN19</f>
        <v>22586.5</v>
      </c>
      <c r="AP19" s="500">
        <f t="shared" ref="AP19:AP26" si="10">L19-AO19</f>
        <v>-4073.3535325999983</v>
      </c>
      <c r="AQ19" s="768" t="s">
        <v>954</v>
      </c>
    </row>
    <row r="20" spans="1:43" s="457" customFormat="1" ht="13.9" customHeight="1">
      <c r="A20" s="854" t="s">
        <v>194</v>
      </c>
      <c r="B20" s="695">
        <v>129</v>
      </c>
      <c r="C20" s="695">
        <v>425</v>
      </c>
      <c r="D20" s="695">
        <v>1</v>
      </c>
      <c r="E20" s="695">
        <v>294</v>
      </c>
      <c r="F20" s="415">
        <v>251</v>
      </c>
      <c r="G20" s="415">
        <v>15603</v>
      </c>
      <c r="H20" s="695">
        <v>0</v>
      </c>
      <c r="I20" s="695">
        <v>0</v>
      </c>
      <c r="J20" s="695">
        <v>0</v>
      </c>
      <c r="K20" s="695">
        <f t="shared" si="6"/>
        <v>5275.8858</v>
      </c>
      <c r="L20" s="696">
        <f>18372+46.361*77.8</f>
        <v>21978.8858</v>
      </c>
      <c r="M20" s="696">
        <v>87.2</v>
      </c>
      <c r="N20" s="696"/>
      <c r="O20" s="696">
        <v>671.6</v>
      </c>
      <c r="P20" s="696">
        <f t="shared" si="7"/>
        <v>758.80000000000007</v>
      </c>
      <c r="Q20" s="696">
        <v>144.5</v>
      </c>
      <c r="R20" s="696">
        <v>149.80000000000001</v>
      </c>
      <c r="S20" s="696">
        <v>214.5</v>
      </c>
      <c r="T20" s="696">
        <v>695.1</v>
      </c>
      <c r="U20" s="696">
        <v>134.6</v>
      </c>
      <c r="V20" s="697" t="s">
        <v>194</v>
      </c>
      <c r="W20" s="694" t="s">
        <v>955</v>
      </c>
      <c r="X20" s="1235">
        <v>366.5</v>
      </c>
      <c r="Y20" s="1235">
        <v>237.8</v>
      </c>
      <c r="Z20" s="696">
        <v>306.89999999999998</v>
      </c>
      <c r="AA20" s="696">
        <v>1907.7</v>
      </c>
      <c r="AB20" s="696">
        <v>1050.5</v>
      </c>
      <c r="AC20" s="696">
        <v>65.8</v>
      </c>
      <c r="AD20" s="696">
        <v>704.8</v>
      </c>
      <c r="AE20" s="696">
        <v>348.6</v>
      </c>
      <c r="AF20" s="696">
        <v>1062.7</v>
      </c>
      <c r="AG20" s="696">
        <v>1176.7</v>
      </c>
      <c r="AH20" s="696">
        <v>1148.8</v>
      </c>
      <c r="AI20" s="696">
        <v>2651.6</v>
      </c>
      <c r="AJ20" s="696">
        <v>430</v>
      </c>
      <c r="AK20" s="696">
        <v>2143.1999999999998</v>
      </c>
      <c r="AL20" s="696">
        <v>1885.8</v>
      </c>
      <c r="AM20" s="696">
        <f>3405.7+2407.3+1917</f>
        <v>7730</v>
      </c>
      <c r="AN20" s="696">
        <f t="shared" si="8"/>
        <v>24555.899999999998</v>
      </c>
      <c r="AO20" s="696">
        <f t="shared" si="9"/>
        <v>25314.699999999997</v>
      </c>
      <c r="AP20" s="415">
        <f t="shared" si="10"/>
        <v>-3335.8141999999971</v>
      </c>
      <c r="AQ20" s="697" t="s">
        <v>955</v>
      </c>
    </row>
    <row r="21" spans="1:43" s="457" customFormat="1" ht="13.9" customHeight="1">
      <c r="A21" s="544" t="s">
        <v>949</v>
      </c>
      <c r="B21" s="718">
        <v>133</v>
      </c>
      <c r="C21" s="718">
        <v>417</v>
      </c>
      <c r="D21" s="718">
        <v>0</v>
      </c>
      <c r="E21" s="718">
        <v>159</v>
      </c>
      <c r="F21" s="500">
        <v>265</v>
      </c>
      <c r="G21" s="500">
        <v>12709</v>
      </c>
      <c r="H21" s="718">
        <v>0</v>
      </c>
      <c r="I21" s="718">
        <v>0</v>
      </c>
      <c r="J21" s="718">
        <v>0</v>
      </c>
      <c r="K21" s="718">
        <f t="shared" si="6"/>
        <v>4348.893060800001</v>
      </c>
      <c r="L21" s="506">
        <f>15089+37.826*77.8008</f>
        <v>18031.893060800001</v>
      </c>
      <c r="M21" s="506">
        <v>107.4</v>
      </c>
      <c r="N21" s="506"/>
      <c r="O21" s="506">
        <v>779.3</v>
      </c>
      <c r="P21" s="506">
        <f t="shared" si="7"/>
        <v>886.69999999999993</v>
      </c>
      <c r="Q21" s="506">
        <v>132.4</v>
      </c>
      <c r="R21" s="506">
        <v>183.5</v>
      </c>
      <c r="S21" s="506">
        <v>343.2</v>
      </c>
      <c r="T21" s="506">
        <v>1077.0999999999999</v>
      </c>
      <c r="U21" s="506">
        <v>330.8</v>
      </c>
      <c r="V21" s="768" t="s">
        <v>949</v>
      </c>
      <c r="W21" s="767" t="s">
        <v>949</v>
      </c>
      <c r="X21" s="1241">
        <v>431.2</v>
      </c>
      <c r="Y21" s="1241">
        <v>208.3</v>
      </c>
      <c r="Z21" s="506">
        <v>326</v>
      </c>
      <c r="AA21" s="506">
        <v>1425.3</v>
      </c>
      <c r="AB21" s="506">
        <v>1035.9000000000001</v>
      </c>
      <c r="AC21" s="506">
        <v>69.599999999999994</v>
      </c>
      <c r="AD21" s="506">
        <v>709.4</v>
      </c>
      <c r="AE21" s="506">
        <v>314</v>
      </c>
      <c r="AF21" s="506">
        <v>1200</v>
      </c>
      <c r="AG21" s="506">
        <v>1280.5</v>
      </c>
      <c r="AH21" s="506">
        <v>1036.7</v>
      </c>
      <c r="AI21" s="506">
        <v>2481.5</v>
      </c>
      <c r="AJ21" s="506">
        <v>347.9</v>
      </c>
      <c r="AK21" s="506">
        <v>1830.2</v>
      </c>
      <c r="AL21" s="506">
        <v>1334.9</v>
      </c>
      <c r="AM21" s="506">
        <f>3209.5+2286.7+1533.5</f>
        <v>7029.7</v>
      </c>
      <c r="AN21" s="506">
        <f t="shared" si="8"/>
        <v>23128.1</v>
      </c>
      <c r="AO21" s="506">
        <f t="shared" si="9"/>
        <v>24014.799999999999</v>
      </c>
      <c r="AP21" s="500">
        <f t="shared" si="10"/>
        <v>-5982.9069391999983</v>
      </c>
      <c r="AQ21" s="768" t="s">
        <v>949</v>
      </c>
    </row>
    <row r="22" spans="1:43" s="457" customFormat="1" ht="13.9" customHeight="1">
      <c r="A22" s="854" t="s">
        <v>956</v>
      </c>
      <c r="B22" s="695">
        <v>85</v>
      </c>
      <c r="C22" s="695">
        <v>555</v>
      </c>
      <c r="D22" s="695">
        <v>1</v>
      </c>
      <c r="E22" s="695">
        <v>144</v>
      </c>
      <c r="F22" s="415">
        <v>232</v>
      </c>
      <c r="G22" s="415">
        <v>13908</v>
      </c>
      <c r="H22" s="695">
        <v>0</v>
      </c>
      <c r="I22" s="695">
        <v>0</v>
      </c>
      <c r="J22" s="695">
        <v>0</v>
      </c>
      <c r="K22" s="695">
        <f t="shared" si="6"/>
        <v>4712.0895295000009</v>
      </c>
      <c r="L22" s="696">
        <f>16531+39.913*77.8215</f>
        <v>19637.089529500001</v>
      </c>
      <c r="M22" s="696">
        <v>192.3</v>
      </c>
      <c r="N22" s="696"/>
      <c r="O22" s="696">
        <v>815</v>
      </c>
      <c r="P22" s="696">
        <f t="shared" si="7"/>
        <v>1007.3</v>
      </c>
      <c r="Q22" s="696">
        <v>95.8</v>
      </c>
      <c r="R22" s="696">
        <v>124.6</v>
      </c>
      <c r="S22" s="696">
        <v>704</v>
      </c>
      <c r="T22" s="696">
        <v>1219.2</v>
      </c>
      <c r="U22" s="696">
        <v>207.4</v>
      </c>
      <c r="V22" s="697" t="s">
        <v>956</v>
      </c>
      <c r="W22" s="694" t="s">
        <v>956</v>
      </c>
      <c r="X22" s="1235">
        <v>556.29999999999995</v>
      </c>
      <c r="Y22" s="1235">
        <v>256.60000000000002</v>
      </c>
      <c r="Z22" s="696">
        <v>279.39999999999998</v>
      </c>
      <c r="AA22" s="696">
        <v>1665.8</v>
      </c>
      <c r="AB22" s="696">
        <v>1028.5</v>
      </c>
      <c r="AC22" s="696">
        <v>88.1</v>
      </c>
      <c r="AD22" s="696">
        <v>1134.5</v>
      </c>
      <c r="AE22" s="696">
        <v>340.5</v>
      </c>
      <c r="AF22" s="696">
        <v>1031.0999999999999</v>
      </c>
      <c r="AG22" s="696">
        <v>1222.7</v>
      </c>
      <c r="AH22" s="696">
        <v>985.2</v>
      </c>
      <c r="AI22" s="696">
        <v>2393.1</v>
      </c>
      <c r="AJ22" s="696">
        <v>407.8</v>
      </c>
      <c r="AK22" s="696">
        <v>1868.5</v>
      </c>
      <c r="AL22" s="696">
        <v>1758.5</v>
      </c>
      <c r="AM22" s="696">
        <f>3448.8+2537.6+2314.4</f>
        <v>8300.7999999999993</v>
      </c>
      <c r="AN22" s="696">
        <f t="shared" si="8"/>
        <v>25668.399999999998</v>
      </c>
      <c r="AO22" s="696">
        <f t="shared" si="9"/>
        <v>26675.699999999997</v>
      </c>
      <c r="AP22" s="415">
        <f t="shared" si="10"/>
        <v>-7038.6104704999962</v>
      </c>
      <c r="AQ22" s="697" t="s">
        <v>956</v>
      </c>
    </row>
    <row r="23" spans="1:43" s="457" customFormat="1" ht="13.9" customHeight="1">
      <c r="A23" s="544" t="s">
        <v>957</v>
      </c>
      <c r="B23" s="718">
        <v>108</v>
      </c>
      <c r="C23" s="718">
        <v>486</v>
      </c>
      <c r="D23" s="718">
        <v>1</v>
      </c>
      <c r="E23" s="718">
        <v>130</v>
      </c>
      <c r="F23" s="500">
        <v>338</v>
      </c>
      <c r="G23" s="500">
        <v>13111</v>
      </c>
      <c r="H23" s="718">
        <v>0</v>
      </c>
      <c r="I23" s="718">
        <v>0</v>
      </c>
      <c r="J23" s="718">
        <v>0</v>
      </c>
      <c r="K23" s="718">
        <f t="shared" si="6"/>
        <v>5039.3258397999998</v>
      </c>
      <c r="L23" s="506">
        <f>15756+44.027*78.5274</f>
        <v>19213.3258398</v>
      </c>
      <c r="M23" s="506">
        <v>160.4</v>
      </c>
      <c r="N23" s="506"/>
      <c r="O23" s="506">
        <v>662.8</v>
      </c>
      <c r="P23" s="506">
        <f t="shared" si="7"/>
        <v>823.19999999999993</v>
      </c>
      <c r="Q23" s="506">
        <v>199.6</v>
      </c>
      <c r="R23" s="506">
        <v>112.5</v>
      </c>
      <c r="S23" s="506">
        <v>105.8</v>
      </c>
      <c r="T23" s="506">
        <v>843.3</v>
      </c>
      <c r="U23" s="506">
        <v>201.2</v>
      </c>
      <c r="V23" s="768" t="s">
        <v>957</v>
      </c>
      <c r="W23" s="767" t="s">
        <v>957</v>
      </c>
      <c r="X23" s="1241">
        <v>470.5</v>
      </c>
      <c r="Y23" s="1241">
        <v>299</v>
      </c>
      <c r="Z23" s="506">
        <v>0</v>
      </c>
      <c r="AA23" s="506">
        <v>2155.6</v>
      </c>
      <c r="AB23" s="506">
        <v>1116.7</v>
      </c>
      <c r="AC23" s="506">
        <v>112.5</v>
      </c>
      <c r="AD23" s="506">
        <v>828</v>
      </c>
      <c r="AE23" s="506">
        <v>359</v>
      </c>
      <c r="AF23" s="506">
        <v>1435.3</v>
      </c>
      <c r="AG23" s="506">
        <v>1143.7</v>
      </c>
      <c r="AH23" s="506">
        <v>1099.0999999999999</v>
      </c>
      <c r="AI23" s="506">
        <v>2495</v>
      </c>
      <c r="AJ23" s="506">
        <v>379.3</v>
      </c>
      <c r="AK23" s="506">
        <v>2026</v>
      </c>
      <c r="AL23" s="506">
        <v>1771.2</v>
      </c>
      <c r="AM23" s="506">
        <f>3957.1+2616.8+2148.5</f>
        <v>8722.4</v>
      </c>
      <c r="AN23" s="506">
        <f t="shared" si="8"/>
        <v>25875.7</v>
      </c>
      <c r="AO23" s="506">
        <f t="shared" si="9"/>
        <v>26698.9</v>
      </c>
      <c r="AP23" s="500">
        <f t="shared" si="10"/>
        <v>-7485.5741602000016</v>
      </c>
      <c r="AQ23" s="768" t="s">
        <v>957</v>
      </c>
    </row>
    <row r="24" spans="1:43" s="457" customFormat="1" ht="13.9" customHeight="1">
      <c r="A24" s="854" t="s">
        <v>950</v>
      </c>
      <c r="B24" s="695">
        <v>48</v>
      </c>
      <c r="C24" s="695">
        <v>511</v>
      </c>
      <c r="D24" s="695">
        <v>1</v>
      </c>
      <c r="E24" s="695">
        <v>200</v>
      </c>
      <c r="F24" s="415">
        <v>275</v>
      </c>
      <c r="G24" s="415">
        <v>12930</v>
      </c>
      <c r="H24" s="695">
        <v>0</v>
      </c>
      <c r="I24" s="695">
        <v>0</v>
      </c>
      <c r="J24" s="695">
        <v>0</v>
      </c>
      <c r="K24" s="695">
        <f t="shared" ref="K24:K40" si="11">L24-SUM(B24:J24)</f>
        <v>6042.8867605999985</v>
      </c>
      <c r="L24" s="696">
        <f>15746+54.099*78.7794</f>
        <v>20007.886760599999</v>
      </c>
      <c r="M24" s="696">
        <v>76</v>
      </c>
      <c r="N24" s="696"/>
      <c r="O24" s="696">
        <v>438.7</v>
      </c>
      <c r="P24" s="696">
        <f t="shared" si="7"/>
        <v>514.70000000000005</v>
      </c>
      <c r="Q24" s="696">
        <v>180.4</v>
      </c>
      <c r="R24" s="696">
        <v>126.6</v>
      </c>
      <c r="S24" s="696">
        <v>373.6</v>
      </c>
      <c r="T24" s="696">
        <v>482.5</v>
      </c>
      <c r="U24" s="696">
        <v>300.2</v>
      </c>
      <c r="V24" s="697" t="s">
        <v>950</v>
      </c>
      <c r="W24" s="694" t="s">
        <v>950</v>
      </c>
      <c r="X24" s="1235">
        <v>634.4</v>
      </c>
      <c r="Y24" s="1235">
        <v>304.60000000000002</v>
      </c>
      <c r="Z24" s="696">
        <v>262.39999999999998</v>
      </c>
      <c r="AA24" s="696">
        <v>1848.7</v>
      </c>
      <c r="AB24" s="696">
        <v>1257.5999999999999</v>
      </c>
      <c r="AC24" s="696">
        <v>89.9</v>
      </c>
      <c r="AD24" s="696">
        <v>861.2</v>
      </c>
      <c r="AE24" s="696">
        <v>382</v>
      </c>
      <c r="AF24" s="696">
        <v>1340.7</v>
      </c>
      <c r="AG24" s="696">
        <v>1638.3</v>
      </c>
      <c r="AH24" s="696">
        <v>1071.0999999999999</v>
      </c>
      <c r="AI24" s="696">
        <v>3203.5</v>
      </c>
      <c r="AJ24" s="696">
        <v>398.4</v>
      </c>
      <c r="AK24" s="696">
        <v>1720.2</v>
      </c>
      <c r="AL24" s="696">
        <v>2058.6999999999998</v>
      </c>
      <c r="AM24" s="696">
        <f>4594+2965.9+2179</f>
        <v>9738.9</v>
      </c>
      <c r="AN24" s="696">
        <f t="shared" ref="AN24:AN29" si="12">SUM(Q24:U24)+SUM(X24:AM24)</f>
        <v>28273.899999999998</v>
      </c>
      <c r="AO24" s="413">
        <f t="shared" si="9"/>
        <v>28788.6</v>
      </c>
      <c r="AP24" s="415">
        <f t="shared" si="10"/>
        <v>-8780.7132394</v>
      </c>
      <c r="AQ24" s="697" t="s">
        <v>950</v>
      </c>
    </row>
    <row r="25" spans="1:43" s="457" customFormat="1" ht="13.9" customHeight="1">
      <c r="A25" s="544" t="s">
        <v>958</v>
      </c>
      <c r="B25" s="718">
        <v>16</v>
      </c>
      <c r="C25" s="718">
        <v>460</v>
      </c>
      <c r="D25" s="718">
        <v>1</v>
      </c>
      <c r="E25" s="718">
        <v>172</v>
      </c>
      <c r="F25" s="500">
        <v>262</v>
      </c>
      <c r="G25" s="500">
        <v>13295</v>
      </c>
      <c r="H25" s="718">
        <v>0</v>
      </c>
      <c r="I25" s="718">
        <v>0</v>
      </c>
      <c r="J25" s="718">
        <v>0</v>
      </c>
      <c r="K25" s="718">
        <f t="shared" si="11"/>
        <v>5169.8094203000001</v>
      </c>
      <c r="L25" s="506">
        <f>15684+47.029*78.5007</f>
        <v>19375.8094203</v>
      </c>
      <c r="M25" s="506">
        <v>49</v>
      </c>
      <c r="N25" s="506"/>
      <c r="O25" s="506">
        <v>934</v>
      </c>
      <c r="P25" s="506">
        <f t="shared" si="7"/>
        <v>983</v>
      </c>
      <c r="Q25" s="506">
        <v>139.19999999999999</v>
      </c>
      <c r="R25" s="506">
        <v>94.4</v>
      </c>
      <c r="S25" s="506">
        <v>325.60000000000002</v>
      </c>
      <c r="T25" s="506">
        <v>777.7</v>
      </c>
      <c r="U25" s="506">
        <v>287.10000000000002</v>
      </c>
      <c r="V25" s="768" t="s">
        <v>958</v>
      </c>
      <c r="W25" s="767" t="s">
        <v>958</v>
      </c>
      <c r="X25" s="1241">
        <v>514.20000000000005</v>
      </c>
      <c r="Y25" s="1241">
        <v>208.5</v>
      </c>
      <c r="Z25" s="506">
        <v>0</v>
      </c>
      <c r="AA25" s="506">
        <v>1117.8</v>
      </c>
      <c r="AB25" s="506">
        <v>1173.0999999999999</v>
      </c>
      <c r="AC25" s="506">
        <v>43.5</v>
      </c>
      <c r="AD25" s="506">
        <v>1555.8</v>
      </c>
      <c r="AE25" s="506">
        <v>349.2</v>
      </c>
      <c r="AF25" s="506">
        <v>1130.5</v>
      </c>
      <c r="AG25" s="506">
        <v>1350.9</v>
      </c>
      <c r="AH25" s="506">
        <v>1086.4000000000001</v>
      </c>
      <c r="AI25" s="506">
        <v>2963.1</v>
      </c>
      <c r="AJ25" s="506">
        <v>464.1</v>
      </c>
      <c r="AK25" s="506">
        <v>1603.5</v>
      </c>
      <c r="AL25" s="506">
        <v>2033.5</v>
      </c>
      <c r="AM25" s="506">
        <f>4057.9+2609.8+2115.6</f>
        <v>8783.3000000000011</v>
      </c>
      <c r="AN25" s="506">
        <f t="shared" si="12"/>
        <v>26001.4</v>
      </c>
      <c r="AO25" s="506">
        <f t="shared" si="9"/>
        <v>26984.400000000001</v>
      </c>
      <c r="AP25" s="500">
        <f t="shared" si="10"/>
        <v>-7608.5905797000014</v>
      </c>
      <c r="AQ25" s="768" t="s">
        <v>958</v>
      </c>
    </row>
    <row r="26" spans="1:43" s="457" customFormat="1" ht="13.9" customHeight="1">
      <c r="A26" s="854" t="s">
        <v>959</v>
      </c>
      <c r="B26" s="695">
        <v>67</v>
      </c>
      <c r="C26" s="695">
        <v>425</v>
      </c>
      <c r="D26" s="695">
        <v>2</v>
      </c>
      <c r="E26" s="695">
        <v>143</v>
      </c>
      <c r="F26" s="415">
        <v>248</v>
      </c>
      <c r="G26" s="415">
        <v>13519</v>
      </c>
      <c r="H26" s="695">
        <v>0</v>
      </c>
      <c r="I26" s="695">
        <v>0</v>
      </c>
      <c r="J26" s="695">
        <v>0</v>
      </c>
      <c r="K26" s="695">
        <f t="shared" si="11"/>
        <v>4900.650072299999</v>
      </c>
      <c r="L26" s="696">
        <f>15949+42.719*78.5517</f>
        <v>19304.650072299999</v>
      </c>
      <c r="M26" s="696">
        <v>38.700000000000003</v>
      </c>
      <c r="N26" s="696"/>
      <c r="O26" s="696">
        <v>429</v>
      </c>
      <c r="P26" s="696">
        <f t="shared" si="7"/>
        <v>467.7</v>
      </c>
      <c r="Q26" s="696">
        <v>127.8</v>
      </c>
      <c r="R26" s="696">
        <v>108.9</v>
      </c>
      <c r="S26" s="696">
        <v>194.7</v>
      </c>
      <c r="T26" s="696">
        <v>889.1</v>
      </c>
      <c r="U26" s="696">
        <v>223.7</v>
      </c>
      <c r="V26" s="697" t="s">
        <v>959</v>
      </c>
      <c r="W26" s="694" t="s">
        <v>959</v>
      </c>
      <c r="X26" s="1235">
        <v>324.60000000000002</v>
      </c>
      <c r="Y26" s="1235">
        <v>344.1</v>
      </c>
      <c r="Z26" s="696">
        <v>211.4</v>
      </c>
      <c r="AA26" s="696">
        <v>787.5</v>
      </c>
      <c r="AB26" s="696">
        <v>948.3</v>
      </c>
      <c r="AC26" s="696">
        <v>79.5</v>
      </c>
      <c r="AD26" s="696">
        <v>951.2</v>
      </c>
      <c r="AE26" s="696">
        <v>331.5</v>
      </c>
      <c r="AF26" s="696">
        <v>1136.5999999999999</v>
      </c>
      <c r="AG26" s="696">
        <v>1345.9</v>
      </c>
      <c r="AH26" s="696">
        <v>1071.3</v>
      </c>
      <c r="AI26" s="696">
        <v>2696.3</v>
      </c>
      <c r="AJ26" s="696">
        <v>393.6</v>
      </c>
      <c r="AK26" s="696">
        <v>1840.4</v>
      </c>
      <c r="AL26" s="696">
        <v>1879.1</v>
      </c>
      <c r="AM26" s="696">
        <f>3444.2+2416.2+1902.5</f>
        <v>7762.9</v>
      </c>
      <c r="AN26" s="696">
        <f t="shared" si="12"/>
        <v>23648.399999999998</v>
      </c>
      <c r="AO26" s="696">
        <f t="shared" si="9"/>
        <v>24116.1</v>
      </c>
      <c r="AP26" s="415">
        <f t="shared" si="10"/>
        <v>-4811.4499276999995</v>
      </c>
      <c r="AQ26" s="697" t="s">
        <v>959</v>
      </c>
    </row>
    <row r="27" spans="1:43" s="457" customFormat="1" ht="13.9" customHeight="1">
      <c r="A27" s="544" t="s">
        <v>676</v>
      </c>
      <c r="B27" s="718">
        <v>74</v>
      </c>
      <c r="C27" s="718">
        <v>485</v>
      </c>
      <c r="D27" s="718">
        <v>1</v>
      </c>
      <c r="E27" s="718">
        <v>167</v>
      </c>
      <c r="F27" s="500">
        <v>240</v>
      </c>
      <c r="G27" s="500">
        <v>14553</v>
      </c>
      <c r="H27" s="718">
        <v>44</v>
      </c>
      <c r="I27" s="718">
        <v>0</v>
      </c>
      <c r="J27" s="718">
        <v>0</v>
      </c>
      <c r="K27" s="718">
        <f t="shared" si="11"/>
        <v>5463.2565945999995</v>
      </c>
      <c r="L27" s="506">
        <f>17289+47.674*78.4129</f>
        <v>21027.2565946</v>
      </c>
      <c r="M27" s="506">
        <v>30.8</v>
      </c>
      <c r="N27" s="506"/>
      <c r="O27" s="506">
        <v>267.89999999999998</v>
      </c>
      <c r="P27" s="506">
        <f t="shared" si="7"/>
        <v>298.7</v>
      </c>
      <c r="Q27" s="506">
        <v>128.4</v>
      </c>
      <c r="R27" s="506">
        <v>105.9</v>
      </c>
      <c r="S27" s="506">
        <v>101</v>
      </c>
      <c r="T27" s="506">
        <v>991.4</v>
      </c>
      <c r="U27" s="506">
        <v>203.8</v>
      </c>
      <c r="V27" s="768" t="s">
        <v>676</v>
      </c>
      <c r="W27" s="767" t="s">
        <v>951</v>
      </c>
      <c r="X27" s="1241">
        <v>850.4</v>
      </c>
      <c r="Y27" s="1241">
        <v>318.10000000000002</v>
      </c>
      <c r="Z27" s="506">
        <v>168.6</v>
      </c>
      <c r="AA27" s="506">
        <v>1297.7</v>
      </c>
      <c r="AB27" s="506">
        <v>1207.9000000000001</v>
      </c>
      <c r="AC27" s="506">
        <v>88.7</v>
      </c>
      <c r="AD27" s="506">
        <v>434.5</v>
      </c>
      <c r="AE27" s="506">
        <v>375.5</v>
      </c>
      <c r="AF27" s="506">
        <v>1242.5</v>
      </c>
      <c r="AG27" s="506">
        <v>1894.9</v>
      </c>
      <c r="AH27" s="506">
        <v>1093.4000000000001</v>
      </c>
      <c r="AI27" s="506">
        <v>2788.1</v>
      </c>
      <c r="AJ27" s="506">
        <v>452.7</v>
      </c>
      <c r="AK27" s="506">
        <v>1841.3</v>
      </c>
      <c r="AL27" s="506">
        <v>2373.1999999999998</v>
      </c>
      <c r="AM27" s="506">
        <f>3597.8+2999+1994.8</f>
        <v>8591.6</v>
      </c>
      <c r="AN27" s="506">
        <f t="shared" si="12"/>
        <v>26549.599999999999</v>
      </c>
      <c r="AO27" s="506">
        <f>P27+AN27</f>
        <v>26848.3</v>
      </c>
      <c r="AP27" s="500">
        <f>L27-AO27</f>
        <v>-5821.0434053999998</v>
      </c>
      <c r="AQ27" s="768" t="s">
        <v>951</v>
      </c>
    </row>
    <row r="28" spans="1:43" s="457" customFormat="1" ht="13.9" customHeight="1">
      <c r="A28" s="854" t="s">
        <v>960</v>
      </c>
      <c r="B28" s="695">
        <v>78</v>
      </c>
      <c r="C28" s="695">
        <v>484</v>
      </c>
      <c r="D28" s="695">
        <v>2</v>
      </c>
      <c r="E28" s="695">
        <v>137</v>
      </c>
      <c r="F28" s="415">
        <v>199</v>
      </c>
      <c r="G28" s="415">
        <v>13324</v>
      </c>
      <c r="H28" s="695">
        <v>0</v>
      </c>
      <c r="I28" s="695">
        <v>0</v>
      </c>
      <c r="J28" s="695">
        <v>0</v>
      </c>
      <c r="K28" s="695">
        <f t="shared" si="11"/>
        <v>4521.9903999999988</v>
      </c>
      <c r="L28" s="696">
        <f>15684+39.056*78.4</f>
        <v>18745.990399999999</v>
      </c>
      <c r="M28" s="696">
        <v>21.2</v>
      </c>
      <c r="N28" s="696"/>
      <c r="O28" s="696">
        <v>517.70000000000005</v>
      </c>
      <c r="P28" s="696">
        <f t="shared" si="7"/>
        <v>538.90000000000009</v>
      </c>
      <c r="Q28" s="696">
        <v>130.6</v>
      </c>
      <c r="R28" s="696">
        <v>110.6</v>
      </c>
      <c r="S28" s="696">
        <v>573.1</v>
      </c>
      <c r="T28" s="696">
        <v>818.6</v>
      </c>
      <c r="U28" s="696">
        <v>539.70000000000005</v>
      </c>
      <c r="V28" s="697" t="s">
        <v>960</v>
      </c>
      <c r="W28" s="694" t="s">
        <v>960</v>
      </c>
      <c r="X28" s="1235">
        <v>63.2</v>
      </c>
      <c r="Y28" s="1235">
        <v>285.39999999999998</v>
      </c>
      <c r="Z28" s="696">
        <v>318.89999999999998</v>
      </c>
      <c r="AA28" s="696">
        <v>1370</v>
      </c>
      <c r="AB28" s="696">
        <v>1050.7</v>
      </c>
      <c r="AC28" s="696">
        <v>71.400000000000006</v>
      </c>
      <c r="AD28" s="696">
        <v>286.3</v>
      </c>
      <c r="AE28" s="696">
        <v>352.2</v>
      </c>
      <c r="AF28" s="696">
        <v>1120.5</v>
      </c>
      <c r="AG28" s="696">
        <v>1309.0999999999999</v>
      </c>
      <c r="AH28" s="696">
        <v>967.4</v>
      </c>
      <c r="AI28" s="696">
        <v>2865.7</v>
      </c>
      <c r="AJ28" s="696">
        <v>363.6</v>
      </c>
      <c r="AK28" s="696">
        <v>1478.7</v>
      </c>
      <c r="AL28" s="696">
        <v>2496.1999999999998</v>
      </c>
      <c r="AM28" s="696">
        <f>3636.4+2655.7+2195.2</f>
        <v>8487.2999999999993</v>
      </c>
      <c r="AN28" s="696">
        <f t="shared" si="12"/>
        <v>25059.199999999997</v>
      </c>
      <c r="AO28" s="696">
        <f>P28+AN28</f>
        <v>25598.1</v>
      </c>
      <c r="AP28" s="415">
        <f>L28-AO28</f>
        <v>-6852.1095999999998</v>
      </c>
      <c r="AQ28" s="697" t="s">
        <v>960</v>
      </c>
    </row>
    <row r="29" spans="1:43" s="457" customFormat="1" ht="13.9" customHeight="1">
      <c r="A29" s="544" t="s">
        <v>961</v>
      </c>
      <c r="B29" s="718">
        <v>158</v>
      </c>
      <c r="C29" s="718">
        <v>535</v>
      </c>
      <c r="D29" s="718">
        <v>1</v>
      </c>
      <c r="E29" s="718">
        <v>190</v>
      </c>
      <c r="F29" s="500">
        <v>205</v>
      </c>
      <c r="G29" s="500">
        <v>13593</v>
      </c>
      <c r="H29" s="718">
        <v>0</v>
      </c>
      <c r="I29" s="718">
        <v>0</v>
      </c>
      <c r="J29" s="718">
        <v>0</v>
      </c>
      <c r="K29" s="718">
        <f t="shared" si="11"/>
        <v>5093.3824000000022</v>
      </c>
      <c r="L29" s="506">
        <f>16174+45.936*78.4</f>
        <v>19775.382400000002</v>
      </c>
      <c r="M29" s="506">
        <v>30.5</v>
      </c>
      <c r="N29" s="506"/>
      <c r="O29" s="506">
        <v>630.6</v>
      </c>
      <c r="P29" s="506">
        <f t="shared" si="7"/>
        <v>661.1</v>
      </c>
      <c r="Q29" s="506">
        <v>187.1</v>
      </c>
      <c r="R29" s="506">
        <v>148.69999999999999</v>
      </c>
      <c r="S29" s="506">
        <v>446.5</v>
      </c>
      <c r="T29" s="506">
        <v>1076.0999999999999</v>
      </c>
      <c r="U29" s="506">
        <v>614.29999999999995</v>
      </c>
      <c r="V29" s="768" t="s">
        <v>961</v>
      </c>
      <c r="W29" s="767" t="s">
        <v>961</v>
      </c>
      <c r="X29" s="1241">
        <v>546.9</v>
      </c>
      <c r="Y29" s="1241">
        <v>437.9</v>
      </c>
      <c r="Z29" s="506">
        <v>223.2</v>
      </c>
      <c r="AA29" s="506">
        <v>1278.0999999999999</v>
      </c>
      <c r="AB29" s="506">
        <v>1239.3</v>
      </c>
      <c r="AC29" s="506">
        <v>79.900000000000006</v>
      </c>
      <c r="AD29" s="506">
        <v>220.5</v>
      </c>
      <c r="AE29" s="506">
        <v>364.5</v>
      </c>
      <c r="AF29" s="506">
        <v>1322.1</v>
      </c>
      <c r="AG29" s="506">
        <v>1611.6</v>
      </c>
      <c r="AH29" s="506">
        <v>1260.2</v>
      </c>
      <c r="AI29" s="506">
        <v>2778.1</v>
      </c>
      <c r="AJ29" s="506">
        <v>425.4</v>
      </c>
      <c r="AK29" s="506">
        <v>2081.6999999999998</v>
      </c>
      <c r="AL29" s="506">
        <v>2266</v>
      </c>
      <c r="AM29" s="506">
        <f>4347.6+2876.3+2218.7</f>
        <v>9442.6</v>
      </c>
      <c r="AN29" s="506">
        <f t="shared" si="12"/>
        <v>28050.7</v>
      </c>
      <c r="AO29" s="506">
        <f>P29+AN29</f>
        <v>28711.8</v>
      </c>
      <c r="AP29" s="500">
        <f>L29-AO29</f>
        <v>-8936.417599999997</v>
      </c>
      <c r="AQ29" s="768" t="s">
        <v>961</v>
      </c>
    </row>
    <row r="30" spans="1:43" s="457" customFormat="1" ht="13.9" customHeight="1">
      <c r="A30" s="854" t="s">
        <v>952</v>
      </c>
      <c r="B30" s="695">
        <v>250</v>
      </c>
      <c r="C30" s="695">
        <v>470</v>
      </c>
      <c r="D30" s="695">
        <v>1</v>
      </c>
      <c r="E30" s="695">
        <v>173</v>
      </c>
      <c r="F30" s="415">
        <v>253</v>
      </c>
      <c r="G30" s="415">
        <v>13645</v>
      </c>
      <c r="H30" s="695">
        <v>57</v>
      </c>
      <c r="I30" s="695">
        <v>0</v>
      </c>
      <c r="J30" s="695">
        <v>0</v>
      </c>
      <c r="K30" s="695">
        <f t="shared" si="11"/>
        <v>6341.5792000000001</v>
      </c>
      <c r="L30" s="696">
        <f>16415+60.913*78.4</f>
        <v>21190.5792</v>
      </c>
      <c r="M30" s="696">
        <v>28.4</v>
      </c>
      <c r="N30" s="696"/>
      <c r="O30" s="696">
        <v>756.4</v>
      </c>
      <c r="P30" s="696">
        <f t="shared" si="7"/>
        <v>784.8</v>
      </c>
      <c r="Q30" s="696">
        <v>155.30000000000001</v>
      </c>
      <c r="R30" s="696">
        <v>178.3</v>
      </c>
      <c r="S30" s="696">
        <v>353.5</v>
      </c>
      <c r="T30" s="696">
        <v>922.6</v>
      </c>
      <c r="U30" s="696">
        <v>422.1</v>
      </c>
      <c r="V30" s="697" t="s">
        <v>952</v>
      </c>
      <c r="W30" s="694" t="s">
        <v>952</v>
      </c>
      <c r="X30" s="1235">
        <v>184.5</v>
      </c>
      <c r="Y30" s="1235">
        <v>333.5</v>
      </c>
      <c r="Z30" s="696">
        <v>490</v>
      </c>
      <c r="AA30" s="696">
        <v>1345.7</v>
      </c>
      <c r="AB30" s="696">
        <v>1132.8</v>
      </c>
      <c r="AC30" s="696">
        <v>72.8</v>
      </c>
      <c r="AD30" s="696">
        <v>213.5</v>
      </c>
      <c r="AE30" s="696">
        <v>384.4</v>
      </c>
      <c r="AF30" s="696">
        <v>1201.3</v>
      </c>
      <c r="AG30" s="696">
        <v>1651</v>
      </c>
      <c r="AH30" s="696">
        <v>1097.2</v>
      </c>
      <c r="AI30" s="696">
        <v>2569.3000000000002</v>
      </c>
      <c r="AJ30" s="696">
        <v>366.6</v>
      </c>
      <c r="AK30" s="696">
        <v>2059.6</v>
      </c>
      <c r="AL30" s="696">
        <v>2239.3000000000002</v>
      </c>
      <c r="AM30" s="696">
        <f>4459.9+2770+2152.9</f>
        <v>9382.7999999999993</v>
      </c>
      <c r="AN30" s="696">
        <f>SUM(Q30:U30)+SUM(X30:AM30)</f>
        <v>26756.1</v>
      </c>
      <c r="AO30" s="696">
        <f>P30+AN30</f>
        <v>27540.899999999998</v>
      </c>
      <c r="AP30" s="415">
        <f>L30-AO30</f>
        <v>-6350.3207999999977</v>
      </c>
      <c r="AQ30" s="697" t="s">
        <v>952</v>
      </c>
    </row>
    <row r="31" spans="1:43" s="457" customFormat="1" ht="13.9" customHeight="1">
      <c r="A31" s="1278" t="s">
        <v>2407</v>
      </c>
      <c r="B31" s="1050">
        <f>SUM(B32:B43)</f>
        <v>1382</v>
      </c>
      <c r="C31" s="1050">
        <f t="shared" ref="C31:U31" si="13">SUM(C32:C43)</f>
        <v>6116</v>
      </c>
      <c r="D31" s="1050">
        <f t="shared" si="13"/>
        <v>30</v>
      </c>
      <c r="E31" s="1050">
        <f t="shared" si="13"/>
        <v>1469</v>
      </c>
      <c r="F31" s="1050">
        <f t="shared" si="13"/>
        <v>3203</v>
      </c>
      <c r="G31" s="1050">
        <f t="shared" si="13"/>
        <v>167033</v>
      </c>
      <c r="H31" s="1050">
        <f t="shared" si="13"/>
        <v>130</v>
      </c>
      <c r="I31" s="1050">
        <f t="shared" si="13"/>
        <v>0</v>
      </c>
      <c r="J31" s="1050">
        <f t="shared" si="13"/>
        <v>44</v>
      </c>
      <c r="K31" s="1050">
        <f t="shared" si="13"/>
        <v>60529.485022404995</v>
      </c>
      <c r="L31" s="1050">
        <f t="shared" si="13"/>
        <v>239936.48502240499</v>
      </c>
      <c r="M31" s="1050">
        <f t="shared" si="13"/>
        <v>604.20000000000005</v>
      </c>
      <c r="N31" s="1561"/>
      <c r="O31" s="1050">
        <f t="shared" si="13"/>
        <v>8137.5</v>
      </c>
      <c r="P31" s="1050">
        <f t="shared" si="13"/>
        <v>8741.6999999999989</v>
      </c>
      <c r="Q31" s="1050">
        <f t="shared" si="13"/>
        <v>2000.9</v>
      </c>
      <c r="R31" s="1050">
        <f t="shared" si="13"/>
        <v>2055.6</v>
      </c>
      <c r="S31" s="1050">
        <f t="shared" si="13"/>
        <v>3271.2</v>
      </c>
      <c r="T31" s="1050">
        <f t="shared" si="13"/>
        <v>11786.1</v>
      </c>
      <c r="U31" s="1050">
        <f t="shared" si="13"/>
        <v>4667.0999999999995</v>
      </c>
      <c r="V31" s="1279" t="s">
        <v>2407</v>
      </c>
      <c r="W31" s="1278" t="s">
        <v>2407</v>
      </c>
      <c r="X31" s="1050">
        <f t="shared" ref="X31:AP31" si="14">SUM(X32:X43)</f>
        <v>6608.2999999999993</v>
      </c>
      <c r="Y31" s="1050">
        <f t="shared" si="14"/>
        <v>3752.3999999999996</v>
      </c>
      <c r="Z31" s="1050">
        <f t="shared" si="14"/>
        <v>3925.6</v>
      </c>
      <c r="AA31" s="1050">
        <f t="shared" si="14"/>
        <v>21853.499999999996</v>
      </c>
      <c r="AB31" s="1050">
        <f t="shared" si="14"/>
        <v>14740.400000000001</v>
      </c>
      <c r="AC31" s="1050">
        <f t="shared" si="14"/>
        <v>1157.8</v>
      </c>
      <c r="AD31" s="1050">
        <f t="shared" si="14"/>
        <v>5741.7999999999993</v>
      </c>
      <c r="AE31" s="1050">
        <f t="shared" si="14"/>
        <v>4672.4000000000005</v>
      </c>
      <c r="AF31" s="1050">
        <f t="shared" si="14"/>
        <v>15615.300000000001</v>
      </c>
      <c r="AG31" s="1050">
        <f t="shared" si="14"/>
        <v>21080.199999999997</v>
      </c>
      <c r="AH31" s="1050">
        <f t="shared" si="14"/>
        <v>13102.200000000003</v>
      </c>
      <c r="AI31" s="1050">
        <f t="shared" si="14"/>
        <v>32638.1</v>
      </c>
      <c r="AJ31" s="1050">
        <f t="shared" si="14"/>
        <v>4824</v>
      </c>
      <c r="AK31" s="1050">
        <f t="shared" si="14"/>
        <v>25809.200000000004</v>
      </c>
      <c r="AL31" s="1050">
        <f t="shared" si="14"/>
        <v>29444.5</v>
      </c>
      <c r="AM31" s="1050">
        <f t="shared" si="14"/>
        <v>107323.49999999997</v>
      </c>
      <c r="AN31" s="1050">
        <f t="shared" si="14"/>
        <v>336070.10000000003</v>
      </c>
      <c r="AO31" s="1050">
        <f t="shared" si="14"/>
        <v>344811.80000000005</v>
      </c>
      <c r="AP31" s="1050">
        <f t="shared" si="14"/>
        <v>-104875.31497759503</v>
      </c>
      <c r="AQ31" s="1279" t="s">
        <v>2407</v>
      </c>
    </row>
    <row r="32" spans="1:43" s="457" customFormat="1" ht="13.9" customHeight="1">
      <c r="A32" s="854" t="s">
        <v>954</v>
      </c>
      <c r="B32" s="695">
        <v>158</v>
      </c>
      <c r="C32" s="695">
        <v>471</v>
      </c>
      <c r="D32" s="695">
        <v>1</v>
      </c>
      <c r="E32" s="695">
        <v>108</v>
      </c>
      <c r="F32" s="415">
        <v>274</v>
      </c>
      <c r="G32" s="415">
        <v>13232</v>
      </c>
      <c r="H32" s="695">
        <v>0</v>
      </c>
      <c r="I32" s="695">
        <v>0</v>
      </c>
      <c r="J32" s="695">
        <v>0</v>
      </c>
      <c r="K32" s="695">
        <f t="shared" si="11"/>
        <v>3996.4079999999994</v>
      </c>
      <c r="L32" s="696">
        <f>15585+33.87*78.4</f>
        <v>18240.407999999999</v>
      </c>
      <c r="M32" s="696">
        <v>17.7</v>
      </c>
      <c r="N32" s="696"/>
      <c r="O32" s="696">
        <v>454.6</v>
      </c>
      <c r="P32" s="696">
        <f t="shared" si="7"/>
        <v>472.3</v>
      </c>
      <c r="Q32" s="696">
        <v>150.5</v>
      </c>
      <c r="R32" s="696">
        <v>129</v>
      </c>
      <c r="S32" s="696">
        <v>383.3</v>
      </c>
      <c r="T32" s="696">
        <v>689.5</v>
      </c>
      <c r="U32" s="696">
        <v>210.8</v>
      </c>
      <c r="V32" s="855" t="s">
        <v>954</v>
      </c>
      <c r="W32" s="854" t="s">
        <v>954</v>
      </c>
      <c r="X32" s="1235">
        <v>566.29999999999995</v>
      </c>
      <c r="Y32" s="1235">
        <v>233</v>
      </c>
      <c r="Z32" s="696">
        <v>305.10000000000002</v>
      </c>
      <c r="AA32" s="696">
        <v>1331.8</v>
      </c>
      <c r="AB32" s="696">
        <v>1139.2</v>
      </c>
      <c r="AC32" s="696">
        <v>64.900000000000006</v>
      </c>
      <c r="AD32" s="696">
        <v>417.9</v>
      </c>
      <c r="AE32" s="696">
        <v>396.6</v>
      </c>
      <c r="AF32" s="696">
        <v>1031.5999999999999</v>
      </c>
      <c r="AG32" s="696">
        <v>1093</v>
      </c>
      <c r="AH32" s="696">
        <v>1122.7</v>
      </c>
      <c r="AI32" s="696">
        <v>2609.1999999999998</v>
      </c>
      <c r="AJ32" s="696">
        <v>382.7</v>
      </c>
      <c r="AK32" s="696">
        <v>1626.2</v>
      </c>
      <c r="AL32" s="696">
        <v>2904.6</v>
      </c>
      <c r="AM32" s="696">
        <f>3303.4+2113.2+1539.8</f>
        <v>6956.4000000000005</v>
      </c>
      <c r="AN32" s="696">
        <f t="shared" ref="AN32:AN39" si="15">SUM(Q32:U32)+SUM(X32:AM32)</f>
        <v>23744.3</v>
      </c>
      <c r="AO32" s="696">
        <f t="shared" ref="AO32:AO39" si="16">P32+AN32</f>
        <v>24216.6</v>
      </c>
      <c r="AP32" s="415">
        <f t="shared" ref="AP32:AP39" si="17">L32-AO32</f>
        <v>-5976.1919999999991</v>
      </c>
      <c r="AQ32" s="855" t="s">
        <v>954</v>
      </c>
    </row>
    <row r="33" spans="1:43" s="457" customFormat="1" ht="13.9" customHeight="1">
      <c r="A33" s="544" t="s">
        <v>194</v>
      </c>
      <c r="B33" s="718">
        <v>143</v>
      </c>
      <c r="C33" s="718">
        <v>455</v>
      </c>
      <c r="D33" s="718">
        <v>1</v>
      </c>
      <c r="E33" s="718">
        <v>98</v>
      </c>
      <c r="F33" s="500">
        <v>340</v>
      </c>
      <c r="G33" s="500">
        <v>15147</v>
      </c>
      <c r="H33" s="718">
        <v>0</v>
      </c>
      <c r="I33" s="718">
        <v>0</v>
      </c>
      <c r="J33" s="718">
        <v>44</v>
      </c>
      <c r="K33" s="718">
        <f t="shared" si="11"/>
        <v>5609.9392000000007</v>
      </c>
      <c r="L33" s="506">
        <f>17864+78.4*50.688</f>
        <v>21837.939200000001</v>
      </c>
      <c r="M33" s="506">
        <v>10.1</v>
      </c>
      <c r="N33" s="506"/>
      <c r="O33" s="506">
        <v>509.3</v>
      </c>
      <c r="P33" s="506">
        <f t="shared" si="7"/>
        <v>519.4</v>
      </c>
      <c r="Q33" s="506">
        <v>139.30000000000001</v>
      </c>
      <c r="R33" s="506">
        <v>186.7</v>
      </c>
      <c r="S33" s="506">
        <v>126.7</v>
      </c>
      <c r="T33" s="506">
        <v>650.5</v>
      </c>
      <c r="U33" s="506">
        <v>234.9</v>
      </c>
      <c r="V33" s="546" t="s">
        <v>194</v>
      </c>
      <c r="W33" s="544" t="s">
        <v>955</v>
      </c>
      <c r="X33" s="1241">
        <v>497.4</v>
      </c>
      <c r="Y33" s="1241">
        <v>338.1</v>
      </c>
      <c r="Z33" s="506">
        <v>288.3</v>
      </c>
      <c r="AA33" s="506">
        <v>1584.1</v>
      </c>
      <c r="AB33" s="506">
        <v>1139.3</v>
      </c>
      <c r="AC33" s="506">
        <v>86.3</v>
      </c>
      <c r="AD33" s="506">
        <v>492.9</v>
      </c>
      <c r="AE33" s="506">
        <v>381.8</v>
      </c>
      <c r="AF33" s="506">
        <v>1153.7</v>
      </c>
      <c r="AG33" s="506">
        <v>1381.4</v>
      </c>
      <c r="AH33" s="506">
        <v>1280.5</v>
      </c>
      <c r="AI33" s="506">
        <v>3066.4</v>
      </c>
      <c r="AJ33" s="506">
        <v>348.7</v>
      </c>
      <c r="AK33" s="506">
        <v>2003.3</v>
      </c>
      <c r="AL33" s="506">
        <v>2006.8</v>
      </c>
      <c r="AM33" s="506">
        <f>4340.4+2820.5+1954.5</f>
        <v>9115.4</v>
      </c>
      <c r="AN33" s="506">
        <f t="shared" si="15"/>
        <v>26502.499999999996</v>
      </c>
      <c r="AO33" s="506">
        <f t="shared" si="16"/>
        <v>27021.899999999998</v>
      </c>
      <c r="AP33" s="500">
        <f t="shared" si="17"/>
        <v>-5183.9607999999971</v>
      </c>
      <c r="AQ33" s="546" t="s">
        <v>955</v>
      </c>
    </row>
    <row r="34" spans="1:43" s="457" customFormat="1" ht="13.9" customHeight="1">
      <c r="A34" s="854" t="s">
        <v>949</v>
      </c>
      <c r="B34" s="695">
        <v>92</v>
      </c>
      <c r="C34" s="695">
        <v>463</v>
      </c>
      <c r="D34" s="695">
        <v>0</v>
      </c>
      <c r="E34" s="695">
        <v>142</v>
      </c>
      <c r="F34" s="415">
        <v>306</v>
      </c>
      <c r="G34" s="415">
        <v>13712</v>
      </c>
      <c r="H34" s="695">
        <v>0</v>
      </c>
      <c r="I34" s="695">
        <v>0</v>
      </c>
      <c r="J34" s="695">
        <v>0</v>
      </c>
      <c r="K34" s="695">
        <f t="shared" si="11"/>
        <v>3974.2335999999996</v>
      </c>
      <c r="L34" s="696">
        <f>16235+78.4*31.304</f>
        <v>18689.2336</v>
      </c>
      <c r="M34" s="696">
        <v>7.9</v>
      </c>
      <c r="N34" s="696"/>
      <c r="O34" s="696">
        <v>636.29999999999995</v>
      </c>
      <c r="P34" s="696">
        <f t="shared" si="7"/>
        <v>644.19999999999993</v>
      </c>
      <c r="Q34" s="696">
        <v>75.8</v>
      </c>
      <c r="R34" s="696">
        <v>168.9</v>
      </c>
      <c r="S34" s="696">
        <v>91.8</v>
      </c>
      <c r="T34" s="696">
        <v>897.9</v>
      </c>
      <c r="U34" s="696">
        <v>131.5</v>
      </c>
      <c r="V34" s="855" t="s">
        <v>949</v>
      </c>
      <c r="W34" s="854" t="s">
        <v>949</v>
      </c>
      <c r="X34" s="1235">
        <v>324.10000000000002</v>
      </c>
      <c r="Y34" s="1235">
        <v>259.39999999999998</v>
      </c>
      <c r="Z34" s="696">
        <v>260.39999999999998</v>
      </c>
      <c r="AA34" s="696">
        <v>1590.6</v>
      </c>
      <c r="AB34" s="696">
        <v>1069.0999999999999</v>
      </c>
      <c r="AC34" s="696">
        <v>84.9</v>
      </c>
      <c r="AD34" s="696">
        <v>585.29999999999995</v>
      </c>
      <c r="AE34" s="696">
        <v>306.60000000000002</v>
      </c>
      <c r="AF34" s="696">
        <v>1094.5999999999999</v>
      </c>
      <c r="AG34" s="696">
        <v>1424.4</v>
      </c>
      <c r="AH34" s="696">
        <v>1102.3</v>
      </c>
      <c r="AI34" s="696">
        <v>2661.6</v>
      </c>
      <c r="AJ34" s="696">
        <v>387.2</v>
      </c>
      <c r="AK34" s="696">
        <v>2081</v>
      </c>
      <c r="AL34" s="696">
        <v>2003.3</v>
      </c>
      <c r="AM34" s="696">
        <f>3388.8+2544.2+1769.5</f>
        <v>7702.5</v>
      </c>
      <c r="AN34" s="696">
        <f t="shared" si="15"/>
        <v>24303.200000000001</v>
      </c>
      <c r="AO34" s="696">
        <f t="shared" si="16"/>
        <v>24947.4</v>
      </c>
      <c r="AP34" s="415">
        <f t="shared" si="17"/>
        <v>-6258.1664000000019</v>
      </c>
      <c r="AQ34" s="855" t="s">
        <v>949</v>
      </c>
    </row>
    <row r="35" spans="1:43" s="457" customFormat="1" ht="13.9" customHeight="1">
      <c r="A35" s="767" t="s">
        <v>956</v>
      </c>
      <c r="B35" s="718">
        <v>102</v>
      </c>
      <c r="C35" s="718">
        <v>493</v>
      </c>
      <c r="D35" s="718">
        <v>1</v>
      </c>
      <c r="E35" s="718">
        <v>118</v>
      </c>
      <c r="F35" s="718">
        <v>298</v>
      </c>
      <c r="G35" s="718">
        <v>13683</v>
      </c>
      <c r="H35" s="718">
        <v>0</v>
      </c>
      <c r="I35" s="718">
        <v>0</v>
      </c>
      <c r="J35" s="718">
        <v>0</v>
      </c>
      <c r="K35" s="718">
        <f t="shared" si="11"/>
        <v>4671.3020047999998</v>
      </c>
      <c r="L35" s="718">
        <f>16269+78.4008*39.506</f>
        <v>19366.3020048</v>
      </c>
      <c r="M35" s="718">
        <v>18.2</v>
      </c>
      <c r="N35" s="718"/>
      <c r="O35" s="718">
        <v>1403.9</v>
      </c>
      <c r="P35" s="718">
        <f t="shared" si="7"/>
        <v>1422.1000000000001</v>
      </c>
      <c r="Q35" s="500">
        <v>89.6</v>
      </c>
      <c r="R35" s="500">
        <v>141.19999999999999</v>
      </c>
      <c r="S35" s="500">
        <v>445.7</v>
      </c>
      <c r="T35" s="500">
        <v>919.5</v>
      </c>
      <c r="U35" s="500">
        <v>298.39999999999998</v>
      </c>
      <c r="V35" s="1327" t="s">
        <v>956</v>
      </c>
      <c r="W35" s="1328" t="s">
        <v>956</v>
      </c>
      <c r="X35" s="500">
        <v>606</v>
      </c>
      <c r="Y35" s="500">
        <v>260.10000000000002</v>
      </c>
      <c r="Z35" s="500">
        <v>520.70000000000005</v>
      </c>
      <c r="AA35" s="500">
        <v>1590.2</v>
      </c>
      <c r="AB35" s="500">
        <v>1138.8</v>
      </c>
      <c r="AC35" s="500">
        <v>74</v>
      </c>
      <c r="AD35" s="500">
        <v>711</v>
      </c>
      <c r="AE35" s="500">
        <v>368.4</v>
      </c>
      <c r="AF35" s="500">
        <v>1227</v>
      </c>
      <c r="AG35" s="500">
        <v>1278.7</v>
      </c>
      <c r="AH35" s="500">
        <v>1117</v>
      </c>
      <c r="AI35" s="500">
        <v>2451.6999999999998</v>
      </c>
      <c r="AJ35" s="500">
        <v>375.8</v>
      </c>
      <c r="AK35" s="500">
        <v>1949.6</v>
      </c>
      <c r="AL35" s="500">
        <v>2453.6</v>
      </c>
      <c r="AM35" s="500">
        <f>3677.6+2900.3+1936.5</f>
        <v>8514.4</v>
      </c>
      <c r="AN35" s="500">
        <f t="shared" si="15"/>
        <v>26531.4</v>
      </c>
      <c r="AO35" s="500">
        <f t="shared" si="16"/>
        <v>27953.5</v>
      </c>
      <c r="AP35" s="500">
        <f t="shared" si="17"/>
        <v>-8587.1979952000002</v>
      </c>
      <c r="AQ35" s="1327" t="s">
        <v>956</v>
      </c>
    </row>
    <row r="36" spans="1:43" s="457" customFormat="1" ht="13.9" customHeight="1">
      <c r="A36" s="694" t="s">
        <v>957</v>
      </c>
      <c r="B36" s="695">
        <v>139</v>
      </c>
      <c r="C36" s="695">
        <v>514</v>
      </c>
      <c r="D36" s="695">
        <v>1</v>
      </c>
      <c r="E36" s="695">
        <v>160</v>
      </c>
      <c r="F36" s="695">
        <v>346</v>
      </c>
      <c r="G36" s="695">
        <v>14010</v>
      </c>
      <c r="H36" s="695">
        <v>0</v>
      </c>
      <c r="I36" s="695">
        <v>0</v>
      </c>
      <c r="J36" s="695">
        <v>0</v>
      </c>
      <c r="K36" s="695">
        <f t="shared" si="11"/>
        <v>4571.152646399998</v>
      </c>
      <c r="L36" s="695">
        <f>16832+78.5472*37.037</f>
        <v>19741.152646399998</v>
      </c>
      <c r="M36" s="695">
        <v>19.3</v>
      </c>
      <c r="N36" s="695"/>
      <c r="O36" s="695">
        <v>571.9</v>
      </c>
      <c r="P36" s="695">
        <f t="shared" si="7"/>
        <v>591.19999999999993</v>
      </c>
      <c r="Q36" s="415">
        <v>143.6</v>
      </c>
      <c r="R36" s="415">
        <v>160</v>
      </c>
      <c r="S36" s="415">
        <v>299.10000000000002</v>
      </c>
      <c r="T36" s="415">
        <v>1188.5</v>
      </c>
      <c r="U36" s="415">
        <v>422.8</v>
      </c>
      <c r="V36" s="1351" t="s">
        <v>957</v>
      </c>
      <c r="W36" s="1352" t="s">
        <v>957</v>
      </c>
      <c r="X36" s="415">
        <v>365.7</v>
      </c>
      <c r="Y36" s="415">
        <v>327.60000000000002</v>
      </c>
      <c r="Z36" s="415">
        <v>299.10000000000002</v>
      </c>
      <c r="AA36" s="415">
        <v>2540.3000000000002</v>
      </c>
      <c r="AB36" s="415">
        <v>1281.8</v>
      </c>
      <c r="AC36" s="415">
        <v>108.1</v>
      </c>
      <c r="AD36" s="415">
        <v>605.4</v>
      </c>
      <c r="AE36" s="415">
        <v>408.5</v>
      </c>
      <c r="AF36" s="415">
        <v>1272.2</v>
      </c>
      <c r="AG36" s="415">
        <v>1243.2</v>
      </c>
      <c r="AH36" s="415">
        <v>1064.7</v>
      </c>
      <c r="AI36" s="415">
        <v>2802.3</v>
      </c>
      <c r="AJ36" s="415">
        <v>386.7</v>
      </c>
      <c r="AK36" s="415">
        <v>2729.6</v>
      </c>
      <c r="AL36" s="415">
        <v>3351</v>
      </c>
      <c r="AM36" s="415">
        <f>4283+3410.3+1804.9</f>
        <v>9498.2000000000007</v>
      </c>
      <c r="AN36" s="415">
        <f t="shared" si="15"/>
        <v>30498.400000000005</v>
      </c>
      <c r="AO36" s="415">
        <f t="shared" si="16"/>
        <v>31089.600000000006</v>
      </c>
      <c r="AP36" s="415">
        <f t="shared" si="17"/>
        <v>-11348.447353600008</v>
      </c>
      <c r="AQ36" s="1351" t="s">
        <v>957</v>
      </c>
    </row>
    <row r="37" spans="1:43" s="457" customFormat="1" ht="13.9" customHeight="1">
      <c r="A37" s="767" t="s">
        <v>950</v>
      </c>
      <c r="B37" s="718">
        <v>142</v>
      </c>
      <c r="C37" s="718">
        <v>547</v>
      </c>
      <c r="D37" s="718">
        <v>2</v>
      </c>
      <c r="E37" s="718">
        <v>136</v>
      </c>
      <c r="F37" s="718">
        <v>232</v>
      </c>
      <c r="G37" s="718">
        <v>12738</v>
      </c>
      <c r="H37" s="718">
        <v>55</v>
      </c>
      <c r="I37" s="718">
        <v>0</v>
      </c>
      <c r="J37" s="718">
        <v>0</v>
      </c>
      <c r="K37" s="718">
        <f t="shared" si="11"/>
        <v>5729.2291072000007</v>
      </c>
      <c r="L37" s="718">
        <f>15486+78.8029*51.968</f>
        <v>19581.229107200001</v>
      </c>
      <c r="M37" s="718">
        <v>14.5</v>
      </c>
      <c r="N37" s="718"/>
      <c r="O37" s="718">
        <v>586.6</v>
      </c>
      <c r="P37" s="500">
        <f t="shared" si="7"/>
        <v>601.1</v>
      </c>
      <c r="Q37" s="500">
        <v>209.3</v>
      </c>
      <c r="R37" s="500">
        <v>127.3</v>
      </c>
      <c r="S37" s="500">
        <v>96.5</v>
      </c>
      <c r="T37" s="500">
        <v>996.4</v>
      </c>
      <c r="U37" s="500">
        <v>264.2</v>
      </c>
      <c r="V37" s="1327" t="s">
        <v>950</v>
      </c>
      <c r="W37" s="1328" t="s">
        <v>950</v>
      </c>
      <c r="X37" s="500">
        <v>672.1</v>
      </c>
      <c r="Y37" s="500">
        <v>291.39999999999998</v>
      </c>
      <c r="Z37" s="500">
        <v>267.5</v>
      </c>
      <c r="AA37" s="500">
        <v>1256.8</v>
      </c>
      <c r="AB37" s="500">
        <v>1344.5</v>
      </c>
      <c r="AC37" s="500">
        <v>107.1</v>
      </c>
      <c r="AD37" s="500">
        <v>331.8</v>
      </c>
      <c r="AE37" s="500">
        <v>344.9</v>
      </c>
      <c r="AF37" s="500">
        <v>1282</v>
      </c>
      <c r="AG37" s="500">
        <v>1796.6</v>
      </c>
      <c r="AH37" s="500">
        <v>1018.7</v>
      </c>
      <c r="AI37" s="500">
        <v>2701.7</v>
      </c>
      <c r="AJ37" s="500">
        <v>354.5</v>
      </c>
      <c r="AK37" s="500">
        <v>2278.6</v>
      </c>
      <c r="AL37" s="500">
        <v>2570</v>
      </c>
      <c r="AM37" s="500">
        <f>4549.1+3044.1+2154.5</f>
        <v>9747.7000000000007</v>
      </c>
      <c r="AN37" s="500">
        <f t="shared" si="15"/>
        <v>28059.599999999999</v>
      </c>
      <c r="AO37" s="500">
        <f t="shared" si="16"/>
        <v>28660.699999999997</v>
      </c>
      <c r="AP37" s="500">
        <f t="shared" si="17"/>
        <v>-9079.4708927999964</v>
      </c>
      <c r="AQ37" s="1327" t="s">
        <v>950</v>
      </c>
    </row>
    <row r="38" spans="1:43" s="457" customFormat="1" ht="13.9" customHeight="1">
      <c r="A38" s="694" t="s">
        <v>958</v>
      </c>
      <c r="B38" s="695">
        <v>126</v>
      </c>
      <c r="C38" s="695">
        <v>489</v>
      </c>
      <c r="D38" s="695">
        <v>1</v>
      </c>
      <c r="E38" s="695">
        <v>136</v>
      </c>
      <c r="F38" s="695">
        <v>299</v>
      </c>
      <c r="G38" s="695">
        <v>14724</v>
      </c>
      <c r="H38" s="695">
        <v>0</v>
      </c>
      <c r="I38" s="695">
        <v>0</v>
      </c>
      <c r="J38" s="695">
        <v>0</v>
      </c>
      <c r="K38" s="695">
        <f t="shared" si="11"/>
        <v>5625.9334520000011</v>
      </c>
      <c r="L38" s="695">
        <f>17518+78.8573*49.24</f>
        <v>21400.933452000001</v>
      </c>
      <c r="M38" s="695">
        <v>48.7</v>
      </c>
      <c r="N38" s="695"/>
      <c r="O38" s="695">
        <v>364.7</v>
      </c>
      <c r="P38" s="695">
        <f t="shared" si="7"/>
        <v>413.4</v>
      </c>
      <c r="Q38" s="415">
        <v>167.9</v>
      </c>
      <c r="R38" s="415">
        <v>179.6</v>
      </c>
      <c r="S38" s="415">
        <v>370.9</v>
      </c>
      <c r="T38" s="415">
        <v>1229.3</v>
      </c>
      <c r="U38" s="415">
        <v>518.79999999999995</v>
      </c>
      <c r="V38" s="1351" t="s">
        <v>958</v>
      </c>
      <c r="W38" s="1352" t="s">
        <v>958</v>
      </c>
      <c r="X38" s="415">
        <v>1189</v>
      </c>
      <c r="Y38" s="415">
        <v>370.2</v>
      </c>
      <c r="Z38" s="415">
        <v>324.89999999999998</v>
      </c>
      <c r="AA38" s="415">
        <v>1765.7</v>
      </c>
      <c r="AB38" s="415">
        <v>1281.9000000000001</v>
      </c>
      <c r="AC38" s="415">
        <v>91.3</v>
      </c>
      <c r="AD38" s="415">
        <v>712.1</v>
      </c>
      <c r="AE38" s="415">
        <v>375.9</v>
      </c>
      <c r="AF38" s="415">
        <v>1430.4</v>
      </c>
      <c r="AG38" s="415">
        <v>2017.9</v>
      </c>
      <c r="AH38" s="415">
        <v>1032.3</v>
      </c>
      <c r="AI38" s="415">
        <v>3058.1</v>
      </c>
      <c r="AJ38" s="415">
        <v>429.8</v>
      </c>
      <c r="AK38" s="415">
        <v>2334.1</v>
      </c>
      <c r="AL38" s="415">
        <v>2657.5</v>
      </c>
      <c r="AM38" s="415">
        <f>4824+3372.7+2602.3</f>
        <v>10799</v>
      </c>
      <c r="AN38" s="415">
        <f t="shared" si="15"/>
        <v>32336.6</v>
      </c>
      <c r="AO38" s="415">
        <f t="shared" si="16"/>
        <v>32750</v>
      </c>
      <c r="AP38" s="415">
        <f t="shared" si="17"/>
        <v>-11349.066547999999</v>
      </c>
      <c r="AQ38" s="1351" t="s">
        <v>958</v>
      </c>
    </row>
    <row r="39" spans="1:43" s="457" customFormat="1" ht="13.9" customHeight="1">
      <c r="A39" s="767" t="s">
        <v>959</v>
      </c>
      <c r="B39" s="718">
        <v>116</v>
      </c>
      <c r="C39" s="718">
        <v>530</v>
      </c>
      <c r="D39" s="718">
        <v>6</v>
      </c>
      <c r="E39" s="718">
        <v>94</v>
      </c>
      <c r="F39" s="718">
        <v>233</v>
      </c>
      <c r="G39" s="718">
        <v>13744</v>
      </c>
      <c r="H39" s="718">
        <v>0</v>
      </c>
      <c r="I39" s="718">
        <v>0</v>
      </c>
      <c r="J39" s="718">
        <v>0</v>
      </c>
      <c r="K39" s="718">
        <f t="shared" si="11"/>
        <v>4734.6581215999977</v>
      </c>
      <c r="L39" s="718">
        <f>16235+79.2353*40.672</f>
        <v>19457.658121599998</v>
      </c>
      <c r="M39" s="718">
        <v>70.3</v>
      </c>
      <c r="N39" s="718"/>
      <c r="O39" s="718">
        <v>868.4</v>
      </c>
      <c r="P39" s="718">
        <f t="shared" si="7"/>
        <v>938.69999999999993</v>
      </c>
      <c r="Q39" s="500">
        <v>188.3</v>
      </c>
      <c r="R39" s="500">
        <v>165.7</v>
      </c>
      <c r="S39" s="500">
        <v>92.9</v>
      </c>
      <c r="T39" s="500">
        <v>1247.3</v>
      </c>
      <c r="U39" s="500">
        <v>385.2</v>
      </c>
      <c r="V39" s="1327" t="s">
        <v>959</v>
      </c>
      <c r="W39" s="1328" t="s">
        <v>959</v>
      </c>
      <c r="X39" s="500">
        <v>540.6</v>
      </c>
      <c r="Y39" s="500">
        <v>290.7</v>
      </c>
      <c r="Z39" s="500">
        <v>322.2</v>
      </c>
      <c r="AA39" s="500">
        <v>1697.5</v>
      </c>
      <c r="AB39" s="500">
        <v>1254.5</v>
      </c>
      <c r="AC39" s="500">
        <v>166.1</v>
      </c>
      <c r="AD39" s="500">
        <v>317.10000000000002</v>
      </c>
      <c r="AE39" s="500">
        <v>328.8</v>
      </c>
      <c r="AF39" s="500">
        <v>1214.5</v>
      </c>
      <c r="AG39" s="500">
        <v>1900.7</v>
      </c>
      <c r="AH39" s="500">
        <v>1001.4</v>
      </c>
      <c r="AI39" s="500">
        <v>2561</v>
      </c>
      <c r="AJ39" s="500">
        <v>381</v>
      </c>
      <c r="AK39" s="500">
        <v>2403.3000000000002</v>
      </c>
      <c r="AL39" s="500">
        <v>2155.4</v>
      </c>
      <c r="AM39" s="500">
        <f>3506.2+2592.3+1642.4</f>
        <v>7740.9</v>
      </c>
      <c r="AN39" s="500">
        <f t="shared" si="15"/>
        <v>26355.100000000006</v>
      </c>
      <c r="AO39" s="500">
        <f t="shared" si="16"/>
        <v>27293.800000000007</v>
      </c>
      <c r="AP39" s="500">
        <f t="shared" si="17"/>
        <v>-7836.1418784000089</v>
      </c>
      <c r="AQ39" s="1327" t="s">
        <v>959</v>
      </c>
    </row>
    <row r="40" spans="1:43" s="457" customFormat="1" ht="13.9" customHeight="1">
      <c r="A40" s="694" t="s">
        <v>676</v>
      </c>
      <c r="B40" s="695">
        <v>126</v>
      </c>
      <c r="C40" s="695">
        <v>560</v>
      </c>
      <c r="D40" s="695">
        <v>6</v>
      </c>
      <c r="E40" s="695">
        <v>158</v>
      </c>
      <c r="F40" s="695">
        <v>177</v>
      </c>
      <c r="G40" s="695">
        <v>15068</v>
      </c>
      <c r="H40" s="695">
        <v>75</v>
      </c>
      <c r="I40" s="695">
        <v>0</v>
      </c>
      <c r="J40" s="695">
        <v>0</v>
      </c>
      <c r="K40" s="695">
        <f t="shared" si="11"/>
        <v>5441.9168687999991</v>
      </c>
      <c r="L40" s="695">
        <f>17885+79.5398*46.856</f>
        <v>21611.916868799999</v>
      </c>
      <c r="M40" s="695">
        <v>60.5</v>
      </c>
      <c r="O40" s="695">
        <v>723.3</v>
      </c>
      <c r="P40" s="695">
        <f t="shared" si="7"/>
        <v>783.8</v>
      </c>
      <c r="Q40" s="415">
        <v>212.7</v>
      </c>
      <c r="R40" s="415">
        <v>181.6</v>
      </c>
      <c r="S40" s="415">
        <v>220.7</v>
      </c>
      <c r="T40" s="415">
        <v>772.1</v>
      </c>
      <c r="U40" s="415">
        <v>595.6</v>
      </c>
      <c r="V40" s="1351" t="s">
        <v>676</v>
      </c>
      <c r="W40" s="1352" t="s">
        <v>951</v>
      </c>
      <c r="X40" s="415">
        <v>374</v>
      </c>
      <c r="Y40" s="415">
        <v>420</v>
      </c>
      <c r="Z40" s="415">
        <v>323.39999999999998</v>
      </c>
      <c r="AA40" s="415">
        <v>3063.6</v>
      </c>
      <c r="AB40" s="415">
        <v>1334.7</v>
      </c>
      <c r="AC40" s="415">
        <v>103.4</v>
      </c>
      <c r="AD40" s="415">
        <v>516.9</v>
      </c>
      <c r="AE40" s="415">
        <v>604</v>
      </c>
      <c r="AF40" s="415">
        <v>1746.2</v>
      </c>
      <c r="AG40" s="415">
        <v>2870.2</v>
      </c>
      <c r="AH40" s="415">
        <v>989.7</v>
      </c>
      <c r="AI40" s="415">
        <v>2900.1</v>
      </c>
      <c r="AJ40" s="415">
        <v>450.6</v>
      </c>
      <c r="AK40" s="415">
        <v>2535.5</v>
      </c>
      <c r="AL40" s="415">
        <v>2210.1999999999998</v>
      </c>
      <c r="AM40" s="415">
        <f>3858.9+2900+2230.3</f>
        <v>8989.2000000000007</v>
      </c>
      <c r="AN40" s="415">
        <f t="shared" ref="AN40:AN41" si="18">SUM(Q40:U40)+SUM(X40:AM40)</f>
        <v>31414.400000000001</v>
      </c>
      <c r="AO40" s="415">
        <f t="shared" ref="AO40" si="19">P40+AN40</f>
        <v>32198.2</v>
      </c>
      <c r="AP40" s="415">
        <f t="shared" ref="AP40" si="20">L40-AO40</f>
        <v>-10586.283131200002</v>
      </c>
      <c r="AQ40" s="1351" t="s">
        <v>951</v>
      </c>
    </row>
    <row r="41" spans="1:43" s="457" customFormat="1" ht="13.9" customHeight="1">
      <c r="A41" s="1328" t="s">
        <v>960</v>
      </c>
      <c r="B41" s="718">
        <v>108</v>
      </c>
      <c r="C41" s="718">
        <v>577</v>
      </c>
      <c r="D41" s="718">
        <v>5</v>
      </c>
      <c r="E41" s="718">
        <v>121</v>
      </c>
      <c r="F41" s="718">
        <v>196</v>
      </c>
      <c r="G41" s="718">
        <v>13916</v>
      </c>
      <c r="H41" s="718">
        <v>0</v>
      </c>
      <c r="I41" s="718">
        <v>0</v>
      </c>
      <c r="J41" s="718">
        <v>0</v>
      </c>
      <c r="K41" s="718">
        <f t="shared" ref="K41:K42" si="21">L41-SUM(B41:J41)</f>
        <v>4886.3767775999986</v>
      </c>
      <c r="L41" s="718">
        <f>16514+79.8376*41.276</f>
        <v>19809.376777599999</v>
      </c>
      <c r="M41" s="718">
        <v>61.5</v>
      </c>
      <c r="N41" s="574"/>
      <c r="O41" s="718">
        <v>594.20000000000005</v>
      </c>
      <c r="P41" s="718">
        <f t="shared" si="7"/>
        <v>655.7</v>
      </c>
      <c r="Q41" s="500">
        <v>247.1</v>
      </c>
      <c r="R41" s="500">
        <v>203</v>
      </c>
      <c r="S41" s="500">
        <v>244.5</v>
      </c>
      <c r="T41" s="500">
        <v>719</v>
      </c>
      <c r="U41" s="500">
        <v>701.6</v>
      </c>
      <c r="V41" s="1327" t="s">
        <v>960</v>
      </c>
      <c r="W41" s="1328" t="s">
        <v>960</v>
      </c>
      <c r="X41" s="500">
        <v>374.4</v>
      </c>
      <c r="Y41" s="500">
        <v>301.3</v>
      </c>
      <c r="Z41" s="500">
        <v>309.5</v>
      </c>
      <c r="AA41" s="500">
        <v>1989</v>
      </c>
      <c r="AB41" s="500">
        <v>1304.5</v>
      </c>
      <c r="AC41" s="500">
        <v>92.9</v>
      </c>
      <c r="AD41" s="500">
        <v>492.4</v>
      </c>
      <c r="AE41" s="500">
        <v>407.3</v>
      </c>
      <c r="AF41" s="500">
        <v>1560.1</v>
      </c>
      <c r="AG41" s="500">
        <v>2093.6</v>
      </c>
      <c r="AH41" s="500">
        <v>1086.5999999999999</v>
      </c>
      <c r="AI41" s="500">
        <v>2863.7</v>
      </c>
      <c r="AJ41" s="500">
        <v>494.5</v>
      </c>
      <c r="AK41" s="500">
        <v>1972.7</v>
      </c>
      <c r="AL41" s="500">
        <v>2410.8000000000002</v>
      </c>
      <c r="AM41" s="500">
        <f>4449.5+3240.8+2647.4</f>
        <v>10337.700000000001</v>
      </c>
      <c r="AN41" s="500">
        <f t="shared" si="18"/>
        <v>30206.2</v>
      </c>
      <c r="AO41" s="500">
        <f t="shared" ref="AO41" si="22">P41+AN41</f>
        <v>30861.9</v>
      </c>
      <c r="AP41" s="500">
        <f t="shared" ref="AP41" si="23">L41-AO41</f>
        <v>-11052.523222400003</v>
      </c>
      <c r="AQ41" s="1327" t="s">
        <v>960</v>
      </c>
    </row>
    <row r="42" spans="1:43" s="457" customFormat="1" ht="13.9" customHeight="1">
      <c r="A42" s="694" t="s">
        <v>961</v>
      </c>
      <c r="B42" s="695">
        <v>71</v>
      </c>
      <c r="C42" s="695">
        <v>560</v>
      </c>
      <c r="D42" s="695">
        <v>5</v>
      </c>
      <c r="E42" s="695">
        <v>106</v>
      </c>
      <c r="F42" s="695">
        <v>227</v>
      </c>
      <c r="G42" s="695">
        <v>14843</v>
      </c>
      <c r="H42" s="695">
        <v>0</v>
      </c>
      <c r="I42" s="695">
        <v>0</v>
      </c>
      <c r="J42" s="695">
        <v>0</v>
      </c>
      <c r="K42" s="695">
        <f t="shared" si="21"/>
        <v>5809.7281540049989</v>
      </c>
      <c r="L42" s="695">
        <f>17550+80.489615*50.587</f>
        <v>21621.728154004999</v>
      </c>
      <c r="M42" s="695">
        <v>77.2</v>
      </c>
      <c r="O42" s="695">
        <v>677.5</v>
      </c>
      <c r="P42" s="695">
        <f t="shared" si="7"/>
        <v>754.7</v>
      </c>
      <c r="Q42" s="415">
        <v>195.1</v>
      </c>
      <c r="R42" s="415">
        <v>222.2</v>
      </c>
      <c r="S42" s="415">
        <v>271.2</v>
      </c>
      <c r="T42" s="415">
        <v>1384.6</v>
      </c>
      <c r="U42" s="415">
        <v>640.29999999999995</v>
      </c>
      <c r="V42" s="1351" t="s">
        <v>961</v>
      </c>
      <c r="W42" s="1352" t="s">
        <v>961</v>
      </c>
      <c r="X42" s="415">
        <v>567.9</v>
      </c>
      <c r="Y42" s="415">
        <v>438.5</v>
      </c>
      <c r="Z42" s="415">
        <v>391.8</v>
      </c>
      <c r="AA42" s="415">
        <v>1898.6</v>
      </c>
      <c r="AB42" s="415">
        <v>1399.1</v>
      </c>
      <c r="AC42" s="415">
        <v>107.5</v>
      </c>
      <c r="AD42" s="415">
        <v>316.5</v>
      </c>
      <c r="AE42" s="415">
        <v>423.2</v>
      </c>
      <c r="AF42" s="415">
        <v>1497.7</v>
      </c>
      <c r="AG42" s="415">
        <v>2187</v>
      </c>
      <c r="AH42" s="415">
        <v>1205.0999999999999</v>
      </c>
      <c r="AI42" s="415">
        <v>2876.1</v>
      </c>
      <c r="AJ42" s="415">
        <v>485</v>
      </c>
      <c r="AK42" s="415">
        <v>2191.9</v>
      </c>
      <c r="AL42" s="415">
        <v>2495.5</v>
      </c>
      <c r="AM42" s="415">
        <f>4249.7+3107.7+2251.3</f>
        <v>9608.7000000000007</v>
      </c>
      <c r="AN42" s="415">
        <f t="shared" ref="AN42" si="24">SUM(Q42:U42)+SUM(X42:AM42)</f>
        <v>30803.5</v>
      </c>
      <c r="AO42" s="415">
        <f t="shared" ref="AO42" si="25">P42+AN42</f>
        <v>31558.2</v>
      </c>
      <c r="AP42" s="415">
        <f t="shared" ref="AP42" si="26">L42-AO42</f>
        <v>-9936.4718459950018</v>
      </c>
      <c r="AQ42" s="1351" t="s">
        <v>961</v>
      </c>
    </row>
    <row r="43" spans="1:43" s="457" customFormat="1" ht="13.9" customHeight="1" thickBot="1">
      <c r="A43" s="1556" t="s">
        <v>952</v>
      </c>
      <c r="B43" s="1557">
        <v>59</v>
      </c>
      <c r="C43" s="1557">
        <v>457</v>
      </c>
      <c r="D43" s="1557">
        <v>1</v>
      </c>
      <c r="E43" s="1557">
        <v>92</v>
      </c>
      <c r="F43" s="1557">
        <v>275</v>
      </c>
      <c r="G43" s="1557">
        <v>12216</v>
      </c>
      <c r="H43" s="1557">
        <v>0</v>
      </c>
      <c r="I43" s="1557">
        <v>0</v>
      </c>
      <c r="J43" s="1557">
        <v>0</v>
      </c>
      <c r="K43" s="1557">
        <f t="shared" ref="K43" si="27">L43-SUM(B43:J43)</f>
        <v>5478.6070899999977</v>
      </c>
      <c r="L43" s="1557">
        <f>14682+80.585*48.354</f>
        <v>18578.607089999998</v>
      </c>
      <c r="M43" s="1557">
        <v>198.3</v>
      </c>
      <c r="N43" s="1377"/>
      <c r="O43" s="1557">
        <v>746.8</v>
      </c>
      <c r="P43" s="1557">
        <f t="shared" si="7"/>
        <v>945.09999999999991</v>
      </c>
      <c r="Q43" s="1558">
        <v>181.7</v>
      </c>
      <c r="R43" s="1558">
        <v>190.4</v>
      </c>
      <c r="S43" s="1558">
        <v>627.9</v>
      </c>
      <c r="T43" s="1558">
        <v>1091.5</v>
      </c>
      <c r="U43" s="1558">
        <v>263</v>
      </c>
      <c r="V43" s="1559" t="s">
        <v>952</v>
      </c>
      <c r="W43" s="1560" t="s">
        <v>952</v>
      </c>
      <c r="X43" s="1558">
        <v>530.79999999999995</v>
      </c>
      <c r="Y43" s="1558">
        <v>222.1</v>
      </c>
      <c r="Z43" s="1558">
        <v>312.7</v>
      </c>
      <c r="AA43" s="1558">
        <v>1545.3</v>
      </c>
      <c r="AB43" s="1558">
        <v>1053</v>
      </c>
      <c r="AC43" s="1558">
        <v>71.3</v>
      </c>
      <c r="AD43" s="1558">
        <v>242.5</v>
      </c>
      <c r="AE43" s="1558">
        <v>326.39999999999998</v>
      </c>
      <c r="AF43" s="1558">
        <v>1105.3</v>
      </c>
      <c r="AG43" s="1558">
        <v>1793.5</v>
      </c>
      <c r="AH43" s="1558">
        <v>1081.2</v>
      </c>
      <c r="AI43" s="1558">
        <v>2086.1999999999998</v>
      </c>
      <c r="AJ43" s="1558">
        <v>347.5</v>
      </c>
      <c r="AK43" s="1558">
        <v>1703.4</v>
      </c>
      <c r="AL43" s="1558">
        <v>2225.8000000000002</v>
      </c>
      <c r="AM43" s="1558">
        <f>4163.8+2570.1+1579.5</f>
        <v>8313.4</v>
      </c>
      <c r="AN43" s="1558">
        <f t="shared" ref="AN43" si="28">SUM(Q43:U43)+SUM(X43:AM43)</f>
        <v>25314.9</v>
      </c>
      <c r="AO43" s="1558">
        <f t="shared" ref="AO43" si="29">P43+AN43</f>
        <v>26260</v>
      </c>
      <c r="AP43" s="1558">
        <f t="shared" ref="AP43" si="30">L43-AO43</f>
        <v>-7681.3929100000023</v>
      </c>
      <c r="AQ43" s="1559" t="s">
        <v>952</v>
      </c>
    </row>
    <row r="44" spans="1:43" s="53" customFormat="1" ht="9" customHeight="1">
      <c r="A44" s="359" t="s">
        <v>1298</v>
      </c>
      <c r="B44" s="1428" t="s">
        <v>2649</v>
      </c>
      <c r="C44" s="253"/>
      <c r="D44" s="253"/>
      <c r="E44" s="253"/>
      <c r="F44" s="253"/>
      <c r="G44" s="253"/>
      <c r="H44" s="253"/>
      <c r="I44" s="253"/>
      <c r="J44" s="61"/>
      <c r="K44" s="695"/>
      <c r="L44" s="253"/>
      <c r="M44" s="360" t="s">
        <v>335</v>
      </c>
      <c r="N44" s="1129" t="s">
        <v>361</v>
      </c>
      <c r="O44" s="1710" t="s">
        <v>2502</v>
      </c>
      <c r="P44" s="1710"/>
      <c r="Q44" s="1710"/>
      <c r="R44" s="1710"/>
      <c r="S44" s="1710"/>
      <c r="T44" s="1710"/>
      <c r="U44" s="1710"/>
      <c r="V44" s="1710"/>
      <c r="W44" s="351" t="s">
        <v>32</v>
      </c>
      <c r="X44" s="1897" t="s">
        <v>2512</v>
      </c>
      <c r="Y44" s="1897"/>
      <c r="Z44" s="1897"/>
      <c r="AA44" s="1897"/>
      <c r="AB44" s="1897"/>
      <c r="AC44" s="1897"/>
      <c r="AD44" s="1897"/>
      <c r="AE44" s="13"/>
      <c r="AF44" s="61"/>
      <c r="AG44" s="350"/>
      <c r="AH44" s="350"/>
      <c r="AI44" s="228"/>
      <c r="AJ44" s="228"/>
      <c r="AK44" s="228"/>
      <c r="AL44" s="228"/>
      <c r="AM44" s="228"/>
      <c r="AN44" s="696"/>
      <c r="AO44" s="350"/>
      <c r="AP44" s="350"/>
      <c r="AQ44" s="361"/>
    </row>
    <row r="45" spans="1:43" s="53" customFormat="1" ht="9" customHeight="1">
      <c r="A45" s="349" t="s">
        <v>1297</v>
      </c>
      <c r="B45" s="1897" t="s">
        <v>2507</v>
      </c>
      <c r="C45" s="1897"/>
      <c r="D45" s="1897"/>
      <c r="E45" s="1897"/>
      <c r="F45" s="1897"/>
      <c r="G45" s="1897"/>
      <c r="H45" s="1897"/>
      <c r="I45" s="350"/>
      <c r="J45" s="350"/>
      <c r="K45" s="350"/>
      <c r="L45" s="253"/>
      <c r="O45" s="362"/>
      <c r="P45" s="1896"/>
      <c r="Q45" s="1896"/>
      <c r="V45" s="352"/>
      <c r="W45" s="361"/>
      <c r="X45" s="1896" t="s">
        <v>732</v>
      </c>
      <c r="Y45" s="1896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361"/>
    </row>
    <row r="46" spans="1:43" s="53" customFormat="1" ht="9" customHeight="1">
      <c r="A46" s="349"/>
      <c r="B46" s="1896"/>
      <c r="C46" s="1896"/>
      <c r="D46" s="1896" t="s">
        <v>732</v>
      </c>
      <c r="E46" s="1896"/>
      <c r="F46" s="13"/>
      <c r="G46" s="13"/>
      <c r="H46" s="13"/>
      <c r="I46" s="350"/>
      <c r="J46" s="350"/>
      <c r="K46" s="350"/>
      <c r="L46" s="253"/>
      <c r="O46" s="362"/>
      <c r="P46" s="1236"/>
      <c r="Q46" s="1236"/>
      <c r="V46" s="352"/>
      <c r="W46" s="3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361"/>
    </row>
    <row r="47" spans="1:43" ht="11.25">
      <c r="K47" s="696"/>
      <c r="L47" s="1247"/>
    </row>
  </sheetData>
  <mergeCells count="40">
    <mergeCell ref="V3:V6"/>
    <mergeCell ref="B46:C46"/>
    <mergeCell ref="D46:E46"/>
    <mergeCell ref="X45:Y45"/>
    <mergeCell ref="B45:H45"/>
    <mergeCell ref="O44:V44"/>
    <mergeCell ref="P45:Q45"/>
    <mergeCell ref="X44:AD44"/>
    <mergeCell ref="Q4:U4"/>
    <mergeCell ref="B4:B5"/>
    <mergeCell ref="C4:C5"/>
    <mergeCell ref="F4:F5"/>
    <mergeCell ref="L4:L5"/>
    <mergeCell ref="J4:J5"/>
    <mergeCell ref="A1:D1"/>
    <mergeCell ref="U2:V2"/>
    <mergeCell ref="D4:D5"/>
    <mergeCell ref="H4:H5"/>
    <mergeCell ref="I4:I5"/>
    <mergeCell ref="B3:L3"/>
    <mergeCell ref="M1:O1"/>
    <mergeCell ref="K4:K5"/>
    <mergeCell ref="T1:V1"/>
    <mergeCell ref="J1:L1"/>
    <mergeCell ref="M4:P4"/>
    <mergeCell ref="G4:G5"/>
    <mergeCell ref="A3:A6"/>
    <mergeCell ref="E4:E5"/>
    <mergeCell ref="M3:U3"/>
    <mergeCell ref="M5:N5"/>
    <mergeCell ref="AH1:AJ1"/>
    <mergeCell ref="AI3:AO3"/>
    <mergeCell ref="AP3:AP5"/>
    <mergeCell ref="AP2:AQ2"/>
    <mergeCell ref="W3:W6"/>
    <mergeCell ref="X3:AH3"/>
    <mergeCell ref="X4:AO4"/>
    <mergeCell ref="AO1:AQ1"/>
    <mergeCell ref="AQ3:AQ6"/>
    <mergeCell ref="AF1:AG1"/>
  </mergeCells>
  <phoneticPr fontId="0" type="noConversion"/>
  <pageMargins left="0.62992125984252001" right="0.511811023622047" top="0.511811023622047" bottom="0.511811023622047" header="0" footer="0.39370078740157499"/>
  <pageSetup paperSize="151" firstPageNumber="32" orientation="portrait" useFirstPageNumber="1" r:id="rId1"/>
  <headerFooter alignWithMargins="0">
    <oddFooter>&amp;C&amp;"Times New Roman,Regular"&amp;8&amp;P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AC40"/>
  <sheetViews>
    <sheetView zoomScale="140" zoomScaleNormal="140" workbookViewId="0">
      <pane xSplit="1" ySplit="6" topLeftCell="W7" activePane="bottomRight" state="frozen"/>
      <selection pane="topRight" activeCell="B1" sqref="B1"/>
      <selection pane="bottomLeft" activeCell="A7" sqref="A7"/>
      <selection pane="bottomRight" activeCell="AD10" sqref="AD10"/>
    </sheetView>
  </sheetViews>
  <sheetFormatPr defaultColWidth="9.140625" defaultRowHeight="12.75"/>
  <cols>
    <col min="1" max="1" width="9.85546875" style="2" customWidth="1"/>
    <col min="2" max="2" width="10.7109375" style="2" customWidth="1"/>
    <col min="3" max="3" width="10.5703125" style="2" customWidth="1"/>
    <col min="4" max="4" width="10.7109375" style="2" customWidth="1"/>
    <col min="5" max="5" width="11" style="2" customWidth="1"/>
    <col min="6" max="6" width="10.7109375" style="2" customWidth="1"/>
    <col min="7" max="7" width="11.28515625" style="2" customWidth="1"/>
    <col min="8" max="8" width="12.140625" style="2" customWidth="1"/>
    <col min="9" max="9" width="11.28515625" style="2" customWidth="1"/>
    <col min="10" max="10" width="10.7109375" style="2" customWidth="1"/>
    <col min="11" max="11" width="10.5703125" style="2" customWidth="1"/>
    <col min="12" max="12" width="10.7109375" style="2" customWidth="1"/>
    <col min="13" max="13" width="10.85546875" style="2" customWidth="1"/>
    <col min="14" max="14" width="9.85546875" style="2" customWidth="1"/>
    <col min="15" max="15" width="9.7109375" style="2" customWidth="1"/>
    <col min="16" max="16" width="10.7109375" style="2" customWidth="1"/>
    <col min="17" max="17" width="11" style="2" customWidth="1"/>
    <col min="18" max="18" width="10.85546875" style="2" customWidth="1"/>
    <col min="19" max="19" width="11.28515625" style="2" customWidth="1"/>
    <col min="20" max="20" width="10.7109375" style="2" customWidth="1"/>
    <col min="21" max="21" width="10.85546875" style="2" customWidth="1"/>
    <col min="22" max="22" width="10.7109375" style="2" customWidth="1"/>
    <col min="23" max="23" width="11" style="2" customWidth="1"/>
    <col min="24" max="24" width="10.7109375" style="2" customWidth="1"/>
    <col min="25" max="26" width="10.85546875" style="2" customWidth="1"/>
    <col min="27" max="28" width="10.7109375" style="2" customWidth="1"/>
    <col min="29" max="16384" width="9.140625" style="2"/>
  </cols>
  <sheetData>
    <row r="1" spans="1:29" s="33" customFormat="1" ht="15.75" customHeight="1">
      <c r="A1" s="1904" t="s">
        <v>201</v>
      </c>
      <c r="B1" s="1904"/>
      <c r="C1" s="1904"/>
      <c r="D1" s="1904"/>
      <c r="E1" s="1904"/>
      <c r="F1" s="1904"/>
      <c r="G1" s="1904"/>
      <c r="H1" s="1905" t="s">
        <v>202</v>
      </c>
      <c r="I1" s="1905"/>
      <c r="J1" s="1905"/>
      <c r="K1" s="1905"/>
      <c r="M1" s="1904" t="s">
        <v>365</v>
      </c>
      <c r="N1" s="1904"/>
      <c r="O1" s="1904" t="s">
        <v>201</v>
      </c>
      <c r="P1" s="1904"/>
      <c r="Q1" s="1904"/>
      <c r="R1" s="1904"/>
      <c r="S1" s="1904"/>
      <c r="T1" s="1904"/>
      <c r="U1" s="1904"/>
      <c r="V1" s="1905" t="s">
        <v>202</v>
      </c>
      <c r="W1" s="1905"/>
      <c r="X1" s="1905"/>
      <c r="Y1" s="1905"/>
      <c r="Z1" s="34"/>
      <c r="AA1" s="1903" t="s">
        <v>598</v>
      </c>
      <c r="AB1" s="1903"/>
      <c r="AC1" s="34"/>
    </row>
    <row r="2" spans="1:29" s="30" customFormat="1" ht="13.5" customHeight="1">
      <c r="A2" s="115"/>
      <c r="P2" s="116"/>
      <c r="Q2" s="116"/>
      <c r="R2" s="116"/>
      <c r="S2" s="116"/>
      <c r="T2" s="117"/>
      <c r="U2" s="117"/>
      <c r="V2" s="117"/>
      <c r="W2" s="117"/>
      <c r="X2" s="117"/>
      <c r="Y2" s="117"/>
      <c r="Z2" s="117"/>
      <c r="AA2" s="117"/>
      <c r="AB2" s="117"/>
      <c r="AC2" s="117"/>
    </row>
    <row r="3" spans="1:29" s="174" customFormat="1" ht="20.25" customHeight="1">
      <c r="A3" s="1906" t="s">
        <v>875</v>
      </c>
      <c r="B3" s="1909" t="s">
        <v>289</v>
      </c>
      <c r="C3" s="1909"/>
      <c r="D3" s="1909" t="s">
        <v>290</v>
      </c>
      <c r="E3" s="1909"/>
      <c r="F3" s="1909" t="s">
        <v>291</v>
      </c>
      <c r="G3" s="1909"/>
      <c r="H3" s="1909" t="s">
        <v>887</v>
      </c>
      <c r="I3" s="1909"/>
      <c r="J3" s="1909" t="s">
        <v>596</v>
      </c>
      <c r="K3" s="1909"/>
      <c r="L3" s="1909" t="s">
        <v>597</v>
      </c>
      <c r="M3" s="1909"/>
      <c r="N3" s="1906" t="s">
        <v>875</v>
      </c>
      <c r="O3" s="1906" t="s">
        <v>875</v>
      </c>
      <c r="P3" s="1909" t="s">
        <v>599</v>
      </c>
      <c r="Q3" s="1909"/>
      <c r="R3" s="1909" t="s">
        <v>600</v>
      </c>
      <c r="S3" s="1909"/>
      <c r="T3" s="1909" t="s">
        <v>601</v>
      </c>
      <c r="U3" s="1909"/>
      <c r="V3" s="1909" t="s">
        <v>176</v>
      </c>
      <c r="W3" s="1909"/>
      <c r="X3" s="1909" t="s">
        <v>602</v>
      </c>
      <c r="Y3" s="1909"/>
      <c r="Z3" s="1909" t="s">
        <v>197</v>
      </c>
      <c r="AA3" s="1909"/>
      <c r="AB3" s="1906" t="s">
        <v>875</v>
      </c>
    </row>
    <row r="4" spans="1:29" s="1326" customFormat="1" ht="23.25" customHeight="1">
      <c r="A4" s="1907"/>
      <c r="B4" s="1899" t="s">
        <v>1404</v>
      </c>
      <c r="C4" s="1899" t="s">
        <v>1402</v>
      </c>
      <c r="D4" s="1899" t="s">
        <v>1404</v>
      </c>
      <c r="E4" s="1899" t="s">
        <v>1402</v>
      </c>
      <c r="F4" s="1899" t="s">
        <v>1404</v>
      </c>
      <c r="G4" s="1899" t="s">
        <v>1402</v>
      </c>
      <c r="H4" s="1899" t="s">
        <v>1403</v>
      </c>
      <c r="I4" s="1899" t="s">
        <v>1402</v>
      </c>
      <c r="J4" s="1899" t="s">
        <v>1404</v>
      </c>
      <c r="K4" s="1899" t="s">
        <v>1402</v>
      </c>
      <c r="L4" s="1899" t="s">
        <v>1404</v>
      </c>
      <c r="M4" s="1899" t="s">
        <v>1402</v>
      </c>
      <c r="N4" s="1907"/>
      <c r="O4" s="1907"/>
      <c r="P4" s="1899" t="s">
        <v>1404</v>
      </c>
      <c r="Q4" s="1899" t="s">
        <v>1402</v>
      </c>
      <c r="R4" s="1899" t="s">
        <v>1404</v>
      </c>
      <c r="S4" s="1899" t="s">
        <v>1402</v>
      </c>
      <c r="T4" s="1899" t="s">
        <v>1404</v>
      </c>
      <c r="U4" s="1899" t="s">
        <v>1402</v>
      </c>
      <c r="V4" s="1899" t="s">
        <v>1404</v>
      </c>
      <c r="W4" s="1899" t="s">
        <v>1402</v>
      </c>
      <c r="X4" s="1899" t="s">
        <v>1404</v>
      </c>
      <c r="Y4" s="1899" t="s">
        <v>1402</v>
      </c>
      <c r="Z4" s="1899" t="s">
        <v>1404</v>
      </c>
      <c r="AA4" s="1899" t="s">
        <v>1402</v>
      </c>
      <c r="AB4" s="1907"/>
    </row>
    <row r="5" spans="1:29" s="1326" customFormat="1" ht="21" customHeight="1">
      <c r="A5" s="1908"/>
      <c r="B5" s="1900"/>
      <c r="C5" s="1900"/>
      <c r="D5" s="1900"/>
      <c r="E5" s="1900"/>
      <c r="F5" s="1900"/>
      <c r="G5" s="1900"/>
      <c r="H5" s="1900"/>
      <c r="I5" s="1900"/>
      <c r="J5" s="1900"/>
      <c r="K5" s="1900"/>
      <c r="L5" s="1900"/>
      <c r="M5" s="1900"/>
      <c r="N5" s="1908"/>
      <c r="O5" s="1908"/>
      <c r="P5" s="1900"/>
      <c r="Q5" s="1900"/>
      <c r="R5" s="1900"/>
      <c r="S5" s="1900"/>
      <c r="T5" s="1900"/>
      <c r="U5" s="1900"/>
      <c r="V5" s="1900"/>
      <c r="W5" s="1900"/>
      <c r="X5" s="1900"/>
      <c r="Y5" s="1900"/>
      <c r="Z5" s="1900"/>
      <c r="AA5" s="1900"/>
      <c r="AB5" s="1908"/>
    </row>
    <row r="6" spans="1:29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9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"/>
    </row>
    <row r="7" spans="1:29" s="10" customFormat="1" ht="24" customHeight="1">
      <c r="A7" s="1244" t="s">
        <v>937</v>
      </c>
      <c r="B7" s="109">
        <v>1850</v>
      </c>
      <c r="C7" s="109">
        <v>4076</v>
      </c>
      <c r="D7" s="109">
        <v>9419</v>
      </c>
      <c r="E7" s="109">
        <v>14029</v>
      </c>
      <c r="F7" s="109">
        <v>6772</v>
      </c>
      <c r="G7" s="109">
        <v>6378</v>
      </c>
      <c r="H7" s="109">
        <v>1131</v>
      </c>
      <c r="I7" s="109">
        <v>1520</v>
      </c>
      <c r="J7" s="109">
        <v>7111</v>
      </c>
      <c r="K7" s="109">
        <v>447</v>
      </c>
      <c r="L7" s="109">
        <v>239</v>
      </c>
      <c r="M7" s="109">
        <v>832</v>
      </c>
      <c r="N7" s="1245" t="s">
        <v>937</v>
      </c>
      <c r="O7" s="1244" t="s">
        <v>937</v>
      </c>
      <c r="P7" s="109">
        <v>30</v>
      </c>
      <c r="Q7" s="109">
        <v>133</v>
      </c>
      <c r="R7" s="109">
        <v>168</v>
      </c>
      <c r="S7" s="109">
        <v>513</v>
      </c>
      <c r="T7" s="109">
        <v>38</v>
      </c>
      <c r="U7" s="109">
        <v>91</v>
      </c>
      <c r="V7" s="109">
        <v>51</v>
      </c>
      <c r="W7" s="109">
        <v>118</v>
      </c>
      <c r="X7" s="109">
        <v>808</v>
      </c>
      <c r="Y7" s="109">
        <v>1182</v>
      </c>
      <c r="Z7" s="109">
        <v>26</v>
      </c>
      <c r="AA7" s="109">
        <v>78</v>
      </c>
      <c r="AB7" s="1245" t="s">
        <v>937</v>
      </c>
    </row>
    <row r="8" spans="1:29" s="10" customFormat="1" ht="21.95" customHeight="1">
      <c r="A8" s="1054" t="s">
        <v>938</v>
      </c>
      <c r="B8" s="1242">
        <v>1791</v>
      </c>
      <c r="C8" s="1242">
        <v>4111</v>
      </c>
      <c r="D8" s="1242">
        <v>8509</v>
      </c>
      <c r="E8" s="1242">
        <v>13824</v>
      </c>
      <c r="F8" s="1242">
        <v>6538</v>
      </c>
      <c r="G8" s="1242">
        <v>6582</v>
      </c>
      <c r="H8" s="1242">
        <v>1245</v>
      </c>
      <c r="I8" s="1242">
        <v>1580</v>
      </c>
      <c r="J8" s="1242">
        <v>7446</v>
      </c>
      <c r="K8" s="1242">
        <v>445</v>
      </c>
      <c r="L8" s="1242">
        <v>245</v>
      </c>
      <c r="M8" s="1242">
        <v>833</v>
      </c>
      <c r="N8" s="985" t="s">
        <v>938</v>
      </c>
      <c r="O8" s="1243" t="s">
        <v>938</v>
      </c>
      <c r="P8" s="1242">
        <v>32</v>
      </c>
      <c r="Q8" s="1242">
        <v>133</v>
      </c>
      <c r="R8" s="1242">
        <v>168</v>
      </c>
      <c r="S8" s="1242">
        <v>512</v>
      </c>
      <c r="T8" s="1242">
        <v>38</v>
      </c>
      <c r="U8" s="1242">
        <v>89</v>
      </c>
      <c r="V8" s="1242">
        <v>52</v>
      </c>
      <c r="W8" s="1242">
        <v>118</v>
      </c>
      <c r="X8" s="1242">
        <v>964</v>
      </c>
      <c r="Y8" s="1242">
        <v>1383</v>
      </c>
      <c r="Z8" s="1242">
        <v>13</v>
      </c>
      <c r="AA8" s="1242">
        <v>86</v>
      </c>
      <c r="AB8" s="573" t="s">
        <v>938</v>
      </c>
    </row>
    <row r="9" spans="1:29" s="10" customFormat="1" ht="21.95" customHeight="1">
      <c r="A9" s="443" t="s">
        <v>939</v>
      </c>
      <c r="B9" s="109">
        <v>1676</v>
      </c>
      <c r="C9" s="109">
        <v>3840</v>
      </c>
      <c r="D9" s="109">
        <v>8790</v>
      </c>
      <c r="E9" s="109">
        <v>13953</v>
      </c>
      <c r="F9" s="109">
        <v>7221</v>
      </c>
      <c r="G9" s="109">
        <v>6804</v>
      </c>
      <c r="H9" s="109">
        <v>1369</v>
      </c>
      <c r="I9" s="109">
        <v>1732</v>
      </c>
      <c r="J9" s="109">
        <v>7165</v>
      </c>
      <c r="K9" s="109">
        <v>431</v>
      </c>
      <c r="L9" s="109">
        <v>246</v>
      </c>
      <c r="M9" s="109">
        <v>830</v>
      </c>
      <c r="N9" s="1246" t="s">
        <v>939</v>
      </c>
      <c r="O9" s="443" t="s">
        <v>939</v>
      </c>
      <c r="P9" s="109">
        <v>32</v>
      </c>
      <c r="Q9" s="109">
        <v>136</v>
      </c>
      <c r="R9" s="109">
        <v>170</v>
      </c>
      <c r="S9" s="109">
        <v>509</v>
      </c>
      <c r="T9" s="109">
        <v>39</v>
      </c>
      <c r="U9" s="109">
        <v>90</v>
      </c>
      <c r="V9" s="109">
        <v>48</v>
      </c>
      <c r="W9" s="109">
        <v>119</v>
      </c>
      <c r="X9" s="109">
        <v>739</v>
      </c>
      <c r="Y9" s="109">
        <v>1133</v>
      </c>
      <c r="Z9" s="109">
        <v>13</v>
      </c>
      <c r="AA9" s="109">
        <v>86</v>
      </c>
      <c r="AB9" s="1246" t="s">
        <v>939</v>
      </c>
    </row>
    <row r="10" spans="1:29" s="10" customFormat="1" ht="21.95" customHeight="1">
      <c r="A10" s="1243" t="s">
        <v>940</v>
      </c>
      <c r="B10" s="1242">
        <v>1871</v>
      </c>
      <c r="C10" s="1242">
        <v>3935</v>
      </c>
      <c r="D10" s="1242">
        <v>9552</v>
      </c>
      <c r="E10" s="1242">
        <v>14399</v>
      </c>
      <c r="F10" s="1242">
        <v>7460</v>
      </c>
      <c r="G10" s="1242">
        <v>6876</v>
      </c>
      <c r="H10" s="1242">
        <v>1454</v>
      </c>
      <c r="I10" s="1242">
        <v>1749</v>
      </c>
      <c r="J10" s="1242">
        <v>7520</v>
      </c>
      <c r="K10" s="1242">
        <v>434</v>
      </c>
      <c r="L10" s="1242">
        <v>249</v>
      </c>
      <c r="M10" s="1242">
        <v>831</v>
      </c>
      <c r="N10" s="573" t="s">
        <v>940</v>
      </c>
      <c r="O10" s="1243" t="s">
        <v>940</v>
      </c>
      <c r="P10" s="1242">
        <v>34</v>
      </c>
      <c r="Q10" s="1242">
        <v>136</v>
      </c>
      <c r="R10" s="1242">
        <v>171</v>
      </c>
      <c r="S10" s="1242">
        <v>510</v>
      </c>
      <c r="T10" s="1242">
        <v>38</v>
      </c>
      <c r="U10" s="1242">
        <v>86</v>
      </c>
      <c r="V10" s="1242">
        <v>53</v>
      </c>
      <c r="W10" s="1242">
        <v>119</v>
      </c>
      <c r="X10" s="1242">
        <v>883</v>
      </c>
      <c r="Y10" s="1242">
        <v>1253</v>
      </c>
      <c r="Z10" s="1242">
        <v>14</v>
      </c>
      <c r="AA10" s="1242">
        <v>91</v>
      </c>
      <c r="AB10" s="573" t="s">
        <v>940</v>
      </c>
    </row>
    <row r="11" spans="1:29" s="10" customFormat="1" ht="21.95" customHeight="1">
      <c r="A11" s="443" t="s">
        <v>941</v>
      </c>
      <c r="B11" s="109">
        <v>1875</v>
      </c>
      <c r="C11" s="109">
        <v>3868</v>
      </c>
      <c r="D11" s="109">
        <v>8850</v>
      </c>
      <c r="E11" s="109">
        <v>14353</v>
      </c>
      <c r="F11" s="109">
        <v>8137</v>
      </c>
      <c r="G11" s="109">
        <v>7138</v>
      </c>
      <c r="H11" s="109">
        <v>1803</v>
      </c>
      <c r="I11" s="109">
        <v>1988</v>
      </c>
      <c r="J11" s="109">
        <v>7379</v>
      </c>
      <c r="K11" s="109">
        <v>433</v>
      </c>
      <c r="L11" s="109">
        <v>254</v>
      </c>
      <c r="M11" s="109">
        <v>849</v>
      </c>
      <c r="N11" s="1246" t="s">
        <v>941</v>
      </c>
      <c r="O11" s="443" t="s">
        <v>941</v>
      </c>
      <c r="P11" s="109">
        <v>34</v>
      </c>
      <c r="Q11" s="109">
        <v>135</v>
      </c>
      <c r="R11" s="109">
        <v>163</v>
      </c>
      <c r="S11" s="109">
        <v>508</v>
      </c>
      <c r="T11" s="109">
        <v>37</v>
      </c>
      <c r="U11" s="109">
        <v>81</v>
      </c>
      <c r="V11" s="109">
        <v>51</v>
      </c>
      <c r="W11" s="109">
        <v>120</v>
      </c>
      <c r="X11" s="109">
        <v>1057</v>
      </c>
      <c r="Y11" s="109">
        <v>1427</v>
      </c>
      <c r="Z11" s="109">
        <v>14</v>
      </c>
      <c r="AA11" s="109">
        <v>86</v>
      </c>
      <c r="AB11" s="1246" t="s">
        <v>941</v>
      </c>
    </row>
    <row r="12" spans="1:29" s="10" customFormat="1" ht="21.95" customHeight="1">
      <c r="A12" s="1243" t="s">
        <v>942</v>
      </c>
      <c r="B12" s="1242">
        <v>1617</v>
      </c>
      <c r="C12" s="1242">
        <v>3519</v>
      </c>
      <c r="D12" s="1242">
        <v>7736</v>
      </c>
      <c r="E12" s="1242">
        <v>12762</v>
      </c>
      <c r="F12" s="1242">
        <v>10552</v>
      </c>
      <c r="G12" s="1242">
        <v>8715</v>
      </c>
      <c r="H12" s="1242">
        <v>1988</v>
      </c>
      <c r="I12" s="1242">
        <v>2180</v>
      </c>
      <c r="J12" s="1242">
        <v>6951</v>
      </c>
      <c r="K12" s="1242">
        <v>430</v>
      </c>
      <c r="L12" s="1242">
        <v>253</v>
      </c>
      <c r="M12" s="1242">
        <v>850</v>
      </c>
      <c r="N12" s="573" t="s">
        <v>942</v>
      </c>
      <c r="O12" s="1243" t="s">
        <v>942</v>
      </c>
      <c r="P12" s="1242">
        <v>34</v>
      </c>
      <c r="Q12" s="1242">
        <v>137</v>
      </c>
      <c r="R12" s="1242">
        <v>165</v>
      </c>
      <c r="S12" s="1242">
        <v>508</v>
      </c>
      <c r="T12" s="1242">
        <v>29</v>
      </c>
      <c r="U12" s="1242">
        <v>78</v>
      </c>
      <c r="V12" s="1242">
        <v>56</v>
      </c>
      <c r="W12" s="1242">
        <v>120</v>
      </c>
      <c r="X12" s="1242">
        <v>812</v>
      </c>
      <c r="Y12" s="1242">
        <v>1181</v>
      </c>
      <c r="Z12" s="1242" t="s">
        <v>998</v>
      </c>
      <c r="AA12" s="1242" t="s">
        <v>998</v>
      </c>
      <c r="AB12" s="573" t="s">
        <v>942</v>
      </c>
    </row>
    <row r="13" spans="1:29" s="10" customFormat="1" ht="21.95" customHeight="1">
      <c r="A13" s="443" t="s">
        <v>943</v>
      </c>
      <c r="B13" s="109">
        <v>1734</v>
      </c>
      <c r="C13" s="109">
        <v>3339</v>
      </c>
      <c r="D13" s="109">
        <v>10305</v>
      </c>
      <c r="E13" s="109">
        <v>14097</v>
      </c>
      <c r="F13" s="109">
        <v>11027</v>
      </c>
      <c r="G13" s="109">
        <v>9024</v>
      </c>
      <c r="H13" s="109">
        <v>1840</v>
      </c>
      <c r="I13" s="109">
        <v>2057</v>
      </c>
      <c r="J13" s="109">
        <v>6910</v>
      </c>
      <c r="K13" s="109">
        <v>421</v>
      </c>
      <c r="L13" s="109">
        <v>249</v>
      </c>
      <c r="M13" s="109">
        <v>812</v>
      </c>
      <c r="N13" s="1246" t="s">
        <v>943</v>
      </c>
      <c r="O13" s="443" t="s">
        <v>943</v>
      </c>
      <c r="P13" s="109">
        <v>36</v>
      </c>
      <c r="Q13" s="109">
        <v>136</v>
      </c>
      <c r="R13" s="109">
        <v>128</v>
      </c>
      <c r="S13" s="109">
        <v>412</v>
      </c>
      <c r="T13" s="109">
        <v>35</v>
      </c>
      <c r="U13" s="109">
        <v>88</v>
      </c>
      <c r="V13" s="109">
        <v>46</v>
      </c>
      <c r="W13" s="109">
        <v>120</v>
      </c>
      <c r="X13" s="109">
        <v>711</v>
      </c>
      <c r="Y13" s="109">
        <v>1008</v>
      </c>
      <c r="Z13" s="109" t="s">
        <v>998</v>
      </c>
      <c r="AA13" s="109" t="s">
        <v>998</v>
      </c>
      <c r="AB13" s="1246" t="s">
        <v>943</v>
      </c>
    </row>
    <row r="14" spans="1:29" s="10" customFormat="1" ht="21.95" customHeight="1">
      <c r="A14" s="1243" t="s">
        <v>944</v>
      </c>
      <c r="B14" s="1242">
        <v>1916</v>
      </c>
      <c r="C14" s="1242">
        <v>3275</v>
      </c>
      <c r="D14" s="1242">
        <v>11249</v>
      </c>
      <c r="E14" s="1242">
        <v>14110</v>
      </c>
      <c r="F14" s="1242">
        <v>11921</v>
      </c>
      <c r="G14" s="1242">
        <v>9296</v>
      </c>
      <c r="H14" s="1242">
        <v>1673</v>
      </c>
      <c r="I14" s="1242">
        <v>1909</v>
      </c>
      <c r="J14" s="1242">
        <v>6742</v>
      </c>
      <c r="K14" s="1242">
        <v>417</v>
      </c>
      <c r="L14" s="1242">
        <v>238</v>
      </c>
      <c r="M14" s="1242">
        <v>785</v>
      </c>
      <c r="N14" s="573" t="s">
        <v>944</v>
      </c>
      <c r="O14" s="1243" t="s">
        <v>944</v>
      </c>
      <c r="P14" s="1242">
        <v>34</v>
      </c>
      <c r="Q14" s="1242">
        <v>130</v>
      </c>
      <c r="R14" s="1242">
        <v>126</v>
      </c>
      <c r="S14" s="1242">
        <v>406</v>
      </c>
      <c r="T14" s="1242">
        <v>37</v>
      </c>
      <c r="U14" s="1242">
        <v>74</v>
      </c>
      <c r="V14" s="1242">
        <v>52</v>
      </c>
      <c r="W14" s="1242">
        <v>120</v>
      </c>
      <c r="X14" s="1242">
        <v>821</v>
      </c>
      <c r="Y14" s="1242">
        <v>1107</v>
      </c>
      <c r="Z14" s="1242">
        <v>27</v>
      </c>
      <c r="AA14" s="1242">
        <v>40</v>
      </c>
      <c r="AB14" s="573" t="s">
        <v>944</v>
      </c>
    </row>
    <row r="15" spans="1:29" s="10" customFormat="1" ht="21.95" customHeight="1">
      <c r="A15" s="443" t="s">
        <v>945</v>
      </c>
      <c r="B15" s="109">
        <v>1808</v>
      </c>
      <c r="C15" s="109">
        <v>3069</v>
      </c>
      <c r="D15" s="109">
        <v>10726</v>
      </c>
      <c r="E15" s="109">
        <v>13955</v>
      </c>
      <c r="F15" s="109">
        <v>11766</v>
      </c>
      <c r="G15" s="109">
        <v>9319</v>
      </c>
      <c r="H15" s="109">
        <v>1606</v>
      </c>
      <c r="I15" s="109">
        <v>1833</v>
      </c>
      <c r="J15" s="109">
        <v>6502</v>
      </c>
      <c r="K15" s="109">
        <v>402</v>
      </c>
      <c r="L15" s="109">
        <v>233</v>
      </c>
      <c r="M15" s="109">
        <v>749</v>
      </c>
      <c r="N15" s="1246" t="s">
        <v>945</v>
      </c>
      <c r="O15" s="443" t="s">
        <v>945</v>
      </c>
      <c r="P15" s="109">
        <v>34</v>
      </c>
      <c r="Q15" s="109">
        <v>112</v>
      </c>
      <c r="R15" s="109">
        <v>115</v>
      </c>
      <c r="S15" s="109">
        <v>388</v>
      </c>
      <c r="T15" s="109">
        <v>38</v>
      </c>
      <c r="U15" s="109">
        <v>75</v>
      </c>
      <c r="V15" s="109">
        <v>52</v>
      </c>
      <c r="W15" s="109">
        <v>122</v>
      </c>
      <c r="X15" s="109">
        <v>859</v>
      </c>
      <c r="Y15" s="109">
        <v>1128</v>
      </c>
      <c r="Z15" s="109">
        <v>30</v>
      </c>
      <c r="AA15" s="109">
        <v>42</v>
      </c>
      <c r="AB15" s="1246" t="s">
        <v>945</v>
      </c>
    </row>
    <row r="16" spans="1:29" s="10" customFormat="1" ht="21.95" customHeight="1">
      <c r="A16" s="1243" t="s">
        <v>946</v>
      </c>
      <c r="B16" s="1242">
        <v>1850</v>
      </c>
      <c r="C16" s="1242">
        <v>3073</v>
      </c>
      <c r="D16" s="1242">
        <v>11115</v>
      </c>
      <c r="E16" s="1242">
        <v>14041</v>
      </c>
      <c r="F16" s="1242">
        <v>12222</v>
      </c>
      <c r="G16" s="1242">
        <v>9501</v>
      </c>
      <c r="H16" s="1242">
        <v>1507</v>
      </c>
      <c r="I16" s="1242">
        <v>1746</v>
      </c>
      <c r="J16" s="1242">
        <v>6838</v>
      </c>
      <c r="K16" s="1242">
        <v>410</v>
      </c>
      <c r="L16" s="1242">
        <v>218</v>
      </c>
      <c r="M16" s="1242">
        <v>735</v>
      </c>
      <c r="N16" s="573" t="s">
        <v>946</v>
      </c>
      <c r="O16" s="1243" t="s">
        <v>946</v>
      </c>
      <c r="P16" s="1242">
        <v>30</v>
      </c>
      <c r="Q16" s="1242">
        <v>109</v>
      </c>
      <c r="R16" s="1242">
        <v>116</v>
      </c>
      <c r="S16" s="1242">
        <v>381</v>
      </c>
      <c r="T16" s="1242">
        <v>38</v>
      </c>
      <c r="U16" s="1242">
        <v>75</v>
      </c>
      <c r="V16" s="1242">
        <v>58</v>
      </c>
      <c r="W16" s="1242">
        <v>126</v>
      </c>
      <c r="X16" s="1242">
        <v>800</v>
      </c>
      <c r="Y16" s="1242">
        <v>1079</v>
      </c>
      <c r="Z16" s="1242">
        <v>24</v>
      </c>
      <c r="AA16" s="1242">
        <v>38</v>
      </c>
      <c r="AB16" s="573" t="s">
        <v>946</v>
      </c>
    </row>
    <row r="17" spans="1:28" s="10" customFormat="1" ht="21.95" customHeight="1">
      <c r="A17" s="443" t="s">
        <v>947</v>
      </c>
      <c r="B17" s="109">
        <v>1832</v>
      </c>
      <c r="C17" s="109">
        <v>2971</v>
      </c>
      <c r="D17" s="109">
        <v>11521</v>
      </c>
      <c r="E17" s="109">
        <v>14030</v>
      </c>
      <c r="F17" s="109">
        <v>12837</v>
      </c>
      <c r="G17" s="109">
        <v>9745</v>
      </c>
      <c r="H17" s="109">
        <v>1253</v>
      </c>
      <c r="I17" s="109">
        <v>1586</v>
      </c>
      <c r="J17" s="109">
        <v>6484</v>
      </c>
      <c r="K17" s="109">
        <v>404</v>
      </c>
      <c r="L17" s="109">
        <v>211</v>
      </c>
      <c r="M17" s="109">
        <v>690</v>
      </c>
      <c r="N17" s="1246" t="s">
        <v>947</v>
      </c>
      <c r="O17" s="443" t="s">
        <v>947</v>
      </c>
      <c r="P17" s="109">
        <v>30</v>
      </c>
      <c r="Q17" s="109">
        <v>108</v>
      </c>
      <c r="R17" s="109">
        <v>122</v>
      </c>
      <c r="S17" s="109">
        <v>382</v>
      </c>
      <c r="T17" s="109">
        <v>39</v>
      </c>
      <c r="U17" s="109">
        <v>75</v>
      </c>
      <c r="V17" s="109">
        <v>57</v>
      </c>
      <c r="W17" s="109">
        <v>126</v>
      </c>
      <c r="X17" s="109">
        <v>794</v>
      </c>
      <c r="Y17" s="109">
        <v>1008</v>
      </c>
      <c r="Z17" s="109">
        <v>78</v>
      </c>
      <c r="AA17" s="109">
        <v>38</v>
      </c>
      <c r="AB17" s="1246" t="s">
        <v>947</v>
      </c>
    </row>
    <row r="18" spans="1:28" s="10" customFormat="1" ht="21.95" customHeight="1">
      <c r="A18" s="1243" t="s">
        <v>948</v>
      </c>
      <c r="B18" s="1242">
        <v>1500</v>
      </c>
      <c r="C18" s="1242">
        <v>2532</v>
      </c>
      <c r="D18" s="1242">
        <v>9820</v>
      </c>
      <c r="E18" s="1242">
        <v>13047</v>
      </c>
      <c r="F18" s="1242">
        <v>13837</v>
      </c>
      <c r="G18" s="1242">
        <v>10042</v>
      </c>
      <c r="H18" s="1242">
        <v>976</v>
      </c>
      <c r="I18" s="1242">
        <v>1380</v>
      </c>
      <c r="J18" s="1242">
        <v>6423</v>
      </c>
      <c r="K18" s="1242">
        <v>388</v>
      </c>
      <c r="L18" s="1242">
        <v>191</v>
      </c>
      <c r="M18" s="1242">
        <v>597</v>
      </c>
      <c r="N18" s="573" t="s">
        <v>948</v>
      </c>
      <c r="O18" s="1243" t="s">
        <v>948</v>
      </c>
      <c r="P18" s="1242">
        <v>18</v>
      </c>
      <c r="Q18" s="1242">
        <v>60</v>
      </c>
      <c r="R18" s="1242">
        <v>121</v>
      </c>
      <c r="S18" s="1242">
        <v>380</v>
      </c>
      <c r="T18" s="1242">
        <v>38</v>
      </c>
      <c r="U18" s="1242">
        <v>78</v>
      </c>
      <c r="V18" s="1242">
        <v>58</v>
      </c>
      <c r="W18" s="1242">
        <v>132</v>
      </c>
      <c r="X18" s="1242">
        <v>1035</v>
      </c>
      <c r="Y18" s="1242">
        <v>965</v>
      </c>
      <c r="Z18" s="1242">
        <v>3</v>
      </c>
      <c r="AA18" s="1242">
        <v>4</v>
      </c>
      <c r="AB18" s="573" t="s">
        <v>948</v>
      </c>
    </row>
    <row r="19" spans="1:28" s="10" customFormat="1" ht="21.95" customHeight="1">
      <c r="A19" s="443" t="s">
        <v>953</v>
      </c>
      <c r="B19" s="109">
        <v>1754</v>
      </c>
      <c r="C19" s="109">
        <v>2556</v>
      </c>
      <c r="D19" s="109">
        <v>10810</v>
      </c>
      <c r="E19" s="109">
        <v>13416</v>
      </c>
      <c r="F19" s="109">
        <v>13975</v>
      </c>
      <c r="G19" s="109">
        <v>10047</v>
      </c>
      <c r="H19" s="109">
        <v>735</v>
      </c>
      <c r="I19" s="109">
        <v>1184</v>
      </c>
      <c r="J19" s="109">
        <v>5511</v>
      </c>
      <c r="K19" s="109">
        <v>377</v>
      </c>
      <c r="L19" s="109">
        <v>183</v>
      </c>
      <c r="M19" s="109">
        <v>536</v>
      </c>
      <c r="N19" s="1246" t="s">
        <v>953</v>
      </c>
      <c r="O19" s="835" t="s">
        <v>953</v>
      </c>
      <c r="P19" s="390">
        <v>17</v>
      </c>
      <c r="Q19" s="390">
        <v>55</v>
      </c>
      <c r="R19" s="390">
        <v>115</v>
      </c>
      <c r="S19" s="390">
        <v>333</v>
      </c>
      <c r="T19" s="390">
        <v>43</v>
      </c>
      <c r="U19" s="390">
        <v>78</v>
      </c>
      <c r="V19" s="390">
        <v>58</v>
      </c>
      <c r="W19" s="390">
        <v>130</v>
      </c>
      <c r="X19" s="391">
        <v>838</v>
      </c>
      <c r="Y19" s="391">
        <v>993</v>
      </c>
      <c r="Z19" s="390">
        <v>18</v>
      </c>
      <c r="AA19" s="390">
        <v>26</v>
      </c>
      <c r="AB19" s="462" t="s">
        <v>953</v>
      </c>
    </row>
    <row r="20" spans="1:28" s="10" customFormat="1" ht="21.95" customHeight="1">
      <c r="A20" s="1243" t="s">
        <v>962</v>
      </c>
      <c r="B20" s="1242">
        <v>1512</v>
      </c>
      <c r="C20" s="1242">
        <v>2238</v>
      </c>
      <c r="D20" s="1242">
        <v>10841</v>
      </c>
      <c r="E20" s="1242">
        <v>13382</v>
      </c>
      <c r="F20" s="1242">
        <v>14965</v>
      </c>
      <c r="G20" s="1242">
        <v>10522</v>
      </c>
      <c r="H20" s="1242">
        <v>737</v>
      </c>
      <c r="I20" s="1242">
        <v>988</v>
      </c>
      <c r="J20" s="1242">
        <v>5770</v>
      </c>
      <c r="K20" s="1242">
        <v>371</v>
      </c>
      <c r="L20" s="1242">
        <v>189</v>
      </c>
      <c r="M20" s="1242">
        <v>520</v>
      </c>
      <c r="N20" s="573" t="s">
        <v>962</v>
      </c>
      <c r="O20" s="1243" t="s">
        <v>962</v>
      </c>
      <c r="P20" s="1242">
        <v>19</v>
      </c>
      <c r="Q20" s="1242">
        <v>60</v>
      </c>
      <c r="R20" s="1242">
        <v>117</v>
      </c>
      <c r="S20" s="1242">
        <v>340</v>
      </c>
      <c r="T20" s="1242">
        <v>39</v>
      </c>
      <c r="U20" s="1242">
        <v>76</v>
      </c>
      <c r="V20" s="504">
        <v>58</v>
      </c>
      <c r="W20" s="504">
        <v>129</v>
      </c>
      <c r="X20" s="1242">
        <v>879</v>
      </c>
      <c r="Y20" s="1242">
        <v>1034</v>
      </c>
      <c r="Z20" s="1242">
        <v>18</v>
      </c>
      <c r="AA20" s="1242">
        <v>25</v>
      </c>
      <c r="AB20" s="573" t="s">
        <v>962</v>
      </c>
    </row>
    <row r="21" spans="1:28" s="11" customFormat="1" ht="21.95" customHeight="1">
      <c r="A21" s="835" t="s">
        <v>675</v>
      </c>
      <c r="B21" s="390">
        <v>1507</v>
      </c>
      <c r="C21" s="390">
        <v>2270</v>
      </c>
      <c r="D21" s="390">
        <v>9662</v>
      </c>
      <c r="E21" s="390">
        <v>12474</v>
      </c>
      <c r="F21" s="390">
        <v>17762</v>
      </c>
      <c r="G21" s="390">
        <v>11386</v>
      </c>
      <c r="H21" s="390">
        <v>844</v>
      </c>
      <c r="I21" s="390">
        <v>958</v>
      </c>
      <c r="J21" s="390">
        <v>4984</v>
      </c>
      <c r="K21" s="390">
        <v>320</v>
      </c>
      <c r="L21" s="391">
        <v>228</v>
      </c>
      <c r="M21" s="391">
        <v>577</v>
      </c>
      <c r="N21" s="462" t="s">
        <v>675</v>
      </c>
      <c r="O21" s="835" t="s">
        <v>675</v>
      </c>
      <c r="P21" s="390">
        <v>21</v>
      </c>
      <c r="Q21" s="390">
        <v>60</v>
      </c>
      <c r="R21" s="391">
        <v>72</v>
      </c>
      <c r="S21" s="391">
        <v>179</v>
      </c>
      <c r="T21" s="390">
        <v>40</v>
      </c>
      <c r="U21" s="390">
        <v>72</v>
      </c>
      <c r="V21" s="391">
        <v>59</v>
      </c>
      <c r="W21" s="391">
        <v>133</v>
      </c>
      <c r="X21" s="390">
        <v>832</v>
      </c>
      <c r="Y21" s="390">
        <v>1089</v>
      </c>
      <c r="Z21" s="391">
        <v>15</v>
      </c>
      <c r="AA21" s="391">
        <v>22</v>
      </c>
      <c r="AB21" s="462" t="s">
        <v>675</v>
      </c>
    </row>
    <row r="22" spans="1:28" s="11" customFormat="1" ht="21.95" customHeight="1">
      <c r="A22" s="1243" t="s">
        <v>141</v>
      </c>
      <c r="B22" s="1242">
        <v>1895</v>
      </c>
      <c r="C22" s="1242">
        <v>2633</v>
      </c>
      <c r="D22" s="1242">
        <v>11613</v>
      </c>
      <c r="E22" s="1242">
        <v>13585</v>
      </c>
      <c r="F22" s="1242">
        <v>17809</v>
      </c>
      <c r="G22" s="1242">
        <v>11654</v>
      </c>
      <c r="H22" s="1242">
        <v>849</v>
      </c>
      <c r="I22" s="1242">
        <v>975</v>
      </c>
      <c r="J22" s="1242">
        <v>5232</v>
      </c>
      <c r="K22" s="1242">
        <v>312</v>
      </c>
      <c r="L22" s="1242">
        <v>228</v>
      </c>
      <c r="M22" s="1242">
        <v>578</v>
      </c>
      <c r="N22" s="573" t="s">
        <v>141</v>
      </c>
      <c r="O22" s="1243" t="s">
        <v>141</v>
      </c>
      <c r="P22" s="1242">
        <v>18</v>
      </c>
      <c r="Q22" s="1242">
        <v>54</v>
      </c>
      <c r="R22" s="1242">
        <v>61</v>
      </c>
      <c r="S22" s="1242">
        <v>175</v>
      </c>
      <c r="T22" s="1242">
        <v>40</v>
      </c>
      <c r="U22" s="1242">
        <v>74</v>
      </c>
      <c r="V22" s="1242">
        <v>59</v>
      </c>
      <c r="W22" s="1242">
        <v>134</v>
      </c>
      <c r="X22" s="1242">
        <v>842</v>
      </c>
      <c r="Y22" s="1242">
        <v>1039</v>
      </c>
      <c r="Z22" s="1242">
        <v>12</v>
      </c>
      <c r="AA22" s="1242">
        <v>18</v>
      </c>
      <c r="AB22" s="573" t="s">
        <v>141</v>
      </c>
    </row>
    <row r="23" spans="1:28" s="11" customFormat="1" ht="21.95" customHeight="1">
      <c r="A23" s="835" t="s">
        <v>136</v>
      </c>
      <c r="B23" s="390">
        <v>1709</v>
      </c>
      <c r="C23" s="390">
        <v>2431</v>
      </c>
      <c r="D23" s="390">
        <v>12207</v>
      </c>
      <c r="E23" s="390">
        <v>13993</v>
      </c>
      <c r="F23" s="390">
        <v>18059</v>
      </c>
      <c r="G23" s="390">
        <v>11631</v>
      </c>
      <c r="H23" s="390">
        <v>901</v>
      </c>
      <c r="I23" s="390">
        <v>930</v>
      </c>
      <c r="J23" s="390">
        <v>4491</v>
      </c>
      <c r="K23" s="390">
        <v>290</v>
      </c>
      <c r="L23" s="390">
        <v>222</v>
      </c>
      <c r="M23" s="390">
        <v>608</v>
      </c>
      <c r="N23" s="462" t="s">
        <v>136</v>
      </c>
      <c r="O23" s="835" t="s">
        <v>136</v>
      </c>
      <c r="P23" s="390">
        <v>20</v>
      </c>
      <c r="Q23" s="390">
        <v>57</v>
      </c>
      <c r="R23" s="390">
        <v>71</v>
      </c>
      <c r="S23" s="390">
        <v>191</v>
      </c>
      <c r="T23" s="390">
        <v>55</v>
      </c>
      <c r="U23" s="390">
        <v>95</v>
      </c>
      <c r="V23" s="390">
        <v>68</v>
      </c>
      <c r="W23" s="390">
        <v>136</v>
      </c>
      <c r="X23" s="390">
        <v>916</v>
      </c>
      <c r="Y23" s="390">
        <v>1029</v>
      </c>
      <c r="Z23" s="390">
        <v>20</v>
      </c>
      <c r="AA23" s="390">
        <v>24</v>
      </c>
      <c r="AB23" s="462" t="s">
        <v>136</v>
      </c>
    </row>
    <row r="24" spans="1:28" s="10" customFormat="1" ht="18.75" customHeight="1">
      <c r="A24" s="1243" t="s">
        <v>317</v>
      </c>
      <c r="B24" s="1242">
        <v>2133</v>
      </c>
      <c r="C24" s="1242">
        <v>2750</v>
      </c>
      <c r="D24" s="504">
        <v>12792</v>
      </c>
      <c r="E24" s="504">
        <v>13951</v>
      </c>
      <c r="F24" s="504">
        <v>18617</v>
      </c>
      <c r="G24" s="504">
        <v>11788</v>
      </c>
      <c r="H24" s="504">
        <v>972</v>
      </c>
      <c r="I24" s="504">
        <v>923</v>
      </c>
      <c r="J24" s="504">
        <v>4671</v>
      </c>
      <c r="K24" s="504">
        <v>287</v>
      </c>
      <c r="L24" s="504">
        <v>246</v>
      </c>
      <c r="M24" s="504">
        <v>623</v>
      </c>
      <c r="N24" s="639" t="s">
        <v>317</v>
      </c>
      <c r="O24" s="574" t="s">
        <v>317</v>
      </c>
      <c r="P24" s="504">
        <v>19</v>
      </c>
      <c r="Q24" s="504">
        <v>68</v>
      </c>
      <c r="R24" s="504">
        <v>80</v>
      </c>
      <c r="S24" s="504">
        <v>205</v>
      </c>
      <c r="T24" s="504">
        <v>79</v>
      </c>
      <c r="U24" s="504">
        <v>121</v>
      </c>
      <c r="V24" s="504">
        <v>61</v>
      </c>
      <c r="W24" s="504">
        <v>140</v>
      </c>
      <c r="X24" s="504">
        <v>1511</v>
      </c>
      <c r="Y24" s="504">
        <v>1751</v>
      </c>
      <c r="Z24" s="504">
        <v>14</v>
      </c>
      <c r="AA24" s="504">
        <v>24</v>
      </c>
      <c r="AB24" s="639" t="s">
        <v>317</v>
      </c>
    </row>
    <row r="25" spans="1:28" s="10" customFormat="1" ht="18.75" customHeight="1">
      <c r="A25" s="835" t="s">
        <v>1299</v>
      </c>
      <c r="B25" s="390">
        <v>2332</v>
      </c>
      <c r="C25" s="390">
        <v>2812</v>
      </c>
      <c r="D25" s="459">
        <v>12798</v>
      </c>
      <c r="E25" s="459">
        <v>13789</v>
      </c>
      <c r="F25" s="459">
        <v>18759</v>
      </c>
      <c r="G25" s="459">
        <v>11886</v>
      </c>
      <c r="H25" s="459">
        <v>995</v>
      </c>
      <c r="I25" s="459">
        <v>885</v>
      </c>
      <c r="J25" s="459">
        <v>4603</v>
      </c>
      <c r="K25" s="459">
        <v>279</v>
      </c>
      <c r="L25" s="459">
        <v>262</v>
      </c>
      <c r="M25" s="459">
        <v>682</v>
      </c>
      <c r="N25" s="693" t="s">
        <v>1299</v>
      </c>
      <c r="O25" s="457" t="s">
        <v>1299</v>
      </c>
      <c r="P25" s="459">
        <v>26</v>
      </c>
      <c r="Q25" s="459">
        <v>91</v>
      </c>
      <c r="R25" s="459">
        <v>80</v>
      </c>
      <c r="S25" s="459">
        <v>213</v>
      </c>
      <c r="T25" s="459">
        <v>85</v>
      </c>
      <c r="U25" s="459">
        <v>126</v>
      </c>
      <c r="V25" s="459">
        <v>61</v>
      </c>
      <c r="W25" s="459">
        <v>143</v>
      </c>
      <c r="X25" s="459">
        <v>1441</v>
      </c>
      <c r="Y25" s="459">
        <v>1878</v>
      </c>
      <c r="Z25" s="459">
        <v>16</v>
      </c>
      <c r="AA25" s="459">
        <v>25</v>
      </c>
      <c r="AB25" s="693" t="s">
        <v>1299</v>
      </c>
    </row>
    <row r="26" spans="1:28" s="10" customFormat="1" ht="18.75" customHeight="1">
      <c r="A26" s="1243" t="s">
        <v>1505</v>
      </c>
      <c r="B26" s="1242">
        <v>2158</v>
      </c>
      <c r="C26" s="1242">
        <v>2602</v>
      </c>
      <c r="D26" s="504">
        <v>12897</v>
      </c>
      <c r="E26" s="504">
        <v>13863</v>
      </c>
      <c r="F26" s="504">
        <v>18778</v>
      </c>
      <c r="G26" s="504">
        <v>11763</v>
      </c>
      <c r="H26" s="504">
        <v>1255</v>
      </c>
      <c r="I26" s="504">
        <v>1029</v>
      </c>
      <c r="J26" s="504">
        <v>4469</v>
      </c>
      <c r="K26" s="504">
        <v>270</v>
      </c>
      <c r="L26" s="504">
        <v>294</v>
      </c>
      <c r="M26" s="504">
        <v>728</v>
      </c>
      <c r="N26" s="639" t="s">
        <v>1505</v>
      </c>
      <c r="O26" s="574" t="s">
        <v>1505</v>
      </c>
      <c r="P26" s="504">
        <v>25</v>
      </c>
      <c r="Q26" s="504">
        <v>87</v>
      </c>
      <c r="R26" s="504">
        <v>93</v>
      </c>
      <c r="S26" s="504">
        <v>222</v>
      </c>
      <c r="T26" s="504">
        <v>79</v>
      </c>
      <c r="U26" s="504">
        <v>119</v>
      </c>
      <c r="V26" s="504">
        <v>63</v>
      </c>
      <c r="W26" s="504">
        <v>144</v>
      </c>
      <c r="X26" s="504">
        <v>1370</v>
      </c>
      <c r="Y26" s="504">
        <v>1683</v>
      </c>
      <c r="Z26" s="504">
        <v>20</v>
      </c>
      <c r="AA26" s="504">
        <v>31</v>
      </c>
      <c r="AB26" s="639" t="s">
        <v>1505</v>
      </c>
    </row>
    <row r="27" spans="1:28" s="10" customFormat="1" ht="18.75" customHeight="1">
      <c r="A27" s="835" t="s">
        <v>1886</v>
      </c>
      <c r="B27" s="390">
        <v>2326</v>
      </c>
      <c r="C27" s="390">
        <v>2598</v>
      </c>
      <c r="D27" s="459">
        <v>13023</v>
      </c>
      <c r="E27" s="459">
        <v>13666</v>
      </c>
      <c r="F27" s="459">
        <v>19007</v>
      </c>
      <c r="G27" s="459">
        <v>11837</v>
      </c>
      <c r="H27" s="459">
        <v>1303</v>
      </c>
      <c r="I27" s="459">
        <v>1062</v>
      </c>
      <c r="J27" s="459">
        <v>4508</v>
      </c>
      <c r="K27" s="459">
        <v>265</v>
      </c>
      <c r="L27" s="459">
        <v>296</v>
      </c>
      <c r="M27" s="459">
        <v>724</v>
      </c>
      <c r="N27" s="693" t="s">
        <v>1886</v>
      </c>
      <c r="O27" s="457" t="s">
        <v>1886</v>
      </c>
      <c r="P27" s="459">
        <v>32</v>
      </c>
      <c r="Q27" s="459">
        <v>97</v>
      </c>
      <c r="R27" s="459">
        <v>157</v>
      </c>
      <c r="S27" s="459">
        <v>308</v>
      </c>
      <c r="T27" s="459">
        <v>85</v>
      </c>
      <c r="U27" s="459">
        <v>124</v>
      </c>
      <c r="V27" s="459">
        <v>67</v>
      </c>
      <c r="W27" s="459">
        <v>148</v>
      </c>
      <c r="X27" s="459">
        <v>1338</v>
      </c>
      <c r="Y27" s="459">
        <v>1645</v>
      </c>
      <c r="Z27" s="459">
        <v>19</v>
      </c>
      <c r="AA27" s="459">
        <v>28</v>
      </c>
      <c r="AB27" s="693" t="s">
        <v>1886</v>
      </c>
    </row>
    <row r="28" spans="1:28" s="10" customFormat="1" ht="18.75" customHeight="1">
      <c r="A28" s="1309" t="s">
        <v>2017</v>
      </c>
      <c r="B28" s="1308">
        <v>2328</v>
      </c>
      <c r="C28" s="1308">
        <v>2583</v>
      </c>
      <c r="D28" s="504">
        <v>13190</v>
      </c>
      <c r="E28" s="504">
        <v>13665</v>
      </c>
      <c r="F28" s="504">
        <v>19192</v>
      </c>
      <c r="G28" s="504">
        <v>11961</v>
      </c>
      <c r="H28" s="504">
        <v>1348</v>
      </c>
      <c r="I28" s="504">
        <v>1079</v>
      </c>
      <c r="J28" s="504">
        <v>4434</v>
      </c>
      <c r="K28" s="504">
        <v>257</v>
      </c>
      <c r="L28" s="504">
        <v>359</v>
      </c>
      <c r="M28" s="504">
        <v>803</v>
      </c>
      <c r="N28" s="573" t="s">
        <v>2017</v>
      </c>
      <c r="O28" s="1309" t="s">
        <v>2017</v>
      </c>
      <c r="P28" s="504">
        <v>33</v>
      </c>
      <c r="Q28" s="504">
        <v>96</v>
      </c>
      <c r="R28" s="504">
        <v>167</v>
      </c>
      <c r="S28" s="504">
        <v>359</v>
      </c>
      <c r="T28" s="504">
        <v>94</v>
      </c>
      <c r="U28" s="504">
        <v>127</v>
      </c>
      <c r="V28" s="504">
        <v>66</v>
      </c>
      <c r="W28" s="504">
        <v>149</v>
      </c>
      <c r="X28" s="504">
        <v>1350</v>
      </c>
      <c r="Y28" s="504">
        <v>1662</v>
      </c>
      <c r="Z28" s="504">
        <v>30</v>
      </c>
      <c r="AA28" s="504">
        <v>33</v>
      </c>
      <c r="AB28" s="573" t="s">
        <v>2017</v>
      </c>
    </row>
    <row r="29" spans="1:28" s="10" customFormat="1" ht="18.75" customHeight="1">
      <c r="A29" s="1408" t="s">
        <v>2226</v>
      </c>
      <c r="B29" s="390">
        <v>2289</v>
      </c>
      <c r="C29" s="390">
        <v>2516</v>
      </c>
      <c r="D29" s="459">
        <v>13483</v>
      </c>
      <c r="E29" s="459">
        <v>13814</v>
      </c>
      <c r="F29" s="459">
        <v>18938</v>
      </c>
      <c r="G29" s="459">
        <v>11794</v>
      </c>
      <c r="H29" s="459">
        <v>1348</v>
      </c>
      <c r="I29" s="459">
        <v>1099</v>
      </c>
      <c r="J29" s="390">
        <v>4207</v>
      </c>
      <c r="K29" s="390">
        <v>243</v>
      </c>
      <c r="L29" s="390">
        <v>362</v>
      </c>
      <c r="M29" s="390">
        <v>787</v>
      </c>
      <c r="N29" s="462" t="s">
        <v>2226</v>
      </c>
      <c r="O29" s="1408" t="s">
        <v>2226</v>
      </c>
      <c r="P29" s="390">
        <v>37</v>
      </c>
      <c r="Q29" s="390">
        <v>101</v>
      </c>
      <c r="R29" s="390">
        <v>158</v>
      </c>
      <c r="S29" s="390">
        <v>382</v>
      </c>
      <c r="T29" s="390">
        <v>88</v>
      </c>
      <c r="U29" s="390">
        <v>115</v>
      </c>
      <c r="V29" s="390">
        <v>64</v>
      </c>
      <c r="W29" s="390">
        <v>148</v>
      </c>
      <c r="X29" s="459">
        <v>1361</v>
      </c>
      <c r="Y29" s="459">
        <v>1675</v>
      </c>
      <c r="Z29" s="390">
        <v>33</v>
      </c>
      <c r="AA29" s="390">
        <v>34</v>
      </c>
      <c r="AB29" s="462" t="s">
        <v>2226</v>
      </c>
    </row>
    <row r="30" spans="1:28" s="10" customFormat="1" ht="18.75" customHeight="1" thickBot="1">
      <c r="A30" s="1386" t="s">
        <v>2384</v>
      </c>
      <c r="B30" s="1318">
        <v>2134</v>
      </c>
      <c r="C30" s="1318">
        <v>2327</v>
      </c>
      <c r="D30" s="939">
        <v>13656</v>
      </c>
      <c r="E30" s="939">
        <v>13797</v>
      </c>
      <c r="F30" s="939" t="s">
        <v>998</v>
      </c>
      <c r="G30" s="939" t="s">
        <v>998</v>
      </c>
      <c r="H30" s="939" t="s">
        <v>998</v>
      </c>
      <c r="I30" s="939" t="s">
        <v>998</v>
      </c>
      <c r="J30" s="1318" t="s">
        <v>998</v>
      </c>
      <c r="K30" s="1318" t="s">
        <v>998</v>
      </c>
      <c r="L30" s="1318" t="s">
        <v>998</v>
      </c>
      <c r="M30" s="1318" t="s">
        <v>998</v>
      </c>
      <c r="N30" s="1389" t="s">
        <v>2384</v>
      </c>
      <c r="O30" s="1386" t="s">
        <v>2384</v>
      </c>
      <c r="P30" s="1318" t="s">
        <v>998</v>
      </c>
      <c r="Q30" s="1318" t="s">
        <v>998</v>
      </c>
      <c r="R30" s="1318" t="s">
        <v>998</v>
      </c>
      <c r="S30" s="1318" t="s">
        <v>998</v>
      </c>
      <c r="T30" s="1318" t="s">
        <v>998</v>
      </c>
      <c r="U30" s="1318" t="s">
        <v>998</v>
      </c>
      <c r="V30" s="1318" t="s">
        <v>998</v>
      </c>
      <c r="W30" s="1318" t="s">
        <v>998</v>
      </c>
      <c r="X30" s="939">
        <v>1484</v>
      </c>
      <c r="Y30" s="939">
        <v>1823</v>
      </c>
      <c r="Z30" s="1318" t="s">
        <v>998</v>
      </c>
      <c r="AA30" s="1318" t="s">
        <v>998</v>
      </c>
      <c r="AB30" s="1389" t="s">
        <v>2384</v>
      </c>
    </row>
    <row r="31" spans="1:28" ht="12.75" customHeight="1">
      <c r="A31" s="1910" t="s">
        <v>2513</v>
      </c>
      <c r="B31" s="1910"/>
      <c r="C31" s="1910"/>
      <c r="D31" s="1910"/>
      <c r="E31" s="1910"/>
      <c r="F31" s="1901"/>
      <c r="G31" s="1901"/>
      <c r="H31" s="1901" t="s">
        <v>2424</v>
      </c>
      <c r="I31" s="1901"/>
      <c r="J31" s="1901"/>
      <c r="K31" s="1901"/>
      <c r="L31" s="1901"/>
      <c r="M31" s="1901"/>
      <c r="O31" s="1902" t="s">
        <v>2514</v>
      </c>
      <c r="P31" s="1902"/>
      <c r="Q31" s="1902"/>
      <c r="R31" s="1902"/>
      <c r="S31" s="1902"/>
      <c r="T31" s="1902"/>
      <c r="U31" s="1902"/>
      <c r="V31" s="1902" t="s">
        <v>2424</v>
      </c>
      <c r="W31" s="1902"/>
      <c r="X31" s="1902"/>
      <c r="Y31" s="1902"/>
      <c r="Z31" s="1902"/>
      <c r="AA31" s="1902"/>
    </row>
    <row r="32" spans="1:28">
      <c r="A32" s="439"/>
      <c r="B32" s="7"/>
      <c r="C32" s="7"/>
      <c r="D32" s="7"/>
      <c r="E32" s="7"/>
      <c r="U32" s="113"/>
    </row>
    <row r="33" spans="24:25" hidden="1"/>
    <row r="34" spans="24:25" hidden="1">
      <c r="X34" s="2">
        <v>7501011</v>
      </c>
      <c r="Y34" s="2">
        <f>X34*180/1000000</f>
        <v>1350.1819800000001</v>
      </c>
    </row>
    <row r="35" spans="24:25" hidden="1">
      <c r="X35" s="2">
        <v>7558934</v>
      </c>
      <c r="Y35" s="2">
        <f>X35*180/1000000</f>
        <v>1360.6081200000001</v>
      </c>
    </row>
    <row r="36" spans="24:25" hidden="1"/>
    <row r="37" spans="24:25" hidden="1"/>
    <row r="38" spans="24:25" hidden="1"/>
    <row r="39" spans="24:25" hidden="1"/>
    <row r="40" spans="24:25" hidden="1"/>
  </sheetData>
  <mergeCells count="52">
    <mergeCell ref="A31:E31"/>
    <mergeCell ref="O31:U31"/>
    <mergeCell ref="N3:N5"/>
    <mergeCell ref="L3:M3"/>
    <mergeCell ref="R3:S3"/>
    <mergeCell ref="O3:O5"/>
    <mergeCell ref="A3:A5"/>
    <mergeCell ref="P3:Q3"/>
    <mergeCell ref="B4:B5"/>
    <mergeCell ref="H4:H5"/>
    <mergeCell ref="C4:C5"/>
    <mergeCell ref="D4:D5"/>
    <mergeCell ref="E4:E5"/>
    <mergeCell ref="F4:F5"/>
    <mergeCell ref="J4:J5"/>
    <mergeCell ref="G4:G5"/>
    <mergeCell ref="B3:C3"/>
    <mergeCell ref="D3:E3"/>
    <mergeCell ref="H3:I3"/>
    <mergeCell ref="J3:K3"/>
    <mergeCell ref="M1:N1"/>
    <mergeCell ref="A1:G1"/>
    <mergeCell ref="F3:G3"/>
    <mergeCell ref="F31:G31"/>
    <mergeCell ref="K31:M31"/>
    <mergeCell ref="H31:J31"/>
    <mergeCell ref="V31:AA31"/>
    <mergeCell ref="AA1:AB1"/>
    <mergeCell ref="O1:U1"/>
    <mergeCell ref="V1:Y1"/>
    <mergeCell ref="AB3:AB5"/>
    <mergeCell ref="T3:U3"/>
    <mergeCell ref="V3:W3"/>
    <mergeCell ref="X3:Y3"/>
    <mergeCell ref="Z3:AA3"/>
    <mergeCell ref="W4:W5"/>
    <mergeCell ref="H1:K1"/>
    <mergeCell ref="AA4:AA5"/>
    <mergeCell ref="Q4:Q5"/>
    <mergeCell ref="I4:I5"/>
    <mergeCell ref="X4:X5"/>
    <mergeCell ref="Y4:Y5"/>
    <mergeCell ref="Z4:Z5"/>
    <mergeCell ref="V4:V5"/>
    <mergeCell ref="R4:R5"/>
    <mergeCell ref="S4:S5"/>
    <mergeCell ref="T4:T5"/>
    <mergeCell ref="U4:U5"/>
    <mergeCell ref="K4:K5"/>
    <mergeCell ref="L4:L5"/>
    <mergeCell ref="M4:M5"/>
    <mergeCell ref="P4:P5"/>
  </mergeCells>
  <phoneticPr fontId="3" type="noConversion"/>
  <pageMargins left="0.62992125984252001" right="0.511811023622047" top="0.511811023622047" bottom="0.511811023622047" header="0" footer="0.74803149606299202"/>
  <pageSetup paperSize="151" firstPageNumber="36" orientation="portrait" useFirstPageNumber="1" r:id="rId1"/>
  <headerFooter alignWithMargins="0">
    <oddFooter>&amp;C&amp;"Times New Roman,Regular"&amp;8&amp;P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Q59"/>
  <sheetViews>
    <sheetView zoomScale="130" zoomScaleNormal="13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1" sqref="F11"/>
    </sheetView>
  </sheetViews>
  <sheetFormatPr defaultColWidth="5.85546875" defaultRowHeight="9"/>
  <cols>
    <col min="1" max="1" width="7.5703125" style="400" customWidth="1"/>
    <col min="2" max="2" width="3.5703125" style="400" customWidth="1"/>
    <col min="3" max="3" width="10.42578125" style="400" customWidth="1"/>
    <col min="4" max="4" width="11.140625" style="400" customWidth="1"/>
    <col min="5" max="6" width="10.5703125" style="400" customWidth="1"/>
    <col min="7" max="7" width="12.28515625" style="400" customWidth="1"/>
    <col min="8" max="8" width="9" style="400" customWidth="1"/>
    <col min="9" max="9" width="8.140625" style="400" customWidth="1"/>
    <col min="10" max="10" width="2.5703125" style="400" customWidth="1"/>
    <col min="11" max="11" width="10" style="400" customWidth="1"/>
    <col min="12" max="12" width="9.7109375" style="400" customWidth="1"/>
    <col min="13" max="13" width="10.42578125" style="400" customWidth="1"/>
    <col min="14" max="14" width="8.85546875" style="400" customWidth="1"/>
    <col min="15" max="15" width="9" style="400" customWidth="1"/>
    <col min="16" max="16" width="9.28515625" style="400" customWidth="1"/>
    <col min="17" max="17" width="10" style="400" customWidth="1"/>
    <col min="18" max="16384" width="5.85546875" style="400"/>
  </cols>
  <sheetData>
    <row r="1" spans="1:17" s="303" customFormat="1" ht="14.25" customHeight="1">
      <c r="D1" s="1776" t="s">
        <v>201</v>
      </c>
      <c r="E1" s="1776"/>
      <c r="F1" s="1776"/>
      <c r="G1" s="1776"/>
      <c r="H1" s="1776"/>
      <c r="I1" s="812" t="s">
        <v>193</v>
      </c>
      <c r="J1" s="812"/>
      <c r="K1" s="812"/>
      <c r="L1" s="812"/>
      <c r="M1" s="813"/>
      <c r="N1" s="813"/>
      <c r="O1" s="813"/>
      <c r="P1" s="1776" t="s">
        <v>2074</v>
      </c>
      <c r="Q1" s="1776"/>
    </row>
    <row r="2" spans="1:17" s="306" customFormat="1" ht="12.75" customHeight="1">
      <c r="H2" s="814" t="s">
        <v>245</v>
      </c>
      <c r="I2" s="1918" t="s">
        <v>244</v>
      </c>
      <c r="J2" s="1918"/>
      <c r="K2" s="1918"/>
      <c r="L2" s="1918"/>
    </row>
    <row r="3" spans="1:17" s="309" customFormat="1" ht="26.25" customHeight="1">
      <c r="A3" s="1911" t="s">
        <v>875</v>
      </c>
      <c r="B3" s="1912"/>
      <c r="C3" s="1382" t="s">
        <v>969</v>
      </c>
      <c r="D3" s="1382" t="s">
        <v>970</v>
      </c>
      <c r="E3" s="1383" t="s">
        <v>890</v>
      </c>
      <c r="F3" s="1383" t="s">
        <v>971</v>
      </c>
      <c r="G3" s="1383" t="s">
        <v>891</v>
      </c>
      <c r="H3" s="1382" t="s">
        <v>386</v>
      </c>
      <c r="I3" s="1625" t="s">
        <v>385</v>
      </c>
      <c r="J3" s="1920"/>
      <c r="K3" s="1383" t="s">
        <v>1006</v>
      </c>
      <c r="L3" s="1383" t="s">
        <v>972</v>
      </c>
      <c r="M3" s="1383" t="s">
        <v>893</v>
      </c>
      <c r="N3" s="1382" t="s">
        <v>384</v>
      </c>
      <c r="O3" s="1412" t="s">
        <v>2567</v>
      </c>
      <c r="P3" s="1383" t="s">
        <v>894</v>
      </c>
      <c r="Q3" s="1919" t="s">
        <v>875</v>
      </c>
    </row>
    <row r="4" spans="1:17" s="309" customFormat="1" ht="25.5" customHeight="1">
      <c r="A4" s="1913"/>
      <c r="B4" s="1914"/>
      <c r="C4" s="126" t="s">
        <v>1670</v>
      </c>
      <c r="D4" s="126" t="s">
        <v>1669</v>
      </c>
      <c r="E4" s="126" t="s">
        <v>1671</v>
      </c>
      <c r="F4" s="126" t="s">
        <v>1671</v>
      </c>
      <c r="G4" s="126" t="s">
        <v>1672</v>
      </c>
      <c r="H4" s="126" t="s">
        <v>1673</v>
      </c>
      <c r="I4" s="1625" t="s">
        <v>1676</v>
      </c>
      <c r="J4" s="1920"/>
      <c r="K4" s="126" t="s">
        <v>1673</v>
      </c>
      <c r="L4" s="126" t="s">
        <v>1673</v>
      </c>
      <c r="M4" s="126" t="s">
        <v>1675</v>
      </c>
      <c r="N4" s="815" t="s">
        <v>370</v>
      </c>
      <c r="O4" s="126" t="s">
        <v>1673</v>
      </c>
      <c r="P4" s="126" t="s">
        <v>1674</v>
      </c>
      <c r="Q4" s="1847"/>
    </row>
    <row r="5" spans="1:17" s="300" customFormat="1" ht="10.5" customHeight="1">
      <c r="A5" s="517" t="s">
        <v>946</v>
      </c>
      <c r="B5" s="517"/>
      <c r="C5" s="508">
        <v>388</v>
      </c>
      <c r="D5" s="508">
        <v>18030</v>
      </c>
      <c r="E5" s="508">
        <v>30262</v>
      </c>
      <c r="F5" s="508" t="s">
        <v>603</v>
      </c>
      <c r="G5" s="508">
        <v>224990</v>
      </c>
      <c r="H5" s="508">
        <v>32338</v>
      </c>
      <c r="I5" s="508">
        <v>81103</v>
      </c>
      <c r="J5" s="508"/>
      <c r="K5" s="508">
        <v>177397</v>
      </c>
      <c r="L5" s="508">
        <v>2263318</v>
      </c>
      <c r="M5" s="508">
        <v>5981</v>
      </c>
      <c r="N5" s="508">
        <v>2179</v>
      </c>
      <c r="O5" s="508" t="s">
        <v>998</v>
      </c>
      <c r="P5" s="508">
        <v>12127</v>
      </c>
      <c r="Q5" s="518" t="s">
        <v>946</v>
      </c>
    </row>
    <row r="6" spans="1:17" s="300" customFormat="1" ht="10.5" customHeight="1">
      <c r="A6" s="298" t="s">
        <v>947</v>
      </c>
      <c r="B6" s="298"/>
      <c r="C6" s="40">
        <v>470</v>
      </c>
      <c r="D6" s="40">
        <v>26296</v>
      </c>
      <c r="E6" s="40">
        <v>28916</v>
      </c>
      <c r="F6" s="40" t="s">
        <v>603</v>
      </c>
      <c r="G6" s="40">
        <v>225740</v>
      </c>
      <c r="H6" s="40">
        <v>37556</v>
      </c>
      <c r="I6" s="40">
        <v>55534</v>
      </c>
      <c r="J6" s="40"/>
      <c r="K6" s="40">
        <v>119146</v>
      </c>
      <c r="L6" s="40">
        <v>2198231</v>
      </c>
      <c r="M6" s="40" t="s">
        <v>998</v>
      </c>
      <c r="N6" s="40">
        <v>2090</v>
      </c>
      <c r="O6" s="40" t="s">
        <v>998</v>
      </c>
      <c r="P6" s="40">
        <v>12537</v>
      </c>
      <c r="Q6" s="367" t="s">
        <v>947</v>
      </c>
    </row>
    <row r="7" spans="1:17" s="300" customFormat="1" ht="10.5" customHeight="1">
      <c r="A7" s="517" t="s">
        <v>948</v>
      </c>
      <c r="B7" s="517"/>
      <c r="C7" s="508">
        <v>573</v>
      </c>
      <c r="D7" s="508">
        <v>32585</v>
      </c>
      <c r="E7" s="508">
        <v>24316</v>
      </c>
      <c r="F7" s="508" t="s">
        <v>603</v>
      </c>
      <c r="G7" s="508">
        <v>238600</v>
      </c>
      <c r="H7" s="508">
        <v>53187</v>
      </c>
      <c r="I7" s="508">
        <v>97053</v>
      </c>
      <c r="J7" s="508"/>
      <c r="K7" s="508">
        <v>108739</v>
      </c>
      <c r="L7" s="508">
        <v>2102306</v>
      </c>
      <c r="M7" s="508" t="s">
        <v>998</v>
      </c>
      <c r="N7" s="508">
        <v>1751</v>
      </c>
      <c r="O7" s="508" t="s">
        <v>998</v>
      </c>
      <c r="P7" s="508">
        <v>12808</v>
      </c>
      <c r="Q7" s="518" t="s">
        <v>948</v>
      </c>
    </row>
    <row r="8" spans="1:17" s="300" customFormat="1" ht="10.5" customHeight="1">
      <c r="A8" s="298" t="s">
        <v>953</v>
      </c>
      <c r="B8" s="298"/>
      <c r="C8" s="40">
        <v>671</v>
      </c>
      <c r="D8" s="40">
        <v>38050</v>
      </c>
      <c r="E8" s="40">
        <v>25704</v>
      </c>
      <c r="F8" s="40" t="s">
        <v>603</v>
      </c>
      <c r="G8" s="40">
        <v>245970</v>
      </c>
      <c r="H8" s="40">
        <v>63305</v>
      </c>
      <c r="I8" s="40">
        <v>108239</v>
      </c>
      <c r="J8" s="40"/>
      <c r="K8" s="40">
        <v>129413</v>
      </c>
      <c r="L8" s="40">
        <v>1926645</v>
      </c>
      <c r="M8" s="40" t="s">
        <v>998</v>
      </c>
      <c r="N8" s="40">
        <v>2037</v>
      </c>
      <c r="O8" s="40" t="s">
        <v>998</v>
      </c>
      <c r="P8" s="40">
        <v>13428</v>
      </c>
      <c r="Q8" s="367" t="s">
        <v>953</v>
      </c>
    </row>
    <row r="9" spans="1:17" s="300" customFormat="1" ht="10.5" customHeight="1">
      <c r="A9" s="517" t="s">
        <v>962</v>
      </c>
      <c r="B9" s="517"/>
      <c r="C9" s="508">
        <v>870</v>
      </c>
      <c r="D9" s="508">
        <v>43730</v>
      </c>
      <c r="E9" s="508">
        <v>22896</v>
      </c>
      <c r="F9" s="508" t="s">
        <v>603</v>
      </c>
      <c r="G9" s="508">
        <v>245580</v>
      </c>
      <c r="H9" s="508">
        <v>67007</v>
      </c>
      <c r="I9" s="508">
        <v>120485</v>
      </c>
      <c r="J9" s="508"/>
      <c r="K9" s="508">
        <v>162199</v>
      </c>
      <c r="L9" s="508">
        <v>1982292</v>
      </c>
      <c r="M9" s="508" t="s">
        <v>998</v>
      </c>
      <c r="N9" s="508">
        <v>2325</v>
      </c>
      <c r="O9" s="508" t="s">
        <v>998</v>
      </c>
      <c r="P9" s="508">
        <v>13316</v>
      </c>
      <c r="Q9" s="518" t="s">
        <v>962</v>
      </c>
    </row>
    <row r="10" spans="1:17" s="300" customFormat="1" ht="10.5" customHeight="1">
      <c r="A10" s="298" t="s">
        <v>675</v>
      </c>
      <c r="B10" s="298"/>
      <c r="C10" s="40">
        <v>951</v>
      </c>
      <c r="D10" s="40">
        <v>46079</v>
      </c>
      <c r="E10" s="40">
        <v>24079</v>
      </c>
      <c r="F10" s="40" t="s">
        <v>998</v>
      </c>
      <c r="G10" s="40">
        <v>241800</v>
      </c>
      <c r="H10" s="40">
        <v>70331</v>
      </c>
      <c r="I10" s="40">
        <v>125436</v>
      </c>
      <c r="J10" s="40"/>
      <c r="K10" s="40">
        <v>163844</v>
      </c>
      <c r="L10" s="40">
        <v>1581364</v>
      </c>
      <c r="M10" s="40" t="s">
        <v>998</v>
      </c>
      <c r="N10" s="40">
        <v>2085</v>
      </c>
      <c r="O10" s="40" t="s">
        <v>998</v>
      </c>
      <c r="P10" s="40">
        <v>12964</v>
      </c>
      <c r="Q10" s="367" t="s">
        <v>675</v>
      </c>
    </row>
    <row r="11" spans="1:17" s="300" customFormat="1" ht="10.5" customHeight="1">
      <c r="A11" s="517" t="s">
        <v>141</v>
      </c>
      <c r="B11" s="517"/>
      <c r="C11" s="508">
        <v>981</v>
      </c>
      <c r="D11" s="508">
        <v>50566</v>
      </c>
      <c r="E11" s="508">
        <v>24240</v>
      </c>
      <c r="F11" s="508" t="s">
        <v>603</v>
      </c>
      <c r="G11" s="508">
        <v>236410</v>
      </c>
      <c r="H11" s="508">
        <v>73077</v>
      </c>
      <c r="I11" s="508">
        <v>134069</v>
      </c>
      <c r="J11" s="508"/>
      <c r="K11" s="508">
        <v>79922</v>
      </c>
      <c r="L11" s="508">
        <v>1342024</v>
      </c>
      <c r="M11" s="508" t="s">
        <v>998</v>
      </c>
      <c r="N11" s="508">
        <v>2111</v>
      </c>
      <c r="O11" s="508" t="s">
        <v>603</v>
      </c>
      <c r="P11" s="508">
        <v>13416</v>
      </c>
      <c r="Q11" s="518" t="s">
        <v>141</v>
      </c>
    </row>
    <row r="12" spans="1:17" s="300" customFormat="1" ht="10.5" customHeight="1">
      <c r="A12" s="298" t="s">
        <v>136</v>
      </c>
      <c r="B12" s="298"/>
      <c r="C12" s="242">
        <v>1006.35</v>
      </c>
      <c r="D12" s="40">
        <v>52975</v>
      </c>
      <c r="E12" s="40">
        <v>18676</v>
      </c>
      <c r="F12" s="40" t="s">
        <v>603</v>
      </c>
      <c r="G12" s="40">
        <v>236790</v>
      </c>
      <c r="H12" s="40">
        <v>76918</v>
      </c>
      <c r="I12" s="40">
        <v>156528</v>
      </c>
      <c r="J12" s="40"/>
      <c r="K12" s="40">
        <v>62203</v>
      </c>
      <c r="L12" s="40">
        <v>1138644</v>
      </c>
      <c r="M12" s="40" t="s">
        <v>603</v>
      </c>
      <c r="N12" s="40">
        <v>2021</v>
      </c>
      <c r="O12" s="40" t="s">
        <v>603</v>
      </c>
      <c r="P12" s="40">
        <v>13330</v>
      </c>
      <c r="Q12" s="367" t="s">
        <v>136</v>
      </c>
    </row>
    <row r="13" spans="1:17" s="298" customFormat="1" ht="10.5" customHeight="1">
      <c r="A13" s="517" t="s">
        <v>317</v>
      </c>
      <c r="B13" s="517"/>
      <c r="C13" s="512">
        <v>1030</v>
      </c>
      <c r="D13" s="512">
        <v>56181</v>
      </c>
      <c r="E13" s="512">
        <v>20241</v>
      </c>
      <c r="F13" s="508" t="s">
        <v>603</v>
      </c>
      <c r="G13" s="512">
        <v>234510</v>
      </c>
      <c r="H13" s="512">
        <v>76970</v>
      </c>
      <c r="I13" s="512">
        <v>154384</v>
      </c>
      <c r="J13" s="508"/>
      <c r="K13" s="512">
        <v>100963</v>
      </c>
      <c r="L13" s="512">
        <v>1011941</v>
      </c>
      <c r="M13" s="508" t="s">
        <v>603</v>
      </c>
      <c r="N13" s="512">
        <v>1898</v>
      </c>
      <c r="O13" s="508" t="s">
        <v>603</v>
      </c>
      <c r="P13" s="512">
        <v>14143</v>
      </c>
      <c r="Q13" s="518" t="s">
        <v>317</v>
      </c>
    </row>
    <row r="14" spans="1:17" s="298" customFormat="1" ht="10.5" customHeight="1">
      <c r="A14" s="298" t="s">
        <v>1299</v>
      </c>
      <c r="C14" s="242">
        <v>955.09444444444443</v>
      </c>
      <c r="D14" s="242">
        <v>56546</v>
      </c>
      <c r="E14" s="242">
        <v>20740</v>
      </c>
      <c r="F14" s="40" t="s">
        <v>603</v>
      </c>
      <c r="G14" s="242">
        <v>315050</v>
      </c>
      <c r="H14" s="242">
        <v>113765</v>
      </c>
      <c r="I14" s="242">
        <v>162407</v>
      </c>
      <c r="J14" s="40"/>
      <c r="K14" s="242">
        <v>63309</v>
      </c>
      <c r="L14" s="242">
        <v>1036947</v>
      </c>
      <c r="M14" s="40" t="s">
        <v>603</v>
      </c>
      <c r="N14" s="242">
        <v>1442</v>
      </c>
      <c r="O14" s="40" t="s">
        <v>603</v>
      </c>
      <c r="P14" s="242">
        <v>18148</v>
      </c>
      <c r="Q14" s="367" t="s">
        <v>1299</v>
      </c>
    </row>
    <row r="15" spans="1:17" s="298" customFormat="1" ht="10.5" customHeight="1">
      <c r="A15" s="517" t="s">
        <v>1505</v>
      </c>
      <c r="B15" s="517"/>
      <c r="C15" s="512">
        <v>970.12777777777774</v>
      </c>
      <c r="D15" s="512">
        <v>56949</v>
      </c>
      <c r="E15" s="512">
        <v>17774</v>
      </c>
      <c r="F15" s="508" t="s">
        <v>603</v>
      </c>
      <c r="G15" s="512">
        <v>262620</v>
      </c>
      <c r="H15" s="512">
        <v>313265</v>
      </c>
      <c r="I15" s="512">
        <v>194048</v>
      </c>
      <c r="J15" s="508"/>
      <c r="K15" s="512">
        <v>107133</v>
      </c>
      <c r="L15" s="512">
        <v>1074791</v>
      </c>
      <c r="M15" s="508" t="s">
        <v>603</v>
      </c>
      <c r="N15" s="512">
        <v>2364</v>
      </c>
      <c r="O15" s="508" t="s">
        <v>603</v>
      </c>
      <c r="P15" s="512">
        <v>20989</v>
      </c>
      <c r="Q15" s="518" t="s">
        <v>1505</v>
      </c>
    </row>
    <row r="16" spans="1:17" s="336" customFormat="1" ht="10.5" customHeight="1">
      <c r="A16" s="336" t="s">
        <v>1886</v>
      </c>
      <c r="C16" s="952">
        <v>974.33888888888885</v>
      </c>
      <c r="D16" s="952">
        <v>57386</v>
      </c>
      <c r="E16" s="952">
        <v>13098</v>
      </c>
      <c r="F16" s="244" t="s">
        <v>603</v>
      </c>
      <c r="G16" s="952">
        <v>283130</v>
      </c>
      <c r="H16" s="952">
        <v>352115</v>
      </c>
      <c r="I16" s="952">
        <v>209106</v>
      </c>
      <c r="J16" s="244"/>
      <c r="K16" s="952">
        <v>128268</v>
      </c>
      <c r="L16" s="952">
        <v>976691</v>
      </c>
      <c r="M16" s="952" t="s">
        <v>603</v>
      </c>
      <c r="N16" s="952">
        <v>2009</v>
      </c>
      <c r="O16" s="952" t="s">
        <v>603</v>
      </c>
      <c r="P16" s="952">
        <v>20813</v>
      </c>
      <c r="Q16" s="816" t="s">
        <v>1886</v>
      </c>
    </row>
    <row r="17" spans="1:17" s="298" customFormat="1" ht="10.5" customHeight="1">
      <c r="A17" s="519" t="s">
        <v>2017</v>
      </c>
      <c r="B17" s="519"/>
      <c r="C17" s="850">
        <f>SUM(C18:C29)</f>
        <v>780.2166666666667</v>
      </c>
      <c r="D17" s="850">
        <f t="shared" ref="D17:P17" si="0">SUM(D18:D29)</f>
        <v>44692</v>
      </c>
      <c r="E17" s="850">
        <f t="shared" si="0"/>
        <v>12660</v>
      </c>
      <c r="F17" s="850" t="s">
        <v>603</v>
      </c>
      <c r="G17" s="850">
        <f t="shared" si="0"/>
        <v>264850</v>
      </c>
      <c r="H17" s="850">
        <f t="shared" si="0"/>
        <v>609045</v>
      </c>
      <c r="I17" s="850">
        <f t="shared" si="0"/>
        <v>298939</v>
      </c>
      <c r="J17" s="850"/>
      <c r="K17" s="850">
        <f t="shared" si="0"/>
        <v>77450</v>
      </c>
      <c r="L17" s="850">
        <f t="shared" si="0"/>
        <v>1028157</v>
      </c>
      <c r="M17" s="850" t="s">
        <v>603</v>
      </c>
      <c r="N17" s="850">
        <f t="shared" si="0"/>
        <v>1529</v>
      </c>
      <c r="O17" s="850" t="s">
        <v>603</v>
      </c>
      <c r="P17" s="850">
        <f t="shared" si="0"/>
        <v>18935</v>
      </c>
      <c r="Q17" s="520" t="s">
        <v>2017</v>
      </c>
    </row>
    <row r="18" spans="1:17" s="298" customFormat="1" ht="10.5" customHeight="1">
      <c r="A18" s="298" t="s">
        <v>954</v>
      </c>
      <c r="C18" s="696">
        <f>12484/180</f>
        <v>69.355555555555554</v>
      </c>
      <c r="D18" s="40">
        <v>3516</v>
      </c>
      <c r="E18" s="40">
        <v>1383</v>
      </c>
      <c r="F18" s="40" t="s">
        <v>603</v>
      </c>
      <c r="G18" s="40">
        <v>20000</v>
      </c>
      <c r="H18" s="40">
        <v>49075</v>
      </c>
      <c r="I18" s="40">
        <v>20999</v>
      </c>
      <c r="J18" s="40"/>
      <c r="K18" s="40">
        <v>0</v>
      </c>
      <c r="L18" s="40">
        <f>6991+9275+6068</f>
        <v>22334</v>
      </c>
      <c r="M18" s="40" t="s">
        <v>603</v>
      </c>
      <c r="N18" s="40">
        <v>158</v>
      </c>
      <c r="O18" s="40" t="s">
        <v>603</v>
      </c>
      <c r="P18" s="40">
        <v>1750</v>
      </c>
      <c r="Q18" s="367" t="s">
        <v>954</v>
      </c>
    </row>
    <row r="19" spans="1:17" s="298" customFormat="1" ht="10.5" customHeight="1">
      <c r="A19" s="517" t="s">
        <v>955</v>
      </c>
      <c r="B19" s="517"/>
      <c r="C19" s="506">
        <f>12674/180</f>
        <v>70.411111111111111</v>
      </c>
      <c r="D19" s="508">
        <v>3326</v>
      </c>
      <c r="E19" s="508">
        <v>1319</v>
      </c>
      <c r="F19" s="508" t="s">
        <v>603</v>
      </c>
      <c r="G19" s="508">
        <v>20190</v>
      </c>
      <c r="H19" s="508">
        <v>65503</v>
      </c>
      <c r="I19" s="508">
        <v>24125</v>
      </c>
      <c r="J19" s="508"/>
      <c r="K19" s="508">
        <v>0</v>
      </c>
      <c r="L19" s="508">
        <f>41632+7406</f>
        <v>49038</v>
      </c>
      <c r="M19" s="508" t="s">
        <v>603</v>
      </c>
      <c r="N19" s="508">
        <v>112</v>
      </c>
      <c r="O19" s="508" t="s">
        <v>603</v>
      </c>
      <c r="P19" s="508">
        <v>1750</v>
      </c>
      <c r="Q19" s="518" t="s">
        <v>955</v>
      </c>
    </row>
    <row r="20" spans="1:17" s="298" customFormat="1" ht="10.5" customHeight="1">
      <c r="A20" s="298" t="s">
        <v>949</v>
      </c>
      <c r="C20" s="696">
        <f>12678/180</f>
        <v>70.433333333333337</v>
      </c>
      <c r="D20" s="40">
        <v>3569</v>
      </c>
      <c r="E20" s="40">
        <v>1030</v>
      </c>
      <c r="F20" s="40" t="s">
        <v>603</v>
      </c>
      <c r="G20" s="40">
        <v>23610</v>
      </c>
      <c r="H20" s="40">
        <v>46294</v>
      </c>
      <c r="I20" s="40">
        <v>24136</v>
      </c>
      <c r="J20" s="40"/>
      <c r="K20" s="40">
        <v>0</v>
      </c>
      <c r="L20" s="40">
        <f>80623+5465+3269</f>
        <v>89357</v>
      </c>
      <c r="M20" s="40" t="s">
        <v>603</v>
      </c>
      <c r="N20" s="40">
        <v>105</v>
      </c>
      <c r="O20" s="40" t="s">
        <v>603</v>
      </c>
      <c r="P20" s="40">
        <v>1650</v>
      </c>
      <c r="Q20" s="367" t="s">
        <v>949</v>
      </c>
    </row>
    <row r="21" spans="1:17" s="298" customFormat="1" ht="10.5" customHeight="1">
      <c r="A21" s="517" t="s">
        <v>956</v>
      </c>
      <c r="B21" s="517"/>
      <c r="C21" s="506">
        <f>12683/180</f>
        <v>70.461111111111109</v>
      </c>
      <c r="D21" s="508">
        <v>3873</v>
      </c>
      <c r="E21" s="508">
        <v>1048</v>
      </c>
      <c r="F21" s="508" t="s">
        <v>603</v>
      </c>
      <c r="G21" s="508">
        <v>22170</v>
      </c>
      <c r="H21" s="508">
        <v>42488</v>
      </c>
      <c r="I21" s="508">
        <v>24097</v>
      </c>
      <c r="J21" s="508"/>
      <c r="K21" s="508">
        <v>0</v>
      </c>
      <c r="L21" s="508">
        <f>105548+5580+5242</f>
        <v>116370</v>
      </c>
      <c r="M21" s="508" t="s">
        <v>603</v>
      </c>
      <c r="N21" s="508">
        <v>114</v>
      </c>
      <c r="O21" s="508" t="s">
        <v>603</v>
      </c>
      <c r="P21" s="508">
        <v>1550</v>
      </c>
      <c r="Q21" s="518" t="s">
        <v>956</v>
      </c>
    </row>
    <row r="22" spans="1:17" s="298" customFormat="1" ht="10.5" customHeight="1">
      <c r="A22" s="298" t="s">
        <v>957</v>
      </c>
      <c r="C22" s="696">
        <f>11701/180</f>
        <v>65.00555555555556</v>
      </c>
      <c r="D22" s="40">
        <v>3690</v>
      </c>
      <c r="E22" s="40">
        <v>811</v>
      </c>
      <c r="F22" s="40" t="s">
        <v>603</v>
      </c>
      <c r="G22" s="40">
        <v>22860</v>
      </c>
      <c r="H22" s="40">
        <v>48258</v>
      </c>
      <c r="I22" s="40">
        <v>25100</v>
      </c>
      <c r="J22" s="40"/>
      <c r="K22" s="40">
        <v>1610</v>
      </c>
      <c r="L22" s="40">
        <f>84490+8150+4028</f>
        <v>96668</v>
      </c>
      <c r="M22" s="40" t="s">
        <v>603</v>
      </c>
      <c r="N22" s="40">
        <v>102</v>
      </c>
      <c r="O22" s="40" t="s">
        <v>603</v>
      </c>
      <c r="P22" s="40">
        <v>1450</v>
      </c>
      <c r="Q22" s="367" t="s">
        <v>957</v>
      </c>
    </row>
    <row r="23" spans="1:17" s="298" customFormat="1" ht="10.5" customHeight="1">
      <c r="A23" s="517" t="s">
        <v>950</v>
      </c>
      <c r="B23" s="517"/>
      <c r="C23" s="506">
        <f>11439/180</f>
        <v>63.55</v>
      </c>
      <c r="D23" s="508">
        <v>3820</v>
      </c>
      <c r="E23" s="508">
        <v>1446</v>
      </c>
      <c r="F23" s="508" t="s">
        <v>603</v>
      </c>
      <c r="G23" s="508">
        <v>20140</v>
      </c>
      <c r="H23" s="508">
        <v>42909</v>
      </c>
      <c r="I23" s="508">
        <v>26239</v>
      </c>
      <c r="J23" s="508"/>
      <c r="K23" s="508">
        <v>21244</v>
      </c>
      <c r="L23" s="508">
        <f>92046+11090+5908</f>
        <v>109044</v>
      </c>
      <c r="M23" s="508" t="s">
        <v>603</v>
      </c>
      <c r="N23" s="508">
        <v>116</v>
      </c>
      <c r="O23" s="508" t="s">
        <v>1001</v>
      </c>
      <c r="P23" s="508">
        <v>1400</v>
      </c>
      <c r="Q23" s="518" t="s">
        <v>950</v>
      </c>
    </row>
    <row r="24" spans="1:17" s="298" customFormat="1" ht="10.5" customHeight="1">
      <c r="A24" s="797" t="s">
        <v>958</v>
      </c>
      <c r="B24" s="797"/>
      <c r="C24" s="1125">
        <v>65</v>
      </c>
      <c r="D24" s="987">
        <v>3828</v>
      </c>
      <c r="E24" s="987">
        <v>914</v>
      </c>
      <c r="F24" s="987" t="s">
        <v>603</v>
      </c>
      <c r="G24" s="987">
        <v>27220</v>
      </c>
      <c r="H24" s="987">
        <v>42259</v>
      </c>
      <c r="I24" s="987">
        <v>28112</v>
      </c>
      <c r="J24" s="987"/>
      <c r="K24" s="987">
        <v>32899</v>
      </c>
      <c r="L24" s="987">
        <f>125104+9820+4506</f>
        <v>139430</v>
      </c>
      <c r="M24" s="987" t="s">
        <v>603</v>
      </c>
      <c r="N24" s="987">
        <v>163</v>
      </c>
      <c r="O24" s="987" t="s">
        <v>603</v>
      </c>
      <c r="P24" s="987">
        <v>1529</v>
      </c>
      <c r="Q24" s="563" t="s">
        <v>958</v>
      </c>
    </row>
    <row r="25" spans="1:17" s="298" customFormat="1" ht="10.5" customHeight="1">
      <c r="A25" s="517" t="s">
        <v>959</v>
      </c>
      <c r="B25" s="517"/>
      <c r="C25" s="506">
        <v>60</v>
      </c>
      <c r="D25" s="504">
        <v>3844</v>
      </c>
      <c r="E25" s="504">
        <v>844</v>
      </c>
      <c r="F25" s="504" t="s">
        <v>603</v>
      </c>
      <c r="G25" s="504">
        <v>21320</v>
      </c>
      <c r="H25" s="504">
        <v>43033</v>
      </c>
      <c r="I25" s="504">
        <v>27025</v>
      </c>
      <c r="J25" s="504"/>
      <c r="K25" s="504">
        <v>16737</v>
      </c>
      <c r="L25" s="504">
        <f>96677+9220+6863</f>
        <v>112760</v>
      </c>
      <c r="M25" s="504" t="s">
        <v>603</v>
      </c>
      <c r="N25" s="504">
        <v>141</v>
      </c>
      <c r="O25" s="504" t="s">
        <v>603</v>
      </c>
      <c r="P25" s="504">
        <v>1566</v>
      </c>
      <c r="Q25" s="518" t="s">
        <v>959</v>
      </c>
    </row>
    <row r="26" spans="1:17" s="298" customFormat="1" ht="10.5" customHeight="1">
      <c r="A26" s="298" t="s">
        <v>951</v>
      </c>
      <c r="C26" s="696">
        <v>62</v>
      </c>
      <c r="D26" s="459">
        <v>3668</v>
      </c>
      <c r="E26" s="459">
        <v>1214</v>
      </c>
      <c r="F26" s="459" t="s">
        <v>603</v>
      </c>
      <c r="G26" s="459">
        <v>20260</v>
      </c>
      <c r="H26" s="459">
        <v>45512</v>
      </c>
      <c r="I26" s="459">
        <v>25146</v>
      </c>
      <c r="J26" s="459"/>
      <c r="K26" s="459">
        <v>4241</v>
      </c>
      <c r="L26" s="459">
        <f>98948+4825+7322</f>
        <v>111095</v>
      </c>
      <c r="M26" s="459" t="s">
        <v>603</v>
      </c>
      <c r="N26" s="459">
        <v>163</v>
      </c>
      <c r="O26" s="459" t="s">
        <v>603</v>
      </c>
      <c r="P26" s="459">
        <v>1575</v>
      </c>
      <c r="Q26" s="367" t="s">
        <v>951</v>
      </c>
    </row>
    <row r="27" spans="1:17" s="298" customFormat="1" ht="10.5" customHeight="1">
      <c r="A27" s="517" t="s">
        <v>960</v>
      </c>
      <c r="B27" s="517"/>
      <c r="C27" s="506">
        <v>62</v>
      </c>
      <c r="D27" s="504">
        <v>3693</v>
      </c>
      <c r="E27" s="504">
        <v>785</v>
      </c>
      <c r="F27" s="504" t="s">
        <v>603</v>
      </c>
      <c r="G27" s="504">
        <v>23520</v>
      </c>
      <c r="H27" s="504">
        <v>47710</v>
      </c>
      <c r="I27" s="504">
        <v>26032</v>
      </c>
      <c r="J27" s="504"/>
      <c r="K27" s="504">
        <v>719</v>
      </c>
      <c r="L27" s="504">
        <f>48383+2850+13276</f>
        <v>64509</v>
      </c>
      <c r="M27" s="504" t="s">
        <v>603</v>
      </c>
      <c r="N27" s="504">
        <v>97</v>
      </c>
      <c r="O27" s="504" t="s">
        <v>603</v>
      </c>
      <c r="P27" s="504">
        <v>1595</v>
      </c>
      <c r="Q27" s="518" t="s">
        <v>960</v>
      </c>
    </row>
    <row r="28" spans="1:17" s="298" customFormat="1" ht="10.5" customHeight="1">
      <c r="A28" s="298" t="s">
        <v>961</v>
      </c>
      <c r="C28" s="696">
        <v>61</v>
      </c>
      <c r="D28" s="459">
        <v>3849</v>
      </c>
      <c r="E28" s="459">
        <v>1044</v>
      </c>
      <c r="F28" s="459" t="s">
        <v>603</v>
      </c>
      <c r="G28" s="459">
        <v>30750</v>
      </c>
      <c r="H28" s="459">
        <v>59133</v>
      </c>
      <c r="I28" s="459">
        <v>26495</v>
      </c>
      <c r="J28" s="459"/>
      <c r="K28" s="459">
        <v>0</v>
      </c>
      <c r="L28" s="459">
        <f>58654+6180+5717</f>
        <v>70551</v>
      </c>
      <c r="M28" s="459" t="s">
        <v>603</v>
      </c>
      <c r="N28" s="459">
        <v>135</v>
      </c>
      <c r="O28" s="459" t="s">
        <v>603</v>
      </c>
      <c r="P28" s="459">
        <v>1565</v>
      </c>
      <c r="Q28" s="367" t="s">
        <v>961</v>
      </c>
    </row>
    <row r="29" spans="1:17" s="298" customFormat="1" ht="10.5" customHeight="1">
      <c r="A29" s="517" t="s">
        <v>952</v>
      </c>
      <c r="B29" s="517"/>
      <c r="C29" s="506">
        <v>61</v>
      </c>
      <c r="D29" s="504">
        <v>4016</v>
      </c>
      <c r="E29" s="504">
        <v>822</v>
      </c>
      <c r="F29" s="504" t="s">
        <v>603</v>
      </c>
      <c r="G29" s="504">
        <v>12810</v>
      </c>
      <c r="H29" s="504">
        <v>76871</v>
      </c>
      <c r="I29" s="504">
        <v>21433</v>
      </c>
      <c r="J29" s="504"/>
      <c r="K29" s="504">
        <v>0</v>
      </c>
      <c r="L29" s="504">
        <f>38724+7675+602</f>
        <v>47001</v>
      </c>
      <c r="M29" s="504" t="s">
        <v>603</v>
      </c>
      <c r="N29" s="504">
        <v>123</v>
      </c>
      <c r="O29" s="504" t="s">
        <v>603</v>
      </c>
      <c r="P29" s="504">
        <v>1555</v>
      </c>
      <c r="Q29" s="518" t="s">
        <v>952</v>
      </c>
    </row>
    <row r="30" spans="1:17" s="298" customFormat="1" ht="10.5" customHeight="1">
      <c r="A30" s="336" t="s">
        <v>2226</v>
      </c>
      <c r="C30" s="623">
        <f>SUM(C31:C42)</f>
        <v>892</v>
      </c>
      <c r="D30" s="623">
        <f>SUM(D31:D42)</f>
        <v>47444</v>
      </c>
      <c r="E30" s="623">
        <f>SUM(E31:E42)</f>
        <v>10577</v>
      </c>
      <c r="F30" s="861" t="s">
        <v>603</v>
      </c>
      <c r="G30" s="623">
        <f>SUM(G31:G42)</f>
        <v>224210</v>
      </c>
      <c r="H30" s="623">
        <f>SUM(H31:H42)</f>
        <v>728260</v>
      </c>
      <c r="I30" s="623">
        <f>SUM(I31:I42)</f>
        <v>278952</v>
      </c>
      <c r="J30" s="861"/>
      <c r="K30" s="623">
        <f>SUM(K31:K42)</f>
        <v>58219.3</v>
      </c>
      <c r="L30" s="623">
        <f>SUM(L31:L42)</f>
        <v>1010446</v>
      </c>
      <c r="M30" s="861" t="s">
        <v>603</v>
      </c>
      <c r="N30" s="623">
        <f>SUM(N31:N42)</f>
        <v>1363</v>
      </c>
      <c r="O30" s="861" t="s">
        <v>603</v>
      </c>
      <c r="P30" s="623">
        <f>SUM(P31:P42)</f>
        <v>19506</v>
      </c>
      <c r="Q30" s="816" t="s">
        <v>2226</v>
      </c>
    </row>
    <row r="31" spans="1:17" s="298" customFormat="1" ht="10.7" customHeight="1">
      <c r="A31" s="517" t="s">
        <v>954</v>
      </c>
      <c r="B31" s="517"/>
      <c r="C31" s="506">
        <v>58</v>
      </c>
      <c r="D31" s="504">
        <v>3780</v>
      </c>
      <c r="E31" s="504">
        <v>1060</v>
      </c>
      <c r="F31" s="504" t="s">
        <v>603</v>
      </c>
      <c r="G31" s="504">
        <v>8300</v>
      </c>
      <c r="H31" s="504">
        <v>64371</v>
      </c>
      <c r="I31" s="504">
        <v>20610</v>
      </c>
      <c r="J31" s="504"/>
      <c r="K31" s="504">
        <v>0</v>
      </c>
      <c r="L31" s="504">
        <f>36847+6900+1486</f>
        <v>45233</v>
      </c>
      <c r="M31" s="504" t="s">
        <v>603</v>
      </c>
      <c r="N31" s="504">
        <v>114</v>
      </c>
      <c r="O31" s="504" t="s">
        <v>603</v>
      </c>
      <c r="P31" s="504">
        <v>1455</v>
      </c>
      <c r="Q31" s="518" t="s">
        <v>954</v>
      </c>
    </row>
    <row r="32" spans="1:17" s="298" customFormat="1" ht="10.7" customHeight="1">
      <c r="A32" s="298" t="s">
        <v>955</v>
      </c>
      <c r="C32" s="696">
        <v>68</v>
      </c>
      <c r="D32" s="459">
        <v>3993</v>
      </c>
      <c r="E32" s="459">
        <v>929</v>
      </c>
      <c r="F32" s="459" t="s">
        <v>603</v>
      </c>
      <c r="G32" s="459">
        <v>17740</v>
      </c>
      <c r="H32" s="459">
        <v>60786</v>
      </c>
      <c r="I32" s="459">
        <v>25839</v>
      </c>
      <c r="J32" s="459"/>
      <c r="K32" s="459">
        <v>0</v>
      </c>
      <c r="L32" s="459">
        <f>45534+10795+9577</f>
        <v>65906</v>
      </c>
      <c r="M32" s="459" t="s">
        <v>603</v>
      </c>
      <c r="N32" s="459">
        <v>149</v>
      </c>
      <c r="O32" s="459" t="s">
        <v>603</v>
      </c>
      <c r="P32" s="459">
        <v>1495</v>
      </c>
      <c r="Q32" s="367" t="s">
        <v>955</v>
      </c>
    </row>
    <row r="33" spans="1:17" s="298" customFormat="1" ht="10.7" customHeight="1">
      <c r="A33" s="517" t="s">
        <v>949</v>
      </c>
      <c r="B33" s="517"/>
      <c r="C33" s="506">
        <v>70</v>
      </c>
      <c r="D33" s="504">
        <v>3856</v>
      </c>
      <c r="E33" s="504">
        <v>955</v>
      </c>
      <c r="F33" s="504" t="s">
        <v>603</v>
      </c>
      <c r="G33" s="504">
        <v>19510</v>
      </c>
      <c r="H33" s="504">
        <v>71803</v>
      </c>
      <c r="I33" s="504">
        <v>21211</v>
      </c>
      <c r="J33" s="504"/>
      <c r="K33" s="504">
        <v>0</v>
      </c>
      <c r="L33" s="504">
        <f>48195+8612+10025</f>
        <v>66832</v>
      </c>
      <c r="M33" s="504" t="s">
        <v>603</v>
      </c>
      <c r="N33" s="504">
        <v>147</v>
      </c>
      <c r="O33" s="504" t="s">
        <v>603</v>
      </c>
      <c r="P33" s="504">
        <v>1555</v>
      </c>
      <c r="Q33" s="518" t="s">
        <v>949</v>
      </c>
    </row>
    <row r="34" spans="1:17" s="298" customFormat="1" ht="10.7" customHeight="1">
      <c r="A34" s="298" t="s">
        <v>956</v>
      </c>
      <c r="C34" s="696">
        <v>77</v>
      </c>
      <c r="D34" s="459">
        <v>3964</v>
      </c>
      <c r="E34" s="459">
        <v>852</v>
      </c>
      <c r="F34" s="459" t="s">
        <v>603</v>
      </c>
      <c r="G34" s="459">
        <v>23120</v>
      </c>
      <c r="H34" s="459">
        <v>66045</v>
      </c>
      <c r="I34" s="459">
        <v>26059</v>
      </c>
      <c r="J34" s="459"/>
      <c r="K34" s="459">
        <v>0</v>
      </c>
      <c r="L34" s="459">
        <f>74503+8699+8387</f>
        <v>91589</v>
      </c>
      <c r="M34" s="459"/>
      <c r="N34" s="459">
        <v>133</v>
      </c>
      <c r="O34" s="459" t="s">
        <v>603</v>
      </c>
      <c r="P34" s="459">
        <v>1591</v>
      </c>
      <c r="Q34" s="367" t="s">
        <v>956</v>
      </c>
    </row>
    <row r="35" spans="1:17" s="298" customFormat="1" ht="10.7" customHeight="1">
      <c r="A35" s="517" t="s">
        <v>957</v>
      </c>
      <c r="B35" s="517"/>
      <c r="C35" s="504">
        <v>80</v>
      </c>
      <c r="D35" s="504">
        <v>3869</v>
      </c>
      <c r="E35" s="504">
        <v>924</v>
      </c>
      <c r="F35" s="504" t="s">
        <v>603</v>
      </c>
      <c r="G35" s="504">
        <v>15730</v>
      </c>
      <c r="H35" s="504">
        <v>50051</v>
      </c>
      <c r="I35" s="504">
        <v>24656</v>
      </c>
      <c r="J35" s="504"/>
      <c r="K35" s="504">
        <v>7211</v>
      </c>
      <c r="L35" s="504">
        <f>80888+8570+1651</f>
        <v>91109</v>
      </c>
      <c r="M35" s="504" t="s">
        <v>603</v>
      </c>
      <c r="N35" s="504">
        <v>144</v>
      </c>
      <c r="O35" s="504" t="s">
        <v>603</v>
      </c>
      <c r="P35" s="504">
        <v>1519</v>
      </c>
      <c r="Q35" s="518" t="s">
        <v>957</v>
      </c>
    </row>
    <row r="36" spans="1:17" s="298" customFormat="1" ht="10.7" customHeight="1">
      <c r="A36" s="298" t="s">
        <v>950</v>
      </c>
      <c r="C36" s="40">
        <v>80</v>
      </c>
      <c r="D36" s="40">
        <v>4048</v>
      </c>
      <c r="E36" s="40">
        <v>1000</v>
      </c>
      <c r="F36" s="459" t="s">
        <v>603</v>
      </c>
      <c r="G36" s="40">
        <v>18180</v>
      </c>
      <c r="H36" s="40">
        <v>60347</v>
      </c>
      <c r="I36" s="40">
        <v>25567</v>
      </c>
      <c r="K36" s="242">
        <v>19719.75</v>
      </c>
      <c r="L36" s="40">
        <f>111919+8973+7193</f>
        <v>128085</v>
      </c>
      <c r="M36" s="40" t="s">
        <v>603</v>
      </c>
      <c r="N36" s="40">
        <v>143</v>
      </c>
      <c r="O36" s="40" t="s">
        <v>603</v>
      </c>
      <c r="P36" s="40">
        <v>1580</v>
      </c>
      <c r="Q36" s="367" t="s">
        <v>950</v>
      </c>
    </row>
    <row r="37" spans="1:17" s="298" customFormat="1" ht="10.7" customHeight="1">
      <c r="A37" s="517" t="s">
        <v>958</v>
      </c>
      <c r="B37" s="517"/>
      <c r="C37" s="504">
        <v>79</v>
      </c>
      <c r="D37" s="504">
        <v>3945</v>
      </c>
      <c r="E37" s="504">
        <v>872</v>
      </c>
      <c r="F37" s="504" t="s">
        <v>603</v>
      </c>
      <c r="G37" s="504">
        <v>16300</v>
      </c>
      <c r="H37" s="504">
        <v>52278</v>
      </c>
      <c r="I37" s="504">
        <v>25905</v>
      </c>
      <c r="J37" s="504"/>
      <c r="K37" s="506">
        <v>25732.3</v>
      </c>
      <c r="L37" s="504">
        <f>103023+4923+16899</f>
        <v>124845</v>
      </c>
      <c r="M37" s="504" t="s">
        <v>603</v>
      </c>
      <c r="N37" s="504">
        <v>103</v>
      </c>
      <c r="O37" s="504" t="s">
        <v>603</v>
      </c>
      <c r="P37" s="504">
        <v>1615</v>
      </c>
      <c r="Q37" s="518" t="s">
        <v>958</v>
      </c>
    </row>
    <row r="38" spans="1:17" s="298" customFormat="1" ht="10.7" customHeight="1">
      <c r="A38" s="298" t="s">
        <v>959</v>
      </c>
      <c r="C38" s="459">
        <v>80</v>
      </c>
      <c r="D38" s="459">
        <v>4061</v>
      </c>
      <c r="E38" s="40">
        <v>712</v>
      </c>
      <c r="F38" s="459" t="s">
        <v>603</v>
      </c>
      <c r="G38" s="459">
        <v>20300</v>
      </c>
      <c r="H38" s="459">
        <v>59971</v>
      </c>
      <c r="I38" s="459">
        <v>23798</v>
      </c>
      <c r="J38" s="459"/>
      <c r="K38" s="696">
        <v>5188.3999999999996</v>
      </c>
      <c r="L38" s="40">
        <f>92533+888+14915</f>
        <v>108336</v>
      </c>
      <c r="M38" s="40" t="s">
        <v>603</v>
      </c>
      <c r="N38" s="40">
        <v>81</v>
      </c>
      <c r="O38" s="459" t="s">
        <v>603</v>
      </c>
      <c r="P38" s="459">
        <v>1653</v>
      </c>
      <c r="Q38" s="367" t="s">
        <v>959</v>
      </c>
    </row>
    <row r="39" spans="1:17" s="298" customFormat="1" ht="10.7" customHeight="1">
      <c r="A39" s="517" t="s">
        <v>951</v>
      </c>
      <c r="B39" s="517"/>
      <c r="C39" s="504">
        <v>79</v>
      </c>
      <c r="D39" s="504">
        <v>4022</v>
      </c>
      <c r="E39" s="508">
        <v>800</v>
      </c>
      <c r="F39" s="504" t="s">
        <v>603</v>
      </c>
      <c r="G39" s="504">
        <v>20370</v>
      </c>
      <c r="H39" s="504">
        <v>64297</v>
      </c>
      <c r="I39" s="504">
        <v>24057</v>
      </c>
      <c r="J39" s="504"/>
      <c r="K39" s="506">
        <v>367.85</v>
      </c>
      <c r="L39" s="508">
        <f>100788+918+10299</f>
        <v>112005</v>
      </c>
      <c r="M39" s="1264" t="s">
        <v>603</v>
      </c>
      <c r="N39" s="508">
        <v>96</v>
      </c>
      <c r="O39" s="504" t="s">
        <v>603</v>
      </c>
      <c r="P39" s="504">
        <v>1710</v>
      </c>
      <c r="Q39" s="518" t="s">
        <v>951</v>
      </c>
    </row>
    <row r="40" spans="1:17" s="298" customFormat="1" ht="10.7" customHeight="1">
      <c r="A40" s="298" t="s">
        <v>960</v>
      </c>
      <c r="C40" s="459">
        <v>78</v>
      </c>
      <c r="D40" s="459">
        <v>3977</v>
      </c>
      <c r="E40" s="40">
        <v>640</v>
      </c>
      <c r="F40" s="459" t="s">
        <v>603</v>
      </c>
      <c r="G40" s="459">
        <v>23550</v>
      </c>
      <c r="H40" s="459">
        <v>54584</v>
      </c>
      <c r="I40" s="459">
        <v>23259</v>
      </c>
      <c r="J40" s="459"/>
      <c r="K40" s="459">
        <v>0</v>
      </c>
      <c r="L40" s="40">
        <f>41792+5595+5479</f>
        <v>52866</v>
      </c>
      <c r="M40" s="459" t="s">
        <v>603</v>
      </c>
      <c r="N40" s="40">
        <v>100</v>
      </c>
      <c r="O40" s="459" t="s">
        <v>603</v>
      </c>
      <c r="P40" s="459">
        <v>1748</v>
      </c>
      <c r="Q40" s="367" t="s">
        <v>960</v>
      </c>
    </row>
    <row r="41" spans="1:17" s="298" customFormat="1" ht="10.7" customHeight="1">
      <c r="A41" s="517" t="s">
        <v>961</v>
      </c>
      <c r="B41" s="517"/>
      <c r="C41" s="504">
        <v>72</v>
      </c>
      <c r="D41" s="504">
        <v>3947</v>
      </c>
      <c r="E41" s="508">
        <v>889</v>
      </c>
      <c r="F41" s="504"/>
      <c r="G41" s="504">
        <v>26630</v>
      </c>
      <c r="H41" s="504">
        <v>64400</v>
      </c>
      <c r="I41" s="504">
        <v>19031</v>
      </c>
      <c r="J41" s="504"/>
      <c r="K41" s="504">
        <v>0</v>
      </c>
      <c r="L41" s="508">
        <f>43124+14260+7108</f>
        <v>64492</v>
      </c>
      <c r="M41" s="504" t="s">
        <v>603</v>
      </c>
      <c r="N41" s="508">
        <v>84</v>
      </c>
      <c r="O41" s="504" t="s">
        <v>603</v>
      </c>
      <c r="P41" s="504">
        <v>1780</v>
      </c>
      <c r="Q41" s="518" t="s">
        <v>961</v>
      </c>
    </row>
    <row r="42" spans="1:17" s="298" customFormat="1" ht="10.7" customHeight="1">
      <c r="A42" s="298" t="s">
        <v>952</v>
      </c>
      <c r="C42" s="459">
        <v>71</v>
      </c>
      <c r="D42" s="459">
        <v>3982</v>
      </c>
      <c r="E42" s="40">
        <v>944</v>
      </c>
      <c r="F42" s="459" t="s">
        <v>603</v>
      </c>
      <c r="G42" s="459">
        <v>14480</v>
      </c>
      <c r="H42" s="459">
        <v>59327</v>
      </c>
      <c r="I42" s="459">
        <v>18960</v>
      </c>
      <c r="J42" s="459"/>
      <c r="K42" s="459">
        <v>0</v>
      </c>
      <c r="L42" s="40">
        <f>34454+14536+10158</f>
        <v>59148</v>
      </c>
      <c r="M42" s="459" t="s">
        <v>603</v>
      </c>
      <c r="N42" s="40">
        <v>69</v>
      </c>
      <c r="O42" s="459" t="s">
        <v>603</v>
      </c>
      <c r="P42" s="459">
        <v>1805</v>
      </c>
      <c r="Q42" s="367" t="s">
        <v>952</v>
      </c>
    </row>
    <row r="43" spans="1:17" s="298" customFormat="1" ht="10.7" customHeight="1">
      <c r="A43" s="519" t="s">
        <v>2384</v>
      </c>
      <c r="B43" s="517"/>
      <c r="C43" s="504"/>
      <c r="D43" s="504"/>
      <c r="E43" s="508"/>
      <c r="F43" s="504"/>
      <c r="G43" s="504"/>
      <c r="H43" s="504"/>
      <c r="I43" s="504"/>
      <c r="J43" s="504"/>
      <c r="K43" s="504"/>
      <c r="L43" s="508"/>
      <c r="M43" s="504"/>
      <c r="N43" s="508"/>
      <c r="O43" s="504"/>
      <c r="P43" s="504"/>
      <c r="Q43" s="520" t="s">
        <v>2384</v>
      </c>
    </row>
    <row r="44" spans="1:17" s="298" customFormat="1" ht="10.7" customHeight="1">
      <c r="A44" s="298" t="s">
        <v>954</v>
      </c>
      <c r="C44" s="459">
        <v>67</v>
      </c>
      <c r="D44" s="459">
        <v>3776</v>
      </c>
      <c r="E44" s="40">
        <v>1415</v>
      </c>
      <c r="F44" s="459" t="s">
        <v>603</v>
      </c>
      <c r="G44" s="459">
        <v>8570</v>
      </c>
      <c r="H44" s="459">
        <v>47409</v>
      </c>
      <c r="I44" s="459">
        <v>20864</v>
      </c>
      <c r="J44" s="459"/>
      <c r="K44" s="459">
        <v>0</v>
      </c>
      <c r="L44" s="40">
        <f>47567+11010+8764</f>
        <v>67341</v>
      </c>
      <c r="M44" s="459" t="s">
        <v>603</v>
      </c>
      <c r="N44" s="40">
        <v>140</v>
      </c>
      <c r="O44" s="459" t="s">
        <v>603</v>
      </c>
      <c r="P44" s="459">
        <v>1815</v>
      </c>
      <c r="Q44" s="367" t="s">
        <v>954</v>
      </c>
    </row>
    <row r="45" spans="1:17" s="298" customFormat="1" ht="10.7" customHeight="1">
      <c r="A45" s="517" t="s">
        <v>955</v>
      </c>
      <c r="B45" s="517"/>
      <c r="C45" s="504">
        <v>70</v>
      </c>
      <c r="D45" s="504">
        <v>4468</v>
      </c>
      <c r="E45" s="508">
        <v>1241</v>
      </c>
      <c r="F45" s="504" t="s">
        <v>603</v>
      </c>
      <c r="G45" s="504">
        <v>11280</v>
      </c>
      <c r="H45" s="504">
        <v>65357</v>
      </c>
      <c r="I45" s="504">
        <v>27750</v>
      </c>
      <c r="J45" s="504"/>
      <c r="K45" s="504">
        <v>0</v>
      </c>
      <c r="L45" s="508">
        <f>37967+10554+13601</f>
        <v>62122</v>
      </c>
      <c r="M45" s="508" t="s">
        <v>603</v>
      </c>
      <c r="N45" s="508">
        <v>140</v>
      </c>
      <c r="O45" s="504" t="s">
        <v>603</v>
      </c>
      <c r="P45" s="504">
        <v>1825</v>
      </c>
      <c r="Q45" s="518" t="s">
        <v>955</v>
      </c>
    </row>
    <row r="46" spans="1:17" s="298" customFormat="1" ht="10.7" customHeight="1">
      <c r="A46" s="298" t="s">
        <v>949</v>
      </c>
      <c r="C46" s="459">
        <v>68</v>
      </c>
      <c r="D46" s="459">
        <v>3898</v>
      </c>
      <c r="E46" s="40">
        <v>639</v>
      </c>
      <c r="F46" s="459" t="s">
        <v>603</v>
      </c>
      <c r="G46" s="459">
        <v>13880</v>
      </c>
      <c r="H46" s="459">
        <v>49362</v>
      </c>
      <c r="I46" s="459">
        <v>25233</v>
      </c>
      <c r="J46" s="459"/>
      <c r="K46" s="459">
        <v>0</v>
      </c>
      <c r="L46" s="40">
        <f>53472+9600</f>
        <v>63072</v>
      </c>
      <c r="M46" s="40" t="s">
        <v>603</v>
      </c>
      <c r="N46" s="40">
        <v>137</v>
      </c>
      <c r="O46" s="459" t="s">
        <v>603</v>
      </c>
      <c r="P46" s="459">
        <v>1835</v>
      </c>
      <c r="Q46" s="367" t="s">
        <v>949</v>
      </c>
    </row>
    <row r="47" spans="1:17" s="298" customFormat="1" ht="10.7" customHeight="1">
      <c r="A47" s="517" t="s">
        <v>956</v>
      </c>
      <c r="B47" s="517"/>
      <c r="C47" s="504">
        <v>86</v>
      </c>
      <c r="D47" s="504">
        <v>3967</v>
      </c>
      <c r="E47" s="508">
        <v>451</v>
      </c>
      <c r="F47" s="504" t="s">
        <v>603</v>
      </c>
      <c r="G47" s="504">
        <v>16210</v>
      </c>
      <c r="H47" s="504">
        <v>56249</v>
      </c>
      <c r="I47" s="504">
        <v>28282</v>
      </c>
      <c r="J47" s="504"/>
      <c r="K47" s="504">
        <v>85</v>
      </c>
      <c r="L47" s="508">
        <f>51682+10728</f>
        <v>62410</v>
      </c>
      <c r="M47" s="508" t="s">
        <v>603</v>
      </c>
      <c r="N47" s="508">
        <v>147</v>
      </c>
      <c r="O47" s="504" t="s">
        <v>603</v>
      </c>
      <c r="P47" s="504">
        <v>1835</v>
      </c>
      <c r="Q47" s="518" t="s">
        <v>956</v>
      </c>
    </row>
    <row r="48" spans="1:17" s="298" customFormat="1" ht="10.7" customHeight="1">
      <c r="A48" s="298" t="s">
        <v>957</v>
      </c>
      <c r="C48" s="459">
        <v>86</v>
      </c>
      <c r="D48" s="459">
        <v>3846</v>
      </c>
      <c r="E48" s="40">
        <v>500</v>
      </c>
      <c r="F48" s="459" t="s">
        <v>603</v>
      </c>
      <c r="G48" s="459">
        <v>18000</v>
      </c>
      <c r="H48" s="459">
        <v>45503</v>
      </c>
      <c r="I48" s="459">
        <v>26603</v>
      </c>
      <c r="J48" s="459"/>
      <c r="K48" s="459">
        <v>5495</v>
      </c>
      <c r="L48" s="40">
        <f>93945+10034</f>
        <v>103979</v>
      </c>
      <c r="M48" s="40" t="s">
        <v>603</v>
      </c>
      <c r="N48" s="40">
        <v>121</v>
      </c>
      <c r="O48" s="459" t="s">
        <v>603</v>
      </c>
      <c r="P48" s="459">
        <v>1848</v>
      </c>
      <c r="Q48" s="367" t="s">
        <v>957</v>
      </c>
    </row>
    <row r="49" spans="1:17" s="298" customFormat="1" ht="10.7" customHeight="1">
      <c r="A49" s="517" t="s">
        <v>950</v>
      </c>
      <c r="B49" s="517"/>
      <c r="C49" s="504">
        <v>89</v>
      </c>
      <c r="D49" s="504">
        <v>4074</v>
      </c>
      <c r="E49" s="508">
        <v>197</v>
      </c>
      <c r="F49" s="504" t="s">
        <v>603</v>
      </c>
      <c r="G49" s="504">
        <v>13980</v>
      </c>
      <c r="H49" s="504">
        <v>40974</v>
      </c>
      <c r="I49" s="504">
        <v>25356</v>
      </c>
      <c r="J49" s="504"/>
      <c r="K49" s="506">
        <v>22288.15</v>
      </c>
      <c r="L49" s="508">
        <f>105572+10472</f>
        <v>116044</v>
      </c>
      <c r="M49" s="508" t="s">
        <v>603</v>
      </c>
      <c r="N49" s="508">
        <v>86</v>
      </c>
      <c r="O49" s="504" t="s">
        <v>603</v>
      </c>
      <c r="P49" s="504">
        <v>1873</v>
      </c>
      <c r="Q49" s="518" t="s">
        <v>950</v>
      </c>
    </row>
    <row r="50" spans="1:17" s="298" customFormat="1" ht="10.7" customHeight="1">
      <c r="A50" s="298" t="s">
        <v>958</v>
      </c>
      <c r="C50" s="459">
        <v>69</v>
      </c>
      <c r="D50" s="459">
        <v>3864</v>
      </c>
      <c r="E50" s="40">
        <v>529</v>
      </c>
      <c r="F50" s="459" t="s">
        <v>603</v>
      </c>
      <c r="G50" s="459">
        <v>15670</v>
      </c>
      <c r="H50" s="459">
        <v>53195</v>
      </c>
      <c r="I50" s="459">
        <v>33496</v>
      </c>
      <c r="J50" s="459"/>
      <c r="K50" s="696">
        <v>24398.15</v>
      </c>
      <c r="L50" s="40">
        <f>80519+11405</f>
        <v>91924</v>
      </c>
      <c r="M50" s="40" t="s">
        <v>603</v>
      </c>
      <c r="N50" s="40">
        <v>84</v>
      </c>
      <c r="O50" s="459" t="s">
        <v>603</v>
      </c>
      <c r="P50" s="459">
        <v>1920</v>
      </c>
      <c r="Q50" s="367" t="s">
        <v>958</v>
      </c>
    </row>
    <row r="51" spans="1:17" s="298" customFormat="1" ht="10.7" customHeight="1">
      <c r="A51" s="517" t="s">
        <v>959</v>
      </c>
      <c r="B51" s="517"/>
      <c r="C51" s="504">
        <v>67</v>
      </c>
      <c r="D51" s="504">
        <v>3935</v>
      </c>
      <c r="E51" s="508">
        <v>257</v>
      </c>
      <c r="F51" s="504" t="s">
        <v>603</v>
      </c>
      <c r="G51" s="504">
        <v>15160</v>
      </c>
      <c r="H51" s="504">
        <v>51701</v>
      </c>
      <c r="I51" s="504">
        <v>27132</v>
      </c>
      <c r="J51" s="504"/>
      <c r="K51" s="506">
        <v>7718.25</v>
      </c>
      <c r="L51" s="508">
        <f>115679+2702+1602</f>
        <v>119983</v>
      </c>
      <c r="M51" s="508" t="s">
        <v>603</v>
      </c>
      <c r="N51" s="508">
        <v>71</v>
      </c>
      <c r="O51" s="504" t="s">
        <v>603</v>
      </c>
      <c r="P51" s="504">
        <v>1945</v>
      </c>
      <c r="Q51" s="518" t="s">
        <v>959</v>
      </c>
    </row>
    <row r="52" spans="1:17" s="298" customFormat="1" ht="10.7" customHeight="1">
      <c r="A52" s="298" t="s">
        <v>951</v>
      </c>
      <c r="C52" s="459">
        <v>71</v>
      </c>
      <c r="D52" s="459">
        <v>3752</v>
      </c>
      <c r="E52" s="40">
        <v>348</v>
      </c>
      <c r="F52" s="459" t="s">
        <v>603</v>
      </c>
      <c r="G52" s="459">
        <v>16900</v>
      </c>
      <c r="H52" s="459">
        <v>68297</v>
      </c>
      <c r="I52" s="459">
        <v>38345</v>
      </c>
      <c r="J52" s="459"/>
      <c r="K52" s="696">
        <v>0</v>
      </c>
      <c r="L52" s="40">
        <f>122710+3908+8699</f>
        <v>135317</v>
      </c>
      <c r="M52" s="40" t="s">
        <v>603</v>
      </c>
      <c r="N52" s="40">
        <v>127</v>
      </c>
      <c r="O52" s="459" t="s">
        <v>603</v>
      </c>
      <c r="P52" s="459">
        <v>1950</v>
      </c>
      <c r="Q52" s="367" t="s">
        <v>951</v>
      </c>
    </row>
    <row r="53" spans="1:17" s="298" customFormat="1" ht="10.7" customHeight="1">
      <c r="A53" s="517" t="s">
        <v>960</v>
      </c>
      <c r="B53" s="517"/>
      <c r="C53" s="504" t="s">
        <v>603</v>
      </c>
      <c r="D53" s="504" t="s">
        <v>603</v>
      </c>
      <c r="E53" s="508">
        <v>439</v>
      </c>
      <c r="F53" s="504" t="s">
        <v>603</v>
      </c>
      <c r="G53" s="504" t="s">
        <v>603</v>
      </c>
      <c r="H53" s="504" t="s">
        <v>603</v>
      </c>
      <c r="I53" s="504" t="s">
        <v>603</v>
      </c>
      <c r="J53" s="504"/>
      <c r="K53" s="506">
        <v>0</v>
      </c>
      <c r="L53" s="508">
        <f>88019.55+9157.05+9398</f>
        <v>106574.6</v>
      </c>
      <c r="M53" s="508" t="s">
        <v>603</v>
      </c>
      <c r="N53" s="508">
        <v>127</v>
      </c>
      <c r="O53" s="504" t="s">
        <v>603</v>
      </c>
      <c r="P53" s="504" t="s">
        <v>603</v>
      </c>
      <c r="Q53" s="518" t="s">
        <v>960</v>
      </c>
    </row>
    <row r="54" spans="1:17" s="298" customFormat="1" ht="10.7" customHeight="1" thickBot="1">
      <c r="A54" s="1126" t="s">
        <v>961</v>
      </c>
      <c r="B54" s="1126"/>
      <c r="C54" s="801" t="s">
        <v>603</v>
      </c>
      <c r="D54" s="801" t="s">
        <v>603</v>
      </c>
      <c r="E54" s="610">
        <v>405</v>
      </c>
      <c r="F54" s="801" t="s">
        <v>603</v>
      </c>
      <c r="G54" s="801" t="s">
        <v>603</v>
      </c>
      <c r="H54" s="801" t="s">
        <v>603</v>
      </c>
      <c r="I54" s="801" t="s">
        <v>603</v>
      </c>
      <c r="J54" s="801" t="s">
        <v>603</v>
      </c>
      <c r="K54" s="1546">
        <v>0</v>
      </c>
      <c r="L54" s="610">
        <f>82320+9932.4+6128</f>
        <v>98380.4</v>
      </c>
      <c r="M54" s="610" t="s">
        <v>603</v>
      </c>
      <c r="N54" s="610">
        <v>118</v>
      </c>
      <c r="O54" s="801" t="s">
        <v>603</v>
      </c>
      <c r="P54" s="801" t="s">
        <v>603</v>
      </c>
      <c r="Q54" s="1265" t="s">
        <v>961</v>
      </c>
    </row>
    <row r="55" spans="1:17" s="491" customFormat="1" ht="9" customHeight="1">
      <c r="A55" s="817" t="s">
        <v>1216</v>
      </c>
      <c r="B55" s="818" t="s">
        <v>640</v>
      </c>
      <c r="C55" s="1916" t="s">
        <v>1134</v>
      </c>
      <c r="D55" s="1916"/>
      <c r="E55" s="1916"/>
      <c r="F55" s="1916"/>
      <c r="G55" s="1916"/>
      <c r="H55" s="296"/>
      <c r="I55" s="819" t="s">
        <v>371</v>
      </c>
      <c r="J55" s="820" t="s">
        <v>42</v>
      </c>
      <c r="K55" s="1915" t="s">
        <v>2654</v>
      </c>
      <c r="L55" s="1915"/>
      <c r="M55" s="1915"/>
      <c r="N55" s="1915"/>
      <c r="O55" s="1915"/>
      <c r="P55" s="1915"/>
    </row>
    <row r="56" spans="1:17" s="491" customFormat="1" ht="9" customHeight="1">
      <c r="A56" s="296" t="s">
        <v>1051</v>
      </c>
      <c r="B56" s="296" t="s">
        <v>864</v>
      </c>
      <c r="C56" s="1917" t="s">
        <v>1135</v>
      </c>
      <c r="D56" s="1917"/>
      <c r="E56" s="1917"/>
      <c r="F56" s="1917"/>
      <c r="G56" s="1917"/>
      <c r="H56" s="1917"/>
      <c r="I56" s="1917"/>
      <c r="J56" s="820" t="s">
        <v>864</v>
      </c>
      <c r="K56" s="1916" t="s">
        <v>2653</v>
      </c>
      <c r="L56" s="1916"/>
      <c r="M56" s="1916"/>
      <c r="N56" s="1916"/>
      <c r="O56" s="1916"/>
      <c r="P56" s="1916"/>
    </row>
    <row r="57" spans="1:17" s="491" customFormat="1" ht="9" customHeight="1">
      <c r="A57" s="820" t="s">
        <v>372</v>
      </c>
      <c r="B57" s="820" t="s">
        <v>612</v>
      </c>
      <c r="C57" s="1917" t="s">
        <v>383</v>
      </c>
      <c r="D57" s="1917"/>
      <c r="E57" s="1917"/>
      <c r="F57" s="1917"/>
      <c r="G57" s="1917"/>
      <c r="H57" s="1917"/>
      <c r="I57" s="1917"/>
      <c r="J57" s="820" t="s">
        <v>612</v>
      </c>
      <c r="K57" s="1917" t="s">
        <v>374</v>
      </c>
      <c r="L57" s="1917"/>
      <c r="M57" s="1917"/>
      <c r="N57" s="1917"/>
      <c r="O57" s="1917"/>
      <c r="P57" s="1917"/>
    </row>
    <row r="58" spans="1:17" s="491" customFormat="1" ht="9" customHeight="1">
      <c r="A58" s="820" t="s">
        <v>373</v>
      </c>
      <c r="B58" s="820" t="s">
        <v>613</v>
      </c>
      <c r="C58" s="1917" t="s">
        <v>2650</v>
      </c>
      <c r="D58" s="1917"/>
      <c r="E58" s="1917"/>
      <c r="F58" s="1917"/>
      <c r="G58" s="1917"/>
      <c r="H58" s="1917"/>
      <c r="I58" s="1917"/>
      <c r="J58" s="820" t="s">
        <v>613</v>
      </c>
      <c r="K58" s="1917" t="s">
        <v>2652</v>
      </c>
      <c r="L58" s="1917"/>
      <c r="M58" s="1917"/>
      <c r="N58" s="1917"/>
      <c r="O58" s="1917"/>
      <c r="P58" s="1917"/>
    </row>
    <row r="59" spans="1:17" s="491" customFormat="1" ht="9" customHeight="1">
      <c r="A59" s="820" t="s">
        <v>375</v>
      </c>
      <c r="B59" s="820" t="s">
        <v>638</v>
      </c>
      <c r="C59" s="1917" t="s">
        <v>2651</v>
      </c>
      <c r="D59" s="1917"/>
      <c r="E59" s="1917"/>
      <c r="F59" s="1917"/>
      <c r="G59" s="1917"/>
      <c r="H59" s="1917"/>
      <c r="I59" s="1917"/>
      <c r="J59" s="18" t="s">
        <v>366</v>
      </c>
      <c r="K59" s="18"/>
    </row>
  </sheetData>
  <mergeCells count="16">
    <mergeCell ref="C59:I59"/>
    <mergeCell ref="I2:L2"/>
    <mergeCell ref="P1:Q1"/>
    <mergeCell ref="Q3:Q4"/>
    <mergeCell ref="I3:J3"/>
    <mergeCell ref="I4:J4"/>
    <mergeCell ref="C56:I56"/>
    <mergeCell ref="C57:I57"/>
    <mergeCell ref="C58:I58"/>
    <mergeCell ref="A3:B4"/>
    <mergeCell ref="D1:H1"/>
    <mergeCell ref="K55:P55"/>
    <mergeCell ref="K56:P56"/>
    <mergeCell ref="K58:P58"/>
    <mergeCell ref="K57:P57"/>
    <mergeCell ref="C55:G55"/>
  </mergeCells>
  <phoneticPr fontId="3" type="noConversion"/>
  <pageMargins left="0.62992125984252001" right="0.511811023622047" top="0.511811023622047" bottom="0.511811023622047" header="0" footer="0.39370078740157499"/>
  <pageSetup paperSize="151" firstPageNumber="40" orientation="portrait" useFirstPageNumber="1" r:id="rId1"/>
  <headerFooter alignWithMargins="0">
    <oddFooter>&amp;C&amp;"Times New Roman,Regular"&amp;8&amp;P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Q53"/>
  <sheetViews>
    <sheetView zoomScale="120" zoomScaleNormal="12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13" sqref="G13"/>
    </sheetView>
  </sheetViews>
  <sheetFormatPr defaultColWidth="9.140625" defaultRowHeight="11.25"/>
  <cols>
    <col min="1" max="1" width="10.140625" style="24" customWidth="1"/>
    <col min="2" max="2" width="7.140625" style="10" customWidth="1"/>
    <col min="3" max="3" width="6.7109375" style="10" customWidth="1"/>
    <col min="4" max="4" width="7.42578125" style="10" customWidth="1"/>
    <col min="5" max="5" width="7.7109375" style="10" customWidth="1"/>
    <col min="6" max="6" width="8.140625" style="10" customWidth="1"/>
    <col min="7" max="7" width="8.42578125" style="10" customWidth="1"/>
    <col min="8" max="8" width="7.7109375" style="10" customWidth="1"/>
    <col min="9" max="9" width="7.28515625" style="10" customWidth="1"/>
    <col min="10" max="10" width="8.28515625" style="10" customWidth="1"/>
    <col min="11" max="11" width="9.7109375" style="10" customWidth="1"/>
    <col min="12" max="12" width="9.85546875" style="10" customWidth="1"/>
    <col min="13" max="13" width="10.7109375" style="10" customWidth="1"/>
    <col min="14" max="14" width="10.85546875" style="10" customWidth="1"/>
    <col min="15" max="15" width="10.42578125" style="10" customWidth="1"/>
    <col min="16" max="16" width="13.85546875" style="10" customWidth="1"/>
    <col min="17" max="17" width="10.85546875" style="10" customWidth="1"/>
    <col min="18" max="16384" width="9.140625" style="10"/>
  </cols>
  <sheetData>
    <row r="1" spans="1:17" s="33" customFormat="1" ht="15.75" customHeight="1">
      <c r="B1" s="79"/>
      <c r="C1" s="79"/>
      <c r="D1" s="1903" t="s">
        <v>2569</v>
      </c>
      <c r="E1" s="1903"/>
      <c r="F1" s="1903"/>
      <c r="G1" s="1903"/>
      <c r="H1" s="1903"/>
      <c r="I1" s="1903"/>
      <c r="J1" s="1903"/>
      <c r="K1" s="1937" t="s">
        <v>649</v>
      </c>
      <c r="L1" s="1937"/>
      <c r="M1" s="1937"/>
      <c r="N1" s="1937"/>
      <c r="O1" s="1937"/>
      <c r="P1" s="1903" t="s">
        <v>2075</v>
      </c>
      <c r="Q1" s="1903"/>
    </row>
    <row r="2" spans="1:17" s="30" customFormat="1" ht="11.25" customHeight="1">
      <c r="B2" s="15"/>
      <c r="F2" s="15"/>
      <c r="G2" s="1928" t="s">
        <v>2744</v>
      </c>
      <c r="H2" s="1928"/>
      <c r="I2" s="1928"/>
      <c r="J2" s="1928"/>
      <c r="K2" s="1306" t="s">
        <v>2745</v>
      </c>
      <c r="L2" s="15"/>
      <c r="M2" s="15"/>
      <c r="N2" s="15"/>
      <c r="O2" s="15"/>
      <c r="P2" s="15"/>
      <c r="Q2" s="15"/>
    </row>
    <row r="3" spans="1:17" s="122" customFormat="1" ht="12" customHeight="1">
      <c r="A3" s="1887" t="s">
        <v>875</v>
      </c>
      <c r="B3" s="1532" t="s">
        <v>895</v>
      </c>
      <c r="C3" s="1925" t="s">
        <v>897</v>
      </c>
      <c r="D3" s="1926"/>
      <c r="E3" s="1532" t="s">
        <v>895</v>
      </c>
      <c r="F3" s="1925" t="s">
        <v>150</v>
      </c>
      <c r="G3" s="1926"/>
      <c r="H3" s="1532" t="s">
        <v>895</v>
      </c>
      <c r="I3" s="1925" t="s">
        <v>151</v>
      </c>
      <c r="J3" s="1926"/>
      <c r="K3" s="1925" t="s">
        <v>308</v>
      </c>
      <c r="L3" s="1934"/>
      <c r="M3" s="1934"/>
      <c r="N3" s="1934"/>
      <c r="O3" s="1934"/>
      <c r="P3" s="1934"/>
      <c r="Q3" s="1926"/>
    </row>
    <row r="4" spans="1:17" s="122" customFormat="1" ht="12.75" customHeight="1">
      <c r="A4" s="1880"/>
      <c r="B4" s="1932" t="s">
        <v>896</v>
      </c>
      <c r="C4" s="1927" t="s">
        <v>152</v>
      </c>
      <c r="D4" s="1923" t="s">
        <v>153</v>
      </c>
      <c r="E4" s="1927" t="s">
        <v>892</v>
      </c>
      <c r="F4" s="1923" t="s">
        <v>152</v>
      </c>
      <c r="G4" s="1927" t="s">
        <v>153</v>
      </c>
      <c r="H4" s="1923" t="s">
        <v>557</v>
      </c>
      <c r="I4" s="1927" t="s">
        <v>174</v>
      </c>
      <c r="J4" s="1927" t="s">
        <v>153</v>
      </c>
      <c r="K4" s="1887" t="s">
        <v>35</v>
      </c>
      <c r="L4" s="1938" t="s">
        <v>36</v>
      </c>
      <c r="M4" s="1935" t="s">
        <v>1568</v>
      </c>
      <c r="N4" s="1935" t="s">
        <v>2570</v>
      </c>
      <c r="O4" s="1935" t="s">
        <v>558</v>
      </c>
      <c r="P4" s="1936" t="s">
        <v>559</v>
      </c>
      <c r="Q4" s="1935" t="s">
        <v>1569</v>
      </c>
    </row>
    <row r="5" spans="1:17" s="122" customFormat="1" ht="24.75" customHeight="1">
      <c r="A5" s="1880"/>
      <c r="B5" s="1933"/>
      <c r="C5" s="1927"/>
      <c r="D5" s="1924"/>
      <c r="E5" s="1927"/>
      <c r="F5" s="1924"/>
      <c r="G5" s="1927"/>
      <c r="H5" s="1924"/>
      <c r="I5" s="1927"/>
      <c r="J5" s="1927"/>
      <c r="K5" s="1881"/>
      <c r="L5" s="1938"/>
      <c r="M5" s="1935"/>
      <c r="N5" s="1935"/>
      <c r="O5" s="1935"/>
      <c r="P5" s="1936"/>
      <c r="Q5" s="1935"/>
    </row>
    <row r="6" spans="1:17" ht="11.1" customHeight="1">
      <c r="A6" s="130" t="s">
        <v>963</v>
      </c>
      <c r="B6" s="1533">
        <v>100</v>
      </c>
      <c r="C6" s="1930" t="s">
        <v>226</v>
      </c>
      <c r="D6" s="1931"/>
      <c r="E6" s="1533">
        <v>58.84</v>
      </c>
      <c r="F6" s="1929" t="s">
        <v>226</v>
      </c>
      <c r="G6" s="1929"/>
      <c r="H6" s="1533">
        <v>41.16</v>
      </c>
      <c r="I6" s="1929" t="s">
        <v>226</v>
      </c>
      <c r="J6" s="1929"/>
      <c r="K6" s="1533">
        <v>6.85</v>
      </c>
      <c r="L6" s="1533">
        <v>16.87</v>
      </c>
      <c r="M6" s="1533">
        <v>2.67</v>
      </c>
      <c r="N6" s="1533">
        <v>2.84</v>
      </c>
      <c r="O6" s="1533">
        <v>4.17</v>
      </c>
      <c r="P6" s="1533">
        <v>4.13</v>
      </c>
      <c r="Q6" s="1533">
        <v>3.63</v>
      </c>
    </row>
    <row r="7" spans="1:17" s="127" customFormat="1" ht="13.9" customHeight="1">
      <c r="A7" s="526" t="s">
        <v>141</v>
      </c>
      <c r="B7" s="551">
        <v>206.42666666666665</v>
      </c>
      <c r="C7" s="511">
        <v>2.25</v>
      </c>
      <c r="D7" s="511">
        <v>6.66</v>
      </c>
      <c r="E7" s="551">
        <v>221.64333333333335</v>
      </c>
      <c r="F7" s="511">
        <v>0.25</v>
      </c>
      <c r="G7" s="511">
        <v>7.19</v>
      </c>
      <c r="H7" s="551">
        <v>186.67250000000001</v>
      </c>
      <c r="I7" s="551">
        <v>5.94</v>
      </c>
      <c r="J7" s="551">
        <v>5.91</v>
      </c>
      <c r="K7" s="551">
        <v>173.09666666666666</v>
      </c>
      <c r="L7" s="551">
        <v>184.45833333333334</v>
      </c>
      <c r="M7" s="551">
        <v>194.74999999999997</v>
      </c>
      <c r="N7" s="551">
        <v>189.25</v>
      </c>
      <c r="O7" s="551">
        <v>222.12249999999997</v>
      </c>
      <c r="P7" s="551">
        <v>181.43916666666667</v>
      </c>
      <c r="Q7" s="551">
        <v>188.84333333333333</v>
      </c>
    </row>
    <row r="8" spans="1:17" s="127" customFormat="1" ht="13.9" customHeight="1">
      <c r="A8" s="427" t="s">
        <v>136</v>
      </c>
      <c r="B8" s="20">
        <v>221.52583333333334</v>
      </c>
      <c r="C8" s="41">
        <v>8.6999999999999993</v>
      </c>
      <c r="D8" s="41">
        <v>7.31</v>
      </c>
      <c r="E8" s="20">
        <v>240.54999999999998</v>
      </c>
      <c r="F8" s="41">
        <v>10.88</v>
      </c>
      <c r="G8" s="41">
        <v>8.5299999999999994</v>
      </c>
      <c r="H8" s="20">
        <v>196.84416666666667</v>
      </c>
      <c r="I8" s="20">
        <v>5.24</v>
      </c>
      <c r="J8" s="20">
        <v>5.45</v>
      </c>
      <c r="K8" s="20">
        <v>181.28999999999996</v>
      </c>
      <c r="L8" s="20">
        <v>191.49083333333331</v>
      </c>
      <c r="M8" s="20">
        <v>215.04416666666668</v>
      </c>
      <c r="N8" s="20">
        <v>199.22166666666666</v>
      </c>
      <c r="O8" s="20">
        <v>234.095</v>
      </c>
      <c r="P8" s="20">
        <v>192.46250000000001</v>
      </c>
      <c r="Q8" s="20">
        <v>208.4025</v>
      </c>
    </row>
    <row r="9" spans="1:17" s="480" customFormat="1" ht="13.9" customHeight="1">
      <c r="A9" s="526" t="s">
        <v>317</v>
      </c>
      <c r="B9" s="551">
        <v>241.01500000000001</v>
      </c>
      <c r="C9" s="511">
        <v>10.17</v>
      </c>
      <c r="D9" s="511">
        <v>8.8000000000000007</v>
      </c>
      <c r="E9" s="551">
        <v>268.02749999999997</v>
      </c>
      <c r="F9" s="511">
        <v>12.51</v>
      </c>
      <c r="G9" s="511">
        <v>11.34</v>
      </c>
      <c r="H9" s="551">
        <v>205.00916666666669</v>
      </c>
      <c r="I9" s="551">
        <v>5.73</v>
      </c>
      <c r="J9" s="551">
        <v>4.1500000000000004</v>
      </c>
      <c r="K9" s="551">
        <v>191.92</v>
      </c>
      <c r="L9" s="551">
        <v>197.91666666666666</v>
      </c>
      <c r="M9" s="551">
        <v>231.74583333333337</v>
      </c>
      <c r="N9" s="551">
        <v>203.67083333333332</v>
      </c>
      <c r="O9" s="551">
        <v>244.16499999999996</v>
      </c>
      <c r="P9" s="551">
        <v>198.44166666666669</v>
      </c>
      <c r="Q9" s="551">
        <v>218.58500000000004</v>
      </c>
    </row>
    <row r="10" spans="1:17" s="480" customFormat="1" ht="13.9" customHeight="1">
      <c r="A10" s="427" t="s">
        <v>1299</v>
      </c>
      <c r="B10" s="20">
        <v>266.60499999999996</v>
      </c>
      <c r="C10" s="41">
        <v>8.56</v>
      </c>
      <c r="D10" s="41">
        <v>10.62</v>
      </c>
      <c r="E10" s="20">
        <v>295.85916666666662</v>
      </c>
      <c r="F10" s="41">
        <v>7.08</v>
      </c>
      <c r="G10" s="41">
        <v>10.47</v>
      </c>
      <c r="H10" s="20">
        <v>227.87249999999995</v>
      </c>
      <c r="I10" s="20">
        <v>11.72</v>
      </c>
      <c r="J10" s="20">
        <v>11.15</v>
      </c>
      <c r="K10" s="20">
        <v>225.68166666666664</v>
      </c>
      <c r="L10" s="20">
        <v>218.26333333333332</v>
      </c>
      <c r="M10" s="20">
        <v>259.11666666666667</v>
      </c>
      <c r="N10" s="20">
        <v>215.63916666666668</v>
      </c>
      <c r="O10" s="20">
        <v>276.33749999999998</v>
      </c>
      <c r="P10" s="20">
        <v>202.93500000000003</v>
      </c>
      <c r="Q10" s="20">
        <v>248.18666666666661</v>
      </c>
    </row>
    <row r="11" spans="1:17" s="480" customFormat="1" ht="13.9" customHeight="1">
      <c r="A11" s="526" t="s">
        <v>2742</v>
      </c>
      <c r="B11" s="551">
        <v>287.13916666666665</v>
      </c>
      <c r="C11" s="511">
        <v>7.97</v>
      </c>
      <c r="D11" s="511">
        <v>7.7</v>
      </c>
      <c r="E11" s="551">
        <v>317.61833333333334</v>
      </c>
      <c r="F11" s="511">
        <v>8.5299999999999994</v>
      </c>
      <c r="G11" s="511">
        <v>7.35</v>
      </c>
      <c r="H11" s="551">
        <v>247.06666666666669</v>
      </c>
      <c r="I11" s="551">
        <v>6.99</v>
      </c>
      <c r="J11" s="551">
        <v>8.43</v>
      </c>
      <c r="K11" s="551">
        <v>252.53583333333336</v>
      </c>
      <c r="L11" s="551">
        <v>238.90499999999994</v>
      </c>
      <c r="M11" s="551">
        <v>280.7091666666667</v>
      </c>
      <c r="N11" s="551">
        <v>228.05083333333334</v>
      </c>
      <c r="O11" s="551">
        <v>292.44916666666666</v>
      </c>
      <c r="P11" s="551">
        <v>210.21416666666661</v>
      </c>
      <c r="Q11" s="551">
        <v>266.74916666666667</v>
      </c>
    </row>
    <row r="12" spans="1:17" s="480" customFormat="1" ht="13.9" customHeight="1">
      <c r="A12" s="427" t="s">
        <v>2743</v>
      </c>
      <c r="B12" s="20">
        <v>181.72583333333333</v>
      </c>
      <c r="C12" s="41">
        <v>8.0500000000000007</v>
      </c>
      <c r="D12" s="41">
        <v>6.78</v>
      </c>
      <c r="E12" s="20">
        <v>193.23666666666665</v>
      </c>
      <c r="F12" s="41">
        <v>8.26</v>
      </c>
      <c r="G12" s="41">
        <v>5.22</v>
      </c>
      <c r="H12" s="20">
        <v>166.96916666666667</v>
      </c>
      <c r="I12" s="20">
        <v>7.75</v>
      </c>
      <c r="J12" s="20">
        <v>9.17</v>
      </c>
      <c r="K12" s="20">
        <v>179.65833333333333</v>
      </c>
      <c r="L12" s="20">
        <v>155.61333333333334</v>
      </c>
      <c r="M12" s="20">
        <v>195.33166666666671</v>
      </c>
      <c r="N12" s="20">
        <v>159.6575</v>
      </c>
      <c r="O12" s="20">
        <v>159.33833333333334</v>
      </c>
      <c r="P12" s="20">
        <v>157.23416666666671</v>
      </c>
      <c r="Q12" s="20">
        <v>182.53750000000002</v>
      </c>
    </row>
    <row r="13" spans="1:17" s="127" customFormat="1" ht="13.9" customHeight="1">
      <c r="A13" s="517" t="s">
        <v>1886</v>
      </c>
      <c r="B13" s="511">
        <v>195.08250000000001</v>
      </c>
      <c r="C13" s="511">
        <v>6.97</v>
      </c>
      <c r="D13" s="511">
        <v>7.35</v>
      </c>
      <c r="E13" s="511">
        <v>209.79083333333335</v>
      </c>
      <c r="F13" s="511">
        <v>8</v>
      </c>
      <c r="G13" s="508">
        <v>8.57</v>
      </c>
      <c r="H13" s="511">
        <v>176.22416666666666</v>
      </c>
      <c r="I13" s="511">
        <v>5.45</v>
      </c>
      <c r="J13" s="511">
        <v>5.54</v>
      </c>
      <c r="K13" s="511">
        <v>194.76499999999999</v>
      </c>
      <c r="L13" s="511">
        <v>163.47083333333333</v>
      </c>
      <c r="M13" s="511">
        <v>206.13583333333338</v>
      </c>
      <c r="N13" s="511">
        <v>164.05583333333337</v>
      </c>
      <c r="O13" s="511">
        <v>167.20250000000001</v>
      </c>
      <c r="P13" s="511">
        <v>164.38166666666666</v>
      </c>
      <c r="Q13" s="511">
        <v>193.75416666666663</v>
      </c>
    </row>
    <row r="14" spans="1:17" s="480" customFormat="1" ht="13.9" customHeight="1">
      <c r="A14" s="652" t="s">
        <v>2017</v>
      </c>
      <c r="B14" s="245">
        <v>207.57750000000001</v>
      </c>
      <c r="C14" s="245">
        <v>6.25</v>
      </c>
      <c r="D14" s="245">
        <v>6.4</v>
      </c>
      <c r="E14" s="245">
        <v>223.7883333333333</v>
      </c>
      <c r="F14" s="245">
        <v>6.32</v>
      </c>
      <c r="G14" s="244">
        <v>6.67</v>
      </c>
      <c r="H14" s="245">
        <v>186.785</v>
      </c>
      <c r="I14" s="245">
        <v>6.15</v>
      </c>
      <c r="J14" s="245">
        <v>5.99</v>
      </c>
      <c r="K14" s="245">
        <v>209.44583333333333</v>
      </c>
      <c r="L14" s="245">
        <v>171.79583333333335</v>
      </c>
      <c r="M14" s="245">
        <v>214.44333333333336</v>
      </c>
      <c r="N14" s="245">
        <v>181.09000000000003</v>
      </c>
      <c r="O14" s="245">
        <v>181.77833333333331</v>
      </c>
      <c r="P14" s="245">
        <v>168.02416666666667</v>
      </c>
      <c r="Q14" s="245">
        <v>204.20583333333332</v>
      </c>
    </row>
    <row r="15" spans="1:17" s="127" customFormat="1" ht="13.9" customHeight="1">
      <c r="A15" s="650" t="s">
        <v>2226</v>
      </c>
      <c r="B15" s="516">
        <f>AVERAGE(B16:B27)</f>
        <v>219.85833333333335</v>
      </c>
      <c r="C15" s="516">
        <f>C27</f>
        <v>5.53</v>
      </c>
      <c r="D15" s="516">
        <f>D27</f>
        <v>5.92</v>
      </c>
      <c r="E15" s="516">
        <f>AVERAGE(E16:E27)</f>
        <v>234.77166666666668</v>
      </c>
      <c r="F15" s="516">
        <f>F27</f>
        <v>4.2300000000000004</v>
      </c>
      <c r="G15" s="516">
        <f>G27</f>
        <v>4.91</v>
      </c>
      <c r="H15" s="516">
        <f>AVERAGE(H16:H27)</f>
        <v>200.73749999999998</v>
      </c>
      <c r="I15" s="516">
        <f>I27</f>
        <v>7.5</v>
      </c>
      <c r="J15" s="516">
        <f>J27</f>
        <v>7.47</v>
      </c>
      <c r="K15" s="516">
        <f t="shared" ref="K15:Q15" si="0">AVERAGE(K16:K27)</f>
        <v>233.52</v>
      </c>
      <c r="L15" s="516">
        <f t="shared" si="0"/>
        <v>182.75</v>
      </c>
      <c r="M15" s="516">
        <f t="shared" si="0"/>
        <v>227.5325</v>
      </c>
      <c r="N15" s="516">
        <f t="shared" si="0"/>
        <v>200.02916666666667</v>
      </c>
      <c r="O15" s="516">
        <f t="shared" si="0"/>
        <v>201.59583333333333</v>
      </c>
      <c r="P15" s="516">
        <f t="shared" si="0"/>
        <v>171.00583333333336</v>
      </c>
      <c r="Q15" s="516">
        <f t="shared" si="0"/>
        <v>211.61166666666665</v>
      </c>
    </row>
    <row r="16" spans="1:17" s="480" customFormat="1" ht="13.9" customHeight="1">
      <c r="A16" s="457" t="s">
        <v>954</v>
      </c>
      <c r="B16" s="460">
        <v>212.65</v>
      </c>
      <c r="C16" s="460">
        <v>6.36</v>
      </c>
      <c r="D16" s="460">
        <v>6.35</v>
      </c>
      <c r="E16" s="460">
        <v>227.78</v>
      </c>
      <c r="F16" s="460">
        <v>6.07</v>
      </c>
      <c r="G16" s="459">
        <v>6.52</v>
      </c>
      <c r="H16" s="460">
        <v>193.26</v>
      </c>
      <c r="I16" s="460">
        <v>6.8</v>
      </c>
      <c r="J16" s="460">
        <v>6.08</v>
      </c>
      <c r="K16" s="460">
        <v>223.43</v>
      </c>
      <c r="L16" s="460">
        <v>173.74</v>
      </c>
      <c r="M16" s="460">
        <v>221.85</v>
      </c>
      <c r="N16" s="460">
        <v>193.61</v>
      </c>
      <c r="O16" s="460">
        <v>190.8</v>
      </c>
      <c r="P16" s="460">
        <v>169.8</v>
      </c>
      <c r="Q16" s="460">
        <v>209.62</v>
      </c>
    </row>
    <row r="17" spans="1:17" s="127" customFormat="1" ht="13.9" customHeight="1">
      <c r="A17" s="574" t="s">
        <v>955</v>
      </c>
      <c r="B17" s="505">
        <v>215.03</v>
      </c>
      <c r="C17" s="505">
        <v>6.17</v>
      </c>
      <c r="D17" s="505">
        <v>6.29</v>
      </c>
      <c r="E17" s="505">
        <v>231.91</v>
      </c>
      <c r="F17" s="505">
        <v>6.06</v>
      </c>
      <c r="G17" s="504">
        <v>6.39</v>
      </c>
      <c r="H17" s="505">
        <v>193.39</v>
      </c>
      <c r="I17" s="505">
        <v>6.35</v>
      </c>
      <c r="J17" s="505">
        <v>6.13</v>
      </c>
      <c r="K17" s="505">
        <v>223.21</v>
      </c>
      <c r="L17" s="505">
        <v>174.06</v>
      </c>
      <c r="M17" s="505">
        <v>222.31</v>
      </c>
      <c r="N17" s="505">
        <v>193.78</v>
      </c>
      <c r="O17" s="505">
        <v>191.19</v>
      </c>
      <c r="P17" s="505">
        <v>169.9</v>
      </c>
      <c r="Q17" s="505">
        <v>208.82</v>
      </c>
    </row>
    <row r="18" spans="1:17" s="480" customFormat="1" ht="13.9" customHeight="1">
      <c r="A18" s="298" t="s">
        <v>949</v>
      </c>
      <c r="B18" s="40">
        <v>218.21</v>
      </c>
      <c r="C18" s="40">
        <v>6.24</v>
      </c>
      <c r="D18" s="40">
        <v>6.24</v>
      </c>
      <c r="E18" s="40">
        <v>235.85</v>
      </c>
      <c r="F18" s="40">
        <v>5.92</v>
      </c>
      <c r="G18" s="40">
        <v>6.25</v>
      </c>
      <c r="H18" s="40">
        <v>195.59</v>
      </c>
      <c r="I18" s="40">
        <v>6.73</v>
      </c>
      <c r="J18" s="40">
        <v>6.22</v>
      </c>
      <c r="K18" s="40">
        <v>231.68</v>
      </c>
      <c r="L18" s="40">
        <v>175.28</v>
      </c>
      <c r="M18" s="40">
        <v>223.02</v>
      </c>
      <c r="N18" s="40">
        <v>194.13</v>
      </c>
      <c r="O18" s="40">
        <v>193.62</v>
      </c>
      <c r="P18" s="40">
        <v>169.97</v>
      </c>
      <c r="Q18" s="41">
        <v>209.2</v>
      </c>
    </row>
    <row r="19" spans="1:17" s="480" customFormat="1" ht="13.9" customHeight="1">
      <c r="A19" s="517" t="s">
        <v>956</v>
      </c>
      <c r="B19" s="508">
        <v>219.62</v>
      </c>
      <c r="C19" s="508">
        <v>6.19</v>
      </c>
      <c r="D19" s="508">
        <v>6.21</v>
      </c>
      <c r="E19" s="508">
        <v>237.44</v>
      </c>
      <c r="F19" s="508">
        <v>5.89</v>
      </c>
      <c r="G19" s="508">
        <v>6.15</v>
      </c>
      <c r="H19" s="508">
        <v>196.77</v>
      </c>
      <c r="I19" s="508">
        <v>6.67</v>
      </c>
      <c r="J19" s="511">
        <v>6.3</v>
      </c>
      <c r="K19" s="508">
        <v>231.53</v>
      </c>
      <c r="L19" s="508">
        <v>175.45</v>
      </c>
      <c r="M19" s="508">
        <v>223.94</v>
      </c>
      <c r="N19" s="508">
        <v>194.36</v>
      </c>
      <c r="O19" s="508">
        <v>200.08</v>
      </c>
      <c r="P19" s="508">
        <v>170.22</v>
      </c>
      <c r="Q19" s="511">
        <v>210.86</v>
      </c>
    </row>
    <row r="20" spans="1:17" s="480" customFormat="1" ht="13.9" customHeight="1">
      <c r="A20" s="298" t="s">
        <v>957</v>
      </c>
      <c r="B20" s="40">
        <v>219.38</v>
      </c>
      <c r="C20" s="40">
        <v>6.05</v>
      </c>
      <c r="D20" s="41">
        <v>6.2</v>
      </c>
      <c r="E20" s="40">
        <v>236.61</v>
      </c>
      <c r="F20" s="40">
        <v>5.72</v>
      </c>
      <c r="G20" s="40">
        <v>6.09</v>
      </c>
      <c r="H20" s="40">
        <v>197.29</v>
      </c>
      <c r="I20" s="40">
        <v>6.56</v>
      </c>
      <c r="J20" s="41">
        <v>6.36</v>
      </c>
      <c r="K20" s="40">
        <v>231.99</v>
      </c>
      <c r="L20" s="40">
        <v>175.84</v>
      </c>
      <c r="M20" s="40">
        <v>225.03</v>
      </c>
      <c r="N20" s="41">
        <v>194.4</v>
      </c>
      <c r="O20" s="40">
        <v>201.28</v>
      </c>
      <c r="P20" s="40">
        <v>170.48</v>
      </c>
      <c r="Q20" s="41">
        <v>211.01</v>
      </c>
    </row>
    <row r="21" spans="1:17" s="480" customFormat="1" ht="13.9" customHeight="1">
      <c r="A21" s="517" t="s">
        <v>950</v>
      </c>
      <c r="B21" s="508">
        <v>220.45</v>
      </c>
      <c r="C21" s="511">
        <v>6.1</v>
      </c>
      <c r="D21" s="508">
        <v>6.19</v>
      </c>
      <c r="E21" s="508">
        <v>236.57</v>
      </c>
      <c r="F21" s="508">
        <v>5.48</v>
      </c>
      <c r="G21" s="508">
        <v>6.06</v>
      </c>
      <c r="H21" s="508">
        <v>199.78</v>
      </c>
      <c r="I21" s="508">
        <v>7.05</v>
      </c>
      <c r="J21" s="511">
        <v>6.41</v>
      </c>
      <c r="K21" s="508">
        <v>235.93</v>
      </c>
      <c r="L21" s="511">
        <v>177.8</v>
      </c>
      <c r="M21" s="508">
        <v>229.04</v>
      </c>
      <c r="N21" s="508">
        <v>197.29</v>
      </c>
      <c r="O21" s="508">
        <v>205.19</v>
      </c>
      <c r="P21" s="508">
        <v>170.63</v>
      </c>
      <c r="Q21" s="511">
        <v>211.16</v>
      </c>
    </row>
    <row r="22" spans="1:17" s="480" customFormat="1" ht="13.9" customHeight="1">
      <c r="A22" s="298" t="s">
        <v>958</v>
      </c>
      <c r="B22" s="40">
        <v>222.87</v>
      </c>
      <c r="C22" s="40">
        <v>6.07</v>
      </c>
      <c r="D22" s="41">
        <v>6.2</v>
      </c>
      <c r="E22" s="40">
        <v>236.42</v>
      </c>
      <c r="F22" s="40">
        <v>4.33</v>
      </c>
      <c r="G22" s="41">
        <v>5.91</v>
      </c>
      <c r="H22" s="41">
        <v>205.5</v>
      </c>
      <c r="I22" s="40">
        <v>8.74</v>
      </c>
      <c r="J22" s="41">
        <v>6.65</v>
      </c>
      <c r="K22" s="40">
        <v>237.18</v>
      </c>
      <c r="L22" s="40">
        <v>190.58</v>
      </c>
      <c r="M22" s="40">
        <v>230.67</v>
      </c>
      <c r="N22" s="41">
        <v>205.18</v>
      </c>
      <c r="O22" s="40">
        <v>206.22</v>
      </c>
      <c r="P22" s="40">
        <v>171.73</v>
      </c>
      <c r="Q22" s="41">
        <v>212.79</v>
      </c>
    </row>
    <row r="23" spans="1:17" s="480" customFormat="1" ht="13.9" customHeight="1">
      <c r="A23" s="574" t="s">
        <v>959</v>
      </c>
      <c r="B23" s="508">
        <v>222.58</v>
      </c>
      <c r="C23" s="508">
        <v>5.62</v>
      </c>
      <c r="D23" s="511">
        <v>6.15</v>
      </c>
      <c r="E23" s="508">
        <v>235.81</v>
      </c>
      <c r="F23" s="508">
        <v>3.77</v>
      </c>
      <c r="G23" s="511">
        <v>5.7</v>
      </c>
      <c r="H23" s="508">
        <v>205.61</v>
      </c>
      <c r="I23" s="508">
        <v>8.4600000000000009</v>
      </c>
      <c r="J23" s="511">
        <v>6.84</v>
      </c>
      <c r="K23" s="508">
        <v>237.23</v>
      </c>
      <c r="L23" s="508">
        <v>190.59</v>
      </c>
      <c r="M23" s="508">
        <v>230.81</v>
      </c>
      <c r="N23" s="511">
        <v>205.46</v>
      </c>
      <c r="O23" s="508">
        <v>206.31</v>
      </c>
      <c r="P23" s="508">
        <v>171.78</v>
      </c>
      <c r="Q23" s="511">
        <v>213.34</v>
      </c>
    </row>
    <row r="24" spans="1:17" s="480" customFormat="1" ht="13.9" customHeight="1">
      <c r="A24" s="457" t="s">
        <v>951</v>
      </c>
      <c r="B24" s="40">
        <v>223.25</v>
      </c>
      <c r="C24" s="40">
        <v>5.65</v>
      </c>
      <c r="D24" s="41">
        <v>6.1</v>
      </c>
      <c r="E24" s="40">
        <v>236.99</v>
      </c>
      <c r="F24" s="40">
        <v>3.89</v>
      </c>
      <c r="G24" s="40">
        <v>5.5</v>
      </c>
      <c r="H24" s="40">
        <v>205.64</v>
      </c>
      <c r="I24" s="40">
        <v>8.36</v>
      </c>
      <c r="J24" s="41">
        <v>7.03</v>
      </c>
      <c r="K24" s="40">
        <v>237.25</v>
      </c>
      <c r="L24" s="41">
        <v>190.6</v>
      </c>
      <c r="M24" s="40">
        <v>230.86</v>
      </c>
      <c r="N24" s="41">
        <v>205.48</v>
      </c>
      <c r="O24" s="40">
        <v>206.34</v>
      </c>
      <c r="P24" s="40">
        <v>171.81</v>
      </c>
      <c r="Q24" s="41">
        <v>213.4</v>
      </c>
    </row>
    <row r="25" spans="1:17" s="480" customFormat="1" ht="13.9" customHeight="1">
      <c r="A25" s="574" t="s">
        <v>960</v>
      </c>
      <c r="B25" s="508">
        <v>223.37</v>
      </c>
      <c r="C25" s="508">
        <v>5.61</v>
      </c>
      <c r="D25" s="511">
        <v>6.04</v>
      </c>
      <c r="E25" s="508">
        <v>237.15</v>
      </c>
      <c r="F25" s="508">
        <v>3.84</v>
      </c>
      <c r="G25" s="508">
        <v>5.27</v>
      </c>
      <c r="H25" s="511">
        <v>205.7</v>
      </c>
      <c r="I25" s="508">
        <v>8.34</v>
      </c>
      <c r="J25" s="511">
        <v>7.21</v>
      </c>
      <c r="K25" s="508">
        <v>237.41</v>
      </c>
      <c r="L25" s="511">
        <v>190.61</v>
      </c>
      <c r="M25" s="508">
        <v>230.92</v>
      </c>
      <c r="N25" s="511">
        <v>205.5</v>
      </c>
      <c r="O25" s="508">
        <v>206.44</v>
      </c>
      <c r="P25" s="508">
        <v>171.87</v>
      </c>
      <c r="Q25" s="511">
        <v>213.44</v>
      </c>
    </row>
    <row r="26" spans="1:17" s="480" customFormat="1" ht="13.9" customHeight="1">
      <c r="A26" s="457" t="s">
        <v>961</v>
      </c>
      <c r="B26" s="40">
        <v>220.15</v>
      </c>
      <c r="C26" s="40">
        <v>5.45</v>
      </c>
      <c r="D26" s="41">
        <v>5.98</v>
      </c>
      <c r="E26" s="40">
        <v>231.86</v>
      </c>
      <c r="F26" s="40">
        <v>3.81</v>
      </c>
      <c r="G26" s="40">
        <v>5.08</v>
      </c>
      <c r="H26" s="40">
        <v>205.13</v>
      </c>
      <c r="I26" s="40">
        <v>7.92</v>
      </c>
      <c r="J26" s="41">
        <v>7.36</v>
      </c>
      <c r="K26" s="40">
        <v>237.44</v>
      </c>
      <c r="L26" s="41">
        <v>189.19</v>
      </c>
      <c r="M26" s="40">
        <v>230.92</v>
      </c>
      <c r="N26" s="41">
        <v>205.52</v>
      </c>
      <c r="O26" s="41">
        <v>205.8</v>
      </c>
      <c r="P26" s="40">
        <v>171.93</v>
      </c>
      <c r="Q26" s="41">
        <v>213.26</v>
      </c>
    </row>
    <row r="27" spans="1:17" s="480" customFormat="1" ht="13.9" customHeight="1">
      <c r="A27" s="574" t="s">
        <v>952</v>
      </c>
      <c r="B27" s="508">
        <v>220.74</v>
      </c>
      <c r="C27" s="508">
        <v>5.53</v>
      </c>
      <c r="D27" s="511">
        <v>5.92</v>
      </c>
      <c r="E27" s="508">
        <v>232.87</v>
      </c>
      <c r="F27" s="508">
        <v>4.2300000000000004</v>
      </c>
      <c r="G27" s="511">
        <v>4.91</v>
      </c>
      <c r="H27" s="508">
        <v>205.19</v>
      </c>
      <c r="I27" s="511">
        <v>7.5</v>
      </c>
      <c r="J27" s="511">
        <v>7.47</v>
      </c>
      <c r="K27" s="508">
        <v>237.96</v>
      </c>
      <c r="L27" s="511">
        <v>189.26</v>
      </c>
      <c r="M27" s="508">
        <v>231.02</v>
      </c>
      <c r="N27" s="511">
        <v>205.64</v>
      </c>
      <c r="O27" s="511">
        <v>205.88</v>
      </c>
      <c r="P27" s="508">
        <v>171.95</v>
      </c>
      <c r="Q27" s="511">
        <v>212.44</v>
      </c>
    </row>
    <row r="28" spans="1:17" s="480" customFormat="1" ht="13.9" customHeight="1">
      <c r="A28" s="652" t="s">
        <v>2414</v>
      </c>
      <c r="B28" s="245">
        <f>AVERAGE(B29:B40)</f>
        <v>231.81916666666666</v>
      </c>
      <c r="C28" s="245">
        <f>C40</f>
        <v>5.94</v>
      </c>
      <c r="D28" s="245">
        <f>D40</f>
        <v>5.44</v>
      </c>
      <c r="E28" s="245">
        <f>AVERAGE(E29:E40)</f>
        <v>248.89999999999998</v>
      </c>
      <c r="F28" s="245">
        <f>F40</f>
        <v>7.51</v>
      </c>
      <c r="G28" s="245">
        <f>G40</f>
        <v>6.02</v>
      </c>
      <c r="H28" s="245">
        <f>AVERAGE(H29:H40)</f>
        <v>209.92083333333332</v>
      </c>
      <c r="I28" s="245">
        <f>I40</f>
        <v>3.67</v>
      </c>
      <c r="J28" s="245">
        <f>J40</f>
        <v>4.57</v>
      </c>
      <c r="K28" s="245">
        <f t="shared" ref="K28:Q28" si="1">AVERAGE(K29:K40)</f>
        <v>243.56333333333336</v>
      </c>
      <c r="L28" s="245">
        <f t="shared" si="1"/>
        <v>194.00750000000002</v>
      </c>
      <c r="M28" s="245">
        <f t="shared" si="1"/>
        <v>235.8475</v>
      </c>
      <c r="N28" s="245">
        <f t="shared" si="1"/>
        <v>206.69833333333335</v>
      </c>
      <c r="O28" s="245">
        <f t="shared" si="1"/>
        <v>210.77666666666664</v>
      </c>
      <c r="P28" s="245">
        <f t="shared" si="1"/>
        <v>177.55500000000004</v>
      </c>
      <c r="Q28" s="245">
        <f t="shared" si="1"/>
        <v>217.51000000000002</v>
      </c>
    </row>
    <row r="29" spans="1:17" s="480" customFormat="1" ht="13.9" customHeight="1">
      <c r="A29" s="574" t="s">
        <v>2415</v>
      </c>
      <c r="B29" s="508">
        <v>224.13</v>
      </c>
      <c r="C29" s="511">
        <v>5.4</v>
      </c>
      <c r="D29" s="511">
        <v>5.84</v>
      </c>
      <c r="E29" s="508">
        <v>237.69</v>
      </c>
      <c r="F29" s="508">
        <v>4.3499999999999996</v>
      </c>
      <c r="G29" s="508">
        <v>4.7699999999999996</v>
      </c>
      <c r="H29" s="508">
        <v>206.75</v>
      </c>
      <c r="I29" s="508">
        <v>6.98</v>
      </c>
      <c r="J29" s="511">
        <v>7.48</v>
      </c>
      <c r="K29" s="508">
        <v>241.4</v>
      </c>
      <c r="L29" s="511">
        <v>190.22</v>
      </c>
      <c r="M29" s="508">
        <v>232.95</v>
      </c>
      <c r="N29" s="511">
        <v>205.91</v>
      </c>
      <c r="O29" s="511">
        <v>207.41</v>
      </c>
      <c r="P29" s="508">
        <v>172.56</v>
      </c>
      <c r="Q29" s="511">
        <v>214.73</v>
      </c>
    </row>
    <row r="30" spans="1:17" s="480" customFormat="1" ht="13.9" customHeight="1">
      <c r="A30" s="457" t="s">
        <v>955</v>
      </c>
      <c r="B30" s="40">
        <v>226.57</v>
      </c>
      <c r="C30" s="41">
        <v>5.37</v>
      </c>
      <c r="D30" s="41">
        <v>5.77</v>
      </c>
      <c r="E30" s="40">
        <v>241.89</v>
      </c>
      <c r="F30" s="41">
        <v>4.3</v>
      </c>
      <c r="G30" s="40">
        <v>4.62</v>
      </c>
      <c r="H30" s="40">
        <v>206.93</v>
      </c>
      <c r="I30" s="41">
        <v>7</v>
      </c>
      <c r="J30" s="41">
        <v>7.53</v>
      </c>
      <c r="K30" s="40">
        <v>241.59</v>
      </c>
      <c r="L30" s="41">
        <v>190.26</v>
      </c>
      <c r="M30" s="40">
        <v>233.62</v>
      </c>
      <c r="N30" s="41">
        <v>206.08</v>
      </c>
      <c r="O30" s="41">
        <v>207.56</v>
      </c>
      <c r="P30" s="40">
        <v>172.68</v>
      </c>
      <c r="Q30" s="41">
        <v>214.95</v>
      </c>
    </row>
    <row r="31" spans="1:17" s="480" customFormat="1" ht="13.9" customHeight="1">
      <c r="A31" s="574" t="s">
        <v>949</v>
      </c>
      <c r="B31" s="508">
        <v>230.27</v>
      </c>
      <c r="C31" s="511">
        <v>5.53</v>
      </c>
      <c r="D31" s="511">
        <v>5.71</v>
      </c>
      <c r="E31" s="508">
        <v>247.88</v>
      </c>
      <c r="F31" s="511">
        <v>5.0999999999999996</v>
      </c>
      <c r="G31" s="508">
        <v>4.5599999999999996</v>
      </c>
      <c r="H31" s="508">
        <v>207.69</v>
      </c>
      <c r="I31" s="511">
        <v>6.19</v>
      </c>
      <c r="J31" s="511">
        <v>7.48</v>
      </c>
      <c r="K31" s="508">
        <v>242.85</v>
      </c>
      <c r="L31" s="511">
        <v>190.62</v>
      </c>
      <c r="M31" s="508">
        <v>234.01</v>
      </c>
      <c r="N31" s="511">
        <v>206.32</v>
      </c>
      <c r="O31" s="511">
        <v>209.32</v>
      </c>
      <c r="P31" s="508">
        <v>172.72</v>
      </c>
      <c r="Q31" s="511">
        <v>216.62</v>
      </c>
    </row>
    <row r="32" spans="1:17" s="480" customFormat="1" ht="13.9" customHeight="1">
      <c r="A32" s="457" t="s">
        <v>956</v>
      </c>
      <c r="B32" s="40">
        <v>231.85</v>
      </c>
      <c r="C32" s="41">
        <v>5.57</v>
      </c>
      <c r="D32" s="41">
        <v>5.66</v>
      </c>
      <c r="E32" s="40">
        <v>250.64</v>
      </c>
      <c r="F32" s="41">
        <v>5.56</v>
      </c>
      <c r="G32" s="40">
        <v>4.54</v>
      </c>
      <c r="H32" s="40">
        <v>207.75</v>
      </c>
      <c r="I32" s="41">
        <v>5.58</v>
      </c>
      <c r="J32" s="41">
        <v>7.38</v>
      </c>
      <c r="K32" s="40">
        <v>242.88</v>
      </c>
      <c r="L32" s="41">
        <v>190.65</v>
      </c>
      <c r="M32" s="40">
        <v>234.23</v>
      </c>
      <c r="N32" s="41">
        <v>206.38</v>
      </c>
      <c r="O32" s="41">
        <v>209.42</v>
      </c>
      <c r="P32" s="40">
        <v>172.76</v>
      </c>
      <c r="Q32" s="41">
        <v>216.65</v>
      </c>
    </row>
    <row r="33" spans="1:17" s="480" customFormat="1" ht="13.9" customHeight="1">
      <c r="A33" s="574" t="s">
        <v>957</v>
      </c>
      <c r="B33" s="508">
        <v>231.18</v>
      </c>
      <c r="C33" s="511">
        <v>5.38</v>
      </c>
      <c r="D33" s="511">
        <v>5.6</v>
      </c>
      <c r="E33" s="508">
        <v>249.41</v>
      </c>
      <c r="F33" s="511">
        <v>5.41</v>
      </c>
      <c r="G33" s="508">
        <v>4.5199999999999996</v>
      </c>
      <c r="H33" s="508">
        <v>207.81</v>
      </c>
      <c r="I33" s="511">
        <v>5.33</v>
      </c>
      <c r="J33" s="511">
        <v>7.27</v>
      </c>
      <c r="K33" s="508">
        <v>242.94</v>
      </c>
      <c r="L33" s="511">
        <v>190.68</v>
      </c>
      <c r="M33" s="508">
        <v>234.31</v>
      </c>
      <c r="N33" s="511">
        <v>206.42</v>
      </c>
      <c r="O33" s="511">
        <v>209.51</v>
      </c>
      <c r="P33" s="511">
        <v>172.8</v>
      </c>
      <c r="Q33" s="511">
        <v>216.74</v>
      </c>
    </row>
    <row r="34" spans="1:17" s="480" customFormat="1" ht="13.9" customHeight="1">
      <c r="A34" s="457" t="s">
        <v>950</v>
      </c>
      <c r="B34" s="40">
        <v>231.53</v>
      </c>
      <c r="C34" s="41">
        <v>5.03</v>
      </c>
      <c r="D34" s="41">
        <v>5.51</v>
      </c>
      <c r="E34" s="40">
        <v>249.29</v>
      </c>
      <c r="F34" s="41">
        <v>5.38</v>
      </c>
      <c r="G34" s="41">
        <v>4.51</v>
      </c>
      <c r="H34" s="40">
        <v>208.76</v>
      </c>
      <c r="I34" s="41">
        <v>4.49</v>
      </c>
      <c r="J34" s="41">
        <v>7.05</v>
      </c>
      <c r="K34" s="40">
        <v>243.49</v>
      </c>
      <c r="L34" s="41">
        <v>190.87</v>
      </c>
      <c r="M34" s="40">
        <v>236.54</v>
      </c>
      <c r="N34" s="41">
        <v>206.83</v>
      </c>
      <c r="O34" s="41">
        <v>211.61</v>
      </c>
      <c r="P34" s="40">
        <v>172.91</v>
      </c>
      <c r="Q34" s="41">
        <v>219.53</v>
      </c>
    </row>
    <row r="35" spans="1:17" s="480" customFormat="1" ht="13.9" customHeight="1">
      <c r="A35" s="574" t="s">
        <v>958</v>
      </c>
      <c r="B35" s="508">
        <v>234.34</v>
      </c>
      <c r="C35" s="511">
        <v>5.15</v>
      </c>
      <c r="D35" s="511">
        <v>5.44</v>
      </c>
      <c r="E35" s="508">
        <v>251.86</v>
      </c>
      <c r="F35" s="511">
        <v>6.53</v>
      </c>
      <c r="G35" s="511">
        <v>4.7</v>
      </c>
      <c r="H35" s="508">
        <v>211.88</v>
      </c>
      <c r="I35" s="511">
        <v>3.1</v>
      </c>
      <c r="J35" s="511">
        <v>6.57</v>
      </c>
      <c r="K35" s="508">
        <v>243.72</v>
      </c>
      <c r="L35" s="511">
        <v>196.92</v>
      </c>
      <c r="M35" s="508">
        <v>237.24</v>
      </c>
      <c r="N35" s="511">
        <v>206.9</v>
      </c>
      <c r="O35" s="511">
        <v>212.14</v>
      </c>
      <c r="P35" s="511">
        <v>182.2</v>
      </c>
      <c r="Q35" s="511">
        <v>219.22</v>
      </c>
    </row>
    <row r="36" spans="1:17" s="480" customFormat="1" ht="13.9" customHeight="1">
      <c r="A36" s="457" t="s">
        <v>959</v>
      </c>
      <c r="B36" s="41">
        <v>234.4</v>
      </c>
      <c r="C36" s="41">
        <v>5.31</v>
      </c>
      <c r="D36" s="41">
        <v>5.41</v>
      </c>
      <c r="E36" s="40">
        <v>251.93</v>
      </c>
      <c r="F36" s="41">
        <v>6.84</v>
      </c>
      <c r="G36" s="41">
        <v>4.95</v>
      </c>
      <c r="H36" s="40">
        <v>211.92</v>
      </c>
      <c r="I36" s="41">
        <v>3.07</v>
      </c>
      <c r="J36" s="41">
        <v>6.11</v>
      </c>
      <c r="K36" s="40">
        <v>243.73</v>
      </c>
      <c r="L36" s="41">
        <v>196.93</v>
      </c>
      <c r="M36" s="40">
        <v>237.29</v>
      </c>
      <c r="N36" s="41">
        <v>207</v>
      </c>
      <c r="O36" s="41">
        <v>212.19</v>
      </c>
      <c r="P36" s="41">
        <v>182.29</v>
      </c>
      <c r="Q36" s="41">
        <v>219.25</v>
      </c>
    </row>
    <row r="37" spans="1:17" s="480" customFormat="1" ht="13.9" customHeight="1">
      <c r="A37" s="574" t="s">
        <v>951</v>
      </c>
      <c r="B37" s="511">
        <v>235.29</v>
      </c>
      <c r="C37" s="511">
        <v>5.39</v>
      </c>
      <c r="D37" s="511">
        <v>5.39</v>
      </c>
      <c r="E37" s="508">
        <v>253.32</v>
      </c>
      <c r="F37" s="511">
        <v>6.89</v>
      </c>
      <c r="G37" s="511">
        <v>5.2</v>
      </c>
      <c r="H37" s="508">
        <v>212.18</v>
      </c>
      <c r="I37" s="511">
        <v>3.18</v>
      </c>
      <c r="J37" s="511">
        <v>5.67</v>
      </c>
      <c r="K37" s="508">
        <v>243.87</v>
      </c>
      <c r="L37" s="511">
        <v>197.51</v>
      </c>
      <c r="M37" s="508">
        <v>237.41</v>
      </c>
      <c r="N37" s="511">
        <v>207.03</v>
      </c>
      <c r="O37" s="511">
        <v>212.27</v>
      </c>
      <c r="P37" s="511">
        <v>182.4</v>
      </c>
      <c r="Q37" s="511">
        <v>219.31</v>
      </c>
    </row>
    <row r="38" spans="1:17" s="480" customFormat="1" ht="13.9" customHeight="1">
      <c r="A38" s="457" t="s">
        <v>960</v>
      </c>
      <c r="B38" s="41">
        <v>235.58</v>
      </c>
      <c r="C38" s="41">
        <v>5.47</v>
      </c>
      <c r="D38" s="41">
        <v>5.38</v>
      </c>
      <c r="E38" s="40">
        <v>253.6</v>
      </c>
      <c r="F38" s="41">
        <v>6.94</v>
      </c>
      <c r="G38" s="41">
        <v>5.46</v>
      </c>
      <c r="H38" s="40">
        <v>212.48</v>
      </c>
      <c r="I38" s="41">
        <v>3.3</v>
      </c>
      <c r="J38" s="41">
        <v>5.25</v>
      </c>
      <c r="K38" s="40">
        <v>245.09</v>
      </c>
      <c r="L38" s="41">
        <v>197.55</v>
      </c>
      <c r="M38" s="40">
        <v>237.81</v>
      </c>
      <c r="N38" s="41">
        <v>207.13</v>
      </c>
      <c r="O38" s="41">
        <v>212.51</v>
      </c>
      <c r="P38" s="41">
        <v>182.42</v>
      </c>
      <c r="Q38" s="41">
        <v>219.4</v>
      </c>
    </row>
    <row r="39" spans="1:17" s="480" customFormat="1" ht="13.9" customHeight="1">
      <c r="A39" s="574" t="s">
        <v>961</v>
      </c>
      <c r="B39" s="511">
        <v>232.83</v>
      </c>
      <c r="C39" s="511">
        <v>5.76</v>
      </c>
      <c r="D39" s="511">
        <v>5.41</v>
      </c>
      <c r="E39" s="508">
        <v>248.94</v>
      </c>
      <c r="F39" s="511">
        <v>7.37</v>
      </c>
      <c r="G39" s="511">
        <v>5.75</v>
      </c>
      <c r="H39" s="508">
        <v>212.18</v>
      </c>
      <c r="I39" s="511">
        <v>3.44</v>
      </c>
      <c r="J39" s="511">
        <v>4.8899999999999997</v>
      </c>
      <c r="K39" s="508">
        <v>244.93</v>
      </c>
      <c r="L39" s="511">
        <v>197.61</v>
      </c>
      <c r="M39" s="508">
        <v>237.09</v>
      </c>
      <c r="N39" s="511">
        <v>207.14</v>
      </c>
      <c r="O39" s="511">
        <v>212.58</v>
      </c>
      <c r="P39" s="511">
        <v>182.45</v>
      </c>
      <c r="Q39" s="511">
        <v>216.84</v>
      </c>
    </row>
    <row r="40" spans="1:17" s="480" customFormat="1" ht="13.9" customHeight="1">
      <c r="A40" s="457" t="s">
        <v>952</v>
      </c>
      <c r="B40" s="41">
        <v>233.86</v>
      </c>
      <c r="C40" s="41">
        <v>5.94</v>
      </c>
      <c r="D40" s="41">
        <v>5.44</v>
      </c>
      <c r="E40" s="40">
        <v>250.35</v>
      </c>
      <c r="F40" s="41">
        <v>7.51</v>
      </c>
      <c r="G40" s="41">
        <v>6.02</v>
      </c>
      <c r="H40" s="40">
        <v>212.72</v>
      </c>
      <c r="I40" s="41">
        <v>3.67</v>
      </c>
      <c r="J40" s="41">
        <v>4.57</v>
      </c>
      <c r="K40" s="40">
        <v>246.27</v>
      </c>
      <c r="L40" s="41">
        <v>198.27</v>
      </c>
      <c r="M40" s="40">
        <v>237.67</v>
      </c>
      <c r="N40" s="41">
        <v>207.24</v>
      </c>
      <c r="O40" s="41">
        <v>212.8</v>
      </c>
      <c r="P40" s="41">
        <v>182.47</v>
      </c>
      <c r="Q40" s="41">
        <v>216.88</v>
      </c>
    </row>
    <row r="41" spans="1:17" s="480" customFormat="1" ht="13.9" customHeight="1">
      <c r="A41" s="650" t="s">
        <v>2755</v>
      </c>
      <c r="B41" s="511"/>
      <c r="C41" s="511"/>
      <c r="D41" s="511"/>
      <c r="E41" s="508"/>
      <c r="F41" s="511"/>
      <c r="G41" s="511"/>
      <c r="H41" s="508"/>
      <c r="I41" s="511"/>
      <c r="J41" s="511"/>
      <c r="K41" s="508"/>
      <c r="L41" s="511"/>
      <c r="M41" s="508"/>
      <c r="N41" s="511"/>
      <c r="O41" s="511"/>
      <c r="P41" s="511"/>
      <c r="Q41" s="511"/>
    </row>
    <row r="42" spans="1:17" s="480" customFormat="1" ht="13.9" customHeight="1" thickBot="1">
      <c r="A42" s="885" t="s">
        <v>2415</v>
      </c>
      <c r="B42" s="1536">
        <v>236.61</v>
      </c>
      <c r="C42" s="1536">
        <v>5.57</v>
      </c>
      <c r="D42" s="1536">
        <v>5.45</v>
      </c>
      <c r="E42" s="1536">
        <v>254.2</v>
      </c>
      <c r="F42" s="1536">
        <v>6.95</v>
      </c>
      <c r="G42" s="1536">
        <v>6.23</v>
      </c>
      <c r="H42" s="610">
        <v>214.05</v>
      </c>
      <c r="I42" s="1536">
        <v>3.53</v>
      </c>
      <c r="J42" s="1536">
        <v>4.29</v>
      </c>
      <c r="K42" s="610">
        <v>246.77</v>
      </c>
      <c r="L42" s="1536">
        <v>199.5</v>
      </c>
      <c r="M42" s="610">
        <v>241.75</v>
      </c>
      <c r="N42" s="1536">
        <v>207.58</v>
      </c>
      <c r="O42" s="1536">
        <v>215.24</v>
      </c>
      <c r="P42" s="1536">
        <v>182.62</v>
      </c>
      <c r="Q42" s="1536">
        <v>217.15</v>
      </c>
    </row>
    <row r="43" spans="1:17" ht="9.6" customHeight="1">
      <c r="A43" s="315" t="s">
        <v>2746</v>
      </c>
      <c r="B43" s="162"/>
      <c r="C43" s="162"/>
      <c r="D43" s="162"/>
      <c r="E43" s="162"/>
      <c r="F43" s="162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</row>
    <row r="44" spans="1:17" ht="9.6" customHeight="1">
      <c r="A44" s="315" t="s">
        <v>2747</v>
      </c>
      <c r="B44" s="162"/>
      <c r="C44" s="162"/>
      <c r="D44" s="162"/>
      <c r="E44" s="162"/>
      <c r="F44" s="162"/>
      <c r="G44" s="41"/>
      <c r="H44" s="1939" t="s">
        <v>737</v>
      </c>
      <c r="I44" s="1939"/>
      <c r="J44" s="46"/>
      <c r="K44" s="41"/>
      <c r="L44" s="41"/>
      <c r="M44" s="41"/>
      <c r="N44" s="41"/>
      <c r="O44" s="41"/>
      <c r="P44" s="41"/>
      <c r="Q44" s="41"/>
    </row>
    <row r="45" spans="1:17" ht="8.85" customHeight="1">
      <c r="A45" s="1921" t="s">
        <v>563</v>
      </c>
      <c r="B45" s="1922"/>
      <c r="C45" s="1922"/>
      <c r="D45" s="1922"/>
      <c r="E45" s="1922"/>
      <c r="F45" s="1922"/>
      <c r="G45" s="1922"/>
      <c r="H45" s="1922"/>
      <c r="I45" s="1922"/>
    </row>
    <row r="46" spans="1:17" ht="8.85" customHeight="1">
      <c r="A46" s="46"/>
      <c r="B46" s="46"/>
      <c r="C46" s="46"/>
      <c r="D46" s="46"/>
      <c r="E46" s="1531"/>
      <c r="F46" s="1531"/>
      <c r="G46" s="1234"/>
      <c r="H46" s="1531"/>
      <c r="I46" s="252"/>
      <c r="J46" s="1234"/>
      <c r="K46" s="108"/>
      <c r="L46" s="108"/>
      <c r="M46" s="108"/>
      <c r="N46" s="108"/>
    </row>
    <row r="47" spans="1:17">
      <c r="B47" s="131"/>
      <c r="C47" s="131"/>
      <c r="D47" s="131"/>
      <c r="E47" s="131"/>
      <c r="F47" s="131"/>
      <c r="H47" s="131"/>
      <c r="I47" s="460"/>
    </row>
    <row r="48" spans="1:17">
      <c r="C48" s="460"/>
      <c r="F48" s="460"/>
      <c r="G48" s="1234"/>
      <c r="H48" s="131"/>
      <c r="I48" s="460"/>
      <c r="J48" s="1234"/>
    </row>
    <row r="49" spans="1:17">
      <c r="A49" s="457"/>
      <c r="B49" s="460"/>
      <c r="C49" s="460"/>
      <c r="D49" s="460"/>
      <c r="F49" s="460"/>
      <c r="H49" s="131"/>
      <c r="I49" s="460"/>
      <c r="L49" s="460"/>
      <c r="M49" s="460"/>
      <c r="N49" s="460"/>
      <c r="O49" s="460"/>
      <c r="P49" s="460"/>
      <c r="Q49" s="460"/>
    </row>
    <row r="50" spans="1:17">
      <c r="B50" s="131"/>
      <c r="C50" s="131"/>
      <c r="D50" s="131"/>
      <c r="E50" s="131"/>
      <c r="F50" s="131"/>
      <c r="G50" s="1234"/>
      <c r="H50" s="131"/>
      <c r="I50" s="131"/>
      <c r="J50" s="1234"/>
    </row>
    <row r="51" spans="1:17">
      <c r="H51" s="131"/>
    </row>
    <row r="52" spans="1:17">
      <c r="H52" s="131"/>
    </row>
    <row r="53" spans="1:17">
      <c r="C53" s="1234"/>
      <c r="F53" s="131"/>
      <c r="I53" s="131"/>
    </row>
  </sheetData>
  <mergeCells count="30">
    <mergeCell ref="D4:D5"/>
    <mergeCell ref="I4:I5"/>
    <mergeCell ref="F6:G6"/>
    <mergeCell ref="F4:F5"/>
    <mergeCell ref="H44:I44"/>
    <mergeCell ref="P1:Q1"/>
    <mergeCell ref="K3:Q3"/>
    <mergeCell ref="O4:O5"/>
    <mergeCell ref="P4:P5"/>
    <mergeCell ref="K1:O1"/>
    <mergeCell ref="Q4:Q5"/>
    <mergeCell ref="L4:L5"/>
    <mergeCell ref="M4:M5"/>
    <mergeCell ref="N4:N5"/>
    <mergeCell ref="A45:I45"/>
    <mergeCell ref="D1:J1"/>
    <mergeCell ref="H4:H5"/>
    <mergeCell ref="F3:G3"/>
    <mergeCell ref="K4:K5"/>
    <mergeCell ref="I3:J3"/>
    <mergeCell ref="C3:D3"/>
    <mergeCell ref="G4:G5"/>
    <mergeCell ref="C4:C5"/>
    <mergeCell ref="G2:J2"/>
    <mergeCell ref="A3:A5"/>
    <mergeCell ref="I6:J6"/>
    <mergeCell ref="C6:D6"/>
    <mergeCell ref="E4:E5"/>
    <mergeCell ref="J4:J5"/>
    <mergeCell ref="B4:B5"/>
  </mergeCells>
  <phoneticPr fontId="0" type="noConversion"/>
  <pageMargins left="0.62992125984252001" right="0.39370078740157499" top="0.511811023622047" bottom="0.511811023622047" header="0" footer="0.511811023622047"/>
  <pageSetup paperSize="151" firstPageNumber="42" orientation="portrait" useFirstPageNumber="1" r:id="rId1"/>
  <headerFooter alignWithMargins="0">
    <oddFooter>&amp;C&amp;"Times New Roman,Regular"&amp;8&amp;P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J59"/>
  <sheetViews>
    <sheetView zoomScale="140" zoomScaleNormal="140" workbookViewId="0">
      <pane xSplit="2" ySplit="6" topLeftCell="E40" activePane="bottomRight" state="frozen"/>
      <selection pane="topRight" activeCell="C1" sqref="C1"/>
      <selection pane="bottomLeft" activeCell="A7" sqref="A7"/>
      <selection pane="bottomRight" activeCell="E54" sqref="E54"/>
    </sheetView>
  </sheetViews>
  <sheetFormatPr defaultColWidth="9.140625" defaultRowHeight="12.75"/>
  <cols>
    <col min="1" max="1" width="9.140625" style="2"/>
    <col min="2" max="2" width="2.85546875" style="2" customWidth="1"/>
    <col min="3" max="3" width="16.140625" style="2" customWidth="1"/>
    <col min="4" max="4" width="16" style="2" customWidth="1"/>
    <col min="5" max="5" width="14.85546875" style="2" customWidth="1"/>
    <col min="6" max="6" width="15.140625" style="2" customWidth="1"/>
    <col min="7" max="7" width="19.42578125" style="2" customWidth="1"/>
    <col min="8" max="8" width="21" style="2" customWidth="1"/>
    <col min="9" max="9" width="19.42578125" style="2" customWidth="1"/>
    <col min="10" max="10" width="15" style="2" customWidth="1"/>
    <col min="11" max="11" width="11.5703125" style="2" customWidth="1"/>
    <col min="12" max="12" width="11.42578125" style="2" customWidth="1"/>
    <col min="13" max="16384" width="9.140625" style="2"/>
  </cols>
  <sheetData>
    <row r="1" spans="1:10" s="48" customFormat="1" ht="17.25" customHeight="1">
      <c r="A1" s="1663" t="s">
        <v>650</v>
      </c>
      <c r="B1" s="1663"/>
      <c r="C1" s="1663"/>
      <c r="D1" s="1663"/>
      <c r="E1" s="1663"/>
      <c r="F1" s="1663"/>
      <c r="G1" s="1940" t="s">
        <v>651</v>
      </c>
      <c r="H1" s="1940"/>
      <c r="I1" s="90"/>
      <c r="J1" s="89" t="s">
        <v>2076</v>
      </c>
    </row>
    <row r="2" spans="1:10" ht="3.75" customHeight="1">
      <c r="A2" s="135"/>
      <c r="B2" s="135"/>
      <c r="C2" s="135"/>
      <c r="D2" s="135"/>
      <c r="E2" s="135"/>
      <c r="F2" s="135"/>
      <c r="G2" s="135"/>
      <c r="H2" s="135"/>
      <c r="I2" s="135"/>
      <c r="J2" s="135"/>
    </row>
    <row r="3" spans="1:10" s="1335" customFormat="1" ht="24" customHeight="1">
      <c r="A3" s="1761" t="s">
        <v>875</v>
      </c>
      <c r="B3" s="1762"/>
      <c r="C3" s="1941" t="s">
        <v>2612</v>
      </c>
      <c r="D3" s="1941"/>
      <c r="E3" s="1941" t="s">
        <v>149</v>
      </c>
      <c r="F3" s="1941"/>
      <c r="G3" s="1624" t="s">
        <v>1914</v>
      </c>
      <c r="H3" s="1622" t="s">
        <v>2571</v>
      </c>
      <c r="I3" s="1622"/>
      <c r="J3" s="1662" t="s">
        <v>875</v>
      </c>
    </row>
    <row r="4" spans="1:10" s="1335" customFormat="1">
      <c r="A4" s="1763"/>
      <c r="B4" s="1764"/>
      <c r="C4" s="1624" t="s">
        <v>1912</v>
      </c>
      <c r="D4" s="1624" t="s">
        <v>2541</v>
      </c>
      <c r="E4" s="1624" t="s">
        <v>1913</v>
      </c>
      <c r="F4" s="1624" t="s">
        <v>1910</v>
      </c>
      <c r="G4" s="1624"/>
      <c r="H4" s="1624" t="s">
        <v>1911</v>
      </c>
      <c r="I4" s="1624" t="s">
        <v>1915</v>
      </c>
      <c r="J4" s="1662"/>
    </row>
    <row r="5" spans="1:10" s="1335" customFormat="1">
      <c r="A5" s="1763"/>
      <c r="B5" s="1764"/>
      <c r="C5" s="1624"/>
      <c r="D5" s="1624"/>
      <c r="E5" s="1624"/>
      <c r="F5" s="1624"/>
      <c r="G5" s="1624"/>
      <c r="H5" s="1624"/>
      <c r="I5" s="1624"/>
      <c r="J5" s="1662"/>
    </row>
    <row r="6" spans="1:10" s="1335" customFormat="1" ht="12.75" customHeight="1">
      <c r="A6" s="1765"/>
      <c r="B6" s="1766"/>
      <c r="C6" s="1624"/>
      <c r="D6" s="1624"/>
      <c r="E6" s="1624"/>
      <c r="F6" s="1624"/>
      <c r="G6" s="1624"/>
      <c r="H6" s="1624"/>
      <c r="I6" s="1624"/>
      <c r="J6" s="1662"/>
    </row>
    <row r="7" spans="1:10" s="10" customFormat="1" ht="11.25" customHeight="1">
      <c r="A7" s="233">
        <v>1999</v>
      </c>
      <c r="B7" s="233"/>
      <c r="C7" s="283">
        <v>1465</v>
      </c>
      <c r="D7" s="283">
        <v>3500</v>
      </c>
      <c r="E7" s="419">
        <v>17</v>
      </c>
      <c r="F7" s="283">
        <v>5227</v>
      </c>
      <c r="G7" s="419">
        <v>67</v>
      </c>
      <c r="H7" s="283">
        <v>861</v>
      </c>
      <c r="I7" s="283">
        <v>108</v>
      </c>
      <c r="J7" s="60">
        <v>1999</v>
      </c>
    </row>
    <row r="8" spans="1:10" s="10" customFormat="1" ht="11.25" customHeight="1">
      <c r="A8" s="553">
        <v>2000</v>
      </c>
      <c r="B8" s="553"/>
      <c r="C8" s="548" t="s">
        <v>1111</v>
      </c>
      <c r="D8" s="548">
        <v>3708</v>
      </c>
      <c r="E8" s="510">
        <v>15</v>
      </c>
      <c r="F8" s="548">
        <v>5613</v>
      </c>
      <c r="G8" s="510">
        <v>69</v>
      </c>
      <c r="H8" s="548">
        <v>941</v>
      </c>
      <c r="I8" s="548">
        <v>102</v>
      </c>
      <c r="J8" s="522">
        <v>2000</v>
      </c>
    </row>
    <row r="9" spans="1:10" s="10" customFormat="1" ht="10.5" customHeight="1">
      <c r="A9" s="233">
        <v>2001</v>
      </c>
      <c r="B9" s="233"/>
      <c r="C9" s="283">
        <v>1840</v>
      </c>
      <c r="D9" s="283">
        <v>4192</v>
      </c>
      <c r="E9" s="419">
        <v>14</v>
      </c>
      <c r="F9" s="283">
        <v>5650</v>
      </c>
      <c r="G9" s="419">
        <v>69</v>
      </c>
      <c r="H9" s="283">
        <v>1192</v>
      </c>
      <c r="I9" s="283">
        <v>111</v>
      </c>
      <c r="J9" s="60">
        <v>2001</v>
      </c>
    </row>
    <row r="10" spans="1:10" s="10" customFormat="1" ht="11.25" customHeight="1">
      <c r="A10" s="553">
        <v>2002</v>
      </c>
      <c r="B10" s="553"/>
      <c r="C10" s="548">
        <v>1624</v>
      </c>
      <c r="D10" s="548">
        <v>3760</v>
      </c>
      <c r="E10" s="510">
        <v>15</v>
      </c>
      <c r="F10" s="548">
        <v>6432</v>
      </c>
      <c r="G10" s="510">
        <v>69</v>
      </c>
      <c r="H10" s="548">
        <v>1137</v>
      </c>
      <c r="I10" s="548">
        <v>139</v>
      </c>
      <c r="J10" s="522">
        <v>2002</v>
      </c>
    </row>
    <row r="11" spans="1:10" s="10" customFormat="1" ht="11.25" customHeight="1">
      <c r="A11" s="233">
        <v>2003</v>
      </c>
      <c r="B11" s="233"/>
      <c r="C11" s="283">
        <v>1367</v>
      </c>
      <c r="D11" s="283">
        <v>3400</v>
      </c>
      <c r="E11" s="419">
        <v>16</v>
      </c>
      <c r="F11" s="283">
        <v>8442</v>
      </c>
      <c r="G11" s="419">
        <v>73</v>
      </c>
      <c r="H11" s="283">
        <v>1174</v>
      </c>
      <c r="I11" s="283">
        <v>175</v>
      </c>
      <c r="J11" s="60">
        <v>2003</v>
      </c>
    </row>
    <row r="12" spans="1:10" s="10" customFormat="1" ht="10.5" customHeight="1">
      <c r="A12" s="553">
        <v>2004</v>
      </c>
      <c r="B12" s="553"/>
      <c r="C12" s="548">
        <v>1677.3333333333333</v>
      </c>
      <c r="D12" s="548">
        <v>4071.1666666666665</v>
      </c>
      <c r="E12" s="510">
        <v>15.75</v>
      </c>
      <c r="F12" s="548">
        <v>9459.3333333333339</v>
      </c>
      <c r="G12" s="510">
        <v>71.583333333333329</v>
      </c>
      <c r="H12" s="548">
        <v>1174</v>
      </c>
      <c r="I12" s="548">
        <v>160.91666666666666</v>
      </c>
      <c r="J12" s="522">
        <v>2004</v>
      </c>
    </row>
    <row r="13" spans="1:10" s="10" customFormat="1" ht="11.25" customHeight="1">
      <c r="A13" s="233">
        <v>2005</v>
      </c>
      <c r="B13" s="233"/>
      <c r="C13" s="283">
        <v>2355.0833333333335</v>
      </c>
      <c r="D13" s="283">
        <v>5268.916666666667</v>
      </c>
      <c r="E13" s="419">
        <v>21.600000000000005</v>
      </c>
      <c r="F13" s="283">
        <v>10220.25</v>
      </c>
      <c r="G13" s="419">
        <v>81.714285714285708</v>
      </c>
      <c r="H13" s="283">
        <v>1256.4545454545455</v>
      </c>
      <c r="I13" s="283">
        <v>186.125</v>
      </c>
      <c r="J13" s="60">
        <v>2005</v>
      </c>
    </row>
    <row r="14" spans="1:10" s="10" customFormat="1" ht="9.75" customHeight="1">
      <c r="A14" s="553">
        <v>2006</v>
      </c>
      <c r="B14" s="553"/>
      <c r="C14" s="548">
        <v>2742.25</v>
      </c>
      <c r="D14" s="548">
        <v>6041.666666666667</v>
      </c>
      <c r="E14" s="510">
        <v>25.344285714285714</v>
      </c>
      <c r="F14" s="548">
        <v>13706.666666666666</v>
      </c>
      <c r="G14" s="510">
        <v>84.828466666666657</v>
      </c>
      <c r="H14" s="548">
        <v>990.41666666666663</v>
      </c>
      <c r="I14" s="548">
        <v>162.75</v>
      </c>
      <c r="J14" s="522">
        <v>2006</v>
      </c>
    </row>
    <row r="15" spans="1:10" s="10" customFormat="1" ht="11.25" customHeight="1">
      <c r="A15" s="233">
        <v>2007</v>
      </c>
      <c r="B15" s="233"/>
      <c r="C15" s="283">
        <v>2550.4166666666665</v>
      </c>
      <c r="D15" s="283">
        <v>5683.333333333333</v>
      </c>
      <c r="E15" s="419">
        <v>29.182500000000001</v>
      </c>
      <c r="F15" s="283">
        <v>14808.333333333334</v>
      </c>
      <c r="G15" s="419">
        <v>86.207887287051832</v>
      </c>
      <c r="H15" s="283">
        <v>1239.5833333333333</v>
      </c>
      <c r="I15" s="283">
        <v>166.58333333333334</v>
      </c>
      <c r="J15" s="60">
        <v>2007</v>
      </c>
    </row>
    <row r="16" spans="1:10" s="10" customFormat="1" ht="10.5" customHeight="1">
      <c r="A16" s="553">
        <v>2008</v>
      </c>
      <c r="B16" s="553"/>
      <c r="C16" s="548">
        <v>3128.9166666666665</v>
      </c>
      <c r="D16" s="548">
        <v>6691.666666666667</v>
      </c>
      <c r="E16" s="510">
        <v>42.047499999999999</v>
      </c>
      <c r="F16" s="548">
        <v>22825</v>
      </c>
      <c r="G16" s="510">
        <v>113.4179864994834</v>
      </c>
      <c r="H16" s="548">
        <v>1285</v>
      </c>
      <c r="I16" s="548">
        <v>165.25</v>
      </c>
      <c r="J16" s="522">
        <v>2008</v>
      </c>
    </row>
    <row r="17" spans="1:10" s="10" customFormat="1" ht="11.25" customHeight="1">
      <c r="A17" s="233">
        <v>2009</v>
      </c>
      <c r="B17" s="233"/>
      <c r="C17" s="283">
        <v>3756.3333333333335</v>
      </c>
      <c r="D17" s="283">
        <v>7758.333333333333</v>
      </c>
      <c r="E17" s="419">
        <v>35.204166666666673</v>
      </c>
      <c r="F17" s="283">
        <v>23980.833333333332</v>
      </c>
      <c r="G17" s="419">
        <v>128.69797063195713</v>
      </c>
      <c r="H17" s="283">
        <v>586.66666666666663</v>
      </c>
      <c r="I17" s="283">
        <v>90.25</v>
      </c>
      <c r="J17" s="60">
        <v>2009</v>
      </c>
    </row>
    <row r="18" spans="1:10" s="10" customFormat="1" ht="10.5" customHeight="1">
      <c r="A18" s="553">
        <v>2010</v>
      </c>
      <c r="B18" s="553"/>
      <c r="C18" s="548">
        <v>6190.916666666667</v>
      </c>
      <c r="D18" s="548">
        <v>13941.416666666666</v>
      </c>
      <c r="E18" s="510">
        <v>35.166666666666664</v>
      </c>
      <c r="F18" s="548">
        <v>31114.166666666668</v>
      </c>
      <c r="G18" s="510">
        <v>142.05333333333334</v>
      </c>
      <c r="H18" s="548">
        <v>912.5</v>
      </c>
      <c r="I18" s="548">
        <v>101.58333333333333</v>
      </c>
      <c r="J18" s="522">
        <v>2010</v>
      </c>
    </row>
    <row r="19" spans="1:10" s="300" customFormat="1" ht="10.5" customHeight="1">
      <c r="A19" s="430">
        <v>2011</v>
      </c>
      <c r="B19" s="430"/>
      <c r="C19" s="880">
        <v>5937.5</v>
      </c>
      <c r="D19" s="880">
        <v>13850</v>
      </c>
      <c r="E19" s="881">
        <v>37.541666666666664</v>
      </c>
      <c r="F19" s="880">
        <v>26950</v>
      </c>
      <c r="G19" s="881">
        <v>166.13499999999999</v>
      </c>
      <c r="H19" s="880">
        <v>1087.9166666666667</v>
      </c>
      <c r="I19" s="880">
        <v>156.33333333333334</v>
      </c>
      <c r="J19" s="882">
        <v>2011</v>
      </c>
    </row>
    <row r="20" spans="1:10" s="300" customFormat="1" ht="11.25" customHeight="1">
      <c r="A20" s="530">
        <v>2012</v>
      </c>
      <c r="B20" s="530"/>
      <c r="C20" s="548">
        <v>5833.333333333333</v>
      </c>
      <c r="D20" s="548">
        <v>13600</v>
      </c>
      <c r="E20" s="510">
        <v>32.875</v>
      </c>
      <c r="F20" s="548">
        <v>54033.333333333336</v>
      </c>
      <c r="G20" s="510">
        <v>172.94416666666669</v>
      </c>
      <c r="H20" s="548">
        <v>1053.125</v>
      </c>
      <c r="I20" s="548">
        <v>112.77777777777777</v>
      </c>
      <c r="J20" s="522">
        <v>2012</v>
      </c>
    </row>
    <row r="21" spans="1:10" s="391" customFormat="1" ht="10.5" customHeight="1">
      <c r="A21" s="233">
        <v>2013</v>
      </c>
      <c r="B21" s="392"/>
      <c r="C21" s="880">
        <v>5375</v>
      </c>
      <c r="D21" s="880">
        <v>12500</v>
      </c>
      <c r="E21" s="881">
        <v>37.041666666666664</v>
      </c>
      <c r="F21" s="880">
        <v>51868.181818181816</v>
      </c>
      <c r="G21" s="881">
        <v>199.83166666666662</v>
      </c>
      <c r="H21" s="880">
        <v>680</v>
      </c>
      <c r="I21" s="880">
        <v>79.833333333333329</v>
      </c>
      <c r="J21" s="1415">
        <v>2013</v>
      </c>
    </row>
    <row r="22" spans="1:10" s="391" customFormat="1" ht="11.25" customHeight="1">
      <c r="A22" s="965">
        <v>2014</v>
      </c>
      <c r="B22" s="972"/>
      <c r="C22" s="851">
        <v>5375</v>
      </c>
      <c r="D22" s="851">
        <v>12500</v>
      </c>
      <c r="E22" s="852">
        <v>40</v>
      </c>
      <c r="F22" s="851">
        <v>48600</v>
      </c>
      <c r="G22" s="852">
        <v>185.97166666666666</v>
      </c>
      <c r="H22" s="851">
        <v>1078.75</v>
      </c>
      <c r="I22" s="851">
        <v>109.33333333333333</v>
      </c>
      <c r="J22" s="556">
        <v>2014</v>
      </c>
    </row>
    <row r="23" spans="1:10" s="391" customFormat="1" ht="9.75" customHeight="1">
      <c r="A23" s="1072">
        <v>2015</v>
      </c>
      <c r="B23" s="416"/>
      <c r="C23" s="1417">
        <f t="shared" ref="C23:E23" si="0">AVERAGE(C24:C35)</f>
        <v>5770.833333333333</v>
      </c>
      <c r="D23" s="1417">
        <f t="shared" si="0"/>
        <v>13650</v>
      </c>
      <c r="E23" s="1528">
        <f t="shared" si="0"/>
        <v>37.666666666666664</v>
      </c>
      <c r="F23" s="1417">
        <f>AVERAGE(F24:F35)</f>
        <v>44166.666666666664</v>
      </c>
      <c r="G23" s="1013">
        <f>AVERAGE(G24:G35)</f>
        <v>166.07666666666668</v>
      </c>
      <c r="H23" s="1273">
        <f t="shared" ref="H23:I23" si="1">AVERAGE(H24:H35)</f>
        <v>1287.5</v>
      </c>
      <c r="I23" s="1273">
        <f t="shared" si="1"/>
        <v>96.416666666666671</v>
      </c>
      <c r="J23" s="1272">
        <v>2015</v>
      </c>
    </row>
    <row r="24" spans="1:10" s="391" customFormat="1" ht="10.5" customHeight="1">
      <c r="A24" s="553" t="s">
        <v>958</v>
      </c>
      <c r="B24" s="501"/>
      <c r="C24" s="501">
        <v>5375</v>
      </c>
      <c r="D24" s="501">
        <v>12700</v>
      </c>
      <c r="E24" s="499">
        <v>40</v>
      </c>
      <c r="F24" s="548">
        <v>45000</v>
      </c>
      <c r="G24" s="510">
        <v>197.18</v>
      </c>
      <c r="H24" s="501">
        <v>1400</v>
      </c>
      <c r="I24" s="501">
        <v>78</v>
      </c>
      <c r="J24" s="555" t="s">
        <v>958</v>
      </c>
    </row>
    <row r="25" spans="1:10" s="391" customFormat="1" ht="9.9499999999999993" customHeight="1">
      <c r="A25" s="430" t="s">
        <v>959</v>
      </c>
      <c r="B25" s="416"/>
      <c r="C25" s="416">
        <v>5375</v>
      </c>
      <c r="D25" s="416">
        <v>12700</v>
      </c>
      <c r="E25" s="414">
        <v>40</v>
      </c>
      <c r="F25" s="880">
        <v>45300</v>
      </c>
      <c r="G25" s="881">
        <v>186.18</v>
      </c>
      <c r="H25" s="416">
        <v>1250</v>
      </c>
      <c r="I25" s="416">
        <v>62</v>
      </c>
      <c r="J25" s="773" t="s">
        <v>959</v>
      </c>
    </row>
    <row r="26" spans="1:10" s="391" customFormat="1" ht="9.9499999999999993" customHeight="1">
      <c r="A26" s="553" t="s">
        <v>951</v>
      </c>
      <c r="B26" s="501"/>
      <c r="C26" s="501">
        <v>5375</v>
      </c>
      <c r="D26" s="501">
        <v>12700</v>
      </c>
      <c r="E26" s="499">
        <v>40</v>
      </c>
      <c r="F26" s="548">
        <v>45300</v>
      </c>
      <c r="G26" s="510">
        <v>154.62</v>
      </c>
      <c r="H26" s="501">
        <v>1250</v>
      </c>
      <c r="I26" s="501">
        <v>62</v>
      </c>
      <c r="J26" s="555" t="s">
        <v>951</v>
      </c>
    </row>
    <row r="27" spans="1:10" s="391" customFormat="1" ht="9.9499999999999993" customHeight="1">
      <c r="A27" s="430" t="s">
        <v>960</v>
      </c>
      <c r="B27" s="416"/>
      <c r="C27" s="416">
        <v>5625</v>
      </c>
      <c r="D27" s="416">
        <v>13300</v>
      </c>
      <c r="E27" s="414">
        <v>38</v>
      </c>
      <c r="F27" s="880">
        <v>45300</v>
      </c>
      <c r="G27" s="881">
        <v>151.35</v>
      </c>
      <c r="H27" s="416">
        <v>1200</v>
      </c>
      <c r="I27" s="416">
        <v>55</v>
      </c>
      <c r="J27" s="773" t="s">
        <v>960</v>
      </c>
    </row>
    <row r="28" spans="1:10" s="391" customFormat="1" ht="9.9499999999999993" customHeight="1">
      <c r="A28" s="553" t="s">
        <v>961</v>
      </c>
      <c r="B28" s="501"/>
      <c r="C28" s="501">
        <v>5625</v>
      </c>
      <c r="D28" s="501">
        <v>13300</v>
      </c>
      <c r="E28" s="499">
        <v>38</v>
      </c>
      <c r="F28" s="548">
        <v>45300</v>
      </c>
      <c r="G28" s="510">
        <v>165.97</v>
      </c>
      <c r="H28" s="501">
        <v>1150</v>
      </c>
      <c r="I28" s="501">
        <v>50</v>
      </c>
      <c r="J28" s="555" t="s">
        <v>961</v>
      </c>
    </row>
    <row r="29" spans="1:10" s="391" customFormat="1" ht="11.25" customHeight="1">
      <c r="A29" s="430" t="s">
        <v>952</v>
      </c>
      <c r="B29" s="416"/>
      <c r="C29" s="416">
        <v>5625</v>
      </c>
      <c r="D29" s="416">
        <v>13300</v>
      </c>
      <c r="E29" s="414">
        <v>36</v>
      </c>
      <c r="F29" s="880">
        <v>45300</v>
      </c>
      <c r="G29" s="414">
        <v>151.55000000000001</v>
      </c>
      <c r="H29" s="416">
        <v>1175</v>
      </c>
      <c r="I29" s="416">
        <v>50</v>
      </c>
      <c r="J29" s="773" t="s">
        <v>952</v>
      </c>
    </row>
    <row r="30" spans="1:10" s="391" customFormat="1" ht="11.25" customHeight="1">
      <c r="A30" s="553" t="s">
        <v>954</v>
      </c>
      <c r="B30" s="501"/>
      <c r="C30" s="501">
        <v>5625</v>
      </c>
      <c r="D30" s="501">
        <v>13300</v>
      </c>
      <c r="E30" s="499">
        <v>36</v>
      </c>
      <c r="F30" s="548">
        <v>43000</v>
      </c>
      <c r="G30" s="499">
        <v>167.24</v>
      </c>
      <c r="H30" s="501">
        <v>1450</v>
      </c>
      <c r="I30" s="501">
        <v>165</v>
      </c>
      <c r="J30" s="555" t="s">
        <v>954</v>
      </c>
    </row>
    <row r="31" spans="1:10" s="36" customFormat="1" ht="11.25" customHeight="1">
      <c r="A31" s="430" t="s">
        <v>955</v>
      </c>
      <c r="B31" s="416"/>
      <c r="C31" s="416">
        <v>5750</v>
      </c>
      <c r="D31" s="416">
        <v>13600</v>
      </c>
      <c r="E31" s="414">
        <v>36</v>
      </c>
      <c r="F31" s="880">
        <v>43000</v>
      </c>
      <c r="G31" s="414">
        <v>154.44</v>
      </c>
      <c r="H31" s="416">
        <v>1375</v>
      </c>
      <c r="I31" s="416">
        <v>140</v>
      </c>
      <c r="J31" s="773" t="s">
        <v>955</v>
      </c>
    </row>
    <row r="32" spans="1:10" s="36" customFormat="1" ht="12" customHeight="1">
      <c r="A32" s="553" t="s">
        <v>949</v>
      </c>
      <c r="B32" s="501"/>
      <c r="C32" s="501">
        <v>5750</v>
      </c>
      <c r="D32" s="501">
        <v>13600</v>
      </c>
      <c r="E32" s="499">
        <v>37</v>
      </c>
      <c r="F32" s="548">
        <v>43000</v>
      </c>
      <c r="G32" s="499">
        <v>152.49</v>
      </c>
      <c r="H32" s="501">
        <v>1325</v>
      </c>
      <c r="I32" s="501">
        <v>135</v>
      </c>
      <c r="J32" s="555" t="s">
        <v>949</v>
      </c>
    </row>
    <row r="33" spans="1:10" s="36" customFormat="1" ht="11.25" customHeight="1">
      <c r="A33" s="430" t="s">
        <v>956</v>
      </c>
      <c r="B33" s="416"/>
      <c r="C33" s="416">
        <v>5750</v>
      </c>
      <c r="D33" s="416">
        <v>13600</v>
      </c>
      <c r="E33" s="414">
        <v>37</v>
      </c>
      <c r="F33" s="880">
        <v>43000</v>
      </c>
      <c r="G33" s="414">
        <v>164.77</v>
      </c>
      <c r="H33" s="416">
        <v>1350</v>
      </c>
      <c r="I33" s="416">
        <v>125</v>
      </c>
      <c r="J33" s="773" t="s">
        <v>956</v>
      </c>
    </row>
    <row r="34" spans="1:10" s="36" customFormat="1" ht="12" customHeight="1">
      <c r="A34" s="553" t="s">
        <v>957</v>
      </c>
      <c r="B34" s="501"/>
      <c r="C34" s="501">
        <v>7000</v>
      </c>
      <c r="D34" s="501">
        <v>16600</v>
      </c>
      <c r="E34" s="499">
        <v>37</v>
      </c>
      <c r="F34" s="548">
        <v>43000</v>
      </c>
      <c r="G34" s="499">
        <v>166.93</v>
      </c>
      <c r="H34" s="501">
        <v>1300</v>
      </c>
      <c r="I34" s="501">
        <v>115</v>
      </c>
      <c r="J34" s="555" t="s">
        <v>957</v>
      </c>
    </row>
    <row r="35" spans="1:10" s="36" customFormat="1" ht="11.25" customHeight="1">
      <c r="A35" s="430" t="s">
        <v>950</v>
      </c>
      <c r="B35" s="416"/>
      <c r="C35" s="416">
        <v>6375</v>
      </c>
      <c r="D35" s="416">
        <v>15100</v>
      </c>
      <c r="E35" s="414">
        <v>37</v>
      </c>
      <c r="F35" s="880">
        <v>43500</v>
      </c>
      <c r="G35" s="414">
        <v>180.2</v>
      </c>
      <c r="H35" s="416">
        <v>1225</v>
      </c>
      <c r="I35" s="416">
        <v>120</v>
      </c>
      <c r="J35" s="773" t="s">
        <v>950</v>
      </c>
    </row>
    <row r="36" spans="1:10" s="36" customFormat="1" ht="12" customHeight="1">
      <c r="A36" s="1271">
        <v>2016</v>
      </c>
      <c r="B36" s="501"/>
      <c r="C36" s="972">
        <f t="shared" ref="C36:I36" si="2">AVERAGE(C37:C48)</f>
        <v>6375</v>
      </c>
      <c r="D36" s="972">
        <f t="shared" si="2"/>
        <v>15100</v>
      </c>
      <c r="E36" s="1334">
        <f t="shared" si="2"/>
        <v>38.416666666666664</v>
      </c>
      <c r="F36" s="1333">
        <f t="shared" si="2"/>
        <v>44000</v>
      </c>
      <c r="G36" s="1334">
        <f t="shared" si="2"/>
        <v>161.27999999999997</v>
      </c>
      <c r="H36" s="1333">
        <f t="shared" si="2"/>
        <v>1009.1666666666666</v>
      </c>
      <c r="I36" s="1333">
        <f t="shared" si="2"/>
        <v>87</v>
      </c>
      <c r="J36" s="556">
        <v>2016</v>
      </c>
    </row>
    <row r="37" spans="1:10" s="36" customFormat="1" ht="12" customHeight="1">
      <c r="A37" s="430" t="s">
        <v>958</v>
      </c>
      <c r="B37" s="416"/>
      <c r="C37" s="416">
        <v>6375</v>
      </c>
      <c r="D37" s="416">
        <v>15100</v>
      </c>
      <c r="E37" s="414">
        <v>38</v>
      </c>
      <c r="F37" s="880">
        <v>44000</v>
      </c>
      <c r="G37" s="414">
        <v>172.99</v>
      </c>
      <c r="H37" s="416">
        <v>1200</v>
      </c>
      <c r="I37" s="416">
        <v>110</v>
      </c>
      <c r="J37" s="773" t="s">
        <v>958</v>
      </c>
    </row>
    <row r="38" spans="1:10" s="36" customFormat="1" ht="14.25" customHeight="1">
      <c r="A38" s="553" t="s">
        <v>959</v>
      </c>
      <c r="B38" s="501"/>
      <c r="C38" s="501">
        <v>6375</v>
      </c>
      <c r="D38" s="501">
        <v>15100</v>
      </c>
      <c r="E38" s="499">
        <v>38</v>
      </c>
      <c r="F38" s="548">
        <v>44000</v>
      </c>
      <c r="G38" s="499">
        <v>132.86000000000001</v>
      </c>
      <c r="H38" s="501">
        <v>1080</v>
      </c>
      <c r="I38" s="501">
        <v>100</v>
      </c>
      <c r="J38" s="555" t="s">
        <v>959</v>
      </c>
    </row>
    <row r="39" spans="1:10" s="36" customFormat="1" ht="12" customHeight="1">
      <c r="A39" s="430" t="s">
        <v>951</v>
      </c>
      <c r="B39" s="416"/>
      <c r="C39" s="416">
        <v>6375</v>
      </c>
      <c r="D39" s="416">
        <v>15100</v>
      </c>
      <c r="E39" s="414">
        <v>38</v>
      </c>
      <c r="F39" s="880">
        <v>44000</v>
      </c>
      <c r="G39" s="414">
        <v>144.27000000000001</v>
      </c>
      <c r="H39" s="416">
        <v>1050</v>
      </c>
      <c r="I39" s="416">
        <v>88</v>
      </c>
      <c r="J39" s="773" t="s">
        <v>951</v>
      </c>
    </row>
    <row r="40" spans="1:10" s="36" customFormat="1" ht="12" customHeight="1">
      <c r="A40" s="553" t="s">
        <v>960</v>
      </c>
      <c r="B40" s="501"/>
      <c r="C40" s="501">
        <v>6375</v>
      </c>
      <c r="D40" s="501">
        <v>15100</v>
      </c>
      <c r="E40" s="499">
        <v>38</v>
      </c>
      <c r="F40" s="548">
        <v>44000</v>
      </c>
      <c r="G40" s="499">
        <v>183.04</v>
      </c>
      <c r="H40" s="501">
        <v>980</v>
      </c>
      <c r="I40" s="501">
        <v>82</v>
      </c>
      <c r="J40" s="555" t="s">
        <v>960</v>
      </c>
    </row>
    <row r="41" spans="1:10" s="36" customFormat="1" ht="12" customHeight="1">
      <c r="A41" s="430" t="s">
        <v>961</v>
      </c>
      <c r="B41" s="416"/>
      <c r="C41" s="416">
        <v>6375</v>
      </c>
      <c r="D41" s="416">
        <v>15100</v>
      </c>
      <c r="E41" s="414">
        <v>38</v>
      </c>
      <c r="F41" s="880">
        <v>44000</v>
      </c>
      <c r="G41" s="414">
        <v>178.39</v>
      </c>
      <c r="H41" s="416">
        <v>1050</v>
      </c>
      <c r="I41" s="416">
        <v>95</v>
      </c>
      <c r="J41" s="773" t="s">
        <v>961</v>
      </c>
    </row>
    <row r="42" spans="1:10" s="36" customFormat="1" ht="12" customHeight="1">
      <c r="A42" s="553" t="s">
        <v>952</v>
      </c>
      <c r="B42" s="501"/>
      <c r="C42" s="501">
        <v>6375</v>
      </c>
      <c r="D42" s="501">
        <v>15100</v>
      </c>
      <c r="E42" s="499">
        <v>38</v>
      </c>
      <c r="F42" s="548">
        <v>44000</v>
      </c>
      <c r="G42" s="1300">
        <v>163.03</v>
      </c>
      <c r="H42" s="501">
        <v>1050</v>
      </c>
      <c r="I42" s="501">
        <v>95</v>
      </c>
      <c r="J42" s="555" t="s">
        <v>952</v>
      </c>
    </row>
    <row r="43" spans="1:10" s="36" customFormat="1" ht="11.25" customHeight="1">
      <c r="A43" s="430" t="s">
        <v>954</v>
      </c>
      <c r="B43" s="416"/>
      <c r="C43" s="416">
        <v>6375</v>
      </c>
      <c r="D43" s="416">
        <v>15100</v>
      </c>
      <c r="E43" s="414">
        <v>38</v>
      </c>
      <c r="F43" s="880">
        <v>44000</v>
      </c>
      <c r="G43" s="1313">
        <v>160.30000000000001</v>
      </c>
      <c r="H43" s="416">
        <v>1100</v>
      </c>
      <c r="I43" s="416">
        <v>100</v>
      </c>
      <c r="J43" s="773" t="s">
        <v>954</v>
      </c>
    </row>
    <row r="44" spans="1:10" s="36" customFormat="1" ht="11.25" customHeight="1">
      <c r="A44" s="553" t="s">
        <v>955</v>
      </c>
      <c r="B44" s="501"/>
      <c r="C44" s="501">
        <v>6375</v>
      </c>
      <c r="D44" s="501">
        <v>15100</v>
      </c>
      <c r="E44" s="499">
        <v>38</v>
      </c>
      <c r="F44" s="548">
        <v>44000</v>
      </c>
      <c r="G44" s="1300">
        <v>175.6</v>
      </c>
      <c r="H44" s="501">
        <v>980</v>
      </c>
      <c r="I44" s="501">
        <v>90</v>
      </c>
      <c r="J44" s="555" t="s">
        <v>955</v>
      </c>
    </row>
    <row r="45" spans="1:10" s="36" customFormat="1" ht="11.25" customHeight="1">
      <c r="A45" s="430" t="s">
        <v>949</v>
      </c>
      <c r="B45" s="416"/>
      <c r="C45" s="416">
        <v>6375</v>
      </c>
      <c r="D45" s="416">
        <v>15100</v>
      </c>
      <c r="E45" s="414">
        <v>38</v>
      </c>
      <c r="F45" s="880">
        <v>44000</v>
      </c>
      <c r="G45" s="1313">
        <v>168.3</v>
      </c>
      <c r="H45" s="416">
        <v>920</v>
      </c>
      <c r="I45" s="416">
        <v>75</v>
      </c>
      <c r="J45" s="773" t="s">
        <v>949</v>
      </c>
    </row>
    <row r="46" spans="1:10" s="36" customFormat="1" ht="12.75" customHeight="1">
      <c r="A46" s="553" t="s">
        <v>956</v>
      </c>
      <c r="B46" s="501"/>
      <c r="C46" s="501">
        <v>6375</v>
      </c>
      <c r="D46" s="501">
        <v>15100</v>
      </c>
      <c r="E46" s="499">
        <v>39</v>
      </c>
      <c r="F46" s="548">
        <v>44000</v>
      </c>
      <c r="G46" s="1300">
        <v>178.82</v>
      </c>
      <c r="H46" s="501">
        <v>910</v>
      </c>
      <c r="I46" s="501">
        <v>72</v>
      </c>
      <c r="J46" s="555" t="s">
        <v>956</v>
      </c>
    </row>
    <row r="47" spans="1:10" s="36" customFormat="1" ht="12.75" customHeight="1">
      <c r="A47" s="430" t="s">
        <v>957</v>
      </c>
      <c r="B47" s="416"/>
      <c r="C47" s="416">
        <v>6375</v>
      </c>
      <c r="D47" s="416">
        <v>15100</v>
      </c>
      <c r="E47" s="414">
        <v>40</v>
      </c>
      <c r="F47" s="880">
        <v>44000</v>
      </c>
      <c r="G47" s="1313">
        <v>156.76</v>
      </c>
      <c r="H47" s="416">
        <v>900</v>
      </c>
      <c r="I47" s="416">
        <v>70</v>
      </c>
      <c r="J47" s="773" t="s">
        <v>957</v>
      </c>
    </row>
    <row r="48" spans="1:10" s="36" customFormat="1" ht="12.75" customHeight="1">
      <c r="A48" s="553" t="s">
        <v>950</v>
      </c>
      <c r="B48" s="501"/>
      <c r="C48" s="501">
        <v>6375</v>
      </c>
      <c r="D48" s="501">
        <v>15100</v>
      </c>
      <c r="E48" s="499">
        <v>40</v>
      </c>
      <c r="F48" s="548">
        <v>44000</v>
      </c>
      <c r="G48" s="1300">
        <v>121</v>
      </c>
      <c r="H48" s="501">
        <v>890</v>
      </c>
      <c r="I48" s="501">
        <v>67</v>
      </c>
      <c r="J48" s="555" t="s">
        <v>950</v>
      </c>
    </row>
    <row r="49" spans="1:10" s="36" customFormat="1" ht="12.75" customHeight="1">
      <c r="A49" s="1072">
        <v>2017</v>
      </c>
      <c r="B49" s="416"/>
      <c r="C49" s="416"/>
      <c r="D49" s="416"/>
      <c r="E49" s="414"/>
      <c r="F49" s="1166"/>
      <c r="G49" s="1313"/>
      <c r="H49" s="416"/>
      <c r="I49" s="416"/>
      <c r="J49" s="1379">
        <v>2017</v>
      </c>
    </row>
    <row r="50" spans="1:10" s="36" customFormat="1" ht="12.75" customHeight="1">
      <c r="A50" s="553" t="s">
        <v>958</v>
      </c>
      <c r="B50" s="501"/>
      <c r="C50" s="501">
        <v>6375</v>
      </c>
      <c r="D50" s="501">
        <v>15100</v>
      </c>
      <c r="E50" s="499">
        <v>36</v>
      </c>
      <c r="F50" s="1167" t="s">
        <v>603</v>
      </c>
      <c r="G50" s="1300">
        <v>190.53</v>
      </c>
      <c r="H50" s="501">
        <v>860</v>
      </c>
      <c r="I50" s="501">
        <v>62</v>
      </c>
      <c r="J50" s="555" t="s">
        <v>958</v>
      </c>
    </row>
    <row r="51" spans="1:10" s="36" customFormat="1" ht="12.75" customHeight="1">
      <c r="A51" s="430" t="s">
        <v>959</v>
      </c>
      <c r="B51" s="416"/>
      <c r="C51" s="416">
        <v>6375</v>
      </c>
      <c r="D51" s="416">
        <v>15100</v>
      </c>
      <c r="E51" s="414">
        <v>38</v>
      </c>
      <c r="F51" s="1166" t="s">
        <v>603</v>
      </c>
      <c r="G51" s="1313">
        <v>170.6</v>
      </c>
      <c r="H51" s="416">
        <v>840</v>
      </c>
      <c r="I51" s="416">
        <v>63</v>
      </c>
      <c r="J51" s="773" t="s">
        <v>959</v>
      </c>
    </row>
    <row r="52" spans="1:10" s="36" customFormat="1" ht="12.75" customHeight="1">
      <c r="A52" s="553" t="s">
        <v>951</v>
      </c>
      <c r="B52" s="501"/>
      <c r="C52" s="501">
        <v>6375</v>
      </c>
      <c r="D52" s="501">
        <v>15100</v>
      </c>
      <c r="E52" s="499">
        <v>42</v>
      </c>
      <c r="F52" s="1167" t="s">
        <v>603</v>
      </c>
      <c r="G52" s="1300">
        <v>188.33</v>
      </c>
      <c r="H52" s="501">
        <v>820</v>
      </c>
      <c r="I52" s="501">
        <v>65</v>
      </c>
      <c r="J52" s="555" t="s">
        <v>951</v>
      </c>
    </row>
    <row r="53" spans="1:10" s="36" customFormat="1" ht="12.75" customHeight="1">
      <c r="A53" s="430" t="s">
        <v>960</v>
      </c>
      <c r="B53" s="416"/>
      <c r="C53" s="416">
        <v>6375</v>
      </c>
      <c r="D53" s="416">
        <v>15100</v>
      </c>
      <c r="E53" s="414">
        <v>44</v>
      </c>
      <c r="F53" s="1166" t="s">
        <v>603</v>
      </c>
      <c r="G53" s="1313">
        <v>158.11000000000001</v>
      </c>
      <c r="H53" s="416">
        <v>750</v>
      </c>
      <c r="I53" s="416">
        <v>61</v>
      </c>
      <c r="J53" s="773" t="s">
        <v>960</v>
      </c>
    </row>
    <row r="54" spans="1:10" s="36" customFormat="1" ht="12.75" customHeight="1" thickBot="1">
      <c r="A54" s="1466" t="s">
        <v>961</v>
      </c>
      <c r="B54" s="1467"/>
      <c r="C54" s="1467">
        <v>6375</v>
      </c>
      <c r="D54" s="1467">
        <v>15100</v>
      </c>
      <c r="E54" s="1468">
        <v>48</v>
      </c>
      <c r="F54" s="1469" t="s">
        <v>603</v>
      </c>
      <c r="G54" s="1470">
        <v>140.69999999999999</v>
      </c>
      <c r="H54" s="1467">
        <v>700</v>
      </c>
      <c r="I54" s="1467">
        <v>60</v>
      </c>
      <c r="J54" s="1471" t="s">
        <v>961</v>
      </c>
    </row>
    <row r="55" spans="1:10" s="53" customFormat="1" ht="10.5" customHeight="1">
      <c r="A55" s="77" t="s">
        <v>564</v>
      </c>
      <c r="B55" s="1710" t="s">
        <v>2537</v>
      </c>
      <c r="C55" s="1710"/>
      <c r="D55" s="1710"/>
      <c r="E55" s="1710"/>
      <c r="G55" s="1942" t="s">
        <v>2538</v>
      </c>
      <c r="H55" s="1942"/>
      <c r="I55" s="1535"/>
      <c r="J55" s="1535"/>
    </row>
    <row r="56" spans="1:10" s="53" customFormat="1" ht="8.25" customHeight="1">
      <c r="A56" s="61"/>
      <c r="B56" s="254" t="s">
        <v>561</v>
      </c>
      <c r="C56" s="228" t="s">
        <v>562</v>
      </c>
      <c r="D56" s="1710"/>
      <c r="E56" s="1710"/>
      <c r="F56" s="1710"/>
      <c r="G56" s="1710" t="s">
        <v>2539</v>
      </c>
      <c r="H56" s="1710"/>
      <c r="I56" s="72"/>
      <c r="J56" s="72"/>
    </row>
    <row r="57" spans="1:10" s="53" customFormat="1" ht="8.25" customHeight="1">
      <c r="B57" s="254"/>
      <c r="D57" s="228"/>
      <c r="E57" s="72"/>
      <c r="G57" s="1534" t="s">
        <v>2540</v>
      </c>
      <c r="H57" s="72"/>
      <c r="I57" s="72"/>
      <c r="J57" s="72"/>
    </row>
    <row r="58" spans="1:10" s="53" customFormat="1" ht="8.25">
      <c r="B58" s="255"/>
      <c r="C58" s="62"/>
    </row>
    <row r="59" spans="1:10" ht="9.75" customHeight="1"/>
  </sheetData>
  <mergeCells count="19">
    <mergeCell ref="J3:J6"/>
    <mergeCell ref="B55:C55"/>
    <mergeCell ref="D55:E55"/>
    <mergeCell ref="D56:F56"/>
    <mergeCell ref="G55:H55"/>
    <mergeCell ref="G56:H56"/>
    <mergeCell ref="G1:H1"/>
    <mergeCell ref="A1:F1"/>
    <mergeCell ref="D4:D6"/>
    <mergeCell ref="E4:E6"/>
    <mergeCell ref="F4:F6"/>
    <mergeCell ref="C3:D3"/>
    <mergeCell ref="E3:F3"/>
    <mergeCell ref="G3:G6"/>
    <mergeCell ref="H3:I3"/>
    <mergeCell ref="A3:B6"/>
    <mergeCell ref="C4:C6"/>
    <mergeCell ref="I4:I6"/>
    <mergeCell ref="H4:H6"/>
  </mergeCells>
  <phoneticPr fontId="0" type="noConversion"/>
  <pageMargins left="0.62992125984252001" right="0.511811023622047" top="0.511811023622047" bottom="0.511811023622047" header="0" footer="0.39370078740157499"/>
  <pageSetup paperSize="151" firstPageNumber="44" orientation="portrait" useFirstPageNumber="1" r:id="rId1"/>
  <headerFooter alignWithMargins="0">
    <oddFooter>&amp;C&amp;"Times New Roman,Regular"&amp;8&amp;P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AA81"/>
  <sheetViews>
    <sheetView zoomScale="120" zoomScaleNormal="120" workbookViewId="0">
      <pane xSplit="1" ySplit="4" topLeftCell="I47" activePane="bottomRight" state="frozen"/>
      <selection pane="topRight" activeCell="B1" sqref="B1"/>
      <selection pane="bottomLeft" activeCell="A5" sqref="A5"/>
      <selection pane="bottomRight" activeCell="M63" sqref="M63"/>
    </sheetView>
  </sheetViews>
  <sheetFormatPr defaultColWidth="9.140625" defaultRowHeight="12.75"/>
  <cols>
    <col min="1" max="1" width="8.42578125" style="2" customWidth="1"/>
    <col min="2" max="2" width="7.7109375" style="2" customWidth="1"/>
    <col min="3" max="3" width="6.7109375" style="2" customWidth="1"/>
    <col min="4" max="4" width="6.42578125" style="2" customWidth="1"/>
    <col min="5" max="5" width="6.7109375" style="2" customWidth="1"/>
    <col min="6" max="6" width="7.28515625" style="2" customWidth="1"/>
    <col min="7" max="7" width="7" style="2" customWidth="1"/>
    <col min="8" max="8" width="7.28515625" style="2" customWidth="1"/>
    <col min="9" max="9" width="6.7109375" style="2" customWidth="1"/>
    <col min="10" max="10" width="8" style="2" customWidth="1"/>
    <col min="11" max="11" width="7.140625" style="2" customWidth="1"/>
    <col min="12" max="12" width="7.7109375" style="2" customWidth="1"/>
    <col min="13" max="13" width="7" style="2" customWidth="1"/>
    <col min="14" max="14" width="6.28515625" style="2" customWidth="1"/>
    <col min="15" max="15" width="6.5703125" style="2" customWidth="1"/>
    <col min="16" max="16" width="7.140625" style="2" customWidth="1"/>
    <col min="17" max="17" width="7.28515625" style="2" customWidth="1"/>
    <col min="18" max="18" width="7.42578125" style="2" customWidth="1"/>
    <col min="19" max="19" width="7.140625" style="2" customWidth="1"/>
    <col min="20" max="20" width="6.5703125" style="2" customWidth="1"/>
    <col min="21" max="21" width="6.85546875" style="2" customWidth="1"/>
    <col min="22" max="22" width="8.5703125" style="2" customWidth="1"/>
    <col min="23" max="23" width="9.140625" style="2"/>
    <col min="24" max="24" width="15.85546875" style="2" bestFit="1" customWidth="1"/>
    <col min="25" max="16384" width="9.140625" style="2"/>
  </cols>
  <sheetData>
    <row r="1" spans="1:24" s="33" customFormat="1" ht="17.25" customHeight="1">
      <c r="A1" s="1903" t="s">
        <v>37</v>
      </c>
      <c r="B1" s="1903"/>
      <c r="C1" s="1903"/>
      <c r="D1" s="1903"/>
      <c r="E1" s="1903"/>
      <c r="F1" s="1903"/>
      <c r="G1" s="1903"/>
      <c r="H1" s="1903"/>
      <c r="I1" s="1903"/>
      <c r="J1" s="1903"/>
      <c r="K1" s="1903"/>
      <c r="L1" s="1937" t="s">
        <v>652</v>
      </c>
      <c r="M1" s="1937"/>
      <c r="N1" s="1937"/>
      <c r="O1" s="1937"/>
      <c r="P1" s="1937"/>
      <c r="Q1" s="1937"/>
      <c r="R1" s="1937"/>
      <c r="S1" s="1937"/>
      <c r="T1" s="1937"/>
      <c r="U1" s="1904" t="s">
        <v>2077</v>
      </c>
      <c r="V1" s="1904"/>
      <c r="W1" s="79"/>
    </row>
    <row r="2" spans="1:24" s="30" customFormat="1" ht="12.75" customHeight="1">
      <c r="A2" s="15"/>
      <c r="B2" s="15"/>
      <c r="C2" s="15"/>
      <c r="D2" s="15"/>
      <c r="E2" s="15"/>
      <c r="F2" s="15"/>
      <c r="G2" s="15"/>
      <c r="I2" s="15"/>
      <c r="L2" s="15"/>
      <c r="M2" s="15"/>
      <c r="N2" s="15"/>
      <c r="O2" s="15"/>
      <c r="P2" s="15"/>
      <c r="Q2" s="15"/>
      <c r="R2" s="15"/>
      <c r="T2" s="140"/>
      <c r="U2" s="1928" t="s">
        <v>587</v>
      </c>
      <c r="V2" s="1928"/>
      <c r="W2" s="140"/>
    </row>
    <row r="3" spans="1:24" s="134" customFormat="1" ht="71.25" customHeight="1">
      <c r="A3" s="1906" t="s">
        <v>875</v>
      </c>
      <c r="B3" s="1413" t="s">
        <v>2580</v>
      </c>
      <c r="C3" s="28" t="s">
        <v>898</v>
      </c>
      <c r="D3" s="1413" t="s">
        <v>2572</v>
      </c>
      <c r="E3" s="28" t="s">
        <v>567</v>
      </c>
      <c r="F3" s="28" t="s">
        <v>253</v>
      </c>
      <c r="G3" s="28" t="s">
        <v>568</v>
      </c>
      <c r="H3" s="1413" t="s">
        <v>2573</v>
      </c>
      <c r="I3" s="1413" t="s">
        <v>2574</v>
      </c>
      <c r="J3" s="1413" t="s">
        <v>2575</v>
      </c>
      <c r="K3" s="28" t="s">
        <v>569</v>
      </c>
      <c r="L3" s="1413" t="s">
        <v>2576</v>
      </c>
      <c r="M3" s="1413" t="s">
        <v>2577</v>
      </c>
      <c r="N3" s="28" t="s">
        <v>570</v>
      </c>
      <c r="O3" s="1413" t="s">
        <v>2578</v>
      </c>
      <c r="P3" s="1413" t="s">
        <v>2579</v>
      </c>
      <c r="Q3" s="28" t="s">
        <v>1097</v>
      </c>
      <c r="R3" s="28" t="s">
        <v>565</v>
      </c>
      <c r="S3" s="28" t="s">
        <v>1098</v>
      </c>
      <c r="T3" s="28" t="s">
        <v>566</v>
      </c>
      <c r="U3" s="138" t="s">
        <v>1099</v>
      </c>
      <c r="V3" s="1887" t="s">
        <v>875</v>
      </c>
      <c r="W3" s="141"/>
      <c r="X3" s="141"/>
    </row>
    <row r="4" spans="1:24" s="145" customFormat="1">
      <c r="A4" s="1908"/>
      <c r="B4" s="142">
        <v>1</v>
      </c>
      <c r="C4" s="142">
        <v>2</v>
      </c>
      <c r="D4" s="142">
        <v>3</v>
      </c>
      <c r="E4" s="142">
        <v>4</v>
      </c>
      <c r="F4" s="142">
        <v>5</v>
      </c>
      <c r="G4" s="142">
        <v>6</v>
      </c>
      <c r="H4" s="142">
        <v>7</v>
      </c>
      <c r="I4" s="142">
        <v>8</v>
      </c>
      <c r="J4" s="142">
        <v>9</v>
      </c>
      <c r="K4" s="142">
        <v>10</v>
      </c>
      <c r="L4" s="142">
        <v>11</v>
      </c>
      <c r="M4" s="142">
        <v>12</v>
      </c>
      <c r="N4" s="142">
        <v>13</v>
      </c>
      <c r="O4" s="142">
        <v>14</v>
      </c>
      <c r="P4" s="142">
        <v>15</v>
      </c>
      <c r="Q4" s="142">
        <v>16</v>
      </c>
      <c r="R4" s="142">
        <v>17</v>
      </c>
      <c r="S4" s="142">
        <v>18</v>
      </c>
      <c r="T4" s="142">
        <v>19</v>
      </c>
      <c r="U4" s="142">
        <v>20</v>
      </c>
      <c r="V4" s="1881"/>
      <c r="W4" s="143"/>
      <c r="X4" s="144"/>
    </row>
    <row r="5" spans="1:24" ht="9.75" customHeight="1">
      <c r="A5" s="23" t="s">
        <v>941</v>
      </c>
      <c r="B5" s="853">
        <v>38136</v>
      </c>
      <c r="C5" s="853">
        <v>10874</v>
      </c>
      <c r="D5" s="853">
        <v>1952</v>
      </c>
      <c r="E5" s="853">
        <v>31269</v>
      </c>
      <c r="F5" s="853">
        <v>2643</v>
      </c>
      <c r="G5" s="853">
        <v>13859</v>
      </c>
      <c r="H5" s="853">
        <v>24844</v>
      </c>
      <c r="I5" s="853">
        <v>1156</v>
      </c>
      <c r="J5" s="853">
        <v>16741</v>
      </c>
      <c r="K5" s="853">
        <v>2992</v>
      </c>
      <c r="L5" s="853">
        <v>17629</v>
      </c>
      <c r="M5" s="853">
        <v>4960</v>
      </c>
      <c r="N5" s="853">
        <v>4137</v>
      </c>
      <c r="O5" s="853">
        <v>4371</v>
      </c>
      <c r="P5" s="853">
        <v>17029</v>
      </c>
      <c r="Q5" s="853">
        <f>SUM(B5:P5)</f>
        <v>192592</v>
      </c>
      <c r="R5" s="853">
        <v>7585</v>
      </c>
      <c r="S5" s="853">
        <v>200177</v>
      </c>
      <c r="T5" s="853">
        <v>6497</v>
      </c>
      <c r="U5" s="853">
        <f>S5+T5</f>
        <v>206674</v>
      </c>
      <c r="V5" s="60" t="s">
        <v>941</v>
      </c>
    </row>
    <row r="6" spans="1:24" ht="9.75" customHeight="1">
      <c r="A6" s="517"/>
      <c r="B6" s="560">
        <f t="shared" ref="B6:S6" si="0">(B5/$S5)*100</f>
        <v>19.051139741328925</v>
      </c>
      <c r="C6" s="560">
        <f t="shared" si="0"/>
        <v>5.4321925096289778</v>
      </c>
      <c r="D6" s="560">
        <f t="shared" si="0"/>
        <v>0.97513700375167978</v>
      </c>
      <c r="E6" s="560">
        <f t="shared" si="0"/>
        <v>15.620675702003728</v>
      </c>
      <c r="F6" s="560">
        <f t="shared" si="0"/>
        <v>1.3203315066166443</v>
      </c>
      <c r="G6" s="560">
        <f t="shared" si="0"/>
        <v>6.9233728150586735</v>
      </c>
      <c r="H6" s="560">
        <f t="shared" si="0"/>
        <v>12.411016250618202</v>
      </c>
      <c r="I6" s="560">
        <f t="shared" si="0"/>
        <v>0.57748892230376114</v>
      </c>
      <c r="J6" s="560">
        <f t="shared" si="0"/>
        <v>8.3630986576879458</v>
      </c>
      <c r="K6" s="560">
        <f t="shared" si="0"/>
        <v>1.4946772106685582</v>
      </c>
      <c r="L6" s="560">
        <f t="shared" si="0"/>
        <v>8.8067060651323583</v>
      </c>
      <c r="M6" s="560">
        <f t="shared" si="0"/>
        <v>2.4778071406804978</v>
      </c>
      <c r="N6" s="560">
        <f t="shared" si="0"/>
        <v>2.0666709961683911</v>
      </c>
      <c r="O6" s="560">
        <f t="shared" si="0"/>
        <v>2.1835675427246888</v>
      </c>
      <c r="P6" s="560">
        <f t="shared" si="0"/>
        <v>8.50697133037262</v>
      </c>
      <c r="Q6" s="560">
        <f t="shared" si="0"/>
        <v>96.210853394745655</v>
      </c>
      <c r="R6" s="560">
        <f t="shared" si="0"/>
        <v>3.7891466052543494</v>
      </c>
      <c r="S6" s="560">
        <f t="shared" si="0"/>
        <v>100</v>
      </c>
      <c r="T6" s="559"/>
      <c r="U6" s="559"/>
      <c r="V6" s="518"/>
    </row>
    <row r="7" spans="1:24" ht="9.75" customHeight="1">
      <c r="A7" s="23" t="s">
        <v>942</v>
      </c>
      <c r="B7" s="853">
        <v>42990</v>
      </c>
      <c r="C7" s="853">
        <v>12485</v>
      </c>
      <c r="D7" s="853">
        <v>2066</v>
      </c>
      <c r="E7" s="853">
        <v>32783</v>
      </c>
      <c r="F7" s="853">
        <v>2838</v>
      </c>
      <c r="G7" s="853">
        <v>15625</v>
      </c>
      <c r="H7" s="853">
        <v>27232</v>
      </c>
      <c r="I7" s="853">
        <v>1317</v>
      </c>
      <c r="J7" s="853">
        <v>18041</v>
      </c>
      <c r="K7" s="853">
        <v>3351</v>
      </c>
      <c r="L7" s="853">
        <v>19584</v>
      </c>
      <c r="M7" s="853">
        <v>5552</v>
      </c>
      <c r="N7" s="853">
        <v>4718</v>
      </c>
      <c r="O7" s="853">
        <v>4842</v>
      </c>
      <c r="P7" s="853">
        <v>18497</v>
      </c>
      <c r="Q7" s="853">
        <f>SUM(B7:P7)</f>
        <v>211921</v>
      </c>
      <c r="R7" s="853">
        <v>7776</v>
      </c>
      <c r="S7" s="853">
        <v>219697</v>
      </c>
      <c r="T7" s="853">
        <v>7553</v>
      </c>
      <c r="U7" s="853">
        <f>S7+T7</f>
        <v>227250</v>
      </c>
      <c r="V7" s="60" t="s">
        <v>942</v>
      </c>
    </row>
    <row r="8" spans="1:24" ht="9.75" customHeight="1">
      <c r="A8" s="517"/>
      <c r="B8" s="560">
        <f t="shared" ref="B8:S8" si="1">(B7/$S7)*100</f>
        <v>19.567859369950433</v>
      </c>
      <c r="C8" s="560">
        <f t="shared" si="1"/>
        <v>5.6828268023687167</v>
      </c>
      <c r="D8" s="560">
        <f t="shared" si="1"/>
        <v>0.94038607718812728</v>
      </c>
      <c r="E8" s="560">
        <f t="shared" si="1"/>
        <v>14.921915183184112</v>
      </c>
      <c r="F8" s="560">
        <f t="shared" si="1"/>
        <v>1.2917791321683956</v>
      </c>
      <c r="G8" s="560">
        <f t="shared" si="1"/>
        <v>7.1120679845423478</v>
      </c>
      <c r="H8" s="560">
        <f t="shared" si="1"/>
        <v>12.395253462723661</v>
      </c>
      <c r="I8" s="560">
        <f t="shared" si="1"/>
        <v>0.59946198628110536</v>
      </c>
      <c r="J8" s="560">
        <f t="shared" si="1"/>
        <v>8.2117643845842228</v>
      </c>
      <c r="K8" s="560">
        <f t="shared" si="1"/>
        <v>1.5252825482368899</v>
      </c>
      <c r="L8" s="560">
        <f t="shared" si="1"/>
        <v>8.9140953221937487</v>
      </c>
      <c r="M8" s="560">
        <f t="shared" si="1"/>
        <v>2.5271168928114629</v>
      </c>
      <c r="N8" s="560">
        <f t="shared" si="1"/>
        <v>2.1475031520685306</v>
      </c>
      <c r="O8" s="560">
        <f t="shared" si="1"/>
        <v>2.2039445235938588</v>
      </c>
      <c r="P8" s="560">
        <f t="shared" si="1"/>
        <v>8.4193229766451072</v>
      </c>
      <c r="Q8" s="560">
        <f t="shared" si="1"/>
        <v>96.460579798540707</v>
      </c>
      <c r="R8" s="560">
        <f t="shared" si="1"/>
        <v>3.5394202014592828</v>
      </c>
      <c r="S8" s="560">
        <f t="shared" si="1"/>
        <v>100</v>
      </c>
      <c r="T8" s="559"/>
      <c r="U8" s="559"/>
      <c r="V8" s="518"/>
    </row>
    <row r="9" spans="1:24" ht="9.75" customHeight="1">
      <c r="A9" s="7" t="s">
        <v>943</v>
      </c>
      <c r="B9" s="853">
        <v>44692</v>
      </c>
      <c r="C9" s="853">
        <v>13674</v>
      </c>
      <c r="D9" s="853">
        <v>2311</v>
      </c>
      <c r="E9" s="853">
        <v>34837</v>
      </c>
      <c r="F9" s="853">
        <v>3072</v>
      </c>
      <c r="G9" s="853">
        <v>17622</v>
      </c>
      <c r="H9" s="853">
        <v>29204</v>
      </c>
      <c r="I9" s="853">
        <v>1463</v>
      </c>
      <c r="J9" s="853">
        <v>19743</v>
      </c>
      <c r="K9" s="853">
        <v>3648</v>
      </c>
      <c r="L9" s="853">
        <v>21139</v>
      </c>
      <c r="M9" s="853">
        <v>6234</v>
      </c>
      <c r="N9" s="853">
        <v>5386</v>
      </c>
      <c r="O9" s="853">
        <v>5376</v>
      </c>
      <c r="P9" s="853">
        <v>20360</v>
      </c>
      <c r="Q9" s="853">
        <f>SUM(B9:P9)</f>
        <v>228761</v>
      </c>
      <c r="R9" s="853">
        <v>8325</v>
      </c>
      <c r="S9" s="853">
        <v>237086</v>
      </c>
      <c r="T9" s="853">
        <v>8713</v>
      </c>
      <c r="U9" s="853">
        <f>S9+T9</f>
        <v>245799</v>
      </c>
      <c r="V9" s="51" t="s">
        <v>943</v>
      </c>
    </row>
    <row r="10" spans="1:24" ht="9.75" customHeight="1">
      <c r="A10" s="517"/>
      <c r="B10" s="560">
        <f t="shared" ref="B10:S10" si="2">(B9/$S9)*100</f>
        <v>18.850543684570155</v>
      </c>
      <c r="C10" s="560">
        <f t="shared" si="2"/>
        <v>5.7675273951224453</v>
      </c>
      <c r="D10" s="560">
        <f t="shared" si="2"/>
        <v>0.97475177783589073</v>
      </c>
      <c r="E10" s="560">
        <f t="shared" si="2"/>
        <v>14.693824181942416</v>
      </c>
      <c r="F10" s="560">
        <f t="shared" si="2"/>
        <v>1.295732350286394</v>
      </c>
      <c r="G10" s="560">
        <f t="shared" si="2"/>
        <v>7.4327459234201934</v>
      </c>
      <c r="H10" s="560">
        <f t="shared" si="2"/>
        <v>12.317893085209587</v>
      </c>
      <c r="I10" s="560">
        <f t="shared" si="2"/>
        <v>0.61707566030891747</v>
      </c>
      <c r="J10" s="560">
        <f t="shared" si="2"/>
        <v>8.3273580051120693</v>
      </c>
      <c r="K10" s="560">
        <f t="shared" si="2"/>
        <v>1.5386821659650929</v>
      </c>
      <c r="L10" s="560">
        <f t="shared" si="2"/>
        <v>8.9161738778333604</v>
      </c>
      <c r="M10" s="560">
        <f t="shared" si="2"/>
        <v>2.6294256092725847</v>
      </c>
      <c r="N10" s="560">
        <f t="shared" si="2"/>
        <v>2.2717494917456111</v>
      </c>
      <c r="O10" s="560">
        <f t="shared" si="2"/>
        <v>2.2675316130011893</v>
      </c>
      <c r="P10" s="560">
        <f t="shared" si="2"/>
        <v>8.587601123642898</v>
      </c>
      <c r="Q10" s="560">
        <f t="shared" si="2"/>
        <v>96.488615945268805</v>
      </c>
      <c r="R10" s="560">
        <f t="shared" si="2"/>
        <v>3.5113840547311947</v>
      </c>
      <c r="S10" s="560">
        <f t="shared" si="2"/>
        <v>100</v>
      </c>
      <c r="T10" s="559"/>
      <c r="U10" s="559"/>
      <c r="V10" s="518"/>
    </row>
    <row r="11" spans="1:24" ht="9.75" customHeight="1">
      <c r="A11" s="23" t="s">
        <v>944</v>
      </c>
      <c r="B11" s="853">
        <v>45631</v>
      </c>
      <c r="C11" s="853">
        <v>13406</v>
      </c>
      <c r="D11" s="853">
        <v>2640</v>
      </c>
      <c r="E11" s="853">
        <v>38234</v>
      </c>
      <c r="F11" s="853">
        <v>3346</v>
      </c>
      <c r="G11" s="853">
        <v>19334</v>
      </c>
      <c r="H11" s="853">
        <v>32479</v>
      </c>
      <c r="I11" s="853">
        <v>1590</v>
      </c>
      <c r="J11" s="853">
        <v>22129</v>
      </c>
      <c r="K11" s="853">
        <v>3911</v>
      </c>
      <c r="L11" s="853">
        <v>22365</v>
      </c>
      <c r="M11" s="853">
        <v>6695</v>
      </c>
      <c r="N11" s="853">
        <v>5852</v>
      </c>
      <c r="O11" s="853">
        <v>5722</v>
      </c>
      <c r="P11" s="853">
        <v>21665</v>
      </c>
      <c r="Q11" s="853">
        <f>SUM(B11:P11)</f>
        <v>244999</v>
      </c>
      <c r="R11" s="853">
        <v>8547</v>
      </c>
      <c r="S11" s="853">
        <v>253546</v>
      </c>
      <c r="T11" s="853">
        <v>8841</v>
      </c>
      <c r="U11" s="853">
        <f>S11+T11</f>
        <v>262387</v>
      </c>
      <c r="V11" s="60" t="s">
        <v>944</v>
      </c>
    </row>
    <row r="12" spans="1:24" ht="9.75" customHeight="1">
      <c r="A12" s="517"/>
      <c r="B12" s="560">
        <f t="shared" ref="B12:S12" si="3">(B11/$S11)*100</f>
        <v>17.997128726148311</v>
      </c>
      <c r="C12" s="560">
        <f t="shared" si="3"/>
        <v>5.2874034691929666</v>
      </c>
      <c r="D12" s="560">
        <f t="shared" si="3"/>
        <v>1.0412311769856357</v>
      </c>
      <c r="E12" s="560">
        <f t="shared" si="3"/>
        <v>15.079709401844241</v>
      </c>
      <c r="F12" s="560">
        <f t="shared" si="3"/>
        <v>1.3196816356795216</v>
      </c>
      <c r="G12" s="560">
        <f t="shared" si="3"/>
        <v>7.6254407484243485</v>
      </c>
      <c r="H12" s="560">
        <f t="shared" si="3"/>
        <v>12.809904317165326</v>
      </c>
      <c r="I12" s="560">
        <f t="shared" si="3"/>
        <v>0.6271051406845306</v>
      </c>
      <c r="J12" s="560">
        <f t="shared" si="3"/>
        <v>8.7278048164830047</v>
      </c>
      <c r="K12" s="560">
        <f t="shared" si="3"/>
        <v>1.542520883784402</v>
      </c>
      <c r="L12" s="560">
        <f t="shared" si="3"/>
        <v>8.8208845732135384</v>
      </c>
      <c r="M12" s="560">
        <f t="shared" si="3"/>
        <v>2.6405464886056178</v>
      </c>
      <c r="N12" s="560">
        <f t="shared" si="3"/>
        <v>2.308062442318159</v>
      </c>
      <c r="O12" s="560">
        <f t="shared" si="3"/>
        <v>2.2567896949665935</v>
      </c>
      <c r="P12" s="560">
        <f t="shared" si="3"/>
        <v>8.5448005490128036</v>
      </c>
      <c r="Q12" s="560">
        <f t="shared" si="3"/>
        <v>96.629014064508993</v>
      </c>
      <c r="R12" s="560">
        <f t="shared" si="3"/>
        <v>3.3709859354909959</v>
      </c>
      <c r="S12" s="560">
        <f t="shared" si="3"/>
        <v>100</v>
      </c>
      <c r="T12" s="559"/>
      <c r="U12" s="559"/>
      <c r="V12" s="518"/>
    </row>
    <row r="13" spans="1:24" ht="9.75" customHeight="1">
      <c r="A13" s="23" t="s">
        <v>945</v>
      </c>
      <c r="B13" s="853">
        <v>46003</v>
      </c>
      <c r="C13" s="853">
        <v>13897</v>
      </c>
      <c r="D13" s="853">
        <v>2997</v>
      </c>
      <c r="E13" s="853">
        <v>41805</v>
      </c>
      <c r="F13" s="853">
        <v>3640</v>
      </c>
      <c r="G13" s="853">
        <v>21159</v>
      </c>
      <c r="H13" s="853">
        <v>35312</v>
      </c>
      <c r="I13" s="853">
        <v>1740</v>
      </c>
      <c r="J13" s="853">
        <v>25524</v>
      </c>
      <c r="K13" s="853">
        <v>4207</v>
      </c>
      <c r="L13" s="853">
        <v>23995</v>
      </c>
      <c r="M13" s="853">
        <v>7117</v>
      </c>
      <c r="N13" s="853">
        <v>6352</v>
      </c>
      <c r="O13" s="853">
        <v>6079</v>
      </c>
      <c r="P13" s="853">
        <v>23698</v>
      </c>
      <c r="Q13" s="853">
        <f>SUM(B13:P13)</f>
        <v>263525</v>
      </c>
      <c r="R13" s="853">
        <v>9676</v>
      </c>
      <c r="S13" s="853">
        <v>273201</v>
      </c>
      <c r="T13" s="853">
        <v>12543</v>
      </c>
      <c r="U13" s="853">
        <f>S13+T13</f>
        <v>285744</v>
      </c>
      <c r="V13" s="60" t="s">
        <v>945</v>
      </c>
    </row>
    <row r="14" spans="1:24" ht="9.75" customHeight="1">
      <c r="A14" s="517"/>
      <c r="B14" s="560">
        <f t="shared" ref="B14:S14" si="4">(B13/$S13)*100</f>
        <v>16.838518160621664</v>
      </c>
      <c r="C14" s="560">
        <f t="shared" si="4"/>
        <v>5.0867310148937959</v>
      </c>
      <c r="D14" s="560">
        <f t="shared" si="4"/>
        <v>1.0969945205178604</v>
      </c>
      <c r="E14" s="560">
        <f t="shared" si="4"/>
        <v>15.301920563980367</v>
      </c>
      <c r="F14" s="560">
        <f t="shared" si="4"/>
        <v>1.3323523705989362</v>
      </c>
      <c r="G14" s="560">
        <f t="shared" si="4"/>
        <v>7.7448472004128828</v>
      </c>
      <c r="H14" s="560">
        <f t="shared" si="4"/>
        <v>12.925282118293858</v>
      </c>
      <c r="I14" s="560">
        <f t="shared" si="4"/>
        <v>0.63689371561597508</v>
      </c>
      <c r="J14" s="560">
        <f t="shared" si="4"/>
        <v>9.3425719525184743</v>
      </c>
      <c r="K14" s="560">
        <f t="shared" si="4"/>
        <v>1.5398918744806938</v>
      </c>
      <c r="L14" s="560">
        <f t="shared" si="4"/>
        <v>8.7829107506927127</v>
      </c>
      <c r="M14" s="560">
        <f t="shared" si="4"/>
        <v>2.6050417092177551</v>
      </c>
      <c r="N14" s="560">
        <f t="shared" si="4"/>
        <v>2.3250280928693527</v>
      </c>
      <c r="O14" s="560">
        <f t="shared" si="4"/>
        <v>2.2251016650744324</v>
      </c>
      <c r="P14" s="560">
        <f t="shared" si="4"/>
        <v>8.6741995819927453</v>
      </c>
      <c r="Q14" s="560">
        <f t="shared" si="4"/>
        <v>96.458285291781507</v>
      </c>
      <c r="R14" s="560">
        <f t="shared" si="4"/>
        <v>3.5417147082184917</v>
      </c>
      <c r="S14" s="560">
        <f t="shared" si="4"/>
        <v>100</v>
      </c>
      <c r="T14" s="559"/>
      <c r="U14" s="559"/>
      <c r="V14" s="518"/>
    </row>
    <row r="15" spans="1:24" ht="9.75" customHeight="1">
      <c r="A15" s="23" t="s">
        <v>946</v>
      </c>
      <c r="B15" s="853">
        <v>48798</v>
      </c>
      <c r="C15" s="853">
        <v>14259</v>
      </c>
      <c r="D15" s="853">
        <v>3309</v>
      </c>
      <c r="E15" s="853">
        <v>45813</v>
      </c>
      <c r="F15" s="853">
        <v>3989</v>
      </c>
      <c r="G15" s="853">
        <v>23016</v>
      </c>
      <c r="H15" s="853">
        <v>39103</v>
      </c>
      <c r="I15" s="853">
        <v>1944</v>
      </c>
      <c r="J15" s="853">
        <v>31112</v>
      </c>
      <c r="K15" s="853">
        <v>4718</v>
      </c>
      <c r="L15" s="853">
        <v>25678</v>
      </c>
      <c r="M15" s="853">
        <v>7783</v>
      </c>
      <c r="N15" s="853">
        <v>7064</v>
      </c>
      <c r="O15" s="853">
        <v>6602</v>
      </c>
      <c r="P15" s="853">
        <v>26685</v>
      </c>
      <c r="Q15" s="853">
        <f>SUM(B15:P15)</f>
        <v>289873</v>
      </c>
      <c r="R15" s="853">
        <v>10707</v>
      </c>
      <c r="S15" s="853">
        <v>300580</v>
      </c>
      <c r="T15" s="853">
        <v>16583</v>
      </c>
      <c r="U15" s="853">
        <f>S15+T15</f>
        <v>317163</v>
      </c>
      <c r="V15" s="60" t="s">
        <v>946</v>
      </c>
    </row>
    <row r="16" spans="1:24" ht="9.75" customHeight="1">
      <c r="A16" s="517"/>
      <c r="B16" s="560">
        <f t="shared" ref="B16:S16" si="5">(B15/$S15)*100</f>
        <v>16.234613081376008</v>
      </c>
      <c r="C16" s="560">
        <f t="shared" si="5"/>
        <v>4.7438285980437822</v>
      </c>
      <c r="D16" s="560">
        <f t="shared" si="5"/>
        <v>1.1008716481469161</v>
      </c>
      <c r="E16" s="560">
        <f t="shared" si="5"/>
        <v>15.241533036130148</v>
      </c>
      <c r="F16" s="560">
        <f t="shared" si="5"/>
        <v>1.3271009381861734</v>
      </c>
      <c r="G16" s="560">
        <f t="shared" si="5"/>
        <v>7.657196087564043</v>
      </c>
      <c r="H16" s="560">
        <f t="shared" si="5"/>
        <v>13.009182247654536</v>
      </c>
      <c r="I16" s="560">
        <f t="shared" si="5"/>
        <v>0.64674961740634773</v>
      </c>
      <c r="J16" s="560">
        <f t="shared" si="5"/>
        <v>10.350655399560848</v>
      </c>
      <c r="K16" s="560">
        <f t="shared" si="5"/>
        <v>1.5696320447135537</v>
      </c>
      <c r="L16" s="560">
        <f t="shared" si="5"/>
        <v>8.5428172200412522</v>
      </c>
      <c r="M16" s="560">
        <f t="shared" si="5"/>
        <v>2.5893273005522657</v>
      </c>
      <c r="N16" s="560">
        <f t="shared" si="5"/>
        <v>2.3501230953489922</v>
      </c>
      <c r="O16" s="560">
        <f t="shared" si="5"/>
        <v>2.1964202541752611</v>
      </c>
      <c r="P16" s="560">
        <f t="shared" si="5"/>
        <v>8.8778361833788004</v>
      </c>
      <c r="Q16" s="560">
        <f t="shared" si="5"/>
        <v>96.437886752278928</v>
      </c>
      <c r="R16" s="560">
        <f t="shared" si="5"/>
        <v>3.5621132477210731</v>
      </c>
      <c r="S16" s="560">
        <f t="shared" si="5"/>
        <v>100</v>
      </c>
      <c r="T16" s="559"/>
      <c r="U16" s="559"/>
      <c r="V16" s="518"/>
    </row>
    <row r="17" spans="1:22" ht="9.75" customHeight="1">
      <c r="A17" s="23" t="s">
        <v>947</v>
      </c>
      <c r="B17" s="853">
        <v>52419</v>
      </c>
      <c r="C17" s="853">
        <v>14783</v>
      </c>
      <c r="D17" s="853">
        <v>3644</v>
      </c>
      <c r="E17" s="853">
        <v>51527</v>
      </c>
      <c r="F17" s="853">
        <v>4425</v>
      </c>
      <c r="G17" s="853">
        <v>25397</v>
      </c>
      <c r="H17" s="853">
        <v>44103</v>
      </c>
      <c r="I17" s="853">
        <v>2202</v>
      </c>
      <c r="J17" s="853">
        <v>34444</v>
      </c>
      <c r="K17" s="853">
        <v>5197</v>
      </c>
      <c r="L17" s="853">
        <v>27601</v>
      </c>
      <c r="M17" s="853">
        <v>8624</v>
      </c>
      <c r="N17" s="853">
        <v>7873</v>
      </c>
      <c r="O17" s="853">
        <v>7197</v>
      </c>
      <c r="P17" s="853">
        <v>30028</v>
      </c>
      <c r="Q17" s="853">
        <f>SUM(B17:P17)</f>
        <v>319464</v>
      </c>
      <c r="R17" s="853">
        <v>13510</v>
      </c>
      <c r="S17" s="853">
        <v>332973</v>
      </c>
      <c r="T17" s="853">
        <v>17553</v>
      </c>
      <c r="U17" s="853">
        <f>S17+T17</f>
        <v>350526</v>
      </c>
      <c r="V17" s="60" t="s">
        <v>947</v>
      </c>
    </row>
    <row r="18" spans="1:22" ht="9.75" customHeight="1">
      <c r="A18" s="517"/>
      <c r="B18" s="560">
        <f t="shared" ref="B18:S18" si="6">(B17/$S17)*100</f>
        <v>15.742717878026147</v>
      </c>
      <c r="C18" s="560">
        <f t="shared" si="6"/>
        <v>4.439699314959471</v>
      </c>
      <c r="D18" s="560">
        <f t="shared" si="6"/>
        <v>1.0943830280533255</v>
      </c>
      <c r="E18" s="560">
        <f t="shared" si="6"/>
        <v>15.47482828938082</v>
      </c>
      <c r="F18" s="560">
        <f t="shared" si="6"/>
        <v>1.3289365804434594</v>
      </c>
      <c r="G18" s="560">
        <f t="shared" si="6"/>
        <v>7.6273451601180877</v>
      </c>
      <c r="H18" s="560">
        <f t="shared" si="6"/>
        <v>13.245218080745286</v>
      </c>
      <c r="I18" s="560">
        <f t="shared" si="6"/>
        <v>0.66131488138677907</v>
      </c>
      <c r="J18" s="560">
        <f t="shared" si="6"/>
        <v>10.344382277241698</v>
      </c>
      <c r="K18" s="560">
        <f t="shared" si="6"/>
        <v>1.560787210975064</v>
      </c>
      <c r="L18" s="560">
        <f t="shared" si="6"/>
        <v>8.2892606908067616</v>
      </c>
      <c r="M18" s="560">
        <f t="shared" si="6"/>
        <v>2.5899997897727443</v>
      </c>
      <c r="N18" s="560">
        <f t="shared" si="6"/>
        <v>2.3644559769110409</v>
      </c>
      <c r="O18" s="560">
        <f t="shared" si="6"/>
        <v>2.1614365128704129</v>
      </c>
      <c r="P18" s="560">
        <f t="shared" si="6"/>
        <v>9.0181486186567685</v>
      </c>
      <c r="Q18" s="560">
        <f t="shared" si="6"/>
        <v>95.942914290347872</v>
      </c>
      <c r="R18" s="560">
        <f t="shared" si="6"/>
        <v>4.0573860343030814</v>
      </c>
      <c r="S18" s="560">
        <f t="shared" si="6"/>
        <v>100</v>
      </c>
      <c r="T18" s="559"/>
      <c r="U18" s="559"/>
      <c r="V18" s="518"/>
    </row>
    <row r="19" spans="1:22" ht="9.75" customHeight="1">
      <c r="A19" s="7" t="s">
        <v>948</v>
      </c>
      <c r="B19" s="853">
        <v>56167</v>
      </c>
      <c r="C19" s="853">
        <v>15456</v>
      </c>
      <c r="D19" s="853">
        <v>4041</v>
      </c>
      <c r="E19" s="853">
        <v>58795</v>
      </c>
      <c r="F19" s="853">
        <v>4909</v>
      </c>
      <c r="G19" s="853">
        <v>29061</v>
      </c>
      <c r="H19" s="853">
        <v>50278</v>
      </c>
      <c r="I19" s="853">
        <v>2512</v>
      </c>
      <c r="J19" s="853">
        <v>38289</v>
      </c>
      <c r="K19" s="853">
        <v>5934</v>
      </c>
      <c r="L19" s="853">
        <v>29744</v>
      </c>
      <c r="M19" s="853">
        <v>9638</v>
      </c>
      <c r="N19" s="853">
        <v>8788</v>
      </c>
      <c r="O19" s="853">
        <v>8104</v>
      </c>
      <c r="P19" s="853">
        <v>33876</v>
      </c>
      <c r="Q19" s="853">
        <f>SUM(B19:P19)</f>
        <v>355592</v>
      </c>
      <c r="R19" s="853">
        <v>15113</v>
      </c>
      <c r="S19" s="853">
        <v>370707</v>
      </c>
      <c r="T19" s="853">
        <v>18928</v>
      </c>
      <c r="U19" s="853">
        <f>S19+T19</f>
        <v>389635</v>
      </c>
      <c r="V19" s="51" t="s">
        <v>948</v>
      </c>
    </row>
    <row r="20" spans="1:22" ht="9.75" customHeight="1">
      <c r="A20" s="517"/>
      <c r="B20" s="560">
        <f t="shared" ref="B20:S20" si="7">(B19/$S19)*100</f>
        <v>15.15131896619163</v>
      </c>
      <c r="C20" s="560">
        <f t="shared" si="7"/>
        <v>4.1693304955126287</v>
      </c>
      <c r="D20" s="560">
        <f t="shared" si="7"/>
        <v>1.0900792269905881</v>
      </c>
      <c r="E20" s="560">
        <f t="shared" si="7"/>
        <v>15.860234632742301</v>
      </c>
      <c r="F20" s="560">
        <f t="shared" si="7"/>
        <v>1.3242264106153918</v>
      </c>
      <c r="G20" s="560">
        <f t="shared" si="7"/>
        <v>7.8393448194935624</v>
      </c>
      <c r="H20" s="560">
        <f t="shared" si="7"/>
        <v>13.56273283212888</v>
      </c>
      <c r="I20" s="560">
        <f t="shared" si="7"/>
        <v>0.67762410744873991</v>
      </c>
      <c r="J20" s="560">
        <f t="shared" si="7"/>
        <v>10.328642297016243</v>
      </c>
      <c r="K20" s="560">
        <f t="shared" si="7"/>
        <v>1.6007251009557415</v>
      </c>
      <c r="L20" s="560">
        <f t="shared" si="7"/>
        <v>8.0235873614471807</v>
      </c>
      <c r="M20" s="560">
        <f t="shared" si="7"/>
        <v>2.5998969536588192</v>
      </c>
      <c r="N20" s="560">
        <f t="shared" si="7"/>
        <v>2.3706053567912124</v>
      </c>
      <c r="O20" s="560">
        <f t="shared" si="7"/>
        <v>2.1860930600177499</v>
      </c>
      <c r="P20" s="560">
        <f t="shared" si="7"/>
        <v>9.1382142770435948</v>
      </c>
      <c r="Q20" s="560">
        <f t="shared" si="7"/>
        <v>95.922655898054259</v>
      </c>
      <c r="R20" s="560">
        <f t="shared" si="7"/>
        <v>4.0768045923060532</v>
      </c>
      <c r="S20" s="560">
        <f t="shared" si="7"/>
        <v>100</v>
      </c>
      <c r="T20" s="559"/>
      <c r="U20" s="559"/>
      <c r="V20" s="518"/>
    </row>
    <row r="21" spans="1:22" ht="9.75" customHeight="1">
      <c r="A21" s="23" t="s">
        <v>953</v>
      </c>
      <c r="B21" s="853">
        <v>62223</v>
      </c>
      <c r="C21" s="853">
        <v>16317</v>
      </c>
      <c r="D21" s="853">
        <v>4643</v>
      </c>
      <c r="E21" s="853">
        <v>68923</v>
      </c>
      <c r="F21" s="853">
        <v>5392</v>
      </c>
      <c r="G21" s="853">
        <v>32797</v>
      </c>
      <c r="H21" s="853">
        <v>56984</v>
      </c>
      <c r="I21" s="853">
        <v>2853</v>
      </c>
      <c r="J21" s="853">
        <v>43206</v>
      </c>
      <c r="K21" s="853">
        <v>6684</v>
      </c>
      <c r="L21" s="853">
        <v>32157</v>
      </c>
      <c r="M21" s="853">
        <v>11036</v>
      </c>
      <c r="N21" s="853">
        <v>9935</v>
      </c>
      <c r="O21" s="853">
        <v>9022</v>
      </c>
      <c r="P21" s="853">
        <v>38283</v>
      </c>
      <c r="Q21" s="853">
        <f>SUM(B21:P21)</f>
        <v>400455</v>
      </c>
      <c r="R21" s="853">
        <v>15274</v>
      </c>
      <c r="S21" s="853">
        <v>415728</v>
      </c>
      <c r="T21" s="853">
        <v>27208</v>
      </c>
      <c r="U21" s="853">
        <v>442935</v>
      </c>
      <c r="V21" s="60" t="s">
        <v>953</v>
      </c>
    </row>
    <row r="22" spans="1:22" ht="9.75" customHeight="1">
      <c r="A22" s="517"/>
      <c r="B22" s="560">
        <f t="shared" ref="B22:S22" si="8">(B21/$S21)*100</f>
        <v>14.967238194203903</v>
      </c>
      <c r="C22" s="560">
        <f t="shared" si="8"/>
        <v>3.9249220644267404</v>
      </c>
      <c r="D22" s="560">
        <f t="shared" si="8"/>
        <v>1.116836008159181</v>
      </c>
      <c r="E22" s="560">
        <f t="shared" si="8"/>
        <v>16.578868875803408</v>
      </c>
      <c r="F22" s="560">
        <f t="shared" si="8"/>
        <v>1.2970018858484393</v>
      </c>
      <c r="G22" s="560">
        <f t="shared" si="8"/>
        <v>7.8890524573759766</v>
      </c>
      <c r="H22" s="560">
        <f t="shared" si="8"/>
        <v>13.707039217950198</v>
      </c>
      <c r="I22" s="560">
        <f t="shared" si="8"/>
        <v>0.68626602009005888</v>
      </c>
      <c r="J22" s="560">
        <f t="shared" si="8"/>
        <v>10.392853019281837</v>
      </c>
      <c r="K22" s="560">
        <f t="shared" si="8"/>
        <v>1.6077820113150905</v>
      </c>
      <c r="L22" s="560">
        <f t="shared" si="8"/>
        <v>7.7351056459993073</v>
      </c>
      <c r="M22" s="560">
        <f t="shared" si="8"/>
        <v>2.654620328676442</v>
      </c>
      <c r="N22" s="560">
        <f t="shared" si="8"/>
        <v>2.3897837047300157</v>
      </c>
      <c r="O22" s="560">
        <f t="shared" si="8"/>
        <v>2.1701689566254858</v>
      </c>
      <c r="P22" s="560">
        <f t="shared" si="8"/>
        <v>9.2086652811453646</v>
      </c>
      <c r="Q22" s="560">
        <f t="shared" si="8"/>
        <v>96.326203671631447</v>
      </c>
      <c r="R22" s="560">
        <f t="shared" si="8"/>
        <v>3.6740368702613249</v>
      </c>
      <c r="S22" s="560">
        <f t="shared" si="8"/>
        <v>100</v>
      </c>
      <c r="T22" s="559"/>
      <c r="U22" s="559"/>
      <c r="V22" s="518"/>
    </row>
    <row r="23" spans="1:22" ht="9.75" customHeight="1">
      <c r="A23" s="11" t="s">
        <v>962</v>
      </c>
      <c r="B23" s="401" t="s">
        <v>976</v>
      </c>
      <c r="C23" s="401" t="s">
        <v>977</v>
      </c>
      <c r="D23" s="401" t="s">
        <v>978</v>
      </c>
      <c r="E23" s="401" t="s">
        <v>979</v>
      </c>
      <c r="F23" s="401" t="s">
        <v>980</v>
      </c>
      <c r="G23" s="401" t="s">
        <v>981</v>
      </c>
      <c r="H23" s="401" t="s">
        <v>982</v>
      </c>
      <c r="I23" s="401" t="s">
        <v>983</v>
      </c>
      <c r="J23" s="401" t="s">
        <v>984</v>
      </c>
      <c r="K23" s="401" t="s">
        <v>985</v>
      </c>
      <c r="L23" s="401" t="s">
        <v>986</v>
      </c>
      <c r="M23" s="401" t="s">
        <v>987</v>
      </c>
      <c r="N23" s="401" t="s">
        <v>988</v>
      </c>
      <c r="O23" s="401" t="s">
        <v>989</v>
      </c>
      <c r="P23" s="401" t="s">
        <v>990</v>
      </c>
      <c r="Q23" s="853">
        <f>P23+O23+N23+M23+L23+K23+J23+I23+H23+G23+F23+E23+D23+C23+B23</f>
        <v>456815</v>
      </c>
      <c r="R23" s="401" t="s">
        <v>991</v>
      </c>
      <c r="S23" s="401" t="s">
        <v>992</v>
      </c>
      <c r="T23" s="401" t="s">
        <v>664</v>
      </c>
      <c r="U23" s="401">
        <f>S23+T23</f>
        <v>507753</v>
      </c>
      <c r="V23" s="51" t="s">
        <v>962</v>
      </c>
    </row>
    <row r="24" spans="1:22" ht="9.75" customHeight="1">
      <c r="A24" s="517"/>
      <c r="B24" s="560">
        <f t="shared" ref="B24:S24" si="9">(B23/$S23)*100</f>
        <v>14.84178065810611</v>
      </c>
      <c r="C24" s="560">
        <f t="shared" si="9"/>
        <v>3.763781094106168</v>
      </c>
      <c r="D24" s="560">
        <f t="shared" si="9"/>
        <v>1.126404036598607</v>
      </c>
      <c r="E24" s="560">
        <f t="shared" si="9"/>
        <v>17.181365442127341</v>
      </c>
      <c r="F24" s="560">
        <f t="shared" si="9"/>
        <v>1.1831263744055267</v>
      </c>
      <c r="G24" s="560">
        <f t="shared" si="9"/>
        <v>7.9459952547954709</v>
      </c>
      <c r="H24" s="560">
        <f t="shared" si="9"/>
        <v>13.971262093181256</v>
      </c>
      <c r="I24" s="560">
        <f t="shared" si="9"/>
        <v>0.69611854121999595</v>
      </c>
      <c r="J24" s="560">
        <f t="shared" si="9"/>
        <v>10.351403348734435</v>
      </c>
      <c r="K24" s="560">
        <f t="shared" si="9"/>
        <v>1.6390215820029335</v>
      </c>
      <c r="L24" s="560">
        <f t="shared" si="9"/>
        <v>7.3927408106637991</v>
      </c>
      <c r="M24" s="560">
        <f t="shared" si="9"/>
        <v>2.6970625025133499</v>
      </c>
      <c r="N24" s="560">
        <f t="shared" si="9"/>
        <v>2.4923964552771882</v>
      </c>
      <c r="O24" s="560">
        <f t="shared" si="9"/>
        <v>2.1814818499101545</v>
      </c>
      <c r="P24" s="560">
        <f t="shared" si="9"/>
        <v>9.2211896028801412</v>
      </c>
      <c r="Q24" s="560">
        <f t="shared" si="9"/>
        <v>96.685129646522469</v>
      </c>
      <c r="R24" s="560">
        <f t="shared" si="9"/>
        <v>3.315082003991729</v>
      </c>
      <c r="S24" s="560">
        <f t="shared" si="9"/>
        <v>100</v>
      </c>
      <c r="T24" s="559"/>
      <c r="U24" s="559"/>
      <c r="V24" s="518"/>
    </row>
    <row r="25" spans="1:22" ht="9.75" customHeight="1">
      <c r="A25" s="11" t="s">
        <v>675</v>
      </c>
      <c r="B25" s="431" t="s">
        <v>178</v>
      </c>
      <c r="C25" s="431" t="s">
        <v>179</v>
      </c>
      <c r="D25" s="431" t="s">
        <v>180</v>
      </c>
      <c r="E25" s="431" t="s">
        <v>181</v>
      </c>
      <c r="F25" s="431" t="s">
        <v>182</v>
      </c>
      <c r="G25" s="431" t="s">
        <v>183</v>
      </c>
      <c r="H25" s="431" t="s">
        <v>184</v>
      </c>
      <c r="I25" s="431" t="s">
        <v>185</v>
      </c>
      <c r="J25" s="431" t="s">
        <v>186</v>
      </c>
      <c r="K25" s="431" t="s">
        <v>187</v>
      </c>
      <c r="L25" s="431" t="s">
        <v>188</v>
      </c>
      <c r="M25" s="431" t="s">
        <v>189</v>
      </c>
      <c r="N25" s="431" t="s">
        <v>190</v>
      </c>
      <c r="O25" s="431" t="s">
        <v>191</v>
      </c>
      <c r="P25" s="431" t="s">
        <v>665</v>
      </c>
      <c r="Q25" s="853">
        <f>P25+O25+N25+M25+L25+K25+J25+I25+H25+G25+F25+E25+D25+C25+B25</f>
        <v>525976</v>
      </c>
      <c r="R25" s="401">
        <f>S25-Q25</f>
        <v>19846</v>
      </c>
      <c r="S25" s="401" t="s">
        <v>192</v>
      </c>
      <c r="T25" s="401">
        <v>48390</v>
      </c>
      <c r="U25" s="401">
        <f>S25+T25</f>
        <v>594212</v>
      </c>
      <c r="V25" s="51" t="s">
        <v>675</v>
      </c>
    </row>
    <row r="26" spans="1:22" ht="9.75" customHeight="1">
      <c r="A26" s="517"/>
      <c r="B26" s="560">
        <f t="shared" ref="B26:S26" si="10">(B25/$S25)*100</f>
        <v>14.693801275873819</v>
      </c>
      <c r="C26" s="560">
        <f t="shared" si="10"/>
        <v>3.6257241371729245</v>
      </c>
      <c r="D26" s="560">
        <f t="shared" si="10"/>
        <v>1.1271073720003957</v>
      </c>
      <c r="E26" s="560">
        <f t="shared" si="10"/>
        <v>17.203593845612673</v>
      </c>
      <c r="F26" s="560">
        <f t="shared" si="10"/>
        <v>1.1120841593046817</v>
      </c>
      <c r="G26" s="560">
        <f t="shared" si="10"/>
        <v>8.0344874336322096</v>
      </c>
      <c r="H26" s="560">
        <f t="shared" si="10"/>
        <v>14.330679232423757</v>
      </c>
      <c r="I26" s="560">
        <f t="shared" si="10"/>
        <v>0.7125033435808743</v>
      </c>
      <c r="J26" s="560">
        <f t="shared" si="10"/>
        <v>10.425926400914584</v>
      </c>
      <c r="K26" s="560">
        <f t="shared" si="10"/>
        <v>1.6406447523185215</v>
      </c>
      <c r="L26" s="560">
        <f t="shared" si="10"/>
        <v>6.9726027899205238</v>
      </c>
      <c r="M26" s="560">
        <f t="shared" si="10"/>
        <v>2.6431693848910451</v>
      </c>
      <c r="N26" s="560">
        <f t="shared" si="10"/>
        <v>2.4791965146146544</v>
      </c>
      <c r="O26" s="560">
        <f t="shared" si="10"/>
        <v>2.165357937202971</v>
      </c>
      <c r="P26" s="560">
        <f t="shared" si="10"/>
        <v>9.1971375283517336</v>
      </c>
      <c r="Q26" s="560">
        <f t="shared" si="10"/>
        <v>96.36401610781536</v>
      </c>
      <c r="R26" s="560">
        <f t="shared" si="10"/>
        <v>3.6359838921846315</v>
      </c>
      <c r="S26" s="560">
        <f t="shared" si="10"/>
        <v>100</v>
      </c>
      <c r="T26" s="559"/>
      <c r="U26" s="559"/>
      <c r="V26" s="518"/>
    </row>
    <row r="27" spans="1:22" ht="9.75" customHeight="1">
      <c r="A27" s="11" t="s">
        <v>141</v>
      </c>
      <c r="B27" s="401">
        <v>89426</v>
      </c>
      <c r="C27" s="401">
        <v>21807</v>
      </c>
      <c r="D27" s="401">
        <v>7091</v>
      </c>
      <c r="E27" s="401">
        <v>106445</v>
      </c>
      <c r="F27" s="401">
        <v>6542</v>
      </c>
      <c r="G27" s="401">
        <v>50125</v>
      </c>
      <c r="H27" s="401">
        <v>88277</v>
      </c>
      <c r="I27" s="401">
        <v>4460</v>
      </c>
      <c r="J27" s="401">
        <v>64280</v>
      </c>
      <c r="K27" s="401">
        <v>10245</v>
      </c>
      <c r="L27" s="401">
        <v>41616</v>
      </c>
      <c r="M27" s="401">
        <v>16361</v>
      </c>
      <c r="N27" s="401">
        <v>15494</v>
      </c>
      <c r="O27" s="401">
        <v>13391</v>
      </c>
      <c r="P27" s="401">
        <v>58364</v>
      </c>
      <c r="Q27" s="853">
        <f>SUM(B27:P27)</f>
        <v>593924</v>
      </c>
      <c r="R27" s="401">
        <v>20871</v>
      </c>
      <c r="S27" s="401">
        <f>Q27+R27</f>
        <v>614795</v>
      </c>
      <c r="T27" s="401">
        <v>55901</v>
      </c>
      <c r="U27" s="401">
        <f>S27+T27</f>
        <v>670696</v>
      </c>
      <c r="V27" s="51" t="s">
        <v>141</v>
      </c>
    </row>
    <row r="28" spans="1:22" ht="9.75" customHeight="1">
      <c r="A28" s="517"/>
      <c r="B28" s="560">
        <f>(B27/S27)*100</f>
        <v>14.545661561984078</v>
      </c>
      <c r="C28" s="560">
        <f>(C27/S27)*100</f>
        <v>3.547036003871209</v>
      </c>
      <c r="D28" s="560">
        <f>(D27/S27)*100</f>
        <v>1.1533925942793939</v>
      </c>
      <c r="E28" s="560">
        <f>(E27/S27)*100</f>
        <v>17.313901381761401</v>
      </c>
      <c r="F28" s="560">
        <f>(F27/S27)*100</f>
        <v>1.0640945355768996</v>
      </c>
      <c r="G28" s="560">
        <f>(G27/S27)*100</f>
        <v>8.1531242121357526</v>
      </c>
      <c r="H28" s="560">
        <f>(H27/S27)*100</f>
        <v>14.358769996502899</v>
      </c>
      <c r="I28" s="560">
        <f>(I27/S27)*100</f>
        <v>0.72544506705487199</v>
      </c>
      <c r="J28" s="560">
        <f>(J27/S27)*100</f>
        <v>10.455517692889501</v>
      </c>
      <c r="K28" s="560">
        <f>(K27/S27)*100</f>
        <v>1.6664091282460005</v>
      </c>
      <c r="L28" s="560">
        <f>(L27/S27)*100</f>
        <v>6.7690856301694069</v>
      </c>
      <c r="M28" s="560">
        <f>(M27/S27)*100</f>
        <v>2.6612122740100359</v>
      </c>
      <c r="N28" s="560">
        <f>(N27/S27)*100</f>
        <v>2.5201896567148401</v>
      </c>
      <c r="O28" s="560">
        <f>(O27/S27)*100</f>
        <v>2.1781244154555583</v>
      </c>
      <c r="P28" s="560">
        <f>(P27/S27)*100</f>
        <v>9.4932457160516925</v>
      </c>
      <c r="Q28" s="560">
        <f>(Q27/S27)*100</f>
        <v>96.605209866703532</v>
      </c>
      <c r="R28" s="560">
        <f>(R27/S27)*100</f>
        <v>3.3947901332964645</v>
      </c>
      <c r="S28" s="560">
        <f>(S27/S27)*100</f>
        <v>100</v>
      </c>
      <c r="T28" s="559"/>
      <c r="U28" s="559"/>
      <c r="V28" s="518"/>
    </row>
    <row r="29" spans="1:22" ht="9.75" customHeight="1">
      <c r="A29" s="10" t="s">
        <v>136</v>
      </c>
      <c r="B29" s="432" t="s">
        <v>1115</v>
      </c>
      <c r="C29" s="432" t="s">
        <v>1116</v>
      </c>
      <c r="D29" s="432" t="s">
        <v>1117</v>
      </c>
      <c r="E29" s="432" t="s">
        <v>1118</v>
      </c>
      <c r="F29" s="432" t="s">
        <v>1119</v>
      </c>
      <c r="G29" s="432" t="s">
        <v>1120</v>
      </c>
      <c r="H29" s="432" t="s">
        <v>1121</v>
      </c>
      <c r="I29" s="432" t="s">
        <v>1122</v>
      </c>
      <c r="J29" s="432" t="s">
        <v>1123</v>
      </c>
      <c r="K29" s="432" t="s">
        <v>1124</v>
      </c>
      <c r="L29" s="154">
        <v>45683</v>
      </c>
      <c r="M29" s="154">
        <v>18757</v>
      </c>
      <c r="N29" s="154">
        <v>17908</v>
      </c>
      <c r="O29" s="154">
        <v>15142</v>
      </c>
      <c r="P29" s="154">
        <v>68465</v>
      </c>
      <c r="Q29" s="853">
        <f>P29+O29+N29+M29+L29+K29+J29+I29+H29+G29+F29+E29+D29+C29+B29</f>
        <v>671466</v>
      </c>
      <c r="R29" s="154">
        <v>22858</v>
      </c>
      <c r="S29" s="401">
        <f>Q29+R29</f>
        <v>694324</v>
      </c>
      <c r="T29" s="432" t="s">
        <v>1217</v>
      </c>
      <c r="U29" s="401">
        <f>S29+T29</f>
        <v>758928</v>
      </c>
      <c r="V29" s="178" t="s">
        <v>136</v>
      </c>
    </row>
    <row r="30" spans="1:22" ht="9.75" customHeight="1">
      <c r="A30" s="517"/>
      <c r="B30" s="560">
        <f>(B29/S29)*100</f>
        <v>14.487184657306965</v>
      </c>
      <c r="C30" s="560">
        <f>(C29/S29)*100</f>
        <v>3.4887170830908913</v>
      </c>
      <c r="D30" s="560">
        <f>(D29/S29)*100</f>
        <v>1.1686186852247653</v>
      </c>
      <c r="E30" s="560">
        <f>(E29/S29)*100</f>
        <v>17.298552260904131</v>
      </c>
      <c r="F30" s="560">
        <f>(F29/S29)*100</f>
        <v>1.0362597288873783</v>
      </c>
      <c r="G30" s="560">
        <f>(G29/S29)*100</f>
        <v>8.016142319723933</v>
      </c>
      <c r="H30" s="560">
        <f>(H29/S29)*100</f>
        <v>14.444985338257069</v>
      </c>
      <c r="I30" s="560">
        <f>(I29/S29)*100</f>
        <v>0.74172864541626093</v>
      </c>
      <c r="J30" s="560">
        <f>(J29/S29)*100</f>
        <v>10.352515540295308</v>
      </c>
      <c r="K30" s="560">
        <f>(K29/S29)*100</f>
        <v>1.7715072502174776</v>
      </c>
      <c r="L30" s="560">
        <f>(L29/S29)*100</f>
        <v>6.5794931472914664</v>
      </c>
      <c r="M30" s="560">
        <f>(M29/S29)*100</f>
        <v>2.7014765440918072</v>
      </c>
      <c r="N30" s="560">
        <f>(N29/S29)*100</f>
        <v>2.5791993363328936</v>
      </c>
      <c r="O30" s="560">
        <f>(O29/S29)*100</f>
        <v>2.1808262425034997</v>
      </c>
      <c r="P30" s="560">
        <f>(P29/S29)*100</f>
        <v>9.8606702346454966</v>
      </c>
      <c r="Q30" s="560">
        <f>(Q29/S29)*100</f>
        <v>96.707877014189336</v>
      </c>
      <c r="R30" s="560">
        <f>(R29/S29)*100</f>
        <v>3.2921229858106589</v>
      </c>
      <c r="S30" s="560">
        <f>(S29/S29)*100</f>
        <v>100</v>
      </c>
      <c r="T30" s="561"/>
      <c r="U30" s="561"/>
      <c r="V30" s="517"/>
    </row>
    <row r="31" spans="1:22" ht="9.75" customHeight="1">
      <c r="A31" s="11" t="s">
        <v>317</v>
      </c>
      <c r="B31" s="401">
        <v>113582</v>
      </c>
      <c r="C31" s="401">
        <v>26996</v>
      </c>
      <c r="D31" s="401">
        <v>9063</v>
      </c>
      <c r="E31" s="401">
        <v>135550</v>
      </c>
      <c r="F31" s="401">
        <v>8211</v>
      </c>
      <c r="G31" s="401">
        <v>63982</v>
      </c>
      <c r="H31" s="401">
        <v>115959</v>
      </c>
      <c r="I31" s="401">
        <v>5997</v>
      </c>
      <c r="J31" s="401">
        <v>85465</v>
      </c>
      <c r="K31" s="401">
        <v>14484</v>
      </c>
      <c r="L31" s="401">
        <v>50337</v>
      </c>
      <c r="M31" s="401">
        <v>22381</v>
      </c>
      <c r="N31" s="401">
        <v>21308</v>
      </c>
      <c r="O31" s="401">
        <v>17582</v>
      </c>
      <c r="P31" s="401">
        <v>77876</v>
      </c>
      <c r="Q31" s="853">
        <f>SUM(B31:P31)</f>
        <v>768773</v>
      </c>
      <c r="R31" s="401">
        <v>27931</v>
      </c>
      <c r="S31" s="401">
        <f>Q31+R31</f>
        <v>796704</v>
      </c>
      <c r="T31" s="75" t="s">
        <v>1500</v>
      </c>
      <c r="U31" s="401">
        <f>S31+T31</f>
        <v>869218</v>
      </c>
      <c r="V31" s="51" t="s">
        <v>317</v>
      </c>
    </row>
    <row r="32" spans="1:22" ht="9.75" customHeight="1">
      <c r="A32" s="517"/>
      <c r="B32" s="560">
        <f>(B31/S31)*100</f>
        <v>14.256486725308271</v>
      </c>
      <c r="C32" s="560">
        <f>(C31/S31)*100</f>
        <v>3.3884604570831827</v>
      </c>
      <c r="D32" s="560">
        <f>(D31/S31)*100</f>
        <v>1.1375617544282444</v>
      </c>
      <c r="E32" s="560">
        <f>(E31/S31)*100</f>
        <v>17.013847049845364</v>
      </c>
      <c r="F32" s="560">
        <f>(F31/S31)*100</f>
        <v>1.0306211591758043</v>
      </c>
      <c r="G32" s="560">
        <f>(G31/S31)*100</f>
        <v>8.0308370486403984</v>
      </c>
      <c r="H32" s="560">
        <f>(H31/S31)*100</f>
        <v>14.554840944692133</v>
      </c>
      <c r="I32" s="560">
        <f>(I31/S31)*100</f>
        <v>0.75272623207615375</v>
      </c>
      <c r="J32" s="560">
        <f>(J31/S31)*100</f>
        <v>10.72732156484717</v>
      </c>
      <c r="K32" s="560">
        <f>(K31/S31)*100</f>
        <v>1.8179901192914807</v>
      </c>
      <c r="L32" s="560">
        <f>(L31/S31)*100</f>
        <v>6.3181558019038437</v>
      </c>
      <c r="M32" s="560">
        <f>(M31/S31)*100</f>
        <v>2.809198899465799</v>
      </c>
      <c r="N32" s="560">
        <f>(N31/S31)*100</f>
        <v>2.6745190183556251</v>
      </c>
      <c r="O32" s="560">
        <f>(O31/S31)*100</f>
        <v>2.2068421898220669</v>
      </c>
      <c r="P32" s="560">
        <f>(P31/S31)*100</f>
        <v>9.7747720608908697</v>
      </c>
      <c r="Q32" s="560">
        <f>(Q31/S31)*100</f>
        <v>96.494181025826407</v>
      </c>
      <c r="R32" s="560">
        <f>(R31/S31)*100</f>
        <v>3.5058189741735952</v>
      </c>
      <c r="S32" s="560">
        <f>(S31/S31)*100</f>
        <v>100</v>
      </c>
      <c r="T32" s="525"/>
      <c r="U32" s="559"/>
      <c r="V32" s="517"/>
    </row>
    <row r="33" spans="1:22" s="765" customFormat="1" ht="9.75" customHeight="1">
      <c r="A33" s="298" t="s">
        <v>1299</v>
      </c>
      <c r="B33" s="242">
        <v>125751</v>
      </c>
      <c r="C33" s="242">
        <v>31003</v>
      </c>
      <c r="D33" s="242">
        <v>10446</v>
      </c>
      <c r="E33" s="242">
        <v>155750</v>
      </c>
      <c r="F33" s="242">
        <v>9595</v>
      </c>
      <c r="G33" s="242">
        <v>76635</v>
      </c>
      <c r="H33" s="242">
        <v>130684</v>
      </c>
      <c r="I33" s="242">
        <v>7137</v>
      </c>
      <c r="J33" s="242">
        <v>101810</v>
      </c>
      <c r="K33" s="242">
        <v>17576</v>
      </c>
      <c r="L33" s="242">
        <v>58949</v>
      </c>
      <c r="M33" s="242">
        <v>25320</v>
      </c>
      <c r="N33" s="242">
        <v>24058</v>
      </c>
      <c r="O33" s="242">
        <v>20574</v>
      </c>
      <c r="P33" s="242">
        <v>91485</v>
      </c>
      <c r="Q33" s="858">
        <f>SUM(B33:P33)</f>
        <v>886773</v>
      </c>
      <c r="R33" s="242">
        <v>31368</v>
      </c>
      <c r="S33" s="859">
        <f>Q33+R33</f>
        <v>918141</v>
      </c>
      <c r="T33" s="242">
        <v>89302</v>
      </c>
      <c r="U33" s="859">
        <f>S33+T33</f>
        <v>1007443</v>
      </c>
      <c r="V33" s="367" t="s">
        <v>1299</v>
      </c>
    </row>
    <row r="34" spans="1:22" s="112" customFormat="1" ht="9.75" customHeight="1">
      <c r="A34" s="517"/>
      <c r="B34" s="560">
        <f>(B33/S33)*100</f>
        <v>13.696262338791101</v>
      </c>
      <c r="C34" s="560">
        <f>(C33/S33)*100</f>
        <v>3.3767144697818745</v>
      </c>
      <c r="D34" s="560">
        <f>(D33/S33)*100</f>
        <v>1.1377337467774558</v>
      </c>
      <c r="E34" s="560">
        <f>(E33/S33)*100</f>
        <v>16.963625412654483</v>
      </c>
      <c r="F34" s="560">
        <f>(F33/S33)*100</f>
        <v>1.0450464580059053</v>
      </c>
      <c r="G34" s="560">
        <f>(G33/S33)*100</f>
        <v>8.3467571974239245</v>
      </c>
      <c r="H34" s="560">
        <f>(H33/S33)*100</f>
        <v>14.233543649613731</v>
      </c>
      <c r="I34" s="560">
        <f>(I33/S33)*100</f>
        <v>0.77733158632497623</v>
      </c>
      <c r="J34" s="560">
        <f>(J33/S33)*100</f>
        <v>11.088710775360211</v>
      </c>
      <c r="K34" s="560">
        <f>(K33/S33)*100</f>
        <v>1.9143029229715263</v>
      </c>
      <c r="L34" s="560">
        <f>(L33/S33)*100</f>
        <v>6.4204735438238796</v>
      </c>
      <c r="M34" s="560">
        <f>(M33/S33)*100</f>
        <v>2.7577463592193356</v>
      </c>
      <c r="N34" s="560">
        <f>(N33/S33)*100</f>
        <v>2.6202947041903148</v>
      </c>
      <c r="O34" s="560">
        <f>(O33/S33)*100</f>
        <v>2.2408322904651898</v>
      </c>
      <c r="P34" s="560">
        <f>(P33/S33)*100</f>
        <v>9.9641558322741286</v>
      </c>
      <c r="Q34" s="560">
        <f>(Q33/S33)*100</f>
        <v>96.583531287678042</v>
      </c>
      <c r="R34" s="560">
        <f>(R33/S33)*100</f>
        <v>3.4164687123219637</v>
      </c>
      <c r="S34" s="560">
        <f>(S33/S33)*100</f>
        <v>100</v>
      </c>
      <c r="T34" s="561"/>
      <c r="U34" s="561"/>
      <c r="V34" s="517"/>
    </row>
    <row r="35" spans="1:22" s="112" customFormat="1" ht="9.75" customHeight="1">
      <c r="A35" s="298" t="s">
        <v>2187</v>
      </c>
      <c r="B35" s="859">
        <v>70171</v>
      </c>
      <c r="C35" s="859">
        <v>16814</v>
      </c>
      <c r="D35" s="859">
        <v>7009</v>
      </c>
      <c r="E35" s="859">
        <v>73834</v>
      </c>
      <c r="F35" s="859">
        <v>5553</v>
      </c>
      <c r="G35" s="859">
        <v>29825</v>
      </c>
      <c r="H35" s="859">
        <v>62352</v>
      </c>
      <c r="I35" s="859">
        <v>3467</v>
      </c>
      <c r="J35" s="859">
        <v>46497</v>
      </c>
      <c r="K35" s="859">
        <v>14216</v>
      </c>
      <c r="L35" s="859">
        <v>37935</v>
      </c>
      <c r="M35" s="859">
        <v>14089</v>
      </c>
      <c r="N35" s="859">
        <v>9962</v>
      </c>
      <c r="O35" s="859">
        <v>9288</v>
      </c>
      <c r="P35" s="859">
        <v>56600</v>
      </c>
      <c r="Q35" s="858">
        <f>SUM(B35:P35)</f>
        <v>457612</v>
      </c>
      <c r="R35" s="859">
        <v>24725</v>
      </c>
      <c r="S35" s="859">
        <f>Q35+R35</f>
        <v>482337</v>
      </c>
      <c r="T35" s="859">
        <v>27208</v>
      </c>
      <c r="U35" s="859">
        <f>S35+T35</f>
        <v>509545</v>
      </c>
      <c r="V35" s="367" t="s">
        <v>2187</v>
      </c>
    </row>
    <row r="36" spans="1:22" s="112" customFormat="1" ht="9.75" customHeight="1">
      <c r="A36" s="517"/>
      <c r="B36" s="560">
        <f>(B35/S35)*100</f>
        <v>14.548127139323752</v>
      </c>
      <c r="C36" s="560">
        <f>(C35/S35)*100</f>
        <v>3.4859444745064136</v>
      </c>
      <c r="D36" s="560">
        <f>(D35/S35)*100</f>
        <v>1.4531333901400889</v>
      </c>
      <c r="E36" s="560">
        <f>(E35/S35)*100</f>
        <v>15.307554676502114</v>
      </c>
      <c r="F36" s="560">
        <f>(F35/S35)*100</f>
        <v>1.151269755378501</v>
      </c>
      <c r="G36" s="560">
        <f>(G35/S35)*100</f>
        <v>6.1834360623381581</v>
      </c>
      <c r="H36" s="560">
        <f>(H35/S35)*100</f>
        <v>12.927061369955032</v>
      </c>
      <c r="I36" s="560">
        <f>(I35/S35)*100</f>
        <v>0.71879204788353368</v>
      </c>
      <c r="J36" s="560">
        <f>(J35/S35)*100</f>
        <v>9.6399405394983173</v>
      </c>
      <c r="K36" s="560">
        <f>(K35/S35)*100</f>
        <v>2.9473169174249541</v>
      </c>
      <c r="L36" s="560">
        <f>(L35/S35)*100</f>
        <v>7.8648330938741999</v>
      </c>
      <c r="M36" s="560">
        <f>(M35/S35)*100</f>
        <v>2.9209867789533042</v>
      </c>
      <c r="N36" s="560">
        <f>(N35/S35)*100</f>
        <v>2.0653609405871829</v>
      </c>
      <c r="O36" s="560">
        <f>(O35/S35)*100</f>
        <v>1.9256246151549643</v>
      </c>
      <c r="P36" s="560">
        <f>(P35/S35)*100</f>
        <v>11.734534153506781</v>
      </c>
      <c r="Q36" s="560">
        <f>(Q35/S35)*100</f>
        <v>94.8739159550273</v>
      </c>
      <c r="R36" s="560">
        <f>(R35/S35)*100</f>
        <v>5.1260840449727052</v>
      </c>
      <c r="S36" s="560">
        <f>(S35/S35)*100</f>
        <v>100</v>
      </c>
      <c r="T36" s="561"/>
      <c r="U36" s="561"/>
      <c r="V36" s="518"/>
    </row>
    <row r="37" spans="1:22" s="112" customFormat="1" ht="9.75" customHeight="1">
      <c r="A37" s="298" t="s">
        <v>962</v>
      </c>
      <c r="B37" s="859">
        <v>79010</v>
      </c>
      <c r="C37" s="859">
        <v>18890</v>
      </c>
      <c r="D37" s="859">
        <v>7866</v>
      </c>
      <c r="E37" s="859">
        <v>87606</v>
      </c>
      <c r="F37" s="859">
        <v>5720</v>
      </c>
      <c r="G37" s="859">
        <v>33513</v>
      </c>
      <c r="H37" s="859">
        <v>72971</v>
      </c>
      <c r="I37" s="859">
        <v>4069</v>
      </c>
      <c r="J37" s="859">
        <v>53132</v>
      </c>
      <c r="K37" s="859">
        <v>16265</v>
      </c>
      <c r="L37" s="859">
        <v>41337</v>
      </c>
      <c r="M37" s="859">
        <v>17132</v>
      </c>
      <c r="N37" s="859">
        <v>11853</v>
      </c>
      <c r="O37" s="859">
        <v>10453</v>
      </c>
      <c r="P37" s="859">
        <v>63544</v>
      </c>
      <c r="Q37" s="858">
        <f>SUM(B37:P37)</f>
        <v>523361</v>
      </c>
      <c r="R37" s="859">
        <v>26439</v>
      </c>
      <c r="S37" s="859">
        <f>Q37+R37</f>
        <v>549800</v>
      </c>
      <c r="T37" s="859">
        <v>35276</v>
      </c>
      <c r="U37" s="859">
        <f>S37+T37</f>
        <v>585076</v>
      </c>
      <c r="V37" s="367" t="s">
        <v>962</v>
      </c>
    </row>
    <row r="38" spans="1:22" s="112" customFormat="1" ht="9.75" customHeight="1">
      <c r="A38" s="517"/>
      <c r="B38" s="560">
        <f>(B37/S37)*100</f>
        <v>14.370680247362678</v>
      </c>
      <c r="C38" s="560">
        <f>(C37/S37)*100</f>
        <v>3.4357948344852671</v>
      </c>
      <c r="D38" s="560">
        <f>(D37/S37)*100</f>
        <v>1.4307020734812659</v>
      </c>
      <c r="E38" s="560">
        <f>(E37/S37)*100</f>
        <v>15.934157875591124</v>
      </c>
      <c r="F38" s="560">
        <f>(F37/S37)*100</f>
        <v>1.0403783193888687</v>
      </c>
      <c r="G38" s="560">
        <f>(G37/S37)*100</f>
        <v>6.0954892688250268</v>
      </c>
      <c r="H38" s="560">
        <f>(H37/S37)*100</f>
        <v>13.272280829392507</v>
      </c>
      <c r="I38" s="560">
        <f>(I37/S37)*100</f>
        <v>0.74008730447435422</v>
      </c>
      <c r="J38" s="560">
        <f>(J37/S37)*100</f>
        <v>9.663877773735905</v>
      </c>
      <c r="K38" s="560">
        <f>(K37/S37)*100</f>
        <v>2.9583484903601307</v>
      </c>
      <c r="L38" s="560">
        <f>(L37/S37)*100</f>
        <v>7.5185522008002907</v>
      </c>
      <c r="M38" s="560">
        <f>(M37/S37)*100</f>
        <v>3.1160421971626042</v>
      </c>
      <c r="N38" s="560">
        <f>(N37/S37)*100</f>
        <v>2.1558748635867588</v>
      </c>
      <c r="O38" s="560">
        <f>(O37/S37)*100</f>
        <v>1.9012368133866859</v>
      </c>
      <c r="P38" s="560">
        <f>(P37/S37)*100</f>
        <v>11.557657329938159</v>
      </c>
      <c r="Q38" s="560">
        <f>(Q37/S37)*100</f>
        <v>95.191160421971617</v>
      </c>
      <c r="R38" s="560">
        <f>(R37/S37)*100</f>
        <v>4.8088395780283744</v>
      </c>
      <c r="S38" s="560">
        <f>(S37/S37)*100</f>
        <v>100</v>
      </c>
      <c r="T38" s="561"/>
      <c r="U38" s="561"/>
      <c r="V38" s="518"/>
    </row>
    <row r="39" spans="1:22" s="112" customFormat="1" ht="9.75" customHeight="1">
      <c r="A39" s="298" t="s">
        <v>675</v>
      </c>
      <c r="B39" s="859">
        <v>89986</v>
      </c>
      <c r="C39" s="859">
        <v>20635</v>
      </c>
      <c r="D39" s="859">
        <v>9110</v>
      </c>
      <c r="E39" s="859">
        <v>101371</v>
      </c>
      <c r="F39" s="859">
        <v>6441</v>
      </c>
      <c r="G39" s="859">
        <v>38532</v>
      </c>
      <c r="H39" s="859">
        <v>86149</v>
      </c>
      <c r="I39" s="859">
        <v>4826</v>
      </c>
      <c r="J39" s="859">
        <v>59620</v>
      </c>
      <c r="K39" s="859">
        <v>18702</v>
      </c>
      <c r="L39" s="859">
        <v>45118</v>
      </c>
      <c r="M39" s="859">
        <v>19664</v>
      </c>
      <c r="N39" s="859">
        <v>14332</v>
      </c>
      <c r="O39" s="859">
        <v>12164</v>
      </c>
      <c r="P39" s="859">
        <v>72200</v>
      </c>
      <c r="Q39" s="858">
        <f>SUM(B39:P39)</f>
        <v>598850</v>
      </c>
      <c r="R39" s="859">
        <v>29832</v>
      </c>
      <c r="S39" s="859">
        <f>Q39+R39</f>
        <v>628682</v>
      </c>
      <c r="T39" s="859">
        <v>48390</v>
      </c>
      <c r="U39" s="859">
        <f>S39+T39</f>
        <v>677072</v>
      </c>
      <c r="V39" s="367" t="s">
        <v>675</v>
      </c>
    </row>
    <row r="40" spans="1:22" s="112" customFormat="1" ht="9.75" customHeight="1">
      <c r="A40" s="517"/>
      <c r="B40" s="560">
        <f>(B39/S39)*100</f>
        <v>14.313436681820061</v>
      </c>
      <c r="C40" s="560">
        <f>(C39/S39)*100</f>
        <v>3.2822635290973818</v>
      </c>
      <c r="D40" s="560">
        <f>(D39/S39)*100</f>
        <v>1.4490632784142061</v>
      </c>
      <c r="E40" s="560">
        <f>(E39/S39)*100</f>
        <v>16.124368122516628</v>
      </c>
      <c r="F40" s="560">
        <f>(F39/S39)*100</f>
        <v>1.0245243223123932</v>
      </c>
      <c r="G40" s="560">
        <f>(G39/S39)*100</f>
        <v>6.1290127600281217</v>
      </c>
      <c r="H40" s="560">
        <f>(H39/S39)*100</f>
        <v>13.703112225258558</v>
      </c>
      <c r="I40" s="560">
        <f>(I39/S39)*100</f>
        <v>0.76763769282403505</v>
      </c>
      <c r="J40" s="560">
        <f>(J39/S39)*100</f>
        <v>9.4833317957250252</v>
      </c>
      <c r="K40" s="560">
        <f>(K39/S39)*100</f>
        <v>2.9747948883537307</v>
      </c>
      <c r="L40" s="560">
        <f>(L39/S39)*100</f>
        <v>7.1766012069695018</v>
      </c>
      <c r="M40" s="560">
        <f>(M39/S39)*100</f>
        <v>3.1278134255474148</v>
      </c>
      <c r="N40" s="560">
        <f>(N39/S39)*100</f>
        <v>2.2796898909146437</v>
      </c>
      <c r="O40" s="560">
        <f>(O39/S39)*100</f>
        <v>1.9348414619791883</v>
      </c>
      <c r="P40" s="560">
        <f>(P39/S39)*100</f>
        <v>11.484343435950132</v>
      </c>
      <c r="Q40" s="560">
        <f>(Q39/S39)*100</f>
        <v>95.25483471771102</v>
      </c>
      <c r="R40" s="560">
        <f>(R39/S39)*100</f>
        <v>4.7451652822889798</v>
      </c>
      <c r="S40" s="560">
        <f>(S39/S39)*100</f>
        <v>100</v>
      </c>
      <c r="T40" s="561"/>
      <c r="U40" s="561"/>
      <c r="V40" s="518"/>
    </row>
    <row r="41" spans="1:22" s="112" customFormat="1" ht="9.75" customHeight="1">
      <c r="A41" s="298" t="s">
        <v>141</v>
      </c>
      <c r="B41" s="859">
        <v>97807</v>
      </c>
      <c r="C41" s="859">
        <v>22793</v>
      </c>
      <c r="D41" s="859">
        <v>10963</v>
      </c>
      <c r="E41" s="859">
        <v>116197</v>
      </c>
      <c r="F41" s="859">
        <v>7012</v>
      </c>
      <c r="G41" s="859">
        <v>44180</v>
      </c>
      <c r="H41" s="859">
        <v>96094</v>
      </c>
      <c r="I41" s="859">
        <v>5790</v>
      </c>
      <c r="J41" s="859">
        <v>67185</v>
      </c>
      <c r="K41" s="859">
        <v>20003</v>
      </c>
      <c r="L41" s="859">
        <v>49448</v>
      </c>
      <c r="M41" s="859">
        <v>22464</v>
      </c>
      <c r="N41" s="859">
        <v>16250</v>
      </c>
      <c r="O41" s="859">
        <v>13368</v>
      </c>
      <c r="P41" s="859">
        <v>85366</v>
      </c>
      <c r="Q41" s="858">
        <f>SUM(B41:P41)</f>
        <v>674920</v>
      </c>
      <c r="R41" s="859">
        <v>30152</v>
      </c>
      <c r="S41" s="859">
        <f>Q41+R41</f>
        <v>705072</v>
      </c>
      <c r="T41" s="859">
        <v>55901</v>
      </c>
      <c r="U41" s="859">
        <f>S41+T41</f>
        <v>760973</v>
      </c>
      <c r="V41" s="367" t="s">
        <v>141</v>
      </c>
    </row>
    <row r="42" spans="1:22" s="112" customFormat="1" ht="9.75" customHeight="1">
      <c r="A42" s="517"/>
      <c r="B42" s="560">
        <f>(B41/S41)*100</f>
        <v>13.871916626954411</v>
      </c>
      <c r="C42" s="560">
        <f>(C41/S41)*100</f>
        <v>3.2327194953139538</v>
      </c>
      <c r="D42" s="560">
        <f>(D41/S41)*100</f>
        <v>1.5548766650781765</v>
      </c>
      <c r="E42" s="560">
        <f>(E41/S41)*100</f>
        <v>16.480160891369959</v>
      </c>
      <c r="F42" s="560">
        <f>(F41/S41)*100</f>
        <v>0.99450836226654871</v>
      </c>
      <c r="G42" s="560">
        <f>(G41/S41)*100</f>
        <v>6.266026732021694</v>
      </c>
      <c r="H42" s="560">
        <f>(H41/S41)*100</f>
        <v>13.628962715864478</v>
      </c>
      <c r="I42" s="560">
        <f>(I41/S41)*100</f>
        <v>0.82119272925318265</v>
      </c>
      <c r="J42" s="560">
        <f>(J41/S41)*100</f>
        <v>9.5288140785621902</v>
      </c>
      <c r="K42" s="560">
        <f>(K41/S41)*100</f>
        <v>2.8370152268137154</v>
      </c>
      <c r="L42" s="560">
        <f>(L41/S41)*100</f>
        <v>7.0131844691038641</v>
      </c>
      <c r="M42" s="560">
        <f>(M41/S41)*100</f>
        <v>3.1860575941180476</v>
      </c>
      <c r="N42" s="560">
        <f>(N41/S41)*100</f>
        <v>2.3047291624117823</v>
      </c>
      <c r="O42" s="560">
        <f>(O41/S41)*100</f>
        <v>1.8959765811151201</v>
      </c>
      <c r="P42" s="560">
        <f>(P41/S41)*100</f>
        <v>12.10741598021195</v>
      </c>
      <c r="Q42" s="560">
        <f>(Q41/S41)*100</f>
        <v>95.723557310459071</v>
      </c>
      <c r="R42" s="560">
        <f>(R41/S41)*100</f>
        <v>4.276442689540926</v>
      </c>
      <c r="S42" s="560">
        <f>(S41/S41)*100</f>
        <v>100</v>
      </c>
      <c r="T42" s="561"/>
      <c r="U42" s="561"/>
      <c r="V42" s="517"/>
    </row>
    <row r="43" spans="1:22" s="765" customFormat="1" ht="9.75" customHeight="1">
      <c r="A43" s="457" t="s">
        <v>136</v>
      </c>
      <c r="B43" s="242">
        <v>110990</v>
      </c>
      <c r="C43" s="242">
        <v>24601</v>
      </c>
      <c r="D43" s="242">
        <v>12645</v>
      </c>
      <c r="E43" s="242">
        <v>128573</v>
      </c>
      <c r="F43" s="242">
        <v>8346</v>
      </c>
      <c r="G43" s="242">
        <v>49474</v>
      </c>
      <c r="H43" s="242">
        <v>106606</v>
      </c>
      <c r="I43" s="242">
        <v>7028</v>
      </c>
      <c r="J43" s="242">
        <v>80454</v>
      </c>
      <c r="K43" s="242">
        <v>23448</v>
      </c>
      <c r="L43" s="242">
        <v>54432</v>
      </c>
      <c r="M43" s="242">
        <v>25426</v>
      </c>
      <c r="N43" s="242">
        <v>18257</v>
      </c>
      <c r="O43" s="242">
        <v>15326</v>
      </c>
      <c r="P43" s="242">
        <v>95692</v>
      </c>
      <c r="Q43" s="858">
        <f>SUM(B43:P43)</f>
        <v>761298</v>
      </c>
      <c r="R43" s="242">
        <v>36241</v>
      </c>
      <c r="S43" s="859">
        <f>Q43+R43</f>
        <v>797539</v>
      </c>
      <c r="T43" s="242">
        <v>64604</v>
      </c>
      <c r="U43" s="859">
        <f>S43+T43</f>
        <v>862143</v>
      </c>
      <c r="V43" s="693" t="s">
        <v>136</v>
      </c>
    </row>
    <row r="44" spans="1:22" ht="9.75" customHeight="1">
      <c r="A44" s="517"/>
      <c r="B44" s="560">
        <f>(B43/S43)*100</f>
        <v>13.916560820223211</v>
      </c>
      <c r="C44" s="560">
        <f>(C43/S43)*100</f>
        <v>3.0846140439527097</v>
      </c>
      <c r="D44" s="560">
        <f>(D43/S43)*100</f>
        <v>1.5855024017634247</v>
      </c>
      <c r="E44" s="560">
        <f>(E43/S43)*100</f>
        <v>16.121217896554274</v>
      </c>
      <c r="F44" s="560">
        <f>(F43/S43)*100</f>
        <v>1.0464692008792047</v>
      </c>
      <c r="G44" s="560">
        <f>(G43/S43)*100</f>
        <v>6.2033330031509433</v>
      </c>
      <c r="H44" s="560">
        <f>(H43/S43)*100</f>
        <v>13.366869833324765</v>
      </c>
      <c r="I44" s="560">
        <f>(I43/S43)*100</f>
        <v>0.8812108247997904</v>
      </c>
      <c r="J44" s="560">
        <f>(J43/S43)*100</f>
        <v>10.08778254104188</v>
      </c>
      <c r="K44" s="560">
        <f>(K43/S43)*100</f>
        <v>2.9400443113126755</v>
      </c>
      <c r="L44" s="560">
        <f>(L43/S43)*100</f>
        <v>6.8249953920748698</v>
      </c>
      <c r="M44" s="560">
        <f>(M43/S43)*100</f>
        <v>3.1880572611496114</v>
      </c>
      <c r="N44" s="560">
        <f>(N43/S43)*100</f>
        <v>2.289167050137987</v>
      </c>
      <c r="O44" s="560">
        <f>(O43/S43)*100</f>
        <v>1.9216615112239026</v>
      </c>
      <c r="P44" s="560">
        <f>(P43/S43)*100</f>
        <v>11.998410109098113</v>
      </c>
      <c r="Q44" s="560">
        <f>(Q43/S43)*100</f>
        <v>95.455896200687363</v>
      </c>
      <c r="R44" s="560">
        <f>(R43/S43)*100</f>
        <v>4.5441037993126354</v>
      </c>
      <c r="S44" s="560">
        <f>(S43/S43)*100</f>
        <v>100</v>
      </c>
      <c r="T44" s="561"/>
      <c r="U44" s="561"/>
      <c r="V44" s="517"/>
    </row>
    <row r="45" spans="1:22" ht="9.75" customHeight="1">
      <c r="A45" s="298" t="s">
        <v>317</v>
      </c>
      <c r="B45" s="859">
        <v>125469</v>
      </c>
      <c r="C45" s="859">
        <v>28482</v>
      </c>
      <c r="D45" s="859">
        <v>14208</v>
      </c>
      <c r="E45" s="859">
        <v>146503</v>
      </c>
      <c r="F45" s="859">
        <v>11589</v>
      </c>
      <c r="G45" s="859">
        <v>57072</v>
      </c>
      <c r="H45" s="859">
        <v>121332</v>
      </c>
      <c r="I45" s="859">
        <v>8228</v>
      </c>
      <c r="J45" s="859">
        <v>94571</v>
      </c>
      <c r="K45" s="859">
        <v>27545</v>
      </c>
      <c r="L45" s="859">
        <v>60119</v>
      </c>
      <c r="M45" s="859">
        <v>30282</v>
      </c>
      <c r="N45" s="859">
        <v>21392</v>
      </c>
      <c r="O45" s="859">
        <v>17731</v>
      </c>
      <c r="P45" s="859">
        <v>104608</v>
      </c>
      <c r="Q45" s="858">
        <f>SUM(B45:P45)</f>
        <v>869131</v>
      </c>
      <c r="R45" s="859">
        <v>46698</v>
      </c>
      <c r="S45" s="859">
        <f>Q45+R45</f>
        <v>915829</v>
      </c>
      <c r="T45" s="859">
        <v>72513</v>
      </c>
      <c r="U45" s="859">
        <f>S45+T45</f>
        <v>988342</v>
      </c>
      <c r="V45" s="367" t="s">
        <v>317</v>
      </c>
    </row>
    <row r="46" spans="1:22" ht="9.75" customHeight="1">
      <c r="A46" s="517"/>
      <c r="B46" s="560">
        <f>(B45/S45)*100</f>
        <v>13.700046624424427</v>
      </c>
      <c r="C46" s="560">
        <f>(C45/S45)*100</f>
        <v>3.109969219144622</v>
      </c>
      <c r="D46" s="560">
        <f>(D45/S45)*100</f>
        <v>1.5513813168178776</v>
      </c>
      <c r="E46" s="560">
        <f>(E45/S45)*100</f>
        <v>15.996763587962381</v>
      </c>
      <c r="F46" s="560">
        <f>(F45/S45)*100</f>
        <v>1.2654109009432983</v>
      </c>
      <c r="G46" s="560">
        <f>(G45/S45)*100</f>
        <v>6.2317310327582991</v>
      </c>
      <c r="H46" s="560">
        <f>(H45/S45)*100</f>
        <v>13.248324741845913</v>
      </c>
      <c r="I46" s="560">
        <f>(I45/S45)*100</f>
        <v>0.89842099343873139</v>
      </c>
      <c r="J46" s="560">
        <f>(J45/S45)*100</f>
        <v>10.326272699379469</v>
      </c>
      <c r="K46" s="560">
        <f>(K45/S45)*100</f>
        <v>3.0076575430566188</v>
      </c>
      <c r="L46" s="560">
        <f>(L45/S45)*100</f>
        <v>6.5644350637509845</v>
      </c>
      <c r="M46" s="560">
        <f>(M45/S45)*100</f>
        <v>3.3065124602955356</v>
      </c>
      <c r="N46" s="560">
        <f>(N45/S45)*100</f>
        <v>2.3358072303890793</v>
      </c>
      <c r="O46" s="560">
        <f>(O45/S45)*100</f>
        <v>1.9360601160260269</v>
      </c>
      <c r="P46" s="560">
        <f>(P45/S45)*100</f>
        <v>11.422219650174869</v>
      </c>
      <c r="Q46" s="560">
        <f>(Q45/S45)*100</f>
        <v>94.901013180408128</v>
      </c>
      <c r="R46" s="560">
        <f>(R45/S45)*100</f>
        <v>5.0989868195918673</v>
      </c>
      <c r="S46" s="560">
        <f>(S45/S45)*100</f>
        <v>100</v>
      </c>
      <c r="T46" s="561"/>
      <c r="U46" s="561"/>
      <c r="V46" s="517"/>
    </row>
    <row r="47" spans="1:22" ht="9.75" customHeight="1">
      <c r="A47" s="298" t="s">
        <v>1299</v>
      </c>
      <c r="B47" s="859">
        <v>138879</v>
      </c>
      <c r="C47" s="859">
        <v>31827</v>
      </c>
      <c r="D47" s="859">
        <v>16650</v>
      </c>
      <c r="E47" s="859">
        <v>167928</v>
      </c>
      <c r="F47" s="859">
        <v>14189</v>
      </c>
      <c r="G47" s="859">
        <v>68305</v>
      </c>
      <c r="H47" s="859">
        <v>137396</v>
      </c>
      <c r="I47" s="859">
        <v>9755</v>
      </c>
      <c r="J47" s="859">
        <v>112702</v>
      </c>
      <c r="K47" s="859">
        <v>36316</v>
      </c>
      <c r="L47" s="859">
        <v>68715</v>
      </c>
      <c r="M47" s="859">
        <v>33499</v>
      </c>
      <c r="N47" s="859">
        <v>25048</v>
      </c>
      <c r="O47" s="859">
        <v>20133</v>
      </c>
      <c r="P47" s="859">
        <v>117293</v>
      </c>
      <c r="Q47" s="858">
        <f>SUM(B47:P47)</f>
        <v>998635</v>
      </c>
      <c r="R47" s="859">
        <v>56569</v>
      </c>
      <c r="S47" s="859">
        <f>Q47+R47</f>
        <v>1055204</v>
      </c>
      <c r="T47" s="859">
        <v>89302</v>
      </c>
      <c r="U47" s="859">
        <f>S47+T47</f>
        <v>1144506</v>
      </c>
      <c r="V47" s="367" t="s">
        <v>1299</v>
      </c>
    </row>
    <row r="48" spans="1:22" ht="9.75" customHeight="1">
      <c r="A48" s="517"/>
      <c r="B48" s="560">
        <f>(B47/S47)*100</f>
        <v>13.161341314096612</v>
      </c>
      <c r="C48" s="560">
        <f>(C47/S47)*100</f>
        <v>3.0161940250416035</v>
      </c>
      <c r="D48" s="560">
        <f>(D47/S47)*100</f>
        <v>1.5778939427826277</v>
      </c>
      <c r="E48" s="560">
        <f>(E47/S47)*100</f>
        <v>15.914268710126194</v>
      </c>
      <c r="F48" s="560">
        <f>(F47/S47)*100</f>
        <v>1.344668898146709</v>
      </c>
      <c r="G48" s="560">
        <f>(G47/S47)*100</f>
        <v>6.473155901607651</v>
      </c>
      <c r="H48" s="560">
        <f>(H47/S47)*100</f>
        <v>13.02079976952324</v>
      </c>
      <c r="I48" s="560">
        <f>(I47/S47)*100</f>
        <v>0.92446579050117317</v>
      </c>
      <c r="J48" s="560">
        <f>(J47/S47)*100</f>
        <v>10.68058877714641</v>
      </c>
      <c r="K48" s="560">
        <f>(K47/S47)*100</f>
        <v>3.441609394960595</v>
      </c>
      <c r="L48" s="560">
        <f>(L47/S47)*100</f>
        <v>6.5120109476461421</v>
      </c>
      <c r="M48" s="560">
        <f>(M47/S47)*100</f>
        <v>3.17464679815467</v>
      </c>
      <c r="N48" s="560">
        <f>(N47/S47)*100</f>
        <v>2.3737590077368926</v>
      </c>
      <c r="O48" s="560">
        <f>(O47/S47)*100</f>
        <v>1.9079722972998585</v>
      </c>
      <c r="P48" s="560">
        <f>(P47/S47)*100</f>
        <v>11.115670524372538</v>
      </c>
      <c r="Q48" s="560">
        <f>(Q47/S47)*100</f>
        <v>94.639046099142917</v>
      </c>
      <c r="R48" s="560">
        <f>(R47/S47)*100</f>
        <v>5.3609539008570861</v>
      </c>
      <c r="S48" s="560">
        <f>(S47/S47)*100</f>
        <v>100</v>
      </c>
      <c r="T48" s="525"/>
      <c r="U48" s="525"/>
      <c r="V48" s="518"/>
    </row>
    <row r="49" spans="1:27" ht="9.75" customHeight="1">
      <c r="A49" s="298" t="s">
        <v>1505</v>
      </c>
      <c r="B49" s="859">
        <v>148758</v>
      </c>
      <c r="C49" s="859">
        <v>36995</v>
      </c>
      <c r="D49" s="859">
        <v>19461</v>
      </c>
      <c r="E49" s="859">
        <v>197127</v>
      </c>
      <c r="F49" s="859">
        <v>16381</v>
      </c>
      <c r="G49" s="859">
        <v>82432</v>
      </c>
      <c r="H49" s="859">
        <v>154579</v>
      </c>
      <c r="I49" s="859">
        <v>11263</v>
      </c>
      <c r="J49" s="859">
        <v>124281</v>
      </c>
      <c r="K49" s="859">
        <v>42237</v>
      </c>
      <c r="L49" s="859">
        <v>78820</v>
      </c>
      <c r="M49" s="859">
        <v>37678</v>
      </c>
      <c r="N49" s="859">
        <v>28429</v>
      </c>
      <c r="O49" s="859">
        <v>23868</v>
      </c>
      <c r="P49" s="859">
        <v>138952</v>
      </c>
      <c r="Q49" s="858">
        <f>SUM(B49:P49)</f>
        <v>1141261</v>
      </c>
      <c r="R49" s="859">
        <v>57662</v>
      </c>
      <c r="S49" s="859">
        <f>Q49+R49</f>
        <v>1198923</v>
      </c>
      <c r="T49" s="859">
        <v>96429</v>
      </c>
      <c r="U49" s="859">
        <f>S49+T49</f>
        <v>1295352</v>
      </c>
      <c r="V49" s="367" t="s">
        <v>1505</v>
      </c>
    </row>
    <row r="50" spans="1:27" ht="9.75" customHeight="1">
      <c r="A50" s="517"/>
      <c r="B50" s="560">
        <f>(B49/S49)*100</f>
        <v>12.407635853178228</v>
      </c>
      <c r="C50" s="560">
        <f>(C49/S49)*100</f>
        <v>3.0856860699144151</v>
      </c>
      <c r="D50" s="560">
        <f>(D49/S49)*100</f>
        <v>1.623206828128245</v>
      </c>
      <c r="E50" s="560">
        <f>(E49/S49)*100</f>
        <v>16.442006701014162</v>
      </c>
      <c r="F50" s="560">
        <f>(F49/S49)*100</f>
        <v>1.3663095961959191</v>
      </c>
      <c r="G50" s="560">
        <f>(G49/S49)*100</f>
        <v>6.8755040982615228</v>
      </c>
      <c r="H50" s="560">
        <f>(H49/S49)*100</f>
        <v>12.893154939891888</v>
      </c>
      <c r="I50" s="560">
        <f>(I49/S49)*100</f>
        <v>0.93942646858889178</v>
      </c>
      <c r="J50" s="560">
        <f>(J49/S49)*100</f>
        <v>10.366053533045909</v>
      </c>
      <c r="K50" s="560">
        <f>(K49/S49)*100</f>
        <v>3.5229118133524842</v>
      </c>
      <c r="L50" s="560">
        <f>(L49/S49)*100</f>
        <v>6.5742337080863411</v>
      </c>
      <c r="M50" s="560">
        <f>(M49/S49)*100</f>
        <v>3.1426538651773299</v>
      </c>
      <c r="N50" s="560">
        <f>(N49/S49)*100</f>
        <v>2.3712114956506798</v>
      </c>
      <c r="O50" s="560">
        <f>(O49/S49)*100</f>
        <v>1.9907867310911542</v>
      </c>
      <c r="P50" s="560">
        <f>(P49/S49)*100</f>
        <v>11.589735120604075</v>
      </c>
      <c r="Q50" s="560">
        <f>(Q49/S49)*100</f>
        <v>95.190516822181237</v>
      </c>
      <c r="R50" s="560">
        <f>(R49/S49)*100</f>
        <v>4.809483177818759</v>
      </c>
      <c r="S50" s="560">
        <f>(S49/S49)*100</f>
        <v>100</v>
      </c>
      <c r="T50" s="525"/>
      <c r="U50" s="525"/>
      <c r="V50" s="518"/>
    </row>
    <row r="51" spans="1:27" ht="9.75" customHeight="1">
      <c r="A51" s="426" t="s">
        <v>1886</v>
      </c>
      <c r="B51" s="859">
        <v>163968</v>
      </c>
      <c r="C51" s="859">
        <v>42308</v>
      </c>
      <c r="D51" s="859">
        <v>21080</v>
      </c>
      <c r="E51" s="859">
        <v>223221</v>
      </c>
      <c r="F51" s="859">
        <v>18401</v>
      </c>
      <c r="G51" s="859">
        <v>90834</v>
      </c>
      <c r="H51" s="859">
        <v>172575</v>
      </c>
      <c r="I51" s="859">
        <v>13035</v>
      </c>
      <c r="J51" s="859">
        <v>134317</v>
      </c>
      <c r="K51" s="859">
        <v>48563</v>
      </c>
      <c r="L51" s="859">
        <v>91229</v>
      </c>
      <c r="M51" s="859">
        <v>44728</v>
      </c>
      <c r="N51" s="859">
        <v>32767</v>
      </c>
      <c r="O51" s="859">
        <v>26924</v>
      </c>
      <c r="P51" s="859">
        <v>156551</v>
      </c>
      <c r="Q51" s="858">
        <f>SUM(B51:P51)</f>
        <v>1280501</v>
      </c>
      <c r="R51" s="859">
        <v>63173</v>
      </c>
      <c r="S51" s="859">
        <f>Q51+R51</f>
        <v>1343674</v>
      </c>
      <c r="T51" s="859">
        <v>89549</v>
      </c>
      <c r="U51" s="859">
        <f>S51+T51</f>
        <v>1433223</v>
      </c>
      <c r="V51" s="367" t="s">
        <v>1886</v>
      </c>
    </row>
    <row r="52" spans="1:27" ht="9.75" customHeight="1">
      <c r="A52" s="517"/>
      <c r="B52" s="560">
        <f>(B51/S51)*100</f>
        <v>12.20295994415312</v>
      </c>
      <c r="C52" s="560">
        <f>(C51/S51)*100</f>
        <v>3.1486804090873233</v>
      </c>
      <c r="D52" s="560">
        <f>(D51/S51)*100</f>
        <v>1.5688329163174994</v>
      </c>
      <c r="E52" s="560">
        <f>(E51/S51)*100</f>
        <v>16.612734934217674</v>
      </c>
      <c r="F52" s="560">
        <f>(F51/S51)*100</f>
        <v>1.3694541979676618</v>
      </c>
      <c r="G52" s="560">
        <f>(G51/S51)*100</f>
        <v>6.7601218747999887</v>
      </c>
      <c r="H52" s="560">
        <f>(H51/S51)*100</f>
        <v>12.843517103106855</v>
      </c>
      <c r="I52" s="560">
        <f>(I51/S51)*100</f>
        <v>0.9701013787570496</v>
      </c>
      <c r="J52" s="560">
        <f>(J51/S51)*100</f>
        <v>9.9962490901811005</v>
      </c>
      <c r="K52" s="560">
        <f>(K51/S51)*100</f>
        <v>3.6141951098257463</v>
      </c>
      <c r="L52" s="560">
        <f>(L51/S51)*100</f>
        <v>6.7895188862774747</v>
      </c>
      <c r="M52" s="560">
        <f>(M51/S51)*100</f>
        <v>3.3287836186455944</v>
      </c>
      <c r="N52" s="560">
        <f>(N51/S51)*100</f>
        <v>2.4386123419817602</v>
      </c>
      <c r="O52" s="560">
        <f>(O51/S51)*100</f>
        <v>2.0037598405565635</v>
      </c>
      <c r="P52" s="560">
        <f>(P51/S51)*100</f>
        <v>11.650965933701181</v>
      </c>
      <c r="Q52" s="560">
        <f>(Q51/S51)*100</f>
        <v>95.298487579576602</v>
      </c>
      <c r="R52" s="560">
        <f>(R51/S51)*100</f>
        <v>4.7015124204234064</v>
      </c>
      <c r="S52" s="560">
        <f>(S51/S51)*100</f>
        <v>100</v>
      </c>
      <c r="T52" s="561"/>
      <c r="U52" s="561"/>
      <c r="V52" s="518"/>
    </row>
    <row r="53" spans="1:27" ht="10.5" customHeight="1">
      <c r="A53" s="960" t="s">
        <v>2017</v>
      </c>
      <c r="B53" s="1079">
        <v>176500</v>
      </c>
      <c r="C53" s="1079">
        <v>47581</v>
      </c>
      <c r="D53" s="1079">
        <v>23876</v>
      </c>
      <c r="E53" s="1079">
        <v>254483</v>
      </c>
      <c r="F53" s="1079">
        <v>19868</v>
      </c>
      <c r="G53" s="1079">
        <v>108484</v>
      </c>
      <c r="H53" s="1079">
        <v>192585</v>
      </c>
      <c r="I53" s="1079">
        <v>14928</v>
      </c>
      <c r="J53" s="1079">
        <v>150025</v>
      </c>
      <c r="K53" s="1079">
        <v>55761</v>
      </c>
      <c r="L53" s="1079">
        <v>106061</v>
      </c>
      <c r="M53" s="1079">
        <v>50674</v>
      </c>
      <c r="N53" s="1079">
        <v>37624</v>
      </c>
      <c r="O53" s="1079">
        <v>30135</v>
      </c>
      <c r="P53" s="1079">
        <v>176402</v>
      </c>
      <c r="Q53" s="1080">
        <f>SUM(B53:P53)</f>
        <v>1444987</v>
      </c>
      <c r="R53" s="1079">
        <v>70815</v>
      </c>
      <c r="S53" s="1079">
        <f>Q53+R53</f>
        <v>1515802</v>
      </c>
      <c r="T53" s="1079">
        <v>98402</v>
      </c>
      <c r="U53" s="1079">
        <f>S53+T53</f>
        <v>1614204</v>
      </c>
      <c r="V53" s="961" t="s">
        <v>2017</v>
      </c>
    </row>
    <row r="54" spans="1:27" ht="10.5" customHeight="1">
      <c r="A54" s="517"/>
      <c r="B54" s="1239">
        <f>(B53/S53)*100</f>
        <v>11.644000997491757</v>
      </c>
      <c r="C54" s="1239">
        <f>(C53/S53)*100</f>
        <v>3.1389983652218429</v>
      </c>
      <c r="D54" s="1239">
        <f>(D53/S53)*100</f>
        <v>1.5751397609978086</v>
      </c>
      <c r="E54" s="1239">
        <f>(E53/S53)*100</f>
        <v>16.788670288071923</v>
      </c>
      <c r="F54" s="1239">
        <f>(F53/S53)*100</f>
        <v>1.3107252794230382</v>
      </c>
      <c r="G54" s="1239">
        <f>(G53/S53)*100</f>
        <v>7.1568714119654153</v>
      </c>
      <c r="H54" s="1239">
        <f>(H53/S53)*100</f>
        <v>12.705155422673938</v>
      </c>
      <c r="I54" s="1239">
        <f>(I53/S53)*100</f>
        <v>0.9848251948473481</v>
      </c>
      <c r="J54" s="1239">
        <f>(J53/S53)*100</f>
        <v>9.8974008478679938</v>
      </c>
      <c r="K54" s="1239">
        <f>(K53/S53)*100</f>
        <v>3.6786466834058804</v>
      </c>
      <c r="L54" s="1239">
        <f>(L53/S53)*100</f>
        <v>6.9970220384984323</v>
      </c>
      <c r="M54" s="1239">
        <f>(M53/S53)*100</f>
        <v>3.3430487623053673</v>
      </c>
      <c r="N54" s="1239">
        <f>(N53/S53)*100</f>
        <v>2.4821183769384128</v>
      </c>
      <c r="O54" s="1239">
        <f>(O53/S53)*100</f>
        <v>1.9880564875887483</v>
      </c>
      <c r="P54" s="1239">
        <f>(P53/S53)*100</f>
        <v>11.637535773141874</v>
      </c>
      <c r="Q54" s="1239">
        <f>(Q53/S53)*100</f>
        <v>95.328215690439777</v>
      </c>
      <c r="R54" s="1239">
        <f>(R53/S53)*100</f>
        <v>4.6717843095602198</v>
      </c>
      <c r="S54" s="1239">
        <f>(S53/S53)*100</f>
        <v>100</v>
      </c>
      <c r="T54" s="561"/>
      <c r="U54" s="561"/>
      <c r="V54" s="518"/>
    </row>
    <row r="55" spans="1:27" ht="10.5" customHeight="1">
      <c r="A55" s="960" t="s">
        <v>2226</v>
      </c>
      <c r="B55" s="1079">
        <v>190315</v>
      </c>
      <c r="C55" s="1079">
        <v>53076</v>
      </c>
      <c r="D55" s="1079">
        <v>28578</v>
      </c>
      <c r="E55" s="1079">
        <v>295111</v>
      </c>
      <c r="F55" s="1079">
        <v>23829</v>
      </c>
      <c r="G55" s="1079">
        <v>126353</v>
      </c>
      <c r="H55" s="1079">
        <v>214257</v>
      </c>
      <c r="I55" s="1079">
        <v>17058</v>
      </c>
      <c r="J55" s="1079">
        <v>169165</v>
      </c>
      <c r="K55" s="1079">
        <v>63601</v>
      </c>
      <c r="L55" s="1079">
        <v>123740</v>
      </c>
      <c r="M55" s="1079">
        <v>66711</v>
      </c>
      <c r="N55" s="1079">
        <v>46512</v>
      </c>
      <c r="O55" s="1079">
        <v>34758</v>
      </c>
      <c r="P55" s="1079">
        <v>194248</v>
      </c>
      <c r="Q55" s="1080">
        <f>SUM(B55:P55)</f>
        <v>1647312</v>
      </c>
      <c r="R55" s="1079">
        <v>85552</v>
      </c>
      <c r="S55" s="1079">
        <f>Q55+R55</f>
        <v>1732864</v>
      </c>
      <c r="T55" s="1079">
        <v>99811</v>
      </c>
      <c r="U55" s="1079">
        <f>S55+T55</f>
        <v>1832675</v>
      </c>
      <c r="V55" s="961" t="s">
        <v>2226</v>
      </c>
    </row>
    <row r="56" spans="1:27" ht="10.5" customHeight="1">
      <c r="A56" s="517"/>
      <c r="B56" s="1239">
        <f>(B55/S55)*100</f>
        <v>10.982685311715173</v>
      </c>
      <c r="C56" s="1239">
        <f>(C55/S55)*100</f>
        <v>3.0629062638499041</v>
      </c>
      <c r="D56" s="1239">
        <f>(D55/S55)*100</f>
        <v>1.6491773157039444</v>
      </c>
      <c r="E56" s="1239">
        <f>(E55/S55)*100</f>
        <v>17.030245881961886</v>
      </c>
      <c r="F56" s="1239">
        <f>(F55/S55)*100</f>
        <v>1.375122340818437</v>
      </c>
      <c r="G56" s="1239">
        <f>(G55/S55)*100</f>
        <v>7.2915704867779585</v>
      </c>
      <c r="H56" s="1239">
        <f>(H55/S55)*100</f>
        <v>12.364328648988034</v>
      </c>
      <c r="I56" s="1239">
        <f>(I55/S55)*100</f>
        <v>0.98438192495198706</v>
      </c>
      <c r="J56" s="1239">
        <f>(J55/S55)*100</f>
        <v>9.7621625240065004</v>
      </c>
      <c r="K56" s="1239">
        <f>(K55/S55)*100</f>
        <v>3.6702822610429906</v>
      </c>
      <c r="L56" s="1239">
        <f>(L55/S55)*100</f>
        <v>7.1407796572610422</v>
      </c>
      <c r="M56" s="1239">
        <f>(M55/S55)*100</f>
        <v>3.8497539333727286</v>
      </c>
      <c r="N56" s="1239">
        <f>(N55/S55)*100</f>
        <v>2.6841113901610281</v>
      </c>
      <c r="O56" s="1239">
        <f>(O55/S55)*100</f>
        <v>2.0058123430344215</v>
      </c>
      <c r="P56" s="1239">
        <f>(P55/S55)*100</f>
        <v>11.209650613089082</v>
      </c>
      <c r="Q56" s="1239">
        <f>(Q55/S55)*100</f>
        <v>95.062970896735109</v>
      </c>
      <c r="R56" s="1239">
        <f>(R55/S55)*100</f>
        <v>4.9370291032648836</v>
      </c>
      <c r="S56" s="1239">
        <f>(S55/S55)*100</f>
        <v>100</v>
      </c>
      <c r="T56" s="561"/>
      <c r="U56" s="561"/>
      <c r="V56" s="518"/>
    </row>
    <row r="57" spans="1:27" s="765" customFormat="1" ht="10.5" customHeight="1">
      <c r="A57" s="298" t="s">
        <v>2427</v>
      </c>
      <c r="B57" s="1079">
        <v>204830</v>
      </c>
      <c r="C57" s="1079">
        <v>59646</v>
      </c>
      <c r="D57" s="1079">
        <v>34421</v>
      </c>
      <c r="E57" s="1079">
        <v>337261</v>
      </c>
      <c r="F57" s="1079">
        <v>25663</v>
      </c>
      <c r="G57" s="1079">
        <v>146558</v>
      </c>
      <c r="H57" s="1079">
        <v>237756</v>
      </c>
      <c r="I57" s="1079">
        <v>19369</v>
      </c>
      <c r="J57" s="1079">
        <v>186977</v>
      </c>
      <c r="K57" s="1079">
        <v>72334</v>
      </c>
      <c r="L57" s="1079">
        <v>144513</v>
      </c>
      <c r="M57" s="1079">
        <v>80735</v>
      </c>
      <c r="N57" s="1079">
        <v>56641</v>
      </c>
      <c r="O57" s="1079">
        <v>39151</v>
      </c>
      <c r="P57" s="1079">
        <v>213773</v>
      </c>
      <c r="Q57" s="1080">
        <f>SUM(B57:P57)</f>
        <v>1859628</v>
      </c>
      <c r="R57" s="1079">
        <v>96429</v>
      </c>
      <c r="S57" s="1079">
        <f>Q57+R57</f>
        <v>1956057</v>
      </c>
      <c r="T57" s="1079">
        <v>81985</v>
      </c>
      <c r="U57" s="1079">
        <f>S57+T57</f>
        <v>2038042</v>
      </c>
      <c r="V57" s="963" t="s">
        <v>2427</v>
      </c>
    </row>
    <row r="58" spans="1:27" ht="10.5" customHeight="1" thickBot="1">
      <c r="A58" s="611"/>
      <c r="B58" s="1081">
        <f>(B57/S57)*100</f>
        <v>10.471576237297789</v>
      </c>
      <c r="C58" s="1081">
        <f>(C57/S57)*100</f>
        <v>3.0492976431668404</v>
      </c>
      <c r="D58" s="1081">
        <f>(D57/S57)*100</f>
        <v>1.7597135461798914</v>
      </c>
      <c r="E58" s="1081">
        <f>(E57/S57)*100</f>
        <v>17.241879965665621</v>
      </c>
      <c r="F58" s="1081">
        <f>(F57/S57)*100</f>
        <v>1.3119760824965734</v>
      </c>
      <c r="G58" s="1081">
        <f>(G57/S57)*100</f>
        <v>7.4925219459351124</v>
      </c>
      <c r="H58" s="1081">
        <f>(H57/S57)*100</f>
        <v>12.154860517868345</v>
      </c>
      <c r="I58" s="1081">
        <f>(I57/S57)*100</f>
        <v>0.99020631811854143</v>
      </c>
      <c r="J58" s="1081">
        <f>(J57/S57)*100</f>
        <v>9.5588727731349348</v>
      </c>
      <c r="K58" s="1081">
        <f>(K57/S57)*100</f>
        <v>3.6979494973817224</v>
      </c>
      <c r="L58" s="1081">
        <f>(L57/S57)*100</f>
        <v>7.3879748903022762</v>
      </c>
      <c r="M58" s="1081">
        <f>(M57/S57)*100</f>
        <v>4.1274359591770589</v>
      </c>
      <c r="N58" s="1081">
        <f>(N57/S57)*100</f>
        <v>2.8956722631293461</v>
      </c>
      <c r="O58" s="1081">
        <f>(O57/S57)*100</f>
        <v>2.0015265403820028</v>
      </c>
      <c r="P58" s="1081">
        <f>(P57/S57)*100</f>
        <v>10.92877150307992</v>
      </c>
      <c r="Q58" s="1081">
        <f>(Q57/S57)*100</f>
        <v>95.070235683315971</v>
      </c>
      <c r="R58" s="1081">
        <f>(R57/S57)*100</f>
        <v>4.9297643166840235</v>
      </c>
      <c r="S58" s="1081">
        <f>(S57/S57)*100</f>
        <v>100</v>
      </c>
      <c r="T58" s="616"/>
      <c r="U58" s="616"/>
      <c r="V58" s="959"/>
    </row>
    <row r="59" spans="1:27" ht="12.75" customHeight="1">
      <c r="A59" s="121" t="s">
        <v>575</v>
      </c>
      <c r="B59" s="1922" t="s">
        <v>2655</v>
      </c>
      <c r="C59" s="1922"/>
      <c r="D59" s="1922"/>
      <c r="E59" s="1922"/>
      <c r="F59" s="1922"/>
      <c r="G59" s="1922"/>
      <c r="H59" s="1922"/>
      <c r="I59" s="1922"/>
      <c r="J59" s="1922"/>
      <c r="K59" s="1922"/>
      <c r="L59" s="148" t="s">
        <v>574</v>
      </c>
      <c r="M59" s="1945" t="s">
        <v>2515</v>
      </c>
      <c r="N59" s="1945"/>
      <c r="O59" s="1945"/>
      <c r="P59" s="1518"/>
      <c r="Q59" s="1939" t="s">
        <v>2721</v>
      </c>
      <c r="R59" s="1939"/>
      <c r="S59" s="1518"/>
      <c r="T59" s="1518"/>
      <c r="U59" s="1518"/>
      <c r="V59" s="1518"/>
      <c r="W59" s="112"/>
      <c r="X59" s="112"/>
      <c r="Y59" s="112"/>
      <c r="Z59" s="112"/>
      <c r="AA59" s="112"/>
    </row>
    <row r="60" spans="1:27" ht="12.75" customHeight="1">
      <c r="B60" s="1943" t="s">
        <v>2516</v>
      </c>
      <c r="C60" s="1943"/>
      <c r="D60" s="1943"/>
      <c r="E60" s="1943"/>
      <c r="F60" s="1943"/>
      <c r="G60" s="1943"/>
      <c r="H60" s="1943"/>
      <c r="I60" s="129"/>
      <c r="J60" s="139"/>
      <c r="K60" s="139"/>
      <c r="L60" s="88"/>
      <c r="M60" s="1944"/>
      <c r="N60" s="1944"/>
      <c r="O60" s="1944"/>
      <c r="W60" s="112"/>
      <c r="X60" s="1220"/>
      <c r="Y60" s="112"/>
      <c r="Z60" s="112"/>
      <c r="AA60" s="112"/>
    </row>
    <row r="61" spans="1:27">
      <c r="W61" s="112"/>
      <c r="X61" s="1220"/>
      <c r="Y61" s="112"/>
      <c r="Z61" s="112"/>
      <c r="AA61" s="112"/>
    </row>
    <row r="62" spans="1:27">
      <c r="W62" s="112"/>
      <c r="X62" s="1221"/>
      <c r="Y62" s="112"/>
      <c r="Z62" s="112"/>
      <c r="AA62" s="112"/>
    </row>
    <row r="63" spans="1:27">
      <c r="J63" s="1219"/>
      <c r="W63" s="112"/>
      <c r="X63" s="1220"/>
      <c r="Y63" s="112"/>
      <c r="Z63" s="112"/>
      <c r="AA63" s="112"/>
    </row>
    <row r="64" spans="1:27">
      <c r="W64" s="112"/>
      <c r="X64" s="112"/>
      <c r="Y64" s="112"/>
      <c r="Z64" s="112"/>
      <c r="AA64" s="112"/>
    </row>
    <row r="65" spans="8:24">
      <c r="W65" s="112"/>
      <c r="X65" s="112"/>
    </row>
    <row r="66" spans="8:24">
      <c r="W66" s="112"/>
      <c r="X66" s="112"/>
    </row>
    <row r="67" spans="8:24">
      <c r="H67" s="958"/>
      <c r="W67" s="112"/>
      <c r="X67" s="112"/>
    </row>
    <row r="68" spans="8:24">
      <c r="H68" s="955"/>
      <c r="W68" s="112"/>
      <c r="X68" s="112"/>
    </row>
    <row r="69" spans="8:24">
      <c r="H69" s="955"/>
      <c r="W69" s="112"/>
      <c r="X69" s="112"/>
    </row>
    <row r="70" spans="8:24">
      <c r="H70" s="955"/>
      <c r="W70" s="112"/>
      <c r="X70" s="112"/>
    </row>
    <row r="71" spans="8:24">
      <c r="H71" s="956"/>
      <c r="W71" s="112"/>
      <c r="X71" s="112"/>
    </row>
    <row r="72" spans="8:24">
      <c r="H72" s="956"/>
      <c r="W72" s="112"/>
      <c r="X72" s="112"/>
    </row>
    <row r="73" spans="8:24">
      <c r="H73" s="957"/>
    </row>
    <row r="74" spans="8:24">
      <c r="H74" s="957"/>
    </row>
    <row r="75" spans="8:24">
      <c r="H75" s="956"/>
    </row>
    <row r="76" spans="8:24">
      <c r="H76" s="956"/>
    </row>
    <row r="77" spans="8:24">
      <c r="H77" s="956"/>
    </row>
    <row r="78" spans="8:24">
      <c r="H78" s="956"/>
    </row>
    <row r="79" spans="8:24">
      <c r="H79" s="956"/>
    </row>
    <row r="80" spans="8:24">
      <c r="H80" s="956"/>
    </row>
    <row r="81" spans="8:8">
      <c r="H81" s="957"/>
    </row>
  </sheetData>
  <mergeCells count="11">
    <mergeCell ref="B60:H60"/>
    <mergeCell ref="M60:O60"/>
    <mergeCell ref="A1:K1"/>
    <mergeCell ref="U1:V1"/>
    <mergeCell ref="U2:V2"/>
    <mergeCell ref="L1:T1"/>
    <mergeCell ref="B59:K59"/>
    <mergeCell ref="A3:A4"/>
    <mergeCell ref="V3:V4"/>
    <mergeCell ref="Q59:R59"/>
    <mergeCell ref="M59:O59"/>
  </mergeCells>
  <phoneticPr fontId="47" type="noConversion"/>
  <pageMargins left="0.62992125984252001" right="0.511811023622047" top="0.31496062992126" bottom="0.31496062992126" header="0.25" footer="0"/>
  <pageSetup paperSize="151" firstPageNumber="46" orientation="portrait" useFirstPageNumber="1" r:id="rId1"/>
  <headerFooter>
    <oddFooter>&amp;C&amp;"Times New Roman,Regular"&amp;8&amp;P</oddFooter>
  </headerFooter>
  <ignoredErrors>
    <ignoredError sqref="B23:P32 T23:T32" numberStoredAsText="1"/>
    <ignoredError sqref="S23:S32 Q23:R32" numberStoredAsText="1" formula="1"/>
    <ignoredError sqref="Q43:Q50 Q5:R22 S43:S51 S33:S34 Q33:Q3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2:D37"/>
  <sheetViews>
    <sheetView topLeftCell="A13" zoomScale="124" zoomScaleNormal="124" workbookViewId="0">
      <selection activeCell="C24" sqref="C24"/>
    </sheetView>
  </sheetViews>
  <sheetFormatPr defaultRowHeight="12.75"/>
  <cols>
    <col min="1" max="1" width="1.7109375" customWidth="1"/>
    <col min="2" max="2" width="5.140625" customWidth="1"/>
    <col min="3" max="3" width="112.7109375" bestFit="1" customWidth="1"/>
    <col min="4" max="4" width="48.85546875" customWidth="1"/>
  </cols>
  <sheetData>
    <row r="2" spans="2:4" ht="18.75">
      <c r="B2" s="337" t="s">
        <v>1303</v>
      </c>
      <c r="C2" s="337"/>
      <c r="D2" s="337"/>
    </row>
    <row r="3" spans="2:4">
      <c r="B3" s="55" t="s">
        <v>1304</v>
      </c>
      <c r="C3" s="338" t="s">
        <v>2596</v>
      </c>
      <c r="D3" s="330"/>
    </row>
    <row r="4" spans="2:4">
      <c r="B4" s="55" t="s">
        <v>1305</v>
      </c>
      <c r="C4" s="338" t="s">
        <v>2556</v>
      </c>
      <c r="D4" s="330"/>
    </row>
    <row r="5" spans="2:4">
      <c r="B5" s="55" t="s">
        <v>1306</v>
      </c>
      <c r="C5" s="338" t="s">
        <v>1336</v>
      </c>
      <c r="D5" s="330"/>
    </row>
    <row r="6" spans="2:4">
      <c r="B6" s="55" t="s">
        <v>1307</v>
      </c>
      <c r="C6" s="338" t="s">
        <v>1308</v>
      </c>
      <c r="D6" s="330"/>
    </row>
    <row r="7" spans="2:4">
      <c r="B7" s="55" t="s">
        <v>1309</v>
      </c>
      <c r="C7" s="338" t="s">
        <v>2557</v>
      </c>
      <c r="D7" s="330"/>
    </row>
    <row r="8" spans="2:4">
      <c r="B8" s="55" t="s">
        <v>1310</v>
      </c>
      <c r="C8" s="338" t="s">
        <v>2558</v>
      </c>
      <c r="D8" s="330"/>
    </row>
    <row r="9" spans="2:4">
      <c r="B9" s="55" t="s">
        <v>1311</v>
      </c>
      <c r="C9" s="338" t="s">
        <v>1337</v>
      </c>
      <c r="D9" s="330"/>
    </row>
    <row r="10" spans="2:4" s="331" customFormat="1">
      <c r="B10" s="329" t="s">
        <v>1312</v>
      </c>
      <c r="C10" s="338" t="s">
        <v>1483</v>
      </c>
      <c r="D10" s="330"/>
    </row>
    <row r="11" spans="2:4" s="331" customFormat="1">
      <c r="B11" s="329" t="s">
        <v>2067</v>
      </c>
      <c r="C11" s="338" t="s">
        <v>2068</v>
      </c>
      <c r="D11" s="330"/>
    </row>
    <row r="12" spans="2:4" s="331" customFormat="1">
      <c r="B12" s="329" t="s">
        <v>1313</v>
      </c>
      <c r="C12" s="338" t="s">
        <v>1314</v>
      </c>
      <c r="D12" s="330"/>
    </row>
    <row r="13" spans="2:4" s="331" customFormat="1">
      <c r="B13" s="329" t="s">
        <v>1315</v>
      </c>
      <c r="C13" s="338" t="s">
        <v>2563</v>
      </c>
      <c r="D13" s="332"/>
    </row>
    <row r="14" spans="2:4" s="331" customFormat="1">
      <c r="B14" s="329" t="s">
        <v>1222</v>
      </c>
      <c r="C14" s="338" t="s">
        <v>1316</v>
      </c>
      <c r="D14" s="330"/>
    </row>
    <row r="15" spans="2:4" s="331" customFormat="1">
      <c r="B15" s="329" t="s">
        <v>1223</v>
      </c>
      <c r="C15" s="338" t="s">
        <v>1317</v>
      </c>
      <c r="D15" s="330"/>
    </row>
    <row r="16" spans="2:4" s="331" customFormat="1">
      <c r="B16" s="329" t="s">
        <v>1224</v>
      </c>
      <c r="C16" s="338" t="s">
        <v>1318</v>
      </c>
      <c r="D16" s="330"/>
    </row>
    <row r="17" spans="2:4" s="331" customFormat="1">
      <c r="B17" s="329" t="s">
        <v>1225</v>
      </c>
      <c r="C17" s="338" t="s">
        <v>2568</v>
      </c>
      <c r="D17" s="330"/>
    </row>
    <row r="18" spans="2:4" s="331" customFormat="1">
      <c r="B18" s="329" t="s">
        <v>1226</v>
      </c>
      <c r="C18" s="338" t="s">
        <v>1319</v>
      </c>
      <c r="D18" s="330"/>
    </row>
    <row r="19" spans="2:4" s="331" customFormat="1">
      <c r="B19" s="329" t="s">
        <v>2069</v>
      </c>
      <c r="C19" s="338" t="s">
        <v>1320</v>
      </c>
      <c r="D19" s="330"/>
    </row>
    <row r="20" spans="2:4" s="331" customFormat="1">
      <c r="B20" s="329" t="s">
        <v>2070</v>
      </c>
      <c r="C20" s="338" t="s">
        <v>1321</v>
      </c>
      <c r="D20" s="330"/>
    </row>
    <row r="21" spans="2:4" s="331" customFormat="1">
      <c r="B21" s="329" t="s">
        <v>2071</v>
      </c>
      <c r="C21" s="338" t="s">
        <v>1322</v>
      </c>
      <c r="D21" s="330"/>
    </row>
    <row r="22" spans="2:4" s="331" customFormat="1">
      <c r="B22" s="329" t="s">
        <v>1228</v>
      </c>
      <c r="C22" s="338" t="s">
        <v>2583</v>
      </c>
      <c r="D22" s="330"/>
    </row>
    <row r="23" spans="2:4" s="331" customFormat="1" ht="12.75" customHeight="1">
      <c r="B23" s="329" t="s">
        <v>1229</v>
      </c>
      <c r="C23" s="338" t="s">
        <v>1335</v>
      </c>
      <c r="D23" s="330"/>
    </row>
    <row r="24" spans="2:4" s="331" customFormat="1">
      <c r="B24" s="329" t="s">
        <v>2072</v>
      </c>
      <c r="C24" s="338" t="s">
        <v>1323</v>
      </c>
      <c r="D24" s="330"/>
    </row>
    <row r="25" spans="2:4" s="331" customFormat="1">
      <c r="B25" s="329" t="s">
        <v>2073</v>
      </c>
      <c r="C25" s="338" t="s">
        <v>2586</v>
      </c>
      <c r="D25" s="330"/>
    </row>
    <row r="26" spans="2:4" s="331" customFormat="1">
      <c r="B26" s="329" t="s">
        <v>1231</v>
      </c>
      <c r="C26" s="338" t="s">
        <v>2754</v>
      </c>
      <c r="D26" s="330"/>
    </row>
    <row r="27" spans="2:4" s="331" customFormat="1">
      <c r="B27" s="329" t="s">
        <v>1232</v>
      </c>
      <c r="C27" s="338" t="s">
        <v>2688</v>
      </c>
      <c r="D27" s="330"/>
    </row>
    <row r="28" spans="2:4" s="331" customFormat="1">
      <c r="B28" s="329" t="s">
        <v>1233</v>
      </c>
      <c r="C28" s="338" t="s">
        <v>1324</v>
      </c>
      <c r="D28" s="330"/>
    </row>
    <row r="29" spans="2:4" s="331" customFormat="1">
      <c r="B29" s="329" t="s">
        <v>1234</v>
      </c>
      <c r="C29" s="338" t="s">
        <v>1325</v>
      </c>
      <c r="D29" s="330"/>
    </row>
    <row r="30" spans="2:4" s="331" customFormat="1">
      <c r="B30" s="329" t="s">
        <v>1235</v>
      </c>
      <c r="C30" s="338" t="s">
        <v>1326</v>
      </c>
      <c r="D30" s="330"/>
    </row>
    <row r="31" spans="2:4" s="331" customFormat="1">
      <c r="B31" s="329" t="s">
        <v>1236</v>
      </c>
      <c r="C31" s="338" t="s">
        <v>2594</v>
      </c>
      <c r="D31" s="330"/>
    </row>
    <row r="32" spans="2:4" s="331" customFormat="1">
      <c r="B32" s="329" t="s">
        <v>1237</v>
      </c>
      <c r="C32" s="338" t="s">
        <v>1327</v>
      </c>
      <c r="D32" s="330"/>
    </row>
    <row r="33" spans="2:4" s="331" customFormat="1">
      <c r="B33" s="329" t="s">
        <v>1238</v>
      </c>
      <c r="C33" s="338" t="s">
        <v>1328</v>
      </c>
      <c r="D33" s="330"/>
    </row>
    <row r="34" spans="2:4" s="331" customFormat="1">
      <c r="B34" s="329" t="s">
        <v>1239</v>
      </c>
      <c r="C34" s="338" t="s">
        <v>1329</v>
      </c>
      <c r="D34" s="330"/>
    </row>
    <row r="35" spans="2:4" s="331" customFormat="1">
      <c r="B35" s="329" t="s">
        <v>1240</v>
      </c>
      <c r="C35" s="338" t="s">
        <v>1330</v>
      </c>
      <c r="D35" s="330"/>
    </row>
    <row r="36" spans="2:4" s="331" customFormat="1">
      <c r="B36" s="329" t="s">
        <v>1241</v>
      </c>
      <c r="C36" s="338" t="s">
        <v>2593</v>
      </c>
      <c r="D36" s="330"/>
    </row>
    <row r="37" spans="2:4" s="331" customFormat="1" ht="16.5">
      <c r="B37" s="333"/>
      <c r="C37" s="338" t="s">
        <v>2600</v>
      </c>
      <c r="D37" s="334"/>
    </row>
  </sheetData>
  <hyperlinks>
    <hyperlink ref="C3" location="'Table IA'!A1" display="Selected Economic Indicators (Money and Banking)"/>
    <hyperlink ref="C4" location="'Table IB'!A1" display="Selected Economic Indicators ( Inflation, Production, Foreign Trade, Forex Reserves and Exchange Rate) "/>
    <hyperlink ref="C5" location="TableIIA!A1" display="Monetary Survey (M2)"/>
    <hyperlink ref="C6" location="TableIIB!A1" display="Claims on Resident Sector by the Banking System"/>
    <hyperlink ref="C7" location="'TableIIC '!A1" display="Reserve Money and its Components"/>
    <hyperlink ref="C8" location="'Table IID'!A1" display="Reserve Money and its Sources"/>
    <hyperlink ref="C9" location="'Table IIE'!A1" display="Monetary Survey (M3)  "/>
    <hyperlink ref="C10" location="'Table IIF'!A1" display="Claims on Resident Sector by Depository Corporations "/>
    <hyperlink ref="C12" location="'Table III A'!A1" display="Balance of  Payments"/>
    <hyperlink ref="C13" location="'Table IIIB'!A1" display="Foreign Direct Investment (FDI) Inflows and Stocks by Components in Bangladesh"/>
    <hyperlink ref="C14" location="'Table IV'!A1" display="Foreign Trade"/>
    <hyperlink ref="C15" location="'Table V'!A1" display="Production of Major Agricultural Commodities "/>
    <hyperlink ref="C16" location="'Table VI'!A1" display="Production of Major Industrial Commodities (Other than Jute Goods) "/>
    <hyperlink ref="C17" location="'Table VII'!A1" display="Consumer Price Index and Inflation Rate in Bangladesh"/>
    <hyperlink ref="C18" location="'Table VIII'!A1" display="Average Prices of Selected Commodities"/>
    <hyperlink ref="C19" location="TableIXA!A1" display="Gross Domestic Product of Bangladesh at Current Market Price"/>
    <hyperlink ref="C20" location="TableIXB!A1" display="Gross Domestic Product of Bangladesh at Constant Market Price "/>
    <hyperlink ref="C21" location="TableIXC!A1" display="Key Indicators of National Accounts"/>
    <hyperlink ref="C22" location="TableX!A1" display="Index Number of  Ordinary Share Prices, Turn Over, Issued Capital and Total Number of Companies Listed with the Dhaka Stock Exchange Ltd."/>
    <hyperlink ref="C23" location="TableXI!A1" display="Market Capitalisation (Value) of Ordinary Shares of Companies Listed with the Dhaka Stock Exchange Ltd."/>
    <hyperlink ref="C24" location="'Table XIIA'!A1" display="Interest Rate Structure of Government Securities/Bonds and Savings Instruments "/>
    <hyperlink ref="C25" location="'Table XIIB'!A1" display="Bank Rate and Interest Rate Structure of Post Office Savings Bank and House Building Finance Corporation and National Savings Certificates"/>
    <hyperlink ref="C26" location="TableXIII!A1" display="Bank-wise Announced Interest Rate Structure in Bangladesh (Except Islamic Banks), December 2014"/>
    <hyperlink ref="C27" location="'Table XIV'!A1" display="Profit Rate Structure of  the Islamic Banks, 2013"/>
    <hyperlink ref="C28" location="TableXV!A1" display="Rate of Interest on Non-resident Foreign Currency Deposit (NFCD) Accounts "/>
    <hyperlink ref="C29" location="TableXVI!A1" display="Monthly Average Call Money Market Rates"/>
    <hyperlink ref="C30" location="'Table XVII'!A1" display="Some Indicators of Income, Expenditure &amp; Profitability of the Banking Sector"/>
    <hyperlink ref="C31" location="'Table XVIII'!A1" display="Number of Persons Left for Abroad on Employment and Total Workers’ Remittances"/>
    <hyperlink ref="C32" location="TableXIX!A1" display="Country-wise Workers’ Remittances"/>
    <hyperlink ref="C33" location="TableXX!A1" display="Exchange Rates (Taka Per Currencies)"/>
    <hyperlink ref="C34" location="TableXXI!A1" display="Appreciation/Depreciation of Some Selected Currencies Against U.S. Dollar"/>
    <hyperlink ref="C35" location="'Table XXII'!A1" display="Some Selected Commodity Prices at International Markets"/>
    <hyperlink ref="C36" location="'Table XXIII'!A1" display="Selected Tax Revenue Receipts of the Government Under NBR and Others"/>
    <hyperlink ref="C37" location="'Appendix- Weights &amp; Measures'!A1" display="Appendix : Weights and Measures"/>
    <hyperlink ref="C11" location="'Table IIG'!A1" display="E-Banking &amp; E-Commerce Statistics"/>
  </hyperlinks>
  <pageMargins left="0.196850393700787" right="0.196850393700787" top="0.15748031496063" bottom="0.15748031496063" header="0" footer="0"/>
  <pageSetup paperSize="15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60"/>
  <sheetViews>
    <sheetView zoomScale="130" zoomScaleNormal="130" workbookViewId="0">
      <pane ySplit="4" topLeftCell="A47" activePane="bottomLeft" state="frozen"/>
      <selection pane="bottomLeft" activeCell="B53" sqref="B53:U58"/>
    </sheetView>
  </sheetViews>
  <sheetFormatPr defaultColWidth="9.140625" defaultRowHeight="11.25"/>
  <cols>
    <col min="1" max="1" width="8.28515625" style="10" customWidth="1"/>
    <col min="2" max="2" width="6.5703125" style="10" customWidth="1"/>
    <col min="3" max="3" width="6.7109375" style="10" customWidth="1"/>
    <col min="4" max="4" width="7.140625" style="10" customWidth="1"/>
    <col min="5" max="5" width="7.28515625" style="10" customWidth="1"/>
    <col min="6" max="6" width="6.7109375" style="10" customWidth="1"/>
    <col min="7" max="7" width="7" style="10" customWidth="1"/>
    <col min="8" max="9" width="6.7109375" style="10" customWidth="1"/>
    <col min="10" max="10" width="8.140625" style="10" customWidth="1"/>
    <col min="11" max="11" width="6.28515625" style="10" customWidth="1"/>
    <col min="12" max="12" width="7.7109375" style="10" customWidth="1"/>
    <col min="13" max="13" width="6.85546875" style="10" customWidth="1"/>
    <col min="14" max="14" width="6.42578125" style="10" customWidth="1"/>
    <col min="15" max="15" width="6.5703125" style="10" customWidth="1"/>
    <col min="16" max="16" width="7.28515625" style="10" customWidth="1"/>
    <col min="17" max="17" width="7" style="10" customWidth="1"/>
    <col min="18" max="18" width="6.7109375" style="10" customWidth="1"/>
    <col min="19" max="19" width="7.7109375" style="10" customWidth="1"/>
    <col min="20" max="20" width="7.140625" style="10" customWidth="1"/>
    <col min="21" max="21" width="7.42578125" style="10" customWidth="1"/>
    <col min="22" max="22" width="8.42578125" style="10" customWidth="1"/>
    <col min="23" max="16384" width="9.140625" style="10"/>
  </cols>
  <sheetData>
    <row r="1" spans="1:23" s="33" customFormat="1" ht="15.75" customHeight="1">
      <c r="A1" s="1903" t="s">
        <v>37</v>
      </c>
      <c r="B1" s="1903"/>
      <c r="C1" s="1903"/>
      <c r="D1" s="1903"/>
      <c r="E1" s="1903"/>
      <c r="F1" s="1903"/>
      <c r="G1" s="1903"/>
      <c r="H1" s="1903"/>
      <c r="I1" s="1903"/>
      <c r="J1" s="1903"/>
      <c r="K1" s="1903"/>
      <c r="L1" s="1937" t="s">
        <v>571</v>
      </c>
      <c r="M1" s="1937"/>
      <c r="N1" s="1937"/>
      <c r="O1" s="1937"/>
      <c r="P1" s="1937"/>
      <c r="Q1" s="1937"/>
      <c r="R1" s="1937"/>
      <c r="S1" s="1937"/>
      <c r="T1" s="1937"/>
      <c r="U1" s="1904" t="s">
        <v>2078</v>
      </c>
      <c r="V1" s="1904"/>
      <c r="W1" s="79"/>
    </row>
    <row r="2" spans="1:23" s="146" customFormat="1" ht="11.25" customHeight="1">
      <c r="A2" s="147"/>
      <c r="B2" s="147"/>
      <c r="E2" s="147"/>
      <c r="F2" s="147"/>
      <c r="G2" s="147"/>
      <c r="H2" s="147"/>
      <c r="I2" s="147"/>
      <c r="J2" s="1948" t="s">
        <v>227</v>
      </c>
      <c r="K2" s="1948"/>
      <c r="L2" s="149" t="s">
        <v>2500</v>
      </c>
      <c r="U2" s="1948" t="s">
        <v>587</v>
      </c>
      <c r="V2" s="1948"/>
    </row>
    <row r="3" spans="1:23" s="56" customFormat="1" ht="70.5" customHeight="1">
      <c r="A3" s="1906" t="s">
        <v>875</v>
      </c>
      <c r="B3" s="1413" t="s">
        <v>2580</v>
      </c>
      <c r="C3" s="28" t="s">
        <v>898</v>
      </c>
      <c r="D3" s="1413" t="s">
        <v>2572</v>
      </c>
      <c r="E3" s="28" t="s">
        <v>567</v>
      </c>
      <c r="F3" s="28" t="s">
        <v>573</v>
      </c>
      <c r="G3" s="28" t="s">
        <v>568</v>
      </c>
      <c r="H3" s="1413" t="s">
        <v>2581</v>
      </c>
      <c r="I3" s="1413" t="s">
        <v>2574</v>
      </c>
      <c r="J3" s="1413" t="s">
        <v>2575</v>
      </c>
      <c r="K3" s="28" t="s">
        <v>569</v>
      </c>
      <c r="L3" s="1413" t="s">
        <v>2576</v>
      </c>
      <c r="M3" s="1413" t="s">
        <v>2577</v>
      </c>
      <c r="N3" s="28" t="s">
        <v>570</v>
      </c>
      <c r="O3" s="1413" t="s">
        <v>2578</v>
      </c>
      <c r="P3" s="1413" t="s">
        <v>2579</v>
      </c>
      <c r="Q3" s="28" t="s">
        <v>1100</v>
      </c>
      <c r="R3" s="28" t="s">
        <v>565</v>
      </c>
      <c r="S3" s="28" t="s">
        <v>1101</v>
      </c>
      <c r="T3" s="28" t="s">
        <v>566</v>
      </c>
      <c r="U3" s="138" t="s">
        <v>1099</v>
      </c>
      <c r="V3" s="1906" t="s">
        <v>875</v>
      </c>
    </row>
    <row r="4" spans="1:23" s="73" customFormat="1" ht="9.75" customHeight="1">
      <c r="A4" s="1908"/>
      <c r="B4" s="1240">
        <v>1</v>
      </c>
      <c r="C4" s="1240">
        <v>2</v>
      </c>
      <c r="D4" s="1240">
        <v>3</v>
      </c>
      <c r="E4" s="1240">
        <v>4</v>
      </c>
      <c r="F4" s="1240">
        <v>5</v>
      </c>
      <c r="G4" s="1240">
        <v>6</v>
      </c>
      <c r="H4" s="1240">
        <v>7</v>
      </c>
      <c r="I4" s="1240">
        <v>8</v>
      </c>
      <c r="J4" s="1240">
        <v>9</v>
      </c>
      <c r="K4" s="1240">
        <v>10</v>
      </c>
      <c r="L4" s="1240">
        <v>11</v>
      </c>
      <c r="M4" s="1240">
        <v>12</v>
      </c>
      <c r="N4" s="1240">
        <v>13</v>
      </c>
      <c r="O4" s="1240">
        <v>14</v>
      </c>
      <c r="P4" s="1240">
        <v>15</v>
      </c>
      <c r="Q4" s="1240">
        <v>16</v>
      </c>
      <c r="R4" s="1240">
        <v>17</v>
      </c>
      <c r="S4" s="1240">
        <v>18</v>
      </c>
      <c r="T4" s="1240">
        <v>19</v>
      </c>
      <c r="U4" s="1240">
        <v>20</v>
      </c>
      <c r="V4" s="1908"/>
    </row>
    <row r="5" spans="1:23" ht="9.6" customHeight="1">
      <c r="A5" s="8" t="s">
        <v>941</v>
      </c>
      <c r="B5" s="36">
        <v>34808</v>
      </c>
      <c r="C5" s="36">
        <v>10026</v>
      </c>
      <c r="D5" s="36">
        <v>1828</v>
      </c>
      <c r="E5" s="36">
        <v>28091</v>
      </c>
      <c r="F5" s="36">
        <v>2497</v>
      </c>
      <c r="G5" s="36">
        <v>13083</v>
      </c>
      <c r="H5" s="36">
        <v>23038</v>
      </c>
      <c r="I5" s="36">
        <v>1094</v>
      </c>
      <c r="J5" s="36">
        <v>16149</v>
      </c>
      <c r="K5" s="36">
        <v>2786</v>
      </c>
      <c r="L5" s="36">
        <v>16233</v>
      </c>
      <c r="M5" s="36">
        <v>4487</v>
      </c>
      <c r="N5" s="36">
        <v>3742</v>
      </c>
      <c r="O5" s="36">
        <v>3954</v>
      </c>
      <c r="P5" s="36">
        <v>15112</v>
      </c>
      <c r="Q5" s="36">
        <f>SUM(B5:P5)</f>
        <v>176928</v>
      </c>
      <c r="R5" s="36">
        <v>7520</v>
      </c>
      <c r="S5" s="36">
        <f>Q5+R5</f>
        <v>184448</v>
      </c>
      <c r="T5" s="36">
        <v>5987</v>
      </c>
      <c r="U5" s="36">
        <f>S5+T5</f>
        <v>190435</v>
      </c>
      <c r="V5" s="51" t="s">
        <v>941</v>
      </c>
    </row>
    <row r="6" spans="1:23" ht="9.6" customHeight="1">
      <c r="A6" s="528"/>
      <c r="B6" s="560">
        <f t="shared" ref="B6:S6" si="0">(B5/$S5)*100</f>
        <v>18.871443442054129</v>
      </c>
      <c r="C6" s="560">
        <f t="shared" si="0"/>
        <v>5.4356783483691888</v>
      </c>
      <c r="D6" s="560">
        <f t="shared" si="0"/>
        <v>0.99106523247744616</v>
      </c>
      <c r="E6" s="560">
        <f t="shared" si="0"/>
        <v>15.229766655100624</v>
      </c>
      <c r="F6" s="560">
        <f t="shared" si="0"/>
        <v>1.3537690839694658</v>
      </c>
      <c r="G6" s="560">
        <f t="shared" si="0"/>
        <v>7.0930560374739766</v>
      </c>
      <c r="H6" s="560">
        <f t="shared" si="0"/>
        <v>12.490241151977793</v>
      </c>
      <c r="I6" s="560">
        <f t="shared" si="0"/>
        <v>0.59312109646079114</v>
      </c>
      <c r="J6" s="560">
        <f t="shared" si="0"/>
        <v>8.7553131505898669</v>
      </c>
      <c r="K6" s="560">
        <f t="shared" si="0"/>
        <v>1.5104528105482304</v>
      </c>
      <c r="L6" s="560">
        <f t="shared" si="0"/>
        <v>8.8008544413601655</v>
      </c>
      <c r="M6" s="560">
        <f t="shared" si="0"/>
        <v>2.4326639486467729</v>
      </c>
      <c r="N6" s="560">
        <f t="shared" si="0"/>
        <v>2.0287560721721025</v>
      </c>
      <c r="O6" s="560">
        <f t="shared" si="0"/>
        <v>2.1436936155447608</v>
      </c>
      <c r="P6" s="560">
        <f t="shared" si="0"/>
        <v>8.1930950728660648</v>
      </c>
      <c r="Q6" s="560">
        <f t="shared" si="0"/>
        <v>95.922970159611381</v>
      </c>
      <c r="R6" s="560">
        <f t="shared" si="0"/>
        <v>4.0770298403886196</v>
      </c>
      <c r="S6" s="560">
        <f t="shared" si="0"/>
        <v>100</v>
      </c>
      <c r="T6" s="508"/>
      <c r="U6" s="508"/>
      <c r="V6" s="518"/>
    </row>
    <row r="7" spans="1:23" ht="9.6" customHeight="1">
      <c r="A7" s="8" t="s">
        <v>942</v>
      </c>
      <c r="B7" s="36">
        <v>35937</v>
      </c>
      <c r="C7" s="36">
        <v>11024</v>
      </c>
      <c r="D7" s="36">
        <v>1852</v>
      </c>
      <c r="E7" s="36">
        <v>28988</v>
      </c>
      <c r="F7" s="36">
        <v>2646</v>
      </c>
      <c r="G7" s="36">
        <v>14250</v>
      </c>
      <c r="H7" s="36">
        <v>24538</v>
      </c>
      <c r="I7" s="36">
        <v>1166</v>
      </c>
      <c r="J7" s="36">
        <v>17102</v>
      </c>
      <c r="K7" s="36">
        <v>2937</v>
      </c>
      <c r="L7" s="36">
        <v>16853</v>
      </c>
      <c r="M7" s="36">
        <v>4743</v>
      </c>
      <c r="N7" s="36">
        <v>4030</v>
      </c>
      <c r="O7" s="36">
        <v>4136</v>
      </c>
      <c r="P7" s="36">
        <v>15558</v>
      </c>
      <c r="Q7" s="36">
        <f>SUM(B7:P7)</f>
        <v>185760</v>
      </c>
      <c r="R7" s="36">
        <v>7669</v>
      </c>
      <c r="S7" s="36">
        <f>Q7+R7</f>
        <v>193429</v>
      </c>
      <c r="T7" s="36">
        <v>6650</v>
      </c>
      <c r="U7" s="36">
        <f>S7+T7</f>
        <v>200079</v>
      </c>
      <c r="V7" s="51" t="s">
        <v>942</v>
      </c>
    </row>
    <row r="8" spans="1:23" ht="9.6" customHeight="1">
      <c r="A8" s="528"/>
      <c r="B8" s="560">
        <f t="shared" ref="B8:S8" si="1">(B7/$S7)*100</f>
        <v>18.578910091041156</v>
      </c>
      <c r="C8" s="560">
        <f t="shared" si="1"/>
        <v>5.6992488199804576</v>
      </c>
      <c r="D8" s="560">
        <f t="shared" si="1"/>
        <v>0.95745725821877792</v>
      </c>
      <c r="E8" s="560">
        <f t="shared" si="1"/>
        <v>14.986377430478367</v>
      </c>
      <c r="F8" s="560">
        <f t="shared" si="1"/>
        <v>1.3679437933298522</v>
      </c>
      <c r="G8" s="560">
        <f t="shared" si="1"/>
        <v>7.3670442384544206</v>
      </c>
      <c r="H8" s="560">
        <f t="shared" si="1"/>
        <v>12.685791685838216</v>
      </c>
      <c r="I8" s="560">
        <f t="shared" si="1"/>
        <v>0.60280516365177916</v>
      </c>
      <c r="J8" s="560">
        <f t="shared" si="1"/>
        <v>8.841487057266491</v>
      </c>
      <c r="K8" s="560">
        <f t="shared" si="1"/>
        <v>1.5183865914625003</v>
      </c>
      <c r="L8" s="560">
        <f t="shared" si="1"/>
        <v>8.7127576526787607</v>
      </c>
      <c r="M8" s="560">
        <f t="shared" si="1"/>
        <v>2.4520625138939871</v>
      </c>
      <c r="N8" s="560">
        <f t="shared" si="1"/>
        <v>2.0834518091909691</v>
      </c>
      <c r="O8" s="560">
        <f t="shared" si="1"/>
        <v>2.1382522786138582</v>
      </c>
      <c r="P8" s="560">
        <f t="shared" si="1"/>
        <v>8.0432613517104468</v>
      </c>
      <c r="Q8" s="560">
        <f t="shared" si="1"/>
        <v>96.035237735810043</v>
      </c>
      <c r="R8" s="560">
        <f t="shared" si="1"/>
        <v>3.9647622641899609</v>
      </c>
      <c r="S8" s="560">
        <f t="shared" si="1"/>
        <v>100</v>
      </c>
      <c r="T8" s="508"/>
      <c r="U8" s="508"/>
      <c r="V8" s="518"/>
    </row>
    <row r="9" spans="1:23" ht="9.6" customHeight="1">
      <c r="A9" s="8" t="s">
        <v>943</v>
      </c>
      <c r="B9" s="36">
        <v>38425</v>
      </c>
      <c r="C9" s="36">
        <v>12002</v>
      </c>
      <c r="D9" s="36">
        <v>2028</v>
      </c>
      <c r="E9" s="36">
        <v>30368</v>
      </c>
      <c r="F9" s="36">
        <v>2826</v>
      </c>
      <c r="G9" s="36">
        <v>15459</v>
      </c>
      <c r="H9" s="36">
        <v>26328</v>
      </c>
      <c r="I9" s="36">
        <v>1247</v>
      </c>
      <c r="J9" s="36">
        <v>18142</v>
      </c>
      <c r="K9" s="36">
        <v>3098</v>
      </c>
      <c r="L9" s="36">
        <v>17499</v>
      </c>
      <c r="M9" s="36">
        <v>5026</v>
      </c>
      <c r="N9" s="36">
        <v>4342</v>
      </c>
      <c r="O9" s="36">
        <v>4335</v>
      </c>
      <c r="P9" s="36">
        <v>16033</v>
      </c>
      <c r="Q9" s="36">
        <f>SUM(B9:P9)</f>
        <v>197158</v>
      </c>
      <c r="R9" s="36">
        <v>7769</v>
      </c>
      <c r="S9" s="36">
        <f>Q9+R9</f>
        <v>204927</v>
      </c>
      <c r="T9" s="36">
        <v>7532</v>
      </c>
      <c r="U9" s="36">
        <f>S9+T9</f>
        <v>212459</v>
      </c>
      <c r="V9" s="51" t="s">
        <v>943</v>
      </c>
    </row>
    <row r="10" spans="1:23" ht="9.6" customHeight="1">
      <c r="A10" s="528"/>
      <c r="B10" s="560">
        <f t="shared" ref="B10:S10" si="2">(B9/$S9)*100</f>
        <v>18.750579474642191</v>
      </c>
      <c r="C10" s="560">
        <f t="shared" si="2"/>
        <v>5.8567197099454926</v>
      </c>
      <c r="D10" s="560">
        <f t="shared" si="2"/>
        <v>0.98962069419842191</v>
      </c>
      <c r="E10" s="560">
        <f t="shared" si="2"/>
        <v>14.818935523381496</v>
      </c>
      <c r="F10" s="560">
        <f t="shared" si="2"/>
        <v>1.379027653749872</v>
      </c>
      <c r="G10" s="560">
        <f t="shared" si="2"/>
        <v>7.5436618893557208</v>
      </c>
      <c r="H10" s="560">
        <f t="shared" si="2"/>
        <v>12.847501793321525</v>
      </c>
      <c r="I10" s="560">
        <f t="shared" si="2"/>
        <v>0.60850937162989749</v>
      </c>
      <c r="J10" s="560">
        <f t="shared" si="2"/>
        <v>8.8529085967198071</v>
      </c>
      <c r="K10" s="560">
        <f t="shared" si="2"/>
        <v>1.511757845476682</v>
      </c>
      <c r="L10" s="560">
        <f t="shared" si="2"/>
        <v>8.539138327306798</v>
      </c>
      <c r="M10" s="560">
        <f t="shared" si="2"/>
        <v>2.452580675069659</v>
      </c>
      <c r="N10" s="560">
        <f t="shared" si="2"/>
        <v>2.1188032811684159</v>
      </c>
      <c r="O10" s="560">
        <f t="shared" si="2"/>
        <v>2.115387430646035</v>
      </c>
      <c r="P10" s="560">
        <f t="shared" si="2"/>
        <v>7.8237616321909762</v>
      </c>
      <c r="Q10" s="560">
        <f t="shared" si="2"/>
        <v>96.208893898802984</v>
      </c>
      <c r="R10" s="560">
        <f t="shared" si="2"/>
        <v>3.7911061011970117</v>
      </c>
      <c r="S10" s="560">
        <f t="shared" si="2"/>
        <v>100</v>
      </c>
      <c r="T10" s="508"/>
      <c r="U10" s="508"/>
      <c r="V10" s="518"/>
    </row>
    <row r="11" spans="1:23" ht="9.6" customHeight="1">
      <c r="A11" s="8" t="s">
        <v>944</v>
      </c>
      <c r="B11" s="36">
        <v>40551</v>
      </c>
      <c r="C11" s="36">
        <v>11458</v>
      </c>
      <c r="D11" s="36">
        <v>2225</v>
      </c>
      <c r="E11" s="36">
        <v>32398</v>
      </c>
      <c r="F11" s="36">
        <v>3035</v>
      </c>
      <c r="G11" s="36">
        <v>16796</v>
      </c>
      <c r="H11" s="36">
        <v>28021</v>
      </c>
      <c r="I11" s="36">
        <v>1335</v>
      </c>
      <c r="J11" s="36">
        <v>19580</v>
      </c>
      <c r="K11" s="36">
        <v>3270</v>
      </c>
      <c r="L11" s="36">
        <v>18096</v>
      </c>
      <c r="M11" s="36">
        <v>5321</v>
      </c>
      <c r="N11" s="36">
        <v>4651</v>
      </c>
      <c r="O11" s="36">
        <v>4548</v>
      </c>
      <c r="P11" s="36">
        <v>16538</v>
      </c>
      <c r="Q11" s="36">
        <f>SUM(B11:P11)</f>
        <v>207823</v>
      </c>
      <c r="R11" s="36">
        <v>7913</v>
      </c>
      <c r="S11" s="36">
        <f>Q11+R11</f>
        <v>215736</v>
      </c>
      <c r="T11" s="36">
        <v>7523</v>
      </c>
      <c r="U11" s="36">
        <f>S11+T11</f>
        <v>223259</v>
      </c>
      <c r="V11" s="51" t="s">
        <v>944</v>
      </c>
    </row>
    <row r="12" spans="1:23" ht="9.6" customHeight="1">
      <c r="A12" s="528"/>
      <c r="B12" s="560">
        <f t="shared" ref="B12:S12" si="3">(B11/$S11)*100</f>
        <v>18.796584714651239</v>
      </c>
      <c r="C12" s="560">
        <f t="shared" si="3"/>
        <v>5.3111209997404236</v>
      </c>
      <c r="D12" s="560">
        <f t="shared" si="3"/>
        <v>1.0313531353135312</v>
      </c>
      <c r="E12" s="560">
        <f t="shared" si="3"/>
        <v>15.017428709163049</v>
      </c>
      <c r="F12" s="560">
        <f t="shared" si="3"/>
        <v>1.4068120295175586</v>
      </c>
      <c r="G12" s="560">
        <f t="shared" si="3"/>
        <v>7.7854414654948645</v>
      </c>
      <c r="H12" s="560">
        <f t="shared" si="3"/>
        <v>12.988560091964253</v>
      </c>
      <c r="I12" s="560">
        <f t="shared" si="3"/>
        <v>0.61881188118811881</v>
      </c>
      <c r="J12" s="560">
        <f t="shared" si="3"/>
        <v>9.0759075907590763</v>
      </c>
      <c r="K12" s="560">
        <f t="shared" si="3"/>
        <v>1.5157414617866283</v>
      </c>
      <c r="L12" s="560">
        <f t="shared" si="3"/>
        <v>8.3880298142173757</v>
      </c>
      <c r="M12" s="560">
        <f t="shared" si="3"/>
        <v>2.4664404642711459</v>
      </c>
      <c r="N12" s="560">
        <f t="shared" si="3"/>
        <v>2.1558756999295436</v>
      </c>
      <c r="O12" s="560">
        <f t="shared" si="3"/>
        <v>2.1081321615307598</v>
      </c>
      <c r="P12" s="560">
        <f t="shared" si="3"/>
        <v>7.6658508547483963</v>
      </c>
      <c r="Q12" s="560">
        <f t="shared" si="3"/>
        <v>96.332091074275965</v>
      </c>
      <c r="R12" s="560">
        <f t="shared" si="3"/>
        <v>3.6679089257240332</v>
      </c>
      <c r="S12" s="560">
        <f t="shared" si="3"/>
        <v>100</v>
      </c>
      <c r="T12" s="508"/>
      <c r="U12" s="508"/>
      <c r="V12" s="518"/>
    </row>
    <row r="13" spans="1:23" ht="9.6" customHeight="1">
      <c r="A13" s="8" t="s">
        <v>945</v>
      </c>
      <c r="B13" s="36">
        <v>40300</v>
      </c>
      <c r="C13" s="36">
        <v>11713</v>
      </c>
      <c r="D13" s="36">
        <v>2326</v>
      </c>
      <c r="E13" s="36">
        <v>34174</v>
      </c>
      <c r="F13" s="36">
        <v>3267</v>
      </c>
      <c r="G13" s="36">
        <v>18243</v>
      </c>
      <c r="H13" s="36">
        <v>29868</v>
      </c>
      <c r="I13" s="36">
        <v>1427</v>
      </c>
      <c r="J13" s="36">
        <v>20863</v>
      </c>
      <c r="K13" s="36">
        <v>3489</v>
      </c>
      <c r="L13" s="36">
        <v>18715</v>
      </c>
      <c r="M13" s="36">
        <v>5636</v>
      </c>
      <c r="N13" s="36">
        <v>5004</v>
      </c>
      <c r="O13" s="36">
        <v>4789</v>
      </c>
      <c r="P13" s="36">
        <v>17073</v>
      </c>
      <c r="Q13" s="36">
        <f>SUM(B13:P13)</f>
        <v>216887</v>
      </c>
      <c r="R13" s="36">
        <v>8374</v>
      </c>
      <c r="S13" s="36">
        <f>Q13+R13</f>
        <v>225261</v>
      </c>
      <c r="T13" s="36">
        <v>10342</v>
      </c>
      <c r="U13" s="36">
        <f>S13+T13</f>
        <v>235603</v>
      </c>
      <c r="V13" s="51" t="s">
        <v>945</v>
      </c>
    </row>
    <row r="14" spans="1:23" ht="9.6" customHeight="1">
      <c r="A14" s="528"/>
      <c r="B14" s="560">
        <f t="shared" ref="B14:S14" si="4">(B13/$S13)*100</f>
        <v>17.890358295488344</v>
      </c>
      <c r="C14" s="560">
        <f t="shared" si="4"/>
        <v>5.1997460723338707</v>
      </c>
      <c r="D14" s="560">
        <f t="shared" si="4"/>
        <v>1.0325799849951833</v>
      </c>
      <c r="E14" s="560">
        <f t="shared" si="4"/>
        <v>15.170846262779619</v>
      </c>
      <c r="F14" s="560">
        <f t="shared" si="4"/>
        <v>1.4503176315474051</v>
      </c>
      <c r="G14" s="560">
        <f t="shared" si="4"/>
        <v>8.0986056174837184</v>
      </c>
      <c r="H14" s="560">
        <f t="shared" si="4"/>
        <v>13.259285895028434</v>
      </c>
      <c r="I14" s="560">
        <f t="shared" si="4"/>
        <v>0.63348737686505874</v>
      </c>
      <c r="J14" s="560">
        <f t="shared" si="4"/>
        <v>9.2617008714335807</v>
      </c>
      <c r="K14" s="560">
        <f t="shared" si="4"/>
        <v>1.548869977492775</v>
      </c>
      <c r="L14" s="560">
        <f t="shared" si="4"/>
        <v>8.30814033498919</v>
      </c>
      <c r="M14" s="560">
        <f t="shared" si="4"/>
        <v>2.5019865844509255</v>
      </c>
      <c r="N14" s="560">
        <f t="shared" si="4"/>
        <v>2.2214231491469896</v>
      </c>
      <c r="O14" s="560">
        <f t="shared" si="4"/>
        <v>2.1259783096053022</v>
      </c>
      <c r="P14" s="560">
        <f t="shared" si="4"/>
        <v>7.5792081185824447</v>
      </c>
      <c r="Q14" s="560">
        <f t="shared" si="4"/>
        <v>96.282534482222843</v>
      </c>
      <c r="R14" s="560">
        <f t="shared" si="4"/>
        <v>3.7174655177771561</v>
      </c>
      <c r="S14" s="560">
        <f t="shared" si="4"/>
        <v>100</v>
      </c>
      <c r="T14" s="508"/>
      <c r="U14" s="508"/>
      <c r="V14" s="518"/>
    </row>
    <row r="15" spans="1:23" ht="9.6" customHeight="1">
      <c r="A15" s="8" t="s">
        <v>946</v>
      </c>
      <c r="B15" s="36">
        <v>41627</v>
      </c>
      <c r="C15" s="36">
        <v>11986</v>
      </c>
      <c r="D15" s="36">
        <v>2493</v>
      </c>
      <c r="E15" s="36">
        <v>36480</v>
      </c>
      <c r="F15" s="40">
        <v>3529</v>
      </c>
      <c r="G15" s="36">
        <v>19719</v>
      </c>
      <c r="H15" s="36">
        <v>31687</v>
      </c>
      <c r="I15" s="36">
        <v>1527</v>
      </c>
      <c r="J15" s="36">
        <v>22292</v>
      </c>
      <c r="K15" s="557">
        <v>3722</v>
      </c>
      <c r="L15" s="36">
        <v>19374</v>
      </c>
      <c r="M15" s="36">
        <v>5932</v>
      </c>
      <c r="N15" s="36">
        <v>5384</v>
      </c>
      <c r="O15" s="36">
        <v>5057</v>
      </c>
      <c r="P15" s="36">
        <v>17640</v>
      </c>
      <c r="Q15" s="557">
        <f>SUM(B15:P15)</f>
        <v>228449</v>
      </c>
      <c r="R15" s="36">
        <v>8652</v>
      </c>
      <c r="S15" s="36">
        <f>Q15+R15</f>
        <v>237101</v>
      </c>
      <c r="T15" s="36">
        <v>13081</v>
      </c>
      <c r="U15" s="36">
        <f>S15+T15</f>
        <v>250182</v>
      </c>
      <c r="V15" s="51" t="s">
        <v>946</v>
      </c>
    </row>
    <row r="16" spans="1:23" ht="9.6" customHeight="1">
      <c r="A16" s="528"/>
      <c r="B16" s="560">
        <f t="shared" ref="B16:S16" si="5">(B15/$S15)*100</f>
        <v>17.556653071897628</v>
      </c>
      <c r="C16" s="560">
        <f t="shared" si="5"/>
        <v>5.0552296278801023</v>
      </c>
      <c r="D16" s="560">
        <f t="shared" si="5"/>
        <v>1.0514506476143077</v>
      </c>
      <c r="E16" s="560">
        <f t="shared" si="5"/>
        <v>15.385848225018032</v>
      </c>
      <c r="F16" s="560">
        <f t="shared" si="5"/>
        <v>1.4883952408467278</v>
      </c>
      <c r="G16" s="560">
        <f t="shared" si="5"/>
        <v>8.3167089130792355</v>
      </c>
      <c r="H16" s="560">
        <f t="shared" si="5"/>
        <v>13.364346839532521</v>
      </c>
      <c r="I16" s="560">
        <f t="shared" si="5"/>
        <v>0.64402933770840276</v>
      </c>
      <c r="J16" s="560">
        <f t="shared" si="5"/>
        <v>9.4019004559238457</v>
      </c>
      <c r="K16" s="560">
        <f t="shared" si="5"/>
        <v>1.5697951505898331</v>
      </c>
      <c r="L16" s="560">
        <f t="shared" si="5"/>
        <v>8.1712013023985559</v>
      </c>
      <c r="M16" s="560">
        <f t="shared" si="5"/>
        <v>2.5018873813269451</v>
      </c>
      <c r="N16" s="560">
        <f t="shared" si="5"/>
        <v>2.2707622489993717</v>
      </c>
      <c r="O16" s="560">
        <f t="shared" si="5"/>
        <v>2.1328463397455093</v>
      </c>
      <c r="P16" s="560">
        <f t="shared" si="5"/>
        <v>7.4398673982817449</v>
      </c>
      <c r="Q16" s="560">
        <f t="shared" si="5"/>
        <v>96.350922180842772</v>
      </c>
      <c r="R16" s="560">
        <f t="shared" si="5"/>
        <v>3.6490778191572373</v>
      </c>
      <c r="S16" s="560">
        <f t="shared" si="5"/>
        <v>100</v>
      </c>
      <c r="T16" s="508"/>
      <c r="U16" s="508"/>
      <c r="V16" s="518"/>
    </row>
    <row r="17" spans="1:22" ht="9.6" customHeight="1">
      <c r="A17" s="8" t="s">
        <v>947</v>
      </c>
      <c r="B17" s="36">
        <v>43449</v>
      </c>
      <c r="C17" s="36">
        <v>12356</v>
      </c>
      <c r="D17" s="36">
        <v>2684</v>
      </c>
      <c r="E17" s="36">
        <v>39069</v>
      </c>
      <c r="F17" s="36">
        <v>3849</v>
      </c>
      <c r="G17" s="36">
        <v>21346</v>
      </c>
      <c r="H17" s="36">
        <v>33770</v>
      </c>
      <c r="I17" s="36">
        <v>1635</v>
      </c>
      <c r="J17" s="36">
        <v>23676</v>
      </c>
      <c r="K17" s="36">
        <v>3983</v>
      </c>
      <c r="L17" s="36">
        <v>20068</v>
      </c>
      <c r="M17" s="36">
        <v>6351</v>
      </c>
      <c r="N17" s="36">
        <v>5798</v>
      </c>
      <c r="O17" s="36">
        <v>5371</v>
      </c>
      <c r="P17" s="36">
        <v>18340</v>
      </c>
      <c r="Q17" s="557">
        <f>SUM(B17:P17)</f>
        <v>241745</v>
      </c>
      <c r="R17" s="36">
        <v>10223</v>
      </c>
      <c r="S17" s="36">
        <f>Q17+R17</f>
        <v>251968</v>
      </c>
      <c r="T17" s="36">
        <v>13283</v>
      </c>
      <c r="U17" s="36">
        <f>S17+T17</f>
        <v>265251</v>
      </c>
      <c r="V17" s="51" t="s">
        <v>947</v>
      </c>
    </row>
    <row r="18" spans="1:22" ht="9.6" customHeight="1">
      <c r="A18" s="528"/>
      <c r="B18" s="560">
        <f t="shared" ref="B18:S18" si="6">(B17/$S17)*100</f>
        <v>17.243856362712727</v>
      </c>
      <c r="C18" s="560">
        <f t="shared" si="6"/>
        <v>4.9037973075946155</v>
      </c>
      <c r="D18" s="560">
        <f t="shared" si="6"/>
        <v>1.0652146304292609</v>
      </c>
      <c r="E18" s="560">
        <f t="shared" si="6"/>
        <v>15.505540386080771</v>
      </c>
      <c r="F18" s="560">
        <f t="shared" si="6"/>
        <v>1.5275749301498605</v>
      </c>
      <c r="G18" s="560">
        <f t="shared" si="6"/>
        <v>8.4717106934213877</v>
      </c>
      <c r="H18" s="560">
        <f t="shared" si="6"/>
        <v>13.402495554991109</v>
      </c>
      <c r="I18" s="560">
        <f t="shared" si="6"/>
        <v>0.64889192278384555</v>
      </c>
      <c r="J18" s="560">
        <f t="shared" si="6"/>
        <v>9.3964312928625855</v>
      </c>
      <c r="K18" s="560">
        <f t="shared" si="6"/>
        <v>1.5807562865125728</v>
      </c>
      <c r="L18" s="560">
        <f t="shared" si="6"/>
        <v>7.9645034290068581</v>
      </c>
      <c r="M18" s="560">
        <f t="shared" si="6"/>
        <v>2.5205581661163325</v>
      </c>
      <c r="N18" s="560">
        <f t="shared" si="6"/>
        <v>2.3010858521717044</v>
      </c>
      <c r="O18" s="560">
        <f t="shared" si="6"/>
        <v>2.1316198882397766</v>
      </c>
      <c r="P18" s="560">
        <f t="shared" si="6"/>
        <v>7.2787020574041144</v>
      </c>
      <c r="Q18" s="560">
        <f t="shared" si="6"/>
        <v>95.942738760477525</v>
      </c>
      <c r="R18" s="560">
        <f t="shared" si="6"/>
        <v>4.0572612395224787</v>
      </c>
      <c r="S18" s="560">
        <f t="shared" si="6"/>
        <v>100</v>
      </c>
      <c r="T18" s="508"/>
      <c r="U18" s="508"/>
      <c r="V18" s="518"/>
    </row>
    <row r="19" spans="1:22" ht="9.6" customHeight="1">
      <c r="A19" s="8" t="s">
        <v>948</v>
      </c>
      <c r="B19" s="36">
        <v>44230</v>
      </c>
      <c r="C19" s="36">
        <v>12807</v>
      </c>
      <c r="D19" s="36">
        <v>2909</v>
      </c>
      <c r="E19" s="36">
        <v>42269</v>
      </c>
      <c r="F19" s="36">
        <v>4192</v>
      </c>
      <c r="G19" s="36">
        <v>23120</v>
      </c>
      <c r="H19" s="36">
        <v>36155</v>
      </c>
      <c r="I19" s="36">
        <v>1751</v>
      </c>
      <c r="J19" s="36">
        <v>25552</v>
      </c>
      <c r="K19" s="36">
        <v>4338</v>
      </c>
      <c r="L19" s="36">
        <v>20801</v>
      </c>
      <c r="M19" s="36">
        <v>6860</v>
      </c>
      <c r="N19" s="36">
        <v>6256</v>
      </c>
      <c r="O19" s="36">
        <v>5768</v>
      </c>
      <c r="P19" s="36">
        <v>19082</v>
      </c>
      <c r="Q19" s="36">
        <f>SUM(B19:P19)</f>
        <v>256090</v>
      </c>
      <c r="R19" s="36">
        <v>10884</v>
      </c>
      <c r="S19" s="36">
        <f>Q19+R19</f>
        <v>266974</v>
      </c>
      <c r="T19" s="36">
        <v>13632</v>
      </c>
      <c r="U19" s="36">
        <f>S19+T19</f>
        <v>280606</v>
      </c>
      <c r="V19" s="51" t="s">
        <v>948</v>
      </c>
    </row>
    <row r="20" spans="1:22" ht="9.6" customHeight="1">
      <c r="A20" s="528"/>
      <c r="B20" s="560">
        <f t="shared" ref="B20:S20" si="7">(B19/$S19)*100</f>
        <v>16.567156352303968</v>
      </c>
      <c r="C20" s="560">
        <f t="shared" si="7"/>
        <v>4.7970963464607035</v>
      </c>
      <c r="D20" s="560">
        <f t="shared" si="7"/>
        <v>1.089619213856031</v>
      </c>
      <c r="E20" s="560">
        <f t="shared" si="7"/>
        <v>15.832627896349457</v>
      </c>
      <c r="F20" s="560">
        <f t="shared" si="7"/>
        <v>1.5701903556151535</v>
      </c>
      <c r="G20" s="560">
        <f t="shared" si="7"/>
        <v>8.6600193277247968</v>
      </c>
      <c r="H20" s="560">
        <f t="shared" si="7"/>
        <v>13.542517248870675</v>
      </c>
      <c r="I20" s="560">
        <f t="shared" si="7"/>
        <v>0.65586911084974564</v>
      </c>
      <c r="J20" s="560">
        <f t="shared" si="7"/>
        <v>9.5709694577000004</v>
      </c>
      <c r="K20" s="560">
        <f t="shared" si="7"/>
        <v>1.6248773288784675</v>
      </c>
      <c r="L20" s="560">
        <f t="shared" si="7"/>
        <v>7.7913954167821586</v>
      </c>
      <c r="M20" s="560">
        <f t="shared" si="7"/>
        <v>2.5695386067557142</v>
      </c>
      <c r="N20" s="560">
        <f t="shared" si="7"/>
        <v>2.3432993475020041</v>
      </c>
      <c r="O20" s="560">
        <f t="shared" si="7"/>
        <v>2.1605100122109269</v>
      </c>
      <c r="P20" s="560">
        <f t="shared" si="7"/>
        <v>7.1475124918531394</v>
      </c>
      <c r="Q20" s="560">
        <f t="shared" si="7"/>
        <v>95.923198513712947</v>
      </c>
      <c r="R20" s="560">
        <f t="shared" si="7"/>
        <v>4.0768014862870547</v>
      </c>
      <c r="S20" s="560">
        <f t="shared" si="7"/>
        <v>100</v>
      </c>
      <c r="T20" s="508"/>
      <c r="U20" s="508"/>
      <c r="V20" s="518"/>
    </row>
    <row r="21" spans="1:22" ht="9.6" customHeight="1">
      <c r="A21" s="562" t="s">
        <v>953</v>
      </c>
      <c r="B21" s="557">
        <v>46545</v>
      </c>
      <c r="C21" s="557">
        <v>13308</v>
      </c>
      <c r="D21" s="557">
        <v>3178</v>
      </c>
      <c r="E21" s="557">
        <v>46820</v>
      </c>
      <c r="F21" s="557">
        <v>4513</v>
      </c>
      <c r="G21" s="557">
        <v>25042</v>
      </c>
      <c r="H21" s="557">
        <v>38596</v>
      </c>
      <c r="I21" s="557">
        <v>1881</v>
      </c>
      <c r="J21" s="557">
        <v>27592</v>
      </c>
      <c r="K21" s="557">
        <v>4707</v>
      </c>
      <c r="L21" s="557">
        <v>21569</v>
      </c>
      <c r="M21" s="557">
        <v>7420</v>
      </c>
      <c r="N21" s="557">
        <v>6822</v>
      </c>
      <c r="O21" s="557">
        <v>6217</v>
      </c>
      <c r="P21" s="557">
        <v>19863</v>
      </c>
      <c r="Q21" s="36">
        <f>SUM(B21:P21)</f>
        <v>274073</v>
      </c>
      <c r="R21" s="557">
        <v>10599</v>
      </c>
      <c r="S21" s="36">
        <f>Q21+R21</f>
        <v>284672</v>
      </c>
      <c r="T21" s="557">
        <v>18631</v>
      </c>
      <c r="U21" s="36">
        <f>S21+T21</f>
        <v>303303</v>
      </c>
      <c r="V21" s="563" t="s">
        <v>953</v>
      </c>
    </row>
    <row r="22" spans="1:22" ht="9.6" customHeight="1">
      <c r="A22" s="528"/>
      <c r="B22" s="560">
        <f t="shared" ref="B22:S22" si="8">(B21/$S21)*100</f>
        <v>16.3503962455036</v>
      </c>
      <c r="C22" s="560">
        <f t="shared" si="8"/>
        <v>4.6748538669064743</v>
      </c>
      <c r="D22" s="560">
        <f t="shared" si="8"/>
        <v>1.1163725269784173</v>
      </c>
      <c r="E22" s="560">
        <f t="shared" si="8"/>
        <v>16.446998651079138</v>
      </c>
      <c r="F22" s="560">
        <f t="shared" si="8"/>
        <v>1.5853332958633095</v>
      </c>
      <c r="G22" s="560">
        <f t="shared" si="8"/>
        <v>8.7967906924460433</v>
      </c>
      <c r="H22" s="560">
        <f t="shared" si="8"/>
        <v>13.558059802158272</v>
      </c>
      <c r="I22" s="560">
        <f t="shared" si="8"/>
        <v>0.66076045413669071</v>
      </c>
      <c r="J22" s="560">
        <f t="shared" si="8"/>
        <v>9.6925584532374103</v>
      </c>
      <c r="K22" s="560">
        <f t="shared" si="8"/>
        <v>1.6534819019784173</v>
      </c>
      <c r="L22" s="560">
        <f t="shared" si="8"/>
        <v>7.5767901303956826</v>
      </c>
      <c r="M22" s="560">
        <f t="shared" si="8"/>
        <v>2.6065085431654675</v>
      </c>
      <c r="N22" s="560">
        <f t="shared" si="8"/>
        <v>2.3964422212230216</v>
      </c>
      <c r="O22" s="560">
        <f t="shared" si="8"/>
        <v>2.1839169289568345</v>
      </c>
      <c r="P22" s="560">
        <f t="shared" si="8"/>
        <v>6.9775039343525176</v>
      </c>
      <c r="Q22" s="560">
        <f t="shared" si="8"/>
        <v>96.276767648381295</v>
      </c>
      <c r="R22" s="560">
        <f t="shared" si="8"/>
        <v>3.7232323516187051</v>
      </c>
      <c r="S22" s="560">
        <f t="shared" si="8"/>
        <v>100</v>
      </c>
      <c r="T22" s="508"/>
      <c r="U22" s="508"/>
      <c r="V22" s="518"/>
    </row>
    <row r="23" spans="1:22" ht="9.6" customHeight="1">
      <c r="A23" s="243" t="s">
        <v>962</v>
      </c>
      <c r="B23" s="40">
        <v>48730</v>
      </c>
      <c r="C23" s="40">
        <v>13850</v>
      </c>
      <c r="D23" s="40">
        <v>3443</v>
      </c>
      <c r="E23" s="40">
        <v>51372</v>
      </c>
      <c r="F23" s="40">
        <v>4607</v>
      </c>
      <c r="G23" s="40">
        <v>26796</v>
      </c>
      <c r="H23" s="40">
        <v>41700</v>
      </c>
      <c r="I23" s="40">
        <v>2023</v>
      </c>
      <c r="J23" s="40">
        <v>29809</v>
      </c>
      <c r="K23" s="40">
        <v>5139</v>
      </c>
      <c r="L23" s="40">
        <v>22380</v>
      </c>
      <c r="M23" s="40">
        <v>8044</v>
      </c>
      <c r="N23" s="40">
        <v>7433</v>
      </c>
      <c r="O23" s="40">
        <v>6693</v>
      </c>
      <c r="P23" s="40">
        <v>20773</v>
      </c>
      <c r="Q23" s="36">
        <f>SUM(B23:P23)</f>
        <v>292792</v>
      </c>
      <c r="R23" s="40">
        <v>10179</v>
      </c>
      <c r="S23" s="36">
        <f>Q23+R23</f>
        <v>302971</v>
      </c>
      <c r="T23" s="40">
        <v>22620</v>
      </c>
      <c r="U23" s="36">
        <f>S23+T23</f>
        <v>325591</v>
      </c>
      <c r="V23" s="367" t="s">
        <v>962</v>
      </c>
    </row>
    <row r="24" spans="1:22" ht="9.6" customHeight="1">
      <c r="A24" s="528"/>
      <c r="B24" s="560">
        <f t="shared" ref="B24:S24" si="9">(B23/$S23)*100</f>
        <v>16.084047648124738</v>
      </c>
      <c r="C24" s="560">
        <f t="shared" si="9"/>
        <v>4.571394621927511</v>
      </c>
      <c r="D24" s="560">
        <f t="shared" si="9"/>
        <v>1.1364123959058787</v>
      </c>
      <c r="E24" s="560">
        <f t="shared" si="9"/>
        <v>16.956078304524194</v>
      </c>
      <c r="F24" s="560">
        <f t="shared" si="9"/>
        <v>1.5206075829039742</v>
      </c>
      <c r="G24" s="560">
        <f t="shared" si="9"/>
        <v>8.8444108512035804</v>
      </c>
      <c r="H24" s="560">
        <f t="shared" si="9"/>
        <v>13.763693554828679</v>
      </c>
      <c r="I24" s="560">
        <f t="shared" si="9"/>
        <v>0.66772067293569348</v>
      </c>
      <c r="J24" s="560">
        <f t="shared" si="9"/>
        <v>9.8388954718438395</v>
      </c>
      <c r="K24" s="560">
        <f t="shared" si="9"/>
        <v>1.6962019467209735</v>
      </c>
      <c r="L24" s="560">
        <f t="shared" si="9"/>
        <v>7.3868456056850329</v>
      </c>
      <c r="M24" s="560">
        <f t="shared" si="9"/>
        <v>2.6550395912480074</v>
      </c>
      <c r="N24" s="560">
        <f t="shared" si="9"/>
        <v>2.4533701245333712</v>
      </c>
      <c r="O24" s="560">
        <f t="shared" si="9"/>
        <v>2.2091223252390493</v>
      </c>
      <c r="P24" s="560">
        <f t="shared" si="9"/>
        <v>6.856431803703984</v>
      </c>
      <c r="Q24" s="560">
        <f t="shared" si="9"/>
        <v>96.640272501328511</v>
      </c>
      <c r="R24" s="560">
        <f t="shared" si="9"/>
        <v>3.3597274986714902</v>
      </c>
      <c r="S24" s="560">
        <f t="shared" si="9"/>
        <v>100</v>
      </c>
      <c r="T24" s="508"/>
      <c r="U24" s="508"/>
      <c r="V24" s="518"/>
    </row>
    <row r="25" spans="1:22" ht="9.6" customHeight="1">
      <c r="A25" s="8" t="s">
        <v>675</v>
      </c>
      <c r="B25" s="42">
        <v>50157</v>
      </c>
      <c r="C25" s="42">
        <v>14429</v>
      </c>
      <c r="D25" s="42">
        <v>3751</v>
      </c>
      <c r="E25" s="42">
        <v>55077</v>
      </c>
      <c r="F25" s="42">
        <v>4919</v>
      </c>
      <c r="G25" s="42">
        <v>28318</v>
      </c>
      <c r="H25" s="42">
        <v>44543</v>
      </c>
      <c r="I25" s="42">
        <v>2176</v>
      </c>
      <c r="J25" s="42">
        <v>32357</v>
      </c>
      <c r="K25" s="42">
        <v>5596</v>
      </c>
      <c r="L25" s="42">
        <v>23221</v>
      </c>
      <c r="M25" s="42">
        <v>8543</v>
      </c>
      <c r="N25" s="42">
        <v>8013</v>
      </c>
      <c r="O25" s="42">
        <v>7163</v>
      </c>
      <c r="P25" s="42">
        <v>21731</v>
      </c>
      <c r="Q25" s="36">
        <f>SUM(B25:P25)</f>
        <v>309994</v>
      </c>
      <c r="R25" s="42">
        <v>11732</v>
      </c>
      <c r="S25" s="36">
        <f>Q25+R25</f>
        <v>321726</v>
      </c>
      <c r="T25" s="42">
        <v>28522</v>
      </c>
      <c r="U25" s="36">
        <f>S25+T25</f>
        <v>350248</v>
      </c>
      <c r="V25" s="51" t="s">
        <v>675</v>
      </c>
    </row>
    <row r="26" spans="1:22" ht="9.6" customHeight="1">
      <c r="A26" s="528"/>
      <c r="B26" s="560">
        <f t="shared" ref="B26:S26" si="10">(B25/$S25)*100</f>
        <v>15.589974077320454</v>
      </c>
      <c r="C26" s="560">
        <f t="shared" si="10"/>
        <v>4.4848722204608897</v>
      </c>
      <c r="D26" s="560">
        <f t="shared" si="10"/>
        <v>1.1658989326321156</v>
      </c>
      <c r="E26" s="560">
        <f t="shared" si="10"/>
        <v>17.119225676507337</v>
      </c>
      <c r="F26" s="560">
        <f t="shared" si="10"/>
        <v>1.528940775691116</v>
      </c>
      <c r="G26" s="560">
        <f t="shared" si="10"/>
        <v>8.8018997532061434</v>
      </c>
      <c r="H26" s="560">
        <f t="shared" si="10"/>
        <v>13.845010972069401</v>
      </c>
      <c r="I26" s="560">
        <f t="shared" si="10"/>
        <v>0.67635192679485023</v>
      </c>
      <c r="J26" s="560">
        <f t="shared" si="10"/>
        <v>10.057315852619931</v>
      </c>
      <c r="K26" s="560">
        <f t="shared" si="10"/>
        <v>1.7393682823271976</v>
      </c>
      <c r="L26" s="560">
        <f t="shared" si="10"/>
        <v>7.2176323952680228</v>
      </c>
      <c r="M26" s="560">
        <f t="shared" si="10"/>
        <v>2.6553651243604808</v>
      </c>
      <c r="N26" s="560">
        <f t="shared" si="10"/>
        <v>2.4906286716025439</v>
      </c>
      <c r="O26" s="560">
        <f t="shared" si="10"/>
        <v>2.2264287001983054</v>
      </c>
      <c r="P26" s="560">
        <f t="shared" si="10"/>
        <v>6.7545053865711813</v>
      </c>
      <c r="Q26" s="560">
        <f t="shared" si="10"/>
        <v>96.353418747629973</v>
      </c>
      <c r="R26" s="560">
        <f t="shared" si="10"/>
        <v>3.6465812523700292</v>
      </c>
      <c r="S26" s="560">
        <f t="shared" si="10"/>
        <v>100</v>
      </c>
      <c r="T26" s="508"/>
      <c r="U26" s="508"/>
      <c r="V26" s="518"/>
    </row>
    <row r="27" spans="1:22" ht="9.6" customHeight="1">
      <c r="A27" s="8" t="s">
        <v>141</v>
      </c>
      <c r="B27" s="433">
        <v>52215</v>
      </c>
      <c r="C27" s="433">
        <v>15029</v>
      </c>
      <c r="D27" s="433">
        <v>4120</v>
      </c>
      <c r="E27" s="433">
        <v>58754</v>
      </c>
      <c r="F27" s="433">
        <v>5210</v>
      </c>
      <c r="G27" s="433">
        <v>29931</v>
      </c>
      <c r="H27" s="433">
        <v>47309</v>
      </c>
      <c r="I27" s="433">
        <v>2341</v>
      </c>
      <c r="J27" s="433">
        <v>34949</v>
      </c>
      <c r="K27" s="433">
        <v>6099</v>
      </c>
      <c r="L27" s="433">
        <v>24106</v>
      </c>
      <c r="M27" s="433">
        <v>9142</v>
      </c>
      <c r="N27" s="433">
        <v>8658</v>
      </c>
      <c r="O27" s="433">
        <v>7678</v>
      </c>
      <c r="P27" s="433">
        <v>22753</v>
      </c>
      <c r="Q27" s="36">
        <f>SUM(B27:P27)</f>
        <v>328294</v>
      </c>
      <c r="R27" s="42">
        <v>11903</v>
      </c>
      <c r="S27" s="36">
        <f>Q27+R27</f>
        <v>340197</v>
      </c>
      <c r="T27" s="36">
        <v>30933</v>
      </c>
      <c r="U27" s="36">
        <f>S27+T27</f>
        <v>371130</v>
      </c>
      <c r="V27" s="51" t="s">
        <v>141</v>
      </c>
    </row>
    <row r="28" spans="1:22" ht="9.6" customHeight="1">
      <c r="A28" s="528"/>
      <c r="B28" s="560">
        <f t="shared" ref="B28:S28" si="11">(B27/$S27)*100</f>
        <v>15.348459862961755</v>
      </c>
      <c r="C28" s="560">
        <f t="shared" si="11"/>
        <v>4.4177344303447708</v>
      </c>
      <c r="D28" s="560">
        <f t="shared" si="11"/>
        <v>1.21106300173135</v>
      </c>
      <c r="E28" s="560">
        <f t="shared" si="11"/>
        <v>17.270581457214497</v>
      </c>
      <c r="F28" s="560">
        <f t="shared" si="11"/>
        <v>1.5314655919952265</v>
      </c>
      <c r="G28" s="560">
        <f t="shared" si="11"/>
        <v>8.798137549713843</v>
      </c>
      <c r="H28" s="560">
        <f t="shared" si="11"/>
        <v>13.906354259443793</v>
      </c>
      <c r="I28" s="560">
        <f t="shared" si="11"/>
        <v>0.68813070074104121</v>
      </c>
      <c r="J28" s="560">
        <f t="shared" si="11"/>
        <v>10.273165254249744</v>
      </c>
      <c r="K28" s="560">
        <f t="shared" si="11"/>
        <v>1.7927847688251219</v>
      </c>
      <c r="L28" s="560">
        <f t="shared" si="11"/>
        <v>7.0858943494504656</v>
      </c>
      <c r="M28" s="560">
        <f t="shared" si="11"/>
        <v>2.6872664955893204</v>
      </c>
      <c r="N28" s="560">
        <f t="shared" si="11"/>
        <v>2.5449959876189387</v>
      </c>
      <c r="O28" s="560">
        <f t="shared" si="11"/>
        <v>2.2569276037119668</v>
      </c>
      <c r="P28" s="560">
        <f t="shared" si="11"/>
        <v>6.6881836112605342</v>
      </c>
      <c r="Q28" s="560">
        <f t="shared" si="11"/>
        <v>96.501144924852369</v>
      </c>
      <c r="R28" s="560">
        <f t="shared" si="11"/>
        <v>3.4988550751476355</v>
      </c>
      <c r="S28" s="560">
        <f t="shared" si="11"/>
        <v>100</v>
      </c>
      <c r="T28" s="508"/>
      <c r="U28" s="508"/>
      <c r="V28" s="518"/>
    </row>
    <row r="29" spans="1:22" ht="9.6" customHeight="1">
      <c r="A29" s="8" t="s">
        <v>136</v>
      </c>
      <c r="B29" s="433">
        <v>55117</v>
      </c>
      <c r="C29" s="433">
        <v>15652</v>
      </c>
      <c r="D29" s="433">
        <v>4482</v>
      </c>
      <c r="E29" s="433">
        <v>62571</v>
      </c>
      <c r="F29" s="433">
        <v>5589</v>
      </c>
      <c r="G29" s="433">
        <v>31730</v>
      </c>
      <c r="H29" s="433">
        <v>50088</v>
      </c>
      <c r="I29" s="433">
        <v>2519</v>
      </c>
      <c r="J29" s="433">
        <v>37637</v>
      </c>
      <c r="K29" s="433">
        <v>6809</v>
      </c>
      <c r="L29" s="433">
        <v>25045</v>
      </c>
      <c r="M29" s="433">
        <v>9906</v>
      </c>
      <c r="N29" s="433">
        <v>9458</v>
      </c>
      <c r="O29" s="433">
        <v>8300</v>
      </c>
      <c r="P29" s="433">
        <v>23826</v>
      </c>
      <c r="Q29" s="36">
        <f>SUM(B29:P29)</f>
        <v>348729</v>
      </c>
      <c r="R29" s="42">
        <v>12116</v>
      </c>
      <c r="S29" s="36">
        <f>Q29+R29</f>
        <v>360845</v>
      </c>
      <c r="T29" s="36">
        <v>33575</v>
      </c>
      <c r="U29" s="36">
        <f>S29+T29</f>
        <v>394420</v>
      </c>
      <c r="V29" s="51" t="s">
        <v>136</v>
      </c>
    </row>
    <row r="30" spans="1:22" ht="9.6" customHeight="1">
      <c r="A30" s="508"/>
      <c r="B30" s="560">
        <f t="shared" ref="B30:S30" si="12">(B29/$S29)*100</f>
        <v>15.274425307264892</v>
      </c>
      <c r="C30" s="560">
        <f t="shared" si="12"/>
        <v>4.3375964749407645</v>
      </c>
      <c r="D30" s="560">
        <f t="shared" si="12"/>
        <v>1.2420845515387493</v>
      </c>
      <c r="E30" s="560">
        <f t="shared" si="12"/>
        <v>17.340132189721349</v>
      </c>
      <c r="F30" s="560">
        <f t="shared" si="12"/>
        <v>1.5488644708947055</v>
      </c>
      <c r="G30" s="560">
        <f t="shared" si="12"/>
        <v>8.7932491790103793</v>
      </c>
      <c r="H30" s="560">
        <f t="shared" si="12"/>
        <v>13.880752123487925</v>
      </c>
      <c r="I30" s="560">
        <f t="shared" si="12"/>
        <v>0.69808366473139438</v>
      </c>
      <c r="J30" s="560">
        <f t="shared" si="12"/>
        <v>10.430240130804085</v>
      </c>
      <c r="K30" s="560">
        <f t="shared" si="12"/>
        <v>1.8869597749726339</v>
      </c>
      <c r="L30" s="560">
        <f t="shared" si="12"/>
        <v>6.9406531890423864</v>
      </c>
      <c r="M30" s="560">
        <f t="shared" si="12"/>
        <v>2.7452230181934074</v>
      </c>
      <c r="N30" s="560">
        <f t="shared" si="12"/>
        <v>2.621069988499217</v>
      </c>
      <c r="O30" s="560">
        <f t="shared" si="12"/>
        <v>2.3001565769236101</v>
      </c>
      <c r="P30" s="560">
        <f t="shared" si="12"/>
        <v>6.6028350122628821</v>
      </c>
      <c r="Q30" s="560">
        <f t="shared" si="12"/>
        <v>96.642325652288378</v>
      </c>
      <c r="R30" s="560">
        <f t="shared" si="12"/>
        <v>3.3576743477116215</v>
      </c>
      <c r="S30" s="560">
        <f t="shared" si="12"/>
        <v>100</v>
      </c>
      <c r="T30" s="508"/>
      <c r="U30" s="508"/>
      <c r="V30" s="508"/>
    </row>
    <row r="31" spans="1:22" ht="9.6" customHeight="1">
      <c r="A31" s="8" t="s">
        <v>317</v>
      </c>
      <c r="B31" s="401">
        <v>57923</v>
      </c>
      <c r="C31" s="401">
        <v>16474</v>
      </c>
      <c r="D31" s="401">
        <v>4698</v>
      </c>
      <c r="E31" s="401">
        <v>68482</v>
      </c>
      <c r="F31" s="401">
        <v>5960</v>
      </c>
      <c r="G31" s="401">
        <v>33795</v>
      </c>
      <c r="H31" s="401">
        <v>53249</v>
      </c>
      <c r="I31" s="401">
        <v>2709</v>
      </c>
      <c r="J31" s="401">
        <v>39778</v>
      </c>
      <c r="K31" s="401">
        <v>7466</v>
      </c>
      <c r="L31" s="401">
        <v>26037</v>
      </c>
      <c r="M31" s="401">
        <v>10864</v>
      </c>
      <c r="N31" s="401">
        <v>10343</v>
      </c>
      <c r="O31" s="401">
        <v>8993</v>
      </c>
      <c r="P31" s="401">
        <v>24947</v>
      </c>
      <c r="Q31" s="36">
        <f>SUM(B31:P31)</f>
        <v>371718</v>
      </c>
      <c r="R31" s="401">
        <v>13332</v>
      </c>
      <c r="S31" s="36">
        <f>Q31+R31</f>
        <v>385050</v>
      </c>
      <c r="T31" s="36">
        <v>35046</v>
      </c>
      <c r="U31" s="36">
        <f>S31+T31</f>
        <v>420096</v>
      </c>
      <c r="V31" s="51" t="s">
        <v>317</v>
      </c>
    </row>
    <row r="32" spans="1:22" ht="9.6" customHeight="1">
      <c r="A32" s="508"/>
      <c r="B32" s="560">
        <f t="shared" ref="B32:S32" si="13">(B31/$S31)*100</f>
        <v>15.042981430982987</v>
      </c>
      <c r="C32" s="560">
        <f t="shared" si="13"/>
        <v>4.2784054018958582</v>
      </c>
      <c r="D32" s="560">
        <f t="shared" si="13"/>
        <v>1.2201012855473314</v>
      </c>
      <c r="E32" s="560">
        <f t="shared" si="13"/>
        <v>17.785222698350864</v>
      </c>
      <c r="F32" s="560">
        <f t="shared" si="13"/>
        <v>1.5478509284508506</v>
      </c>
      <c r="G32" s="560">
        <f t="shared" si="13"/>
        <v>8.7767822360732364</v>
      </c>
      <c r="H32" s="560">
        <f t="shared" si="13"/>
        <v>13.829113102194521</v>
      </c>
      <c r="I32" s="560">
        <f t="shared" si="13"/>
        <v>0.70354499415660299</v>
      </c>
      <c r="J32" s="560">
        <f t="shared" si="13"/>
        <v>10.330606414751331</v>
      </c>
      <c r="K32" s="560">
        <f t="shared" si="13"/>
        <v>1.9389689650694715</v>
      </c>
      <c r="L32" s="560">
        <f t="shared" si="13"/>
        <v>6.7619789637709387</v>
      </c>
      <c r="M32" s="560">
        <f t="shared" si="13"/>
        <v>2.8214517595117514</v>
      </c>
      <c r="N32" s="560">
        <f t="shared" si="13"/>
        <v>2.686144656538112</v>
      </c>
      <c r="O32" s="560">
        <f t="shared" si="13"/>
        <v>2.3355408388520971</v>
      </c>
      <c r="P32" s="560">
        <f t="shared" si="13"/>
        <v>6.4788988443059345</v>
      </c>
      <c r="Q32" s="560">
        <f t="shared" si="13"/>
        <v>96.537592520451881</v>
      </c>
      <c r="R32" s="560">
        <f t="shared" si="13"/>
        <v>3.4624074795481108</v>
      </c>
      <c r="S32" s="560">
        <f t="shared" si="13"/>
        <v>100</v>
      </c>
      <c r="T32" s="508"/>
      <c r="U32" s="508"/>
      <c r="V32" s="508"/>
    </row>
    <row r="33" spans="1:22" s="300" customFormat="1" ht="9.6" customHeight="1">
      <c r="A33" s="243" t="s">
        <v>1299</v>
      </c>
      <c r="B33" s="860">
        <v>59348</v>
      </c>
      <c r="C33" s="859">
        <v>17362</v>
      </c>
      <c r="D33" s="859">
        <v>5063</v>
      </c>
      <c r="E33" s="859">
        <v>74897</v>
      </c>
      <c r="F33" s="859">
        <v>6677</v>
      </c>
      <c r="G33" s="859">
        <v>36352</v>
      </c>
      <c r="H33" s="859">
        <v>56248</v>
      </c>
      <c r="I33" s="859">
        <v>2914</v>
      </c>
      <c r="J33" s="859">
        <v>42412</v>
      </c>
      <c r="K33" s="859">
        <v>8290</v>
      </c>
      <c r="L33" s="859">
        <v>27091</v>
      </c>
      <c r="M33" s="859">
        <v>11496</v>
      </c>
      <c r="N33" s="859">
        <v>11088</v>
      </c>
      <c r="O33" s="859">
        <v>9705</v>
      </c>
      <c r="P33" s="859">
        <v>26135</v>
      </c>
      <c r="Q33" s="242">
        <f>SUM(B33:P33)</f>
        <v>395078</v>
      </c>
      <c r="R33" s="859">
        <v>13975</v>
      </c>
      <c r="S33" s="40">
        <f>Q33+R33</f>
        <v>409053</v>
      </c>
      <c r="T33" s="859">
        <v>39786</v>
      </c>
      <c r="U33" s="40">
        <f>S33+T33</f>
        <v>448839</v>
      </c>
      <c r="V33" s="367" t="s">
        <v>1299</v>
      </c>
    </row>
    <row r="34" spans="1:22" s="11" customFormat="1" ht="9.6" customHeight="1">
      <c r="A34" s="508"/>
      <c r="B34" s="560">
        <f t="shared" ref="B34:S34" si="14">(B33/$S33)*100</f>
        <v>14.508633355579839</v>
      </c>
      <c r="C34" s="560">
        <f t="shared" si="14"/>
        <v>4.2444377623437548</v>
      </c>
      <c r="D34" s="560">
        <f t="shared" si="14"/>
        <v>1.2377369191767325</v>
      </c>
      <c r="E34" s="560">
        <f t="shared" si="14"/>
        <v>18.309852268532438</v>
      </c>
      <c r="F34" s="560">
        <f t="shared" si="14"/>
        <v>1.6323068159871703</v>
      </c>
      <c r="G34" s="560">
        <f t="shared" si="14"/>
        <v>8.8868679608754864</v>
      </c>
      <c r="H34" s="560">
        <f t="shared" si="14"/>
        <v>13.750785350553596</v>
      </c>
      <c r="I34" s="560">
        <f t="shared" si="14"/>
        <v>0.71237712472466896</v>
      </c>
      <c r="J34" s="560">
        <f t="shared" si="14"/>
        <v>10.368338577152594</v>
      </c>
      <c r="K34" s="560">
        <f t="shared" si="14"/>
        <v>2.0266322456992123</v>
      </c>
      <c r="L34" s="560">
        <f t="shared" si="14"/>
        <v>6.6228581626341825</v>
      </c>
      <c r="M34" s="560">
        <f t="shared" si="14"/>
        <v>2.8103937631553855</v>
      </c>
      <c r="N34" s="560">
        <f t="shared" si="14"/>
        <v>2.7106511870099963</v>
      </c>
      <c r="O34" s="560">
        <f t="shared" si="14"/>
        <v>2.3725531899289334</v>
      </c>
      <c r="P34" s="560">
        <f t="shared" si="14"/>
        <v>6.3891476165680237</v>
      </c>
      <c r="Q34" s="560">
        <f t="shared" si="14"/>
        <v>96.583572299922011</v>
      </c>
      <c r="R34" s="560">
        <f t="shared" si="14"/>
        <v>3.416427700077985</v>
      </c>
      <c r="S34" s="560">
        <f t="shared" si="14"/>
        <v>100</v>
      </c>
      <c r="T34" s="508"/>
      <c r="U34" s="508"/>
      <c r="V34" s="508"/>
    </row>
    <row r="35" spans="1:22" s="300" customFormat="1" ht="9.6" customHeight="1">
      <c r="A35" s="457" t="s">
        <v>2187</v>
      </c>
      <c r="B35" s="860">
        <v>70171</v>
      </c>
      <c r="C35" s="859">
        <v>16814</v>
      </c>
      <c r="D35" s="859">
        <v>7009</v>
      </c>
      <c r="E35" s="859">
        <v>73834</v>
      </c>
      <c r="F35" s="859">
        <v>5553</v>
      </c>
      <c r="G35" s="859">
        <v>29825</v>
      </c>
      <c r="H35" s="859">
        <v>62352</v>
      </c>
      <c r="I35" s="859">
        <v>3467</v>
      </c>
      <c r="J35" s="859">
        <v>46497</v>
      </c>
      <c r="K35" s="859">
        <v>14216</v>
      </c>
      <c r="L35" s="859">
        <v>37935</v>
      </c>
      <c r="M35" s="859">
        <v>14089</v>
      </c>
      <c r="N35" s="859">
        <v>9962</v>
      </c>
      <c r="O35" s="859">
        <v>9288</v>
      </c>
      <c r="P35" s="859">
        <v>56600</v>
      </c>
      <c r="Q35" s="242">
        <f>SUM(B35:P35)</f>
        <v>457612</v>
      </c>
      <c r="R35" s="859">
        <v>24725</v>
      </c>
      <c r="S35" s="40">
        <f>Q35+R35</f>
        <v>482337</v>
      </c>
      <c r="T35" s="859">
        <v>27208</v>
      </c>
      <c r="U35" s="40">
        <f>S35+T35</f>
        <v>509545</v>
      </c>
      <c r="V35" s="693" t="s">
        <v>2187</v>
      </c>
    </row>
    <row r="36" spans="1:22" ht="9.6" customHeight="1">
      <c r="A36" s="1063"/>
      <c r="B36" s="560">
        <f t="shared" ref="B36:S36" si="15">(B35/$S35)*100</f>
        <v>14.548127139323752</v>
      </c>
      <c r="C36" s="560">
        <f t="shared" si="15"/>
        <v>3.4859444745064136</v>
      </c>
      <c r="D36" s="560">
        <f t="shared" si="15"/>
        <v>1.4531333901400889</v>
      </c>
      <c r="E36" s="560">
        <f t="shared" si="15"/>
        <v>15.307554676502114</v>
      </c>
      <c r="F36" s="560">
        <f t="shared" si="15"/>
        <v>1.151269755378501</v>
      </c>
      <c r="G36" s="560">
        <f t="shared" si="15"/>
        <v>6.1834360623381581</v>
      </c>
      <c r="H36" s="560">
        <f t="shared" si="15"/>
        <v>12.927061369955032</v>
      </c>
      <c r="I36" s="560">
        <f t="shared" si="15"/>
        <v>0.71879204788353368</v>
      </c>
      <c r="J36" s="560">
        <f t="shared" si="15"/>
        <v>9.6399405394983173</v>
      </c>
      <c r="K36" s="560">
        <f t="shared" si="15"/>
        <v>2.9473169174249541</v>
      </c>
      <c r="L36" s="560">
        <f t="shared" si="15"/>
        <v>7.8648330938741999</v>
      </c>
      <c r="M36" s="560">
        <f t="shared" si="15"/>
        <v>2.9209867789533042</v>
      </c>
      <c r="N36" s="560">
        <f t="shared" si="15"/>
        <v>2.0653609405871829</v>
      </c>
      <c r="O36" s="560">
        <f t="shared" si="15"/>
        <v>1.9256246151549643</v>
      </c>
      <c r="P36" s="560">
        <f t="shared" si="15"/>
        <v>11.734534153506781</v>
      </c>
      <c r="Q36" s="560">
        <f t="shared" si="15"/>
        <v>94.8739159550273</v>
      </c>
      <c r="R36" s="560">
        <f t="shared" si="15"/>
        <v>5.1260840449727052</v>
      </c>
      <c r="S36" s="560">
        <f t="shared" si="15"/>
        <v>100</v>
      </c>
      <c r="T36" s="508"/>
      <c r="U36" s="508"/>
      <c r="V36" s="518"/>
    </row>
    <row r="37" spans="1:22" ht="9.6" customHeight="1">
      <c r="A37" s="426" t="s">
        <v>962</v>
      </c>
      <c r="B37" s="860">
        <v>74410</v>
      </c>
      <c r="C37" s="859">
        <v>18397</v>
      </c>
      <c r="D37" s="859">
        <v>7433</v>
      </c>
      <c r="E37" s="859">
        <v>81612</v>
      </c>
      <c r="F37" s="859">
        <v>5831</v>
      </c>
      <c r="G37" s="859">
        <v>31836</v>
      </c>
      <c r="H37" s="859">
        <v>67571</v>
      </c>
      <c r="I37" s="859">
        <v>3659</v>
      </c>
      <c r="J37" s="859">
        <v>50878</v>
      </c>
      <c r="K37" s="859">
        <v>15139</v>
      </c>
      <c r="L37" s="859">
        <v>39382</v>
      </c>
      <c r="M37" s="859">
        <v>15293</v>
      </c>
      <c r="N37" s="859">
        <v>10835</v>
      </c>
      <c r="O37" s="859">
        <v>9749</v>
      </c>
      <c r="P37" s="859">
        <v>58399</v>
      </c>
      <c r="Q37" s="242">
        <f>SUM(B37:P37)</f>
        <v>490424</v>
      </c>
      <c r="R37" s="859">
        <v>25959</v>
      </c>
      <c r="S37" s="40">
        <f>Q37+R37</f>
        <v>516383</v>
      </c>
      <c r="T37" s="859">
        <v>33121</v>
      </c>
      <c r="U37" s="40">
        <f>S37+T37</f>
        <v>549504</v>
      </c>
      <c r="V37" s="367" t="s">
        <v>962</v>
      </c>
    </row>
    <row r="38" spans="1:22" ht="9.6" customHeight="1">
      <c r="A38" s="1063"/>
      <c r="B38" s="560">
        <f t="shared" ref="B38:S38" si="16">(B37/$S37)*100</f>
        <v>14.409846954682862</v>
      </c>
      <c r="C38" s="560">
        <f t="shared" si="16"/>
        <v>3.562665695811055</v>
      </c>
      <c r="D38" s="560">
        <f t="shared" si="16"/>
        <v>1.4394354577900512</v>
      </c>
      <c r="E38" s="560">
        <f t="shared" si="16"/>
        <v>15.804548174513878</v>
      </c>
      <c r="F38" s="560">
        <f t="shared" si="16"/>
        <v>1.1292006127235017</v>
      </c>
      <c r="G38" s="560">
        <f t="shared" si="16"/>
        <v>6.1651913405359977</v>
      </c>
      <c r="H38" s="560">
        <f t="shared" si="16"/>
        <v>13.085442394501756</v>
      </c>
      <c r="I38" s="560">
        <f t="shared" si="16"/>
        <v>0.70858258308271183</v>
      </c>
      <c r="J38" s="560">
        <f t="shared" si="16"/>
        <v>9.8527643241547462</v>
      </c>
      <c r="K38" s="560">
        <f t="shared" si="16"/>
        <v>2.9317386513498702</v>
      </c>
      <c r="L38" s="560">
        <f t="shared" si="16"/>
        <v>7.6265097805311166</v>
      </c>
      <c r="M38" s="560">
        <f t="shared" si="16"/>
        <v>2.9615614766558931</v>
      </c>
      <c r="N38" s="560">
        <f t="shared" si="16"/>
        <v>2.0982487804594654</v>
      </c>
      <c r="O38" s="560">
        <f t="shared" si="16"/>
        <v>1.8879397656390702</v>
      </c>
      <c r="P38" s="560">
        <f t="shared" si="16"/>
        <v>11.309241396405382</v>
      </c>
      <c r="Q38" s="560">
        <f t="shared" si="16"/>
        <v>94.972917388837345</v>
      </c>
      <c r="R38" s="560">
        <f t="shared" si="16"/>
        <v>5.027082611162645</v>
      </c>
      <c r="S38" s="560">
        <f t="shared" si="16"/>
        <v>100</v>
      </c>
      <c r="T38" s="508"/>
      <c r="U38" s="508"/>
      <c r="V38" s="518"/>
    </row>
    <row r="39" spans="1:22" ht="9.6" customHeight="1">
      <c r="A39" s="426" t="s">
        <v>675</v>
      </c>
      <c r="B39" s="860">
        <v>77292</v>
      </c>
      <c r="C39" s="859">
        <v>19685</v>
      </c>
      <c r="D39" s="859">
        <v>8003</v>
      </c>
      <c r="E39" s="859">
        <v>87596</v>
      </c>
      <c r="F39" s="859">
        <v>6284</v>
      </c>
      <c r="G39" s="859">
        <v>33742</v>
      </c>
      <c r="H39" s="859">
        <v>72481</v>
      </c>
      <c r="I39" s="859">
        <v>3866</v>
      </c>
      <c r="J39" s="859">
        <v>55079</v>
      </c>
      <c r="K39" s="859">
        <v>15733</v>
      </c>
      <c r="L39" s="859">
        <v>40877</v>
      </c>
      <c r="M39" s="859">
        <v>16289</v>
      </c>
      <c r="N39" s="859">
        <v>11609</v>
      </c>
      <c r="O39" s="859">
        <v>10321</v>
      </c>
      <c r="P39" s="859">
        <v>60261</v>
      </c>
      <c r="Q39" s="242">
        <f>SUM(B39:P39)</f>
        <v>519118</v>
      </c>
      <c r="R39" s="859">
        <v>28319</v>
      </c>
      <c r="S39" s="40">
        <f>Q39+R39</f>
        <v>547437</v>
      </c>
      <c r="T39" s="859">
        <v>42109</v>
      </c>
      <c r="U39" s="40">
        <f>S39+T39</f>
        <v>589546</v>
      </c>
      <c r="V39" s="367" t="s">
        <v>675</v>
      </c>
    </row>
    <row r="40" spans="1:22" ht="9.6" customHeight="1">
      <c r="A40" s="1063"/>
      <c r="B40" s="560">
        <f t="shared" ref="B40:S40" si="17">(B39/$S39)*100</f>
        <v>14.118884912784486</v>
      </c>
      <c r="C40" s="560">
        <f t="shared" si="17"/>
        <v>3.5958475587145191</v>
      </c>
      <c r="D40" s="560">
        <f t="shared" si="17"/>
        <v>1.4619033788362861</v>
      </c>
      <c r="E40" s="560">
        <f t="shared" si="17"/>
        <v>16.001110630081637</v>
      </c>
      <c r="F40" s="560">
        <f t="shared" si="17"/>
        <v>1.1478946435845585</v>
      </c>
      <c r="G40" s="560">
        <f t="shared" si="17"/>
        <v>6.1636316142314094</v>
      </c>
      <c r="H40" s="560">
        <f t="shared" si="17"/>
        <v>13.240062326806553</v>
      </c>
      <c r="I40" s="560">
        <f t="shared" si="17"/>
        <v>0.70619998282907448</v>
      </c>
      <c r="J40" s="560">
        <f t="shared" si="17"/>
        <v>10.061249056969112</v>
      </c>
      <c r="K40" s="560">
        <f t="shared" si="17"/>
        <v>2.8739380056517922</v>
      </c>
      <c r="L40" s="560">
        <f t="shared" si="17"/>
        <v>7.4669779353605987</v>
      </c>
      <c r="M40" s="560">
        <f t="shared" si="17"/>
        <v>2.9755022039065682</v>
      </c>
      <c r="N40" s="560">
        <f t="shared" si="17"/>
        <v>2.12060931212176</v>
      </c>
      <c r="O40" s="560">
        <f t="shared" si="17"/>
        <v>1.8853310974596162</v>
      </c>
      <c r="P40" s="560">
        <f t="shared" si="17"/>
        <v>11.007841998257334</v>
      </c>
      <c r="Q40" s="560">
        <f t="shared" si="17"/>
        <v>94.826984657595304</v>
      </c>
      <c r="R40" s="560">
        <f t="shared" si="17"/>
        <v>5.1730153424046961</v>
      </c>
      <c r="S40" s="560">
        <f t="shared" si="17"/>
        <v>100</v>
      </c>
      <c r="T40" s="508"/>
      <c r="U40" s="508"/>
      <c r="V40" s="518"/>
    </row>
    <row r="41" spans="1:22" ht="9.6" customHeight="1">
      <c r="A41" s="426" t="s">
        <v>141</v>
      </c>
      <c r="B41" s="860">
        <v>79682</v>
      </c>
      <c r="C41" s="859">
        <v>20657</v>
      </c>
      <c r="D41" s="859">
        <v>8841</v>
      </c>
      <c r="E41" s="859">
        <v>93459</v>
      </c>
      <c r="F41" s="859">
        <v>6740</v>
      </c>
      <c r="G41" s="859">
        <v>35962</v>
      </c>
      <c r="H41" s="859">
        <v>76728</v>
      </c>
      <c r="I41" s="859">
        <v>4093</v>
      </c>
      <c r="J41" s="859">
        <v>59513</v>
      </c>
      <c r="K41" s="859">
        <v>15728</v>
      </c>
      <c r="L41" s="859">
        <v>42442</v>
      </c>
      <c r="M41" s="859">
        <v>17447</v>
      </c>
      <c r="N41" s="859">
        <v>12293</v>
      </c>
      <c r="O41" s="859">
        <v>10634</v>
      </c>
      <c r="P41" s="859">
        <v>62191</v>
      </c>
      <c r="Q41" s="242">
        <f>SUM(B41:P41)</f>
        <v>546410</v>
      </c>
      <c r="R41" s="859">
        <v>28646</v>
      </c>
      <c r="S41" s="40">
        <f>Q41+R41</f>
        <v>575056</v>
      </c>
      <c r="T41" s="859">
        <v>45558</v>
      </c>
      <c r="U41" s="40">
        <f>S41+T41</f>
        <v>620614</v>
      </c>
      <c r="V41" s="367" t="s">
        <v>141</v>
      </c>
    </row>
    <row r="42" spans="1:22" ht="9.6" customHeight="1">
      <c r="A42" s="1063"/>
      <c r="B42" s="560">
        <f t="shared" ref="B42:S42" si="18">(B41/$S41)*100</f>
        <v>13.856389638574329</v>
      </c>
      <c r="C42" s="560">
        <f t="shared" si="18"/>
        <v>3.5921718928243509</v>
      </c>
      <c r="D42" s="560">
        <f t="shared" si="18"/>
        <v>1.5374154864917504</v>
      </c>
      <c r="E42" s="560">
        <f t="shared" si="18"/>
        <v>16.252156311733117</v>
      </c>
      <c r="F42" s="560">
        <f t="shared" si="18"/>
        <v>1.1720597646142288</v>
      </c>
      <c r="G42" s="560">
        <f t="shared" si="18"/>
        <v>6.2536518182576994</v>
      </c>
      <c r="H42" s="560">
        <f t="shared" si="18"/>
        <v>13.342700536991181</v>
      </c>
      <c r="I42" s="560">
        <f t="shared" si="18"/>
        <v>0.71175676803650434</v>
      </c>
      <c r="J42" s="560">
        <f t="shared" si="18"/>
        <v>10.34907904621463</v>
      </c>
      <c r="K42" s="560">
        <f t="shared" si="18"/>
        <v>2.73503797890988</v>
      </c>
      <c r="L42" s="560">
        <f t="shared" si="18"/>
        <v>7.3804985949194517</v>
      </c>
      <c r="M42" s="560">
        <f t="shared" si="18"/>
        <v>3.0339653877187613</v>
      </c>
      <c r="N42" s="560">
        <f t="shared" si="18"/>
        <v>2.1377048496146465</v>
      </c>
      <c r="O42" s="560">
        <f t="shared" si="18"/>
        <v>1.8492112072563367</v>
      </c>
      <c r="P42" s="560">
        <f t="shared" si="18"/>
        <v>10.81477282212515</v>
      </c>
      <c r="Q42" s="560">
        <f t="shared" si="18"/>
        <v>95.018572104282015</v>
      </c>
      <c r="R42" s="560">
        <f t="shared" si="18"/>
        <v>4.9814278957179825</v>
      </c>
      <c r="S42" s="560">
        <f t="shared" si="18"/>
        <v>100</v>
      </c>
      <c r="T42" s="508"/>
      <c r="U42" s="508"/>
      <c r="V42" s="518"/>
    </row>
    <row r="43" spans="1:22" ht="9.6" customHeight="1">
      <c r="A43" s="426" t="s">
        <v>136</v>
      </c>
      <c r="B43" s="860">
        <v>84904</v>
      </c>
      <c r="C43" s="859">
        <v>21607</v>
      </c>
      <c r="D43" s="859">
        <v>9561</v>
      </c>
      <c r="E43" s="859">
        <v>99671</v>
      </c>
      <c r="F43" s="859">
        <v>7412</v>
      </c>
      <c r="G43" s="859">
        <v>38554</v>
      </c>
      <c r="H43" s="859">
        <v>81219</v>
      </c>
      <c r="I43" s="859">
        <v>4339</v>
      </c>
      <c r="J43" s="859">
        <v>64006</v>
      </c>
      <c r="K43" s="859">
        <v>16711</v>
      </c>
      <c r="L43" s="859">
        <v>44078</v>
      </c>
      <c r="M43" s="859">
        <v>18882</v>
      </c>
      <c r="N43" s="859">
        <v>12930</v>
      </c>
      <c r="O43" s="859">
        <v>11360</v>
      </c>
      <c r="P43" s="859">
        <v>64191</v>
      </c>
      <c r="Q43" s="242">
        <f>SUM(B43:P43)</f>
        <v>579425</v>
      </c>
      <c r="R43" s="859">
        <v>27672</v>
      </c>
      <c r="S43" s="40">
        <f>Q43+R43</f>
        <v>607097</v>
      </c>
      <c r="T43" s="859">
        <v>49143</v>
      </c>
      <c r="U43" s="40">
        <f>S43+T43</f>
        <v>656240</v>
      </c>
      <c r="V43" s="367" t="s">
        <v>136</v>
      </c>
    </row>
    <row r="44" spans="1:22" ht="9.6" customHeight="1">
      <c r="A44" s="508"/>
      <c r="B44" s="560">
        <f t="shared" ref="B44:S44" si="19">(B43/$S43)*100</f>
        <v>13.98524453258705</v>
      </c>
      <c r="C44" s="560">
        <f t="shared" si="19"/>
        <v>3.5590688143739801</v>
      </c>
      <c r="D44" s="560">
        <f t="shared" si="19"/>
        <v>1.5748718903239516</v>
      </c>
      <c r="E44" s="560">
        <f t="shared" si="19"/>
        <v>16.417640014692875</v>
      </c>
      <c r="F44" s="560">
        <f t="shared" si="19"/>
        <v>1.2208922132706963</v>
      </c>
      <c r="G44" s="560">
        <f t="shared" si="19"/>
        <v>6.3505502415594215</v>
      </c>
      <c r="H44" s="560">
        <f t="shared" si="19"/>
        <v>13.378257510743751</v>
      </c>
      <c r="I44" s="560">
        <f t="shared" si="19"/>
        <v>0.71471280536718185</v>
      </c>
      <c r="J44" s="560">
        <f t="shared" si="19"/>
        <v>10.54296100952566</v>
      </c>
      <c r="K44" s="560">
        <f t="shared" si="19"/>
        <v>2.7526079028557215</v>
      </c>
      <c r="L44" s="560">
        <f t="shared" si="19"/>
        <v>7.2604542601923576</v>
      </c>
      <c r="M44" s="560">
        <f t="shared" si="19"/>
        <v>3.1102113830244589</v>
      </c>
      <c r="N44" s="560">
        <f t="shared" si="19"/>
        <v>2.1298079219630472</v>
      </c>
      <c r="O44" s="560">
        <f t="shared" si="19"/>
        <v>1.8712001541763508</v>
      </c>
      <c r="P44" s="560">
        <f t="shared" si="19"/>
        <v>10.573433899360399</v>
      </c>
      <c r="Q44" s="560">
        <f t="shared" si="19"/>
        <v>95.441914554016904</v>
      </c>
      <c r="R44" s="560">
        <f t="shared" si="19"/>
        <v>4.5580854459830968</v>
      </c>
      <c r="S44" s="560">
        <f t="shared" si="19"/>
        <v>100</v>
      </c>
      <c r="T44" s="508"/>
      <c r="U44" s="508"/>
      <c r="V44" s="508"/>
    </row>
    <row r="45" spans="1:22" ht="9.6" customHeight="1">
      <c r="A45" s="960" t="s">
        <v>317</v>
      </c>
      <c r="B45" s="859">
        <v>88206</v>
      </c>
      <c r="C45" s="859">
        <v>23051</v>
      </c>
      <c r="D45" s="859">
        <v>9907</v>
      </c>
      <c r="E45" s="859">
        <v>109651</v>
      </c>
      <c r="F45" s="859">
        <v>8402</v>
      </c>
      <c r="G45" s="859">
        <v>41235</v>
      </c>
      <c r="H45" s="859">
        <v>86650</v>
      </c>
      <c r="I45" s="859">
        <v>4608</v>
      </c>
      <c r="J45" s="859">
        <v>69409</v>
      </c>
      <c r="K45" s="859">
        <v>18456</v>
      </c>
      <c r="L45" s="859">
        <v>45790</v>
      </c>
      <c r="M45" s="859">
        <v>20552</v>
      </c>
      <c r="N45" s="859">
        <v>13659</v>
      </c>
      <c r="O45" s="859">
        <v>12080</v>
      </c>
      <c r="P45" s="859">
        <v>66265</v>
      </c>
      <c r="Q45" s="242">
        <f>SUM(B45:P45)</f>
        <v>617921</v>
      </c>
      <c r="R45" s="859">
        <v>28421</v>
      </c>
      <c r="S45" s="40">
        <f>Q45+R45</f>
        <v>646342</v>
      </c>
      <c r="T45" s="859">
        <v>51126</v>
      </c>
      <c r="U45" s="40">
        <f>S45+T45</f>
        <v>697468</v>
      </c>
      <c r="V45" s="961" t="s">
        <v>317</v>
      </c>
    </row>
    <row r="46" spans="1:22" ht="9.6" customHeight="1">
      <c r="A46" s="528"/>
      <c r="B46" s="560">
        <f t="shared" ref="B46:S46" si="20">(B45/$S45)*100</f>
        <v>13.646954708188543</v>
      </c>
      <c r="C46" s="560">
        <f t="shared" si="20"/>
        <v>3.5663781713086879</v>
      </c>
      <c r="D46" s="560">
        <f t="shared" si="20"/>
        <v>1.5327798595789845</v>
      </c>
      <c r="E46" s="560">
        <f t="shared" si="20"/>
        <v>16.964857614080472</v>
      </c>
      <c r="F46" s="560">
        <f t="shared" si="20"/>
        <v>1.2999309962837011</v>
      </c>
      <c r="G46" s="560">
        <f t="shared" si="20"/>
        <v>6.3797494205853873</v>
      </c>
      <c r="H46" s="560">
        <f t="shared" si="20"/>
        <v>13.406215285406178</v>
      </c>
      <c r="I46" s="560">
        <f t="shared" si="20"/>
        <v>0.71293525718582429</v>
      </c>
      <c r="J46" s="560">
        <f t="shared" si="20"/>
        <v>10.738742028214165</v>
      </c>
      <c r="K46" s="560">
        <f t="shared" si="20"/>
        <v>2.8554542332078063</v>
      </c>
      <c r="L46" s="560">
        <f t="shared" si="20"/>
        <v>7.0844846845787526</v>
      </c>
      <c r="M46" s="560">
        <f t="shared" si="20"/>
        <v>3.1797407564416362</v>
      </c>
      <c r="N46" s="560">
        <f t="shared" si="20"/>
        <v>2.11327749086397</v>
      </c>
      <c r="O46" s="560">
        <f t="shared" si="20"/>
        <v>1.8689795804697822</v>
      </c>
      <c r="P46" s="560">
        <f t="shared" si="20"/>
        <v>10.25231224336342</v>
      </c>
      <c r="Q46" s="560">
        <f t="shared" si="20"/>
        <v>95.602792329757307</v>
      </c>
      <c r="R46" s="560">
        <f t="shared" si="20"/>
        <v>4.3972076702426888</v>
      </c>
      <c r="S46" s="560">
        <f t="shared" si="20"/>
        <v>100</v>
      </c>
      <c r="T46" s="508"/>
      <c r="U46" s="508"/>
      <c r="V46" s="518"/>
    </row>
    <row r="47" spans="1:22" ht="9.6" customHeight="1">
      <c r="A47" s="960" t="s">
        <v>1299</v>
      </c>
      <c r="B47" s="859">
        <v>90332</v>
      </c>
      <c r="C47" s="859">
        <v>24279</v>
      </c>
      <c r="D47" s="859">
        <v>10593</v>
      </c>
      <c r="E47" s="859">
        <v>120567</v>
      </c>
      <c r="F47" s="859">
        <v>9291</v>
      </c>
      <c r="G47" s="859">
        <v>44709</v>
      </c>
      <c r="H47" s="859">
        <v>92457</v>
      </c>
      <c r="I47" s="859">
        <v>4902</v>
      </c>
      <c r="J47" s="859">
        <v>75761</v>
      </c>
      <c r="K47" s="859">
        <v>21180</v>
      </c>
      <c r="L47" s="859">
        <v>47587</v>
      </c>
      <c r="M47" s="859">
        <v>22099</v>
      </c>
      <c r="N47" s="859">
        <v>14718</v>
      </c>
      <c r="O47" s="859">
        <v>12540</v>
      </c>
      <c r="P47" s="859">
        <v>68416</v>
      </c>
      <c r="Q47" s="242">
        <f>SUM(B47:P47)</f>
        <v>659431</v>
      </c>
      <c r="R47" s="859">
        <v>29062</v>
      </c>
      <c r="S47" s="40">
        <f>Q47+R47</f>
        <v>688493</v>
      </c>
      <c r="T47" s="859">
        <v>58267</v>
      </c>
      <c r="U47" s="40">
        <f>S47+T47</f>
        <v>746760</v>
      </c>
      <c r="V47" s="961" t="s">
        <v>1299</v>
      </c>
    </row>
    <row r="48" spans="1:22" ht="9.6" customHeight="1">
      <c r="A48" s="528"/>
      <c r="B48" s="560">
        <f t="shared" ref="B48:S48" si="21">(B47/$S47)*100</f>
        <v>13.120249588594218</v>
      </c>
      <c r="C48" s="560">
        <f t="shared" si="21"/>
        <v>3.5263975087618902</v>
      </c>
      <c r="D48" s="560">
        <f t="shared" si="21"/>
        <v>1.5385777342689033</v>
      </c>
      <c r="E48" s="560">
        <f t="shared" si="21"/>
        <v>17.511724883186901</v>
      </c>
      <c r="F48" s="560">
        <f t="shared" si="21"/>
        <v>1.3494690577827226</v>
      </c>
      <c r="G48" s="560">
        <f t="shared" si="21"/>
        <v>6.4937479393399791</v>
      </c>
      <c r="H48" s="560">
        <f t="shared" si="21"/>
        <v>13.428894701906918</v>
      </c>
      <c r="I48" s="560">
        <f t="shared" si="21"/>
        <v>0.71198980962769409</v>
      </c>
      <c r="J48" s="560">
        <f t="shared" si="21"/>
        <v>11.003888202203944</v>
      </c>
      <c r="K48" s="560">
        <f t="shared" si="21"/>
        <v>3.0762839999825706</v>
      </c>
      <c r="L48" s="560">
        <f t="shared" si="21"/>
        <v>6.9117623563347772</v>
      </c>
      <c r="M48" s="560">
        <f t="shared" si="21"/>
        <v>3.2097639336928627</v>
      </c>
      <c r="N48" s="560">
        <f t="shared" si="21"/>
        <v>2.1377123659935542</v>
      </c>
      <c r="O48" s="560">
        <f t="shared" si="21"/>
        <v>1.8213692804429384</v>
      </c>
      <c r="P48" s="560">
        <f t="shared" si="21"/>
        <v>9.9370654458360512</v>
      </c>
      <c r="Q48" s="560">
        <f t="shared" si="21"/>
        <v>95.778896807955931</v>
      </c>
      <c r="R48" s="560">
        <f t="shared" si="21"/>
        <v>4.2211031920440734</v>
      </c>
      <c r="S48" s="560">
        <f t="shared" si="21"/>
        <v>100</v>
      </c>
      <c r="T48" s="508"/>
      <c r="U48" s="508"/>
      <c r="V48" s="518"/>
    </row>
    <row r="49" spans="1:22" ht="9.6" customHeight="1">
      <c r="A49" s="960" t="s">
        <v>1505</v>
      </c>
      <c r="B49" s="859">
        <v>91656</v>
      </c>
      <c r="C49" s="859">
        <v>25779</v>
      </c>
      <c r="D49" s="859">
        <v>11584</v>
      </c>
      <c r="E49" s="859">
        <v>132994</v>
      </c>
      <c r="F49" s="859">
        <v>10126</v>
      </c>
      <c r="G49" s="859">
        <v>48305</v>
      </c>
      <c r="H49" s="859">
        <v>98173</v>
      </c>
      <c r="I49" s="859">
        <v>5220</v>
      </c>
      <c r="J49" s="859">
        <v>80514</v>
      </c>
      <c r="K49" s="859">
        <v>23110</v>
      </c>
      <c r="L49" s="859">
        <v>49509</v>
      </c>
      <c r="M49" s="859">
        <v>23542</v>
      </c>
      <c r="N49" s="859">
        <v>15645</v>
      </c>
      <c r="O49" s="859">
        <v>13137</v>
      </c>
      <c r="P49" s="859">
        <v>70642</v>
      </c>
      <c r="Q49" s="242">
        <f>SUM(B49:P49)</f>
        <v>699936</v>
      </c>
      <c r="R49" s="859">
        <v>29960</v>
      </c>
      <c r="S49" s="40">
        <f>Q49+R49</f>
        <v>729896</v>
      </c>
      <c r="T49" s="859">
        <v>58705</v>
      </c>
      <c r="U49" s="40">
        <f>S49+T49</f>
        <v>788601</v>
      </c>
      <c r="V49" s="961" t="s">
        <v>1505</v>
      </c>
    </row>
    <row r="50" spans="1:22" ht="9.6" customHeight="1">
      <c r="A50" s="528"/>
      <c r="B50" s="560">
        <f t="shared" ref="B50:S50" si="22">(B49/$S49)*100</f>
        <v>12.55740543858303</v>
      </c>
      <c r="C50" s="560">
        <f t="shared" si="22"/>
        <v>3.531873033966483</v>
      </c>
      <c r="D50" s="560">
        <f t="shared" si="22"/>
        <v>1.5870754189637977</v>
      </c>
      <c r="E50" s="560">
        <f t="shared" si="22"/>
        <v>18.220952026042067</v>
      </c>
      <c r="F50" s="560">
        <f t="shared" si="22"/>
        <v>1.3873209333932506</v>
      </c>
      <c r="G50" s="560">
        <f t="shared" si="22"/>
        <v>6.6180661354494337</v>
      </c>
      <c r="H50" s="560">
        <f t="shared" si="22"/>
        <v>13.450272367570173</v>
      </c>
      <c r="I50" s="560">
        <f t="shared" si="22"/>
        <v>0.71517038043776104</v>
      </c>
      <c r="J50" s="560">
        <f t="shared" si="22"/>
        <v>11.03088659206243</v>
      </c>
      <c r="K50" s="560">
        <f t="shared" si="22"/>
        <v>3.1662045003671757</v>
      </c>
      <c r="L50" s="560">
        <f t="shared" si="22"/>
        <v>6.7830211427381437</v>
      </c>
      <c r="M50" s="560">
        <f t="shared" si="22"/>
        <v>3.2253910146103006</v>
      </c>
      <c r="N50" s="560">
        <f t="shared" si="22"/>
        <v>2.1434560540131744</v>
      </c>
      <c r="O50" s="560">
        <f t="shared" si="22"/>
        <v>1.7998454574350318</v>
      </c>
      <c r="P50" s="560">
        <f t="shared" si="22"/>
        <v>9.6783651369510171</v>
      </c>
      <c r="Q50" s="560">
        <f t="shared" si="22"/>
        <v>95.895305632583273</v>
      </c>
      <c r="R50" s="560">
        <f t="shared" si="22"/>
        <v>4.1046943674167284</v>
      </c>
      <c r="S50" s="560">
        <f t="shared" si="22"/>
        <v>100</v>
      </c>
      <c r="T50" s="508"/>
      <c r="U50" s="508"/>
      <c r="V50" s="518"/>
    </row>
    <row r="51" spans="1:22" ht="9.75" customHeight="1">
      <c r="A51" s="964" t="s">
        <v>1886</v>
      </c>
      <c r="B51" s="859">
        <v>95151</v>
      </c>
      <c r="C51" s="859">
        <v>27419</v>
      </c>
      <c r="D51" s="859">
        <v>12127</v>
      </c>
      <c r="E51" s="859">
        <v>144653</v>
      </c>
      <c r="F51" s="859">
        <v>10585</v>
      </c>
      <c r="G51" s="859">
        <v>52209</v>
      </c>
      <c r="H51" s="859">
        <v>104776</v>
      </c>
      <c r="I51" s="859">
        <v>5570</v>
      </c>
      <c r="J51" s="859">
        <v>85382</v>
      </c>
      <c r="K51" s="859">
        <v>24790</v>
      </c>
      <c r="L51" s="859">
        <v>51615</v>
      </c>
      <c r="M51" s="859">
        <v>25165</v>
      </c>
      <c r="N51" s="859">
        <v>16781</v>
      </c>
      <c r="O51" s="859">
        <v>13802</v>
      </c>
      <c r="P51" s="859">
        <v>72955</v>
      </c>
      <c r="Q51" s="242">
        <f>SUM(B51:P51)</f>
        <v>742980</v>
      </c>
      <c r="R51" s="859">
        <v>31156</v>
      </c>
      <c r="S51" s="40">
        <f>Q51+R51</f>
        <v>774136</v>
      </c>
      <c r="T51" s="859">
        <v>51592</v>
      </c>
      <c r="U51" s="40">
        <f>S51+T51</f>
        <v>825728</v>
      </c>
      <c r="V51" s="963" t="s">
        <v>1886</v>
      </c>
    </row>
    <row r="52" spans="1:22" ht="9.9499999999999993" customHeight="1">
      <c r="A52" s="508"/>
      <c r="B52" s="560">
        <f t="shared" ref="B52:S52" si="23">(B51/$S51)*100</f>
        <v>12.291251149668792</v>
      </c>
      <c r="C52" s="560">
        <f t="shared" si="23"/>
        <v>3.5418841133857617</v>
      </c>
      <c r="D52" s="560">
        <f t="shared" si="23"/>
        <v>1.5665206113654448</v>
      </c>
      <c r="E52" s="560">
        <f t="shared" si="23"/>
        <v>18.685734806287268</v>
      </c>
      <c r="F52" s="560">
        <f t="shared" si="23"/>
        <v>1.3673308049231658</v>
      </c>
      <c r="G52" s="560">
        <f t="shared" si="23"/>
        <v>6.7441638161770028</v>
      </c>
      <c r="H52" s="560">
        <f t="shared" si="23"/>
        <v>13.53457273657342</v>
      </c>
      <c r="I52" s="560">
        <f t="shared" si="23"/>
        <v>0.71951181704506706</v>
      </c>
      <c r="J52" s="560">
        <f t="shared" si="23"/>
        <v>11.029328180061384</v>
      </c>
      <c r="K52" s="560">
        <f t="shared" si="23"/>
        <v>3.2022797027912406</v>
      </c>
      <c r="L52" s="560">
        <f t="shared" si="23"/>
        <v>6.6674331125280322</v>
      </c>
      <c r="M52" s="560">
        <f t="shared" si="23"/>
        <v>3.2507208035797328</v>
      </c>
      <c r="N52" s="560">
        <f t="shared" si="23"/>
        <v>2.1677069662178221</v>
      </c>
      <c r="O52" s="560">
        <f t="shared" si="23"/>
        <v>1.7828908615540422</v>
      </c>
      <c r="P52" s="560">
        <f t="shared" si="23"/>
        <v>9.4240546880651461</v>
      </c>
      <c r="Q52" s="560">
        <f t="shared" si="23"/>
        <v>95.975384170223322</v>
      </c>
      <c r="R52" s="560">
        <f t="shared" si="23"/>
        <v>4.0246158297766801</v>
      </c>
      <c r="S52" s="560">
        <f t="shared" si="23"/>
        <v>100</v>
      </c>
      <c r="T52" s="508"/>
      <c r="U52" s="508"/>
      <c r="V52" s="518"/>
    </row>
    <row r="53" spans="1:22" ht="10.5" customHeight="1">
      <c r="A53" s="964" t="s">
        <v>2017</v>
      </c>
      <c r="B53" s="859">
        <v>97480</v>
      </c>
      <c r="C53" s="859">
        <v>29170</v>
      </c>
      <c r="D53" s="859">
        <v>13290</v>
      </c>
      <c r="E53" s="859">
        <v>159568</v>
      </c>
      <c r="F53" s="859">
        <v>11243</v>
      </c>
      <c r="G53" s="859">
        <v>56698</v>
      </c>
      <c r="H53" s="859">
        <v>111426</v>
      </c>
      <c r="I53" s="859">
        <v>5950</v>
      </c>
      <c r="J53" s="859">
        <v>90475</v>
      </c>
      <c r="K53" s="859">
        <v>26719</v>
      </c>
      <c r="L53" s="859">
        <v>53888</v>
      </c>
      <c r="M53" s="859">
        <v>27637</v>
      </c>
      <c r="N53" s="859">
        <v>18125</v>
      </c>
      <c r="O53" s="859">
        <v>14517</v>
      </c>
      <c r="P53" s="859">
        <v>75352</v>
      </c>
      <c r="Q53" s="242">
        <f>SUM(B53:P53)</f>
        <v>791538</v>
      </c>
      <c r="R53" s="859">
        <v>33324</v>
      </c>
      <c r="S53" s="40">
        <f>Q53+R53</f>
        <v>824862</v>
      </c>
      <c r="T53" s="859">
        <v>53548</v>
      </c>
      <c r="U53" s="40">
        <f>S53+T53</f>
        <v>878410</v>
      </c>
      <c r="V53" s="963" t="s">
        <v>2017</v>
      </c>
    </row>
    <row r="54" spans="1:22" ht="9" customHeight="1">
      <c r="A54" s="508"/>
      <c r="B54" s="560">
        <f t="shared" ref="B54:S56" si="24">(B53/$S53)*100</f>
        <v>11.817734360414226</v>
      </c>
      <c r="C54" s="560">
        <f t="shared" si="24"/>
        <v>3.5363491105178806</v>
      </c>
      <c r="D54" s="560">
        <f t="shared" si="24"/>
        <v>1.6111785971471591</v>
      </c>
      <c r="E54" s="560">
        <f t="shared" si="24"/>
        <v>19.344811616973505</v>
      </c>
      <c r="F54" s="560">
        <f t="shared" si="24"/>
        <v>1.3630158741704674</v>
      </c>
      <c r="G54" s="560">
        <f t="shared" si="24"/>
        <v>6.8736346200940286</v>
      </c>
      <c r="H54" s="560">
        <f t="shared" si="24"/>
        <v>13.50844141201801</v>
      </c>
      <c r="I54" s="560">
        <f t="shared" si="24"/>
        <v>0.72133278051358896</v>
      </c>
      <c r="J54" s="560">
        <f t="shared" si="24"/>
        <v>10.968501397809574</v>
      </c>
      <c r="K54" s="560">
        <f t="shared" si="24"/>
        <v>3.2392084979063167</v>
      </c>
      <c r="L54" s="560">
        <f t="shared" si="24"/>
        <v>6.5329715758514766</v>
      </c>
      <c r="M54" s="560">
        <f t="shared" si="24"/>
        <v>3.350499841185556</v>
      </c>
      <c r="N54" s="560">
        <f t="shared" si="24"/>
        <v>2.197337251564504</v>
      </c>
      <c r="O54" s="560">
        <f t="shared" si="24"/>
        <v>1.7599307520530707</v>
      </c>
      <c r="P54" s="560">
        <f t="shared" si="24"/>
        <v>9.1351038113041927</v>
      </c>
      <c r="Q54" s="560">
        <f t="shared" si="24"/>
        <v>95.960051499523559</v>
      </c>
      <c r="R54" s="560">
        <f t="shared" si="24"/>
        <v>4.0399485004764433</v>
      </c>
      <c r="S54" s="560">
        <f t="shared" si="24"/>
        <v>100</v>
      </c>
      <c r="T54" s="508"/>
      <c r="U54" s="508"/>
      <c r="V54" s="518"/>
    </row>
    <row r="55" spans="1:22" ht="10.5" customHeight="1">
      <c r="A55" s="960" t="s">
        <v>2226</v>
      </c>
      <c r="B55" s="859">
        <v>99228</v>
      </c>
      <c r="C55" s="859">
        <v>30950</v>
      </c>
      <c r="D55" s="859">
        <v>14997</v>
      </c>
      <c r="E55" s="859">
        <v>178223</v>
      </c>
      <c r="F55" s="859">
        <v>12742</v>
      </c>
      <c r="G55" s="859">
        <v>61552</v>
      </c>
      <c r="H55" s="859">
        <v>118665</v>
      </c>
      <c r="I55" s="859">
        <v>6366</v>
      </c>
      <c r="J55" s="859">
        <v>95972</v>
      </c>
      <c r="K55" s="859">
        <v>28787</v>
      </c>
      <c r="L55" s="859">
        <v>56297</v>
      </c>
      <c r="M55" s="859">
        <v>30796</v>
      </c>
      <c r="N55" s="859">
        <v>20248</v>
      </c>
      <c r="O55" s="859">
        <v>15612</v>
      </c>
      <c r="P55" s="859">
        <v>77838</v>
      </c>
      <c r="Q55" s="242">
        <f>SUM(B55:P55)</f>
        <v>848273</v>
      </c>
      <c r="R55" s="859">
        <v>35266</v>
      </c>
      <c r="S55" s="40">
        <f>Q55+R55</f>
        <v>883539</v>
      </c>
      <c r="T55" s="859">
        <v>50891</v>
      </c>
      <c r="U55" s="40">
        <f>S55+T55</f>
        <v>934430</v>
      </c>
      <c r="V55" s="961" t="s">
        <v>2226</v>
      </c>
    </row>
    <row r="56" spans="1:22" ht="10.5" customHeight="1">
      <c r="A56" s="508"/>
      <c r="B56" s="560">
        <f t="shared" si="24"/>
        <v>11.230743634406631</v>
      </c>
      <c r="C56" s="560">
        <f t="shared" si="24"/>
        <v>3.5029579905357884</v>
      </c>
      <c r="D56" s="560">
        <f t="shared" si="24"/>
        <v>1.6973783839762593</v>
      </c>
      <c r="E56" s="560">
        <f t="shared" si="24"/>
        <v>20.171492146922773</v>
      </c>
      <c r="F56" s="560">
        <f t="shared" si="24"/>
        <v>1.4421547888661395</v>
      </c>
      <c r="G56" s="560">
        <f t="shared" si="24"/>
        <v>6.9665289251521436</v>
      </c>
      <c r="H56" s="560">
        <f t="shared" si="24"/>
        <v>13.430646524941173</v>
      </c>
      <c r="I56" s="560">
        <f t="shared" si="24"/>
        <v>0.7205114884572158</v>
      </c>
      <c r="J56" s="560">
        <f t="shared" si="24"/>
        <v>10.862225662930555</v>
      </c>
      <c r="K56" s="560">
        <f t="shared" si="24"/>
        <v>3.2581470653813809</v>
      </c>
      <c r="L56" s="560">
        <f t="shared" si="24"/>
        <v>6.3717617445296693</v>
      </c>
      <c r="M56" s="560">
        <f t="shared" si="24"/>
        <v>3.4855280864794875</v>
      </c>
      <c r="N56" s="560">
        <f t="shared" si="24"/>
        <v>2.2916928398180501</v>
      </c>
      <c r="O56" s="560">
        <f t="shared" si="24"/>
        <v>1.7669848190062918</v>
      </c>
      <c r="P56" s="560">
        <f t="shared" si="24"/>
        <v>8.8097978697035444</v>
      </c>
      <c r="Q56" s="560">
        <f t="shared" si="24"/>
        <v>96.00855197110711</v>
      </c>
      <c r="R56" s="560">
        <f t="shared" si="24"/>
        <v>3.9914480288928953</v>
      </c>
      <c r="S56" s="560">
        <f t="shared" si="24"/>
        <v>100</v>
      </c>
      <c r="T56" s="508"/>
      <c r="U56" s="508"/>
      <c r="V56" s="518"/>
    </row>
    <row r="57" spans="1:22" s="298" customFormat="1" ht="10.5" customHeight="1">
      <c r="A57" s="243" t="s">
        <v>2427</v>
      </c>
      <c r="B57" s="859">
        <v>101716</v>
      </c>
      <c r="C57" s="859">
        <v>32887</v>
      </c>
      <c r="D57" s="859">
        <v>16197</v>
      </c>
      <c r="E57" s="859">
        <v>197750</v>
      </c>
      <c r="F57" s="859">
        <v>14364</v>
      </c>
      <c r="G57" s="859">
        <v>67286</v>
      </c>
      <c r="H57" s="859">
        <v>126827</v>
      </c>
      <c r="I57" s="859">
        <v>6821</v>
      </c>
      <c r="J57" s="859">
        <v>102383</v>
      </c>
      <c r="K57" s="859">
        <v>30997</v>
      </c>
      <c r="L57" s="859">
        <v>58987</v>
      </c>
      <c r="M57" s="859">
        <v>33830</v>
      </c>
      <c r="N57" s="859">
        <v>22578</v>
      </c>
      <c r="O57" s="859">
        <v>16784</v>
      </c>
      <c r="P57" s="859">
        <v>80654</v>
      </c>
      <c r="Q57" s="242">
        <f>SUM(B57:P57)</f>
        <v>910061</v>
      </c>
      <c r="R57" s="859">
        <v>37482</v>
      </c>
      <c r="S57" s="40">
        <f>Q57+R57</f>
        <v>947543</v>
      </c>
      <c r="T57" s="40">
        <v>39715</v>
      </c>
      <c r="U57" s="40">
        <f>S57+T57</f>
        <v>987258</v>
      </c>
      <c r="V57" s="367" t="s">
        <v>2427</v>
      </c>
    </row>
    <row r="58" spans="1:22" s="11" customFormat="1" ht="10.5" customHeight="1" thickBot="1">
      <c r="A58" s="612"/>
      <c r="B58" s="615">
        <f t="shared" ref="B58:S58" si="25">(B57/$S57)*100</f>
        <v>10.734710720252274</v>
      </c>
      <c r="C58" s="615">
        <f t="shared" si="25"/>
        <v>3.4707659705153224</v>
      </c>
      <c r="D58" s="615">
        <f t="shared" si="25"/>
        <v>1.7093683347352044</v>
      </c>
      <c r="E58" s="615">
        <f t="shared" si="25"/>
        <v>20.869765277143095</v>
      </c>
      <c r="F58" s="615">
        <f t="shared" si="25"/>
        <v>1.5159206495114206</v>
      </c>
      <c r="G58" s="615">
        <f t="shared" si="25"/>
        <v>7.1011025357160573</v>
      </c>
      <c r="H58" s="615">
        <f t="shared" si="25"/>
        <v>13.384827918099759</v>
      </c>
      <c r="I58" s="615">
        <f t="shared" si="25"/>
        <v>0.71986178991349203</v>
      </c>
      <c r="J58" s="615">
        <f t="shared" si="25"/>
        <v>10.805103304018921</v>
      </c>
      <c r="K58" s="615">
        <f t="shared" si="25"/>
        <v>3.2713027271585564</v>
      </c>
      <c r="L58" s="615">
        <f t="shared" si="25"/>
        <v>6.2252583787754219</v>
      </c>
      <c r="M58" s="615">
        <f t="shared" si="25"/>
        <v>3.5702865199785125</v>
      </c>
      <c r="N58" s="615">
        <f t="shared" si="25"/>
        <v>2.3827942373063808</v>
      </c>
      <c r="O58" s="615">
        <f t="shared" si="25"/>
        <v>1.7713180298941578</v>
      </c>
      <c r="P58" s="615">
        <f t="shared" si="25"/>
        <v>8.511909222061691</v>
      </c>
      <c r="Q58" s="615">
        <f t="shared" si="25"/>
        <v>96.044295615080273</v>
      </c>
      <c r="R58" s="615">
        <f t="shared" si="25"/>
        <v>3.9557043849197346</v>
      </c>
      <c r="S58" s="615">
        <f t="shared" si="25"/>
        <v>100</v>
      </c>
      <c r="T58" s="612"/>
      <c r="U58" s="612"/>
      <c r="V58" s="959"/>
    </row>
    <row r="59" spans="1:22" ht="11.25" customHeight="1">
      <c r="A59" s="121" t="s">
        <v>575</v>
      </c>
      <c r="B59" s="1949" t="s">
        <v>2656</v>
      </c>
      <c r="C59" s="1949"/>
      <c r="D59" s="1949"/>
      <c r="E59" s="1949"/>
      <c r="F59" s="1949"/>
      <c r="G59" s="1949"/>
      <c r="H59" s="1949"/>
      <c r="I59" s="1949"/>
      <c r="J59" s="1949"/>
      <c r="K59" s="1949"/>
      <c r="L59" s="121" t="s">
        <v>576</v>
      </c>
      <c r="M59" s="1519" t="s">
        <v>2515</v>
      </c>
      <c r="N59" s="1520"/>
      <c r="O59" s="1520"/>
      <c r="P59" s="1520"/>
      <c r="Q59" s="1939" t="s">
        <v>2721</v>
      </c>
      <c r="R59" s="1939"/>
      <c r="S59" s="1520"/>
      <c r="T59" s="45"/>
      <c r="U59" s="18"/>
      <c r="V59" s="1520"/>
    </row>
    <row r="60" spans="1:22" ht="10.5" customHeight="1">
      <c r="B60" s="1946" t="s">
        <v>2446</v>
      </c>
      <c r="C60" s="1947"/>
      <c r="D60" s="1947"/>
      <c r="E60" s="1947"/>
      <c r="F60" s="1947"/>
      <c r="G60" s="1947"/>
      <c r="H60" s="1947"/>
      <c r="I60" s="1947"/>
      <c r="J60" s="1947"/>
      <c r="K60" s="1947"/>
      <c r="M60" s="1944"/>
      <c r="N60" s="1944"/>
      <c r="O60" s="1944"/>
    </row>
  </sheetData>
  <mergeCells count="11">
    <mergeCell ref="B60:K60"/>
    <mergeCell ref="A1:K1"/>
    <mergeCell ref="U1:V1"/>
    <mergeCell ref="J2:K2"/>
    <mergeCell ref="U2:V2"/>
    <mergeCell ref="L1:T1"/>
    <mergeCell ref="M60:O60"/>
    <mergeCell ref="V3:V4"/>
    <mergeCell ref="A3:A4"/>
    <mergeCell ref="B59:K59"/>
    <mergeCell ref="Q59:R59"/>
  </mergeCells>
  <phoneticPr fontId="47" type="noConversion"/>
  <pageMargins left="0.62992125984252001" right="0.511811023622047" top="0.511811023622047" bottom="0.511811023622047" header="0.25" footer="0"/>
  <pageSetup paperSize="151" firstPageNumber="48" orientation="portrait" useFirstPageNumber="1" r:id="rId1"/>
  <headerFooter>
    <oddFooter>&amp;C&amp;"Times New Roman,Regular"&amp;8&amp;P</oddFooter>
  </headerFooter>
  <ignoredErrors>
    <ignoredError sqref="Q5:S32 Q45:Q51 Q34:S34 Q33 S33 S45:S51" 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>
  <dimension ref="A1:X76"/>
  <sheetViews>
    <sheetView zoomScale="120" zoomScaleNormal="120" workbookViewId="0">
      <pane xSplit="1" ySplit="5" topLeftCell="L51" activePane="bottomRight" state="frozen"/>
      <selection pane="topRight" activeCell="B1" sqref="B1"/>
      <selection pane="bottomLeft" activeCell="A6" sqref="A6"/>
      <selection pane="bottomRight" activeCell="O68" sqref="O68"/>
    </sheetView>
  </sheetViews>
  <sheetFormatPr defaultColWidth="9.140625" defaultRowHeight="11.25"/>
  <cols>
    <col min="1" max="1" width="8.5703125" style="10" customWidth="1"/>
    <col min="2" max="2" width="7.140625" style="10" customWidth="1"/>
    <col min="3" max="3" width="7.28515625" style="10" customWidth="1"/>
    <col min="4" max="4" width="7.42578125" style="10" customWidth="1"/>
    <col min="5" max="5" width="7.7109375" style="10" customWidth="1"/>
    <col min="6" max="6" width="7" style="10" customWidth="1"/>
    <col min="7" max="7" width="6.5703125" style="10" customWidth="1"/>
    <col min="8" max="9" width="7.28515625" style="10" customWidth="1"/>
    <col min="10" max="10" width="7.42578125" style="10" customWidth="1"/>
    <col min="11" max="11" width="7.5703125" style="10" customWidth="1"/>
    <col min="12" max="12" width="7.7109375" style="10" customWidth="1"/>
    <col min="13" max="13" width="7" style="10" customWidth="1"/>
    <col min="14" max="14" width="7.28515625" style="10" customWidth="1"/>
    <col min="15" max="16" width="7.140625" style="10" customWidth="1"/>
    <col min="17" max="17" width="7" style="10" customWidth="1"/>
    <col min="18" max="18" width="7.28515625" style="10" customWidth="1"/>
    <col min="19" max="19" width="7.85546875" style="10" customWidth="1"/>
    <col min="20" max="20" width="4.5703125" style="10" hidden="1" customWidth="1"/>
    <col min="21" max="21" width="7.42578125" style="10" customWidth="1"/>
    <col min="22" max="22" width="7" style="10" customWidth="1"/>
    <col min="23" max="23" width="6.85546875" style="10" customWidth="1"/>
    <col min="24" max="16384" width="9.140625" style="10"/>
  </cols>
  <sheetData>
    <row r="1" spans="1:24" s="48" customFormat="1" ht="14.25" customHeight="1">
      <c r="B1" s="1663" t="s">
        <v>387</v>
      </c>
      <c r="C1" s="1663"/>
      <c r="D1" s="1663"/>
      <c r="E1" s="1663"/>
      <c r="F1" s="1663"/>
      <c r="G1" s="1663"/>
      <c r="H1" s="1663"/>
      <c r="I1" s="1663"/>
      <c r="J1" s="1663"/>
      <c r="K1" s="1663"/>
      <c r="L1" s="1940" t="s">
        <v>388</v>
      </c>
      <c r="M1" s="1940"/>
      <c r="N1" s="1940"/>
      <c r="O1" s="1940"/>
      <c r="P1" s="49"/>
      <c r="Q1" s="49"/>
      <c r="R1" s="49"/>
      <c r="U1" s="1663" t="s">
        <v>2079</v>
      </c>
      <c r="V1" s="1663"/>
      <c r="W1" s="1663"/>
    </row>
    <row r="2" spans="1:24" ht="12" customHeight="1">
      <c r="B2" s="23"/>
      <c r="C2" s="23"/>
      <c r="D2" s="1951"/>
      <c r="E2" s="1951"/>
      <c r="F2" s="154"/>
      <c r="G2" s="154"/>
      <c r="H2" s="154"/>
      <c r="I2" s="154"/>
      <c r="J2" s="1952" t="s">
        <v>227</v>
      </c>
      <c r="K2" s="1952"/>
      <c r="L2" s="1954" t="s">
        <v>2501</v>
      </c>
      <c r="M2" s="1954"/>
      <c r="N2" s="1954"/>
      <c r="O2" s="1954"/>
      <c r="P2" s="1954"/>
      <c r="S2" s="23"/>
      <c r="T2" s="23"/>
      <c r="V2" s="1953" t="s">
        <v>588</v>
      </c>
      <c r="W2" s="1953"/>
    </row>
    <row r="3" spans="1:24" ht="13.5" customHeight="1">
      <c r="A3" s="1703" t="s">
        <v>875</v>
      </c>
      <c r="B3" s="1950" t="s">
        <v>389</v>
      </c>
      <c r="C3" s="1950" t="s">
        <v>390</v>
      </c>
      <c r="D3" s="1950" t="s">
        <v>391</v>
      </c>
      <c r="E3" s="1950" t="s">
        <v>577</v>
      </c>
      <c r="F3" s="1950" t="s">
        <v>578</v>
      </c>
      <c r="G3" s="1950" t="s">
        <v>590</v>
      </c>
      <c r="H3" s="1950" t="s">
        <v>392</v>
      </c>
      <c r="I3" s="1950" t="s">
        <v>393</v>
      </c>
      <c r="J3" s="1950" t="s">
        <v>394</v>
      </c>
      <c r="K3" s="1950" t="s">
        <v>2447</v>
      </c>
      <c r="L3" s="1950" t="s">
        <v>589</v>
      </c>
      <c r="M3" s="1950" t="s">
        <v>395</v>
      </c>
      <c r="N3" s="1950" t="s">
        <v>396</v>
      </c>
      <c r="O3" s="1950" t="s">
        <v>1499</v>
      </c>
      <c r="P3" s="1950" t="s">
        <v>580</v>
      </c>
      <c r="Q3" s="1950" t="s">
        <v>1501</v>
      </c>
      <c r="R3" s="1950" t="s">
        <v>1503</v>
      </c>
      <c r="S3" s="1961" t="s">
        <v>397</v>
      </c>
      <c r="T3" s="1962"/>
      <c r="U3" s="1962"/>
      <c r="V3" s="1962"/>
      <c r="W3" s="1963"/>
    </row>
    <row r="4" spans="1:24" s="155" customFormat="1" ht="74.25" customHeight="1">
      <c r="A4" s="1704"/>
      <c r="B4" s="1950"/>
      <c r="C4" s="1950"/>
      <c r="D4" s="1950"/>
      <c r="E4" s="1950"/>
      <c r="F4" s="1950"/>
      <c r="G4" s="1950"/>
      <c r="H4" s="1950"/>
      <c r="I4" s="1950"/>
      <c r="J4" s="1950"/>
      <c r="K4" s="1950"/>
      <c r="L4" s="1950"/>
      <c r="M4" s="1950"/>
      <c r="N4" s="1950"/>
      <c r="O4" s="1950"/>
      <c r="P4" s="1950"/>
      <c r="Q4" s="1950"/>
      <c r="R4" s="1950"/>
      <c r="S4" s="1964" t="s">
        <v>389</v>
      </c>
      <c r="T4" s="1965"/>
      <c r="U4" s="151" t="s">
        <v>395</v>
      </c>
      <c r="V4" s="1331" t="s">
        <v>398</v>
      </c>
      <c r="W4" s="1331" t="s">
        <v>579</v>
      </c>
    </row>
    <row r="5" spans="1:24" s="159" customFormat="1" ht="9.75" customHeight="1">
      <c r="A5" s="1705"/>
      <c r="B5" s="158">
        <v>1</v>
      </c>
      <c r="C5" s="158">
        <v>2</v>
      </c>
      <c r="D5" s="158">
        <v>3</v>
      </c>
      <c r="E5" s="158">
        <v>4</v>
      </c>
      <c r="F5" s="158">
        <v>5</v>
      </c>
      <c r="G5" s="158">
        <v>6</v>
      </c>
      <c r="H5" s="158">
        <v>7</v>
      </c>
      <c r="I5" s="158">
        <v>8</v>
      </c>
      <c r="J5" s="158">
        <v>9</v>
      </c>
      <c r="K5" s="158">
        <v>10</v>
      </c>
      <c r="L5" s="158">
        <v>11</v>
      </c>
      <c r="M5" s="158">
        <v>12</v>
      </c>
      <c r="N5" s="158">
        <v>13</v>
      </c>
      <c r="O5" s="158">
        <v>14</v>
      </c>
      <c r="P5" s="158">
        <v>15</v>
      </c>
      <c r="Q5" s="158">
        <v>16</v>
      </c>
      <c r="R5" s="158">
        <v>17</v>
      </c>
      <c r="S5" s="1966">
        <v>18</v>
      </c>
      <c r="T5" s="1966"/>
      <c r="U5" s="158">
        <v>19</v>
      </c>
      <c r="V5" s="158">
        <v>20</v>
      </c>
      <c r="W5" s="158">
        <v>21</v>
      </c>
    </row>
    <row r="6" spans="1:24" s="88" customFormat="1" ht="9.6" customHeight="1">
      <c r="A6" s="8" t="s">
        <v>941</v>
      </c>
      <c r="B6" s="1082">
        <v>200177</v>
      </c>
      <c r="C6" s="1082">
        <v>206674</v>
      </c>
      <c r="D6" s="1082">
        <v>2236</v>
      </c>
      <c r="E6" s="1082">
        <v>208910</v>
      </c>
      <c r="F6" s="1082">
        <v>165323</v>
      </c>
      <c r="G6" s="1082">
        <v>82.59</v>
      </c>
      <c r="H6" s="1082" t="s">
        <v>399</v>
      </c>
      <c r="I6" s="1082">
        <v>43587</v>
      </c>
      <c r="J6" s="1082">
        <v>21.77</v>
      </c>
      <c r="K6" s="1082">
        <v>43303</v>
      </c>
      <c r="L6" s="1082">
        <v>21.63</v>
      </c>
      <c r="M6" s="1082">
        <v>184448</v>
      </c>
      <c r="N6" s="1082">
        <v>190435</v>
      </c>
      <c r="O6" s="1082">
        <v>10.78</v>
      </c>
      <c r="P6" s="1082">
        <v>5.23</v>
      </c>
      <c r="Q6" s="1082">
        <v>109</v>
      </c>
      <c r="R6" s="1082">
        <v>12.65</v>
      </c>
      <c r="S6" s="1955">
        <v>15824</v>
      </c>
      <c r="T6" s="1955"/>
      <c r="U6" s="1082">
        <v>14581</v>
      </c>
      <c r="V6" s="1082">
        <v>16338</v>
      </c>
      <c r="W6" s="1082">
        <v>15054</v>
      </c>
      <c r="X6" s="434"/>
    </row>
    <row r="7" spans="1:24" s="437" customFormat="1" ht="9.6" customHeight="1">
      <c r="A7" s="564"/>
      <c r="B7" s="1083" t="s">
        <v>400</v>
      </c>
      <c r="C7" s="1083" t="s">
        <v>401</v>
      </c>
      <c r="D7" s="1083" t="s">
        <v>402</v>
      </c>
      <c r="E7" s="1083" t="s">
        <v>403</v>
      </c>
      <c r="F7" s="1083" t="s">
        <v>404</v>
      </c>
      <c r="G7" s="1083"/>
      <c r="H7" s="1083" t="s">
        <v>405</v>
      </c>
      <c r="I7" s="1083" t="s">
        <v>406</v>
      </c>
      <c r="J7" s="1083"/>
      <c r="K7" s="1083" t="s">
        <v>406</v>
      </c>
      <c r="L7" s="1083"/>
      <c r="M7" s="1083"/>
      <c r="N7" s="1083"/>
      <c r="O7" s="1083"/>
      <c r="P7" s="1083"/>
      <c r="Q7" s="1083"/>
      <c r="R7" s="1083"/>
      <c r="S7" s="1957" t="s">
        <v>407</v>
      </c>
      <c r="T7" s="1957"/>
      <c r="U7" s="1083"/>
      <c r="V7" s="1083" t="s">
        <v>408</v>
      </c>
      <c r="W7" s="1083"/>
      <c r="X7" s="436"/>
    </row>
    <row r="8" spans="1:24" s="88" customFormat="1" ht="9.6" customHeight="1">
      <c r="A8" s="8" t="s">
        <v>942</v>
      </c>
      <c r="B8" s="1082">
        <v>219695</v>
      </c>
      <c r="C8" s="1082">
        <v>227250</v>
      </c>
      <c r="D8" s="1082">
        <v>2560</v>
      </c>
      <c r="E8" s="1082">
        <v>229810</v>
      </c>
      <c r="F8" s="1082" t="s">
        <v>409</v>
      </c>
      <c r="G8" s="1082">
        <v>82.29</v>
      </c>
      <c r="H8" s="1082">
        <v>38902</v>
      </c>
      <c r="I8" s="1082">
        <v>49014</v>
      </c>
      <c r="J8" s="1082">
        <v>22.31</v>
      </c>
      <c r="K8" s="1082">
        <v>48758</v>
      </c>
      <c r="L8" s="1082">
        <v>22.19</v>
      </c>
      <c r="M8" s="1082">
        <v>193429</v>
      </c>
      <c r="N8" s="1082">
        <v>200079</v>
      </c>
      <c r="O8" s="1082">
        <v>9.75</v>
      </c>
      <c r="P8" s="1082">
        <v>4.87</v>
      </c>
      <c r="Q8" s="1082">
        <v>114</v>
      </c>
      <c r="R8" s="1082">
        <v>12.81</v>
      </c>
      <c r="S8" s="1955">
        <v>17150</v>
      </c>
      <c r="T8" s="1955"/>
      <c r="U8" s="1082">
        <v>15100</v>
      </c>
      <c r="V8" s="1082">
        <v>17740</v>
      </c>
      <c r="W8" s="1082" t="s">
        <v>410</v>
      </c>
      <c r="X8" s="434"/>
    </row>
    <row r="9" spans="1:24" s="437" customFormat="1" ht="9.75" customHeight="1">
      <c r="A9" s="564"/>
      <c r="B9" s="1083" t="s">
        <v>411</v>
      </c>
      <c r="C9" s="1083" t="s">
        <v>412</v>
      </c>
      <c r="D9" s="1083" t="s">
        <v>413</v>
      </c>
      <c r="E9" s="1083" t="s">
        <v>414</v>
      </c>
      <c r="F9" s="1083" t="s">
        <v>415</v>
      </c>
      <c r="G9" s="1083"/>
      <c r="H9" s="1083" t="s">
        <v>416</v>
      </c>
      <c r="I9" s="1083" t="s">
        <v>417</v>
      </c>
      <c r="J9" s="1083"/>
      <c r="K9" s="1083" t="s">
        <v>418</v>
      </c>
      <c r="L9" s="1083"/>
      <c r="M9" s="1083"/>
      <c r="N9" s="1083"/>
      <c r="O9" s="1083"/>
      <c r="P9" s="1083"/>
      <c r="Q9" s="1083"/>
      <c r="R9" s="1083"/>
      <c r="S9" s="1957" t="s">
        <v>419</v>
      </c>
      <c r="T9" s="1957"/>
      <c r="U9" s="1083"/>
      <c r="V9" s="1083" t="s">
        <v>420</v>
      </c>
      <c r="W9" s="1083"/>
      <c r="X9" s="436"/>
    </row>
    <row r="10" spans="1:24" s="88" customFormat="1" ht="9.6" customHeight="1">
      <c r="A10" s="8" t="s">
        <v>943</v>
      </c>
      <c r="B10" s="1082">
        <v>237086</v>
      </c>
      <c r="C10" s="1082">
        <v>245799</v>
      </c>
      <c r="D10" s="1082">
        <v>3653</v>
      </c>
      <c r="E10" s="1082">
        <v>249452</v>
      </c>
      <c r="F10" s="1082">
        <v>194691</v>
      </c>
      <c r="G10" s="1082">
        <v>82.12</v>
      </c>
      <c r="H10" s="1082">
        <v>42394</v>
      </c>
      <c r="I10" s="1082">
        <v>54761</v>
      </c>
      <c r="J10" s="1082" t="s">
        <v>421</v>
      </c>
      <c r="K10" s="1082">
        <v>54587</v>
      </c>
      <c r="L10" s="1082">
        <v>23.02</v>
      </c>
      <c r="M10" s="1082">
        <v>204927</v>
      </c>
      <c r="N10" s="1082">
        <v>212459</v>
      </c>
      <c r="O10" s="1082">
        <v>7.91</v>
      </c>
      <c r="P10" s="1082">
        <v>5.94</v>
      </c>
      <c r="Q10" s="1082">
        <v>116</v>
      </c>
      <c r="R10" s="1082">
        <v>12.98</v>
      </c>
      <c r="S10" s="1955">
        <v>18270</v>
      </c>
      <c r="T10" s="1955"/>
      <c r="U10" s="1082">
        <v>15792</v>
      </c>
      <c r="V10" s="1082">
        <v>18942</v>
      </c>
      <c r="W10" s="1082" t="s">
        <v>422</v>
      </c>
      <c r="X10" s="434"/>
    </row>
    <row r="11" spans="1:24" s="437" customFormat="1" ht="10.5" customHeight="1">
      <c r="A11" s="565"/>
      <c r="B11" s="1083" t="s">
        <v>423</v>
      </c>
      <c r="C11" s="1083" t="s">
        <v>424</v>
      </c>
      <c r="D11" s="1083" t="s">
        <v>425</v>
      </c>
      <c r="E11" s="1083" t="s">
        <v>426</v>
      </c>
      <c r="F11" s="1083" t="s">
        <v>427</v>
      </c>
      <c r="G11" s="1083"/>
      <c r="H11" s="1083" t="s">
        <v>428</v>
      </c>
      <c r="I11" s="1083" t="s">
        <v>429</v>
      </c>
      <c r="J11" s="1083"/>
      <c r="K11" s="1083" t="s">
        <v>430</v>
      </c>
      <c r="L11" s="1083"/>
      <c r="M11" s="1083"/>
      <c r="N11" s="1083"/>
      <c r="O11" s="1083"/>
      <c r="P11" s="1083"/>
      <c r="Q11" s="1083"/>
      <c r="R11" s="1083"/>
      <c r="S11" s="1957" t="s">
        <v>431</v>
      </c>
      <c r="T11" s="1957"/>
      <c r="U11" s="1083"/>
      <c r="V11" s="1083" t="s">
        <v>432</v>
      </c>
      <c r="W11" s="1083"/>
      <c r="X11" s="436"/>
    </row>
    <row r="12" spans="1:24" s="88" customFormat="1" ht="9.6" customHeight="1">
      <c r="A12" s="8" t="s">
        <v>944</v>
      </c>
      <c r="B12" s="1082">
        <v>253546</v>
      </c>
      <c r="C12" s="1082">
        <v>262387</v>
      </c>
      <c r="D12" s="1082">
        <v>2339</v>
      </c>
      <c r="E12" s="1082">
        <v>264726</v>
      </c>
      <c r="F12" s="1082">
        <v>207918</v>
      </c>
      <c r="G12" s="1082" t="s">
        <v>433</v>
      </c>
      <c r="H12" s="1082">
        <v>45628</v>
      </c>
      <c r="I12" s="1082">
        <v>56809</v>
      </c>
      <c r="J12" s="1082">
        <v>22.41</v>
      </c>
      <c r="K12" s="1082">
        <v>58536</v>
      </c>
      <c r="L12" s="1082">
        <v>23.09</v>
      </c>
      <c r="M12" s="1082">
        <v>215735</v>
      </c>
      <c r="N12" s="1082">
        <v>223258</v>
      </c>
      <c r="O12" s="1082">
        <v>6.94</v>
      </c>
      <c r="P12" s="1082">
        <v>5.27</v>
      </c>
      <c r="Q12" s="1082">
        <v>118</v>
      </c>
      <c r="R12" s="1314">
        <v>12.99</v>
      </c>
      <c r="S12" s="1955">
        <v>19518</v>
      </c>
      <c r="T12" s="1955"/>
      <c r="U12" s="1082">
        <v>16608</v>
      </c>
      <c r="V12" s="1082">
        <v>20199</v>
      </c>
      <c r="W12" s="1082">
        <v>17187</v>
      </c>
      <c r="X12" s="434"/>
    </row>
    <row r="13" spans="1:24" s="437" customFormat="1" ht="9.6" customHeight="1">
      <c r="A13" s="564"/>
      <c r="B13" s="1083" t="s">
        <v>434</v>
      </c>
      <c r="C13" s="1083" t="s">
        <v>435</v>
      </c>
      <c r="D13" s="1083" t="s">
        <v>436</v>
      </c>
      <c r="E13" s="1083" t="s">
        <v>437</v>
      </c>
      <c r="F13" s="1083" t="s">
        <v>438</v>
      </c>
      <c r="G13" s="1083"/>
      <c r="H13" s="1083" t="s">
        <v>439</v>
      </c>
      <c r="I13" s="1083" t="s">
        <v>440</v>
      </c>
      <c r="J13" s="1083"/>
      <c r="K13" s="1083" t="s">
        <v>441</v>
      </c>
      <c r="L13" s="1083"/>
      <c r="M13" s="1083"/>
      <c r="N13" s="1083"/>
      <c r="O13" s="1083"/>
      <c r="P13" s="1083"/>
      <c r="Q13" s="1083"/>
      <c r="R13" s="1083"/>
      <c r="S13" s="1957" t="s">
        <v>442</v>
      </c>
      <c r="T13" s="1957"/>
      <c r="U13" s="1083"/>
      <c r="V13" s="1083" t="s">
        <v>443</v>
      </c>
      <c r="W13" s="1083"/>
      <c r="X13" s="436"/>
    </row>
    <row r="14" spans="1:24" s="88" customFormat="1" ht="9.6" customHeight="1">
      <c r="A14" s="8" t="s">
        <v>945</v>
      </c>
      <c r="B14" s="1082" t="s">
        <v>444</v>
      </c>
      <c r="C14" s="1082" t="s">
        <v>445</v>
      </c>
      <c r="D14" s="1082" t="s">
        <v>446</v>
      </c>
      <c r="E14" s="1082" t="s">
        <v>447</v>
      </c>
      <c r="F14" s="1082" t="s">
        <v>448</v>
      </c>
      <c r="G14" s="1082" t="s">
        <v>449</v>
      </c>
      <c r="H14" s="1082" t="s">
        <v>450</v>
      </c>
      <c r="I14" s="1082" t="s">
        <v>451</v>
      </c>
      <c r="J14" s="1082" t="s">
        <v>452</v>
      </c>
      <c r="K14" s="1082" t="s">
        <v>453</v>
      </c>
      <c r="L14" s="1082">
        <v>23.15</v>
      </c>
      <c r="M14" s="1082">
        <v>225261</v>
      </c>
      <c r="N14" s="1082">
        <v>235603</v>
      </c>
      <c r="O14" s="1082">
        <v>7.75</v>
      </c>
      <c r="P14" s="1082">
        <v>4.42</v>
      </c>
      <c r="Q14" s="1082">
        <v>121</v>
      </c>
      <c r="R14" s="1082">
        <v>13.16</v>
      </c>
      <c r="S14" s="1955">
        <v>20760</v>
      </c>
      <c r="T14" s="1955"/>
      <c r="U14" s="1082">
        <v>17117</v>
      </c>
      <c r="V14" s="1082" t="s">
        <v>454</v>
      </c>
      <c r="W14" s="1082">
        <v>17903</v>
      </c>
      <c r="X14" s="434"/>
    </row>
    <row r="15" spans="1:24" s="437" customFormat="1" ht="9.6" customHeight="1">
      <c r="A15" s="564"/>
      <c r="B15" s="1083" t="s">
        <v>455</v>
      </c>
      <c r="C15" s="1083" t="s">
        <v>456</v>
      </c>
      <c r="D15" s="1083" t="s">
        <v>457</v>
      </c>
      <c r="E15" s="1083" t="s">
        <v>458</v>
      </c>
      <c r="F15" s="1083" t="s">
        <v>459</v>
      </c>
      <c r="G15" s="1083"/>
      <c r="H15" s="1083" t="s">
        <v>460</v>
      </c>
      <c r="I15" s="1083" t="s">
        <v>461</v>
      </c>
      <c r="J15" s="1083"/>
      <c r="K15" s="1083" t="s">
        <v>462</v>
      </c>
      <c r="L15" s="1083"/>
      <c r="M15" s="1083"/>
      <c r="N15" s="1083"/>
      <c r="O15" s="1083"/>
      <c r="P15" s="1083"/>
      <c r="Q15" s="1083"/>
      <c r="R15" s="1083"/>
      <c r="S15" s="1957" t="s">
        <v>463</v>
      </c>
      <c r="T15" s="1957"/>
      <c r="U15" s="1083"/>
      <c r="V15" s="1083" t="s">
        <v>464</v>
      </c>
      <c r="W15" s="1083"/>
      <c r="X15" s="436"/>
    </row>
    <row r="16" spans="1:24" s="88" customFormat="1" ht="9.6" customHeight="1">
      <c r="A16" s="8" t="s">
        <v>946</v>
      </c>
      <c r="B16" s="1082" t="s">
        <v>465</v>
      </c>
      <c r="C16" s="1082">
        <v>317163</v>
      </c>
      <c r="D16" s="1082">
        <v>2158</v>
      </c>
      <c r="E16" s="1082">
        <v>319322</v>
      </c>
      <c r="F16" s="1082">
        <v>244570</v>
      </c>
      <c r="G16" s="1082">
        <v>81.790000000000006</v>
      </c>
      <c r="H16" s="1082">
        <v>56010</v>
      </c>
      <c r="I16" s="1082">
        <v>74752</v>
      </c>
      <c r="J16" s="1082">
        <v>24.45</v>
      </c>
      <c r="K16" s="1082">
        <v>70352</v>
      </c>
      <c r="L16" s="1082">
        <v>23.41</v>
      </c>
      <c r="M16" s="1082">
        <v>237101</v>
      </c>
      <c r="N16" s="1082">
        <v>250182</v>
      </c>
      <c r="O16" s="1082">
        <v>10.02</v>
      </c>
      <c r="P16" s="1082">
        <v>5.26</v>
      </c>
      <c r="Q16" s="1082">
        <v>127</v>
      </c>
      <c r="R16" s="1082">
        <v>13.34</v>
      </c>
      <c r="S16" s="1955">
        <v>22532</v>
      </c>
      <c r="T16" s="1955"/>
      <c r="U16" s="1082">
        <v>17774</v>
      </c>
      <c r="V16" s="1082">
        <v>23773</v>
      </c>
      <c r="W16" s="1082">
        <v>18754</v>
      </c>
      <c r="X16" s="434"/>
    </row>
    <row r="17" spans="1:24" s="437" customFormat="1" ht="9.6" customHeight="1">
      <c r="A17" s="564"/>
      <c r="B17" s="1083" t="s">
        <v>466</v>
      </c>
      <c r="C17" s="1083" t="s">
        <v>467</v>
      </c>
      <c r="D17" s="1083" t="s">
        <v>468</v>
      </c>
      <c r="E17" s="1083" t="s">
        <v>469</v>
      </c>
      <c r="F17" s="1083" t="s">
        <v>470</v>
      </c>
      <c r="G17" s="1083"/>
      <c r="H17" s="1083" t="s">
        <v>471</v>
      </c>
      <c r="I17" s="1083" t="s">
        <v>472</v>
      </c>
      <c r="J17" s="1083"/>
      <c r="K17" s="1083" t="s">
        <v>473</v>
      </c>
      <c r="L17" s="1083"/>
      <c r="M17" s="1083"/>
      <c r="N17" s="1083"/>
      <c r="O17" s="1083"/>
      <c r="P17" s="1083"/>
      <c r="Q17" s="1083"/>
      <c r="R17" s="1083"/>
      <c r="S17" s="1957" t="s">
        <v>474</v>
      </c>
      <c r="T17" s="1957"/>
      <c r="U17" s="1083"/>
      <c r="V17" s="1083" t="s">
        <v>475</v>
      </c>
      <c r="W17" s="1083"/>
      <c r="X17" s="436"/>
    </row>
    <row r="18" spans="1:24" s="88" customFormat="1" ht="10.5" customHeight="1">
      <c r="A18" s="8" t="s">
        <v>947</v>
      </c>
      <c r="B18" s="1082" t="s">
        <v>476</v>
      </c>
      <c r="C18" s="1082">
        <v>350526</v>
      </c>
      <c r="D18" s="1082">
        <v>2121</v>
      </c>
      <c r="E18" s="1082">
        <v>352647</v>
      </c>
      <c r="F18" s="1082">
        <v>267927</v>
      </c>
      <c r="G18" s="1082">
        <v>80.739999999999995</v>
      </c>
      <c r="H18" s="1082">
        <v>65046</v>
      </c>
      <c r="I18" s="1082">
        <v>84719</v>
      </c>
      <c r="J18" s="1082">
        <v>25.44</v>
      </c>
      <c r="K18" s="1082">
        <v>79991</v>
      </c>
      <c r="L18" s="1082">
        <v>24.02</v>
      </c>
      <c r="M18" s="1082">
        <v>251968</v>
      </c>
      <c r="N18" s="1082">
        <v>265251</v>
      </c>
      <c r="O18" s="1082">
        <v>10.78</v>
      </c>
      <c r="P18" s="1082">
        <v>6.27</v>
      </c>
      <c r="Q18" s="1082">
        <v>132</v>
      </c>
      <c r="R18" s="1082">
        <v>13.52</v>
      </c>
      <c r="S18" s="1955">
        <v>24628</v>
      </c>
      <c r="T18" s="1955"/>
      <c r="U18" s="1082">
        <v>18637</v>
      </c>
      <c r="V18" s="1082">
        <v>25926</v>
      </c>
      <c r="W18" s="1082">
        <v>19619</v>
      </c>
      <c r="X18" s="434"/>
    </row>
    <row r="19" spans="1:24" s="437" customFormat="1" ht="9.6" customHeight="1">
      <c r="A19" s="564"/>
      <c r="B19" s="1083" t="s">
        <v>477</v>
      </c>
      <c r="C19" s="1083" t="s">
        <v>478</v>
      </c>
      <c r="D19" s="1083" t="s">
        <v>479</v>
      </c>
      <c r="E19" s="1083" t="s">
        <v>480</v>
      </c>
      <c r="F19" s="1083" t="s">
        <v>481</v>
      </c>
      <c r="G19" s="1083"/>
      <c r="H19" s="1083" t="s">
        <v>482</v>
      </c>
      <c r="I19" s="1083" t="s">
        <v>483</v>
      </c>
      <c r="J19" s="1083"/>
      <c r="K19" s="1083" t="s">
        <v>484</v>
      </c>
      <c r="L19" s="1083"/>
      <c r="M19" s="1083"/>
      <c r="N19" s="1083"/>
      <c r="O19" s="1083"/>
      <c r="P19" s="1083"/>
      <c r="Q19" s="1083"/>
      <c r="R19" s="1083"/>
      <c r="S19" s="1957" t="s">
        <v>485</v>
      </c>
      <c r="T19" s="1957"/>
      <c r="U19" s="1083"/>
      <c r="V19" s="1083" t="s">
        <v>486</v>
      </c>
      <c r="W19" s="1083"/>
      <c r="X19" s="436"/>
    </row>
    <row r="20" spans="1:24" s="88" customFormat="1" ht="9.6" customHeight="1">
      <c r="A20" s="8" t="s">
        <v>948</v>
      </c>
      <c r="B20" s="1082">
        <v>370707</v>
      </c>
      <c r="C20" s="1082">
        <v>389635</v>
      </c>
      <c r="D20" s="1082">
        <v>2681</v>
      </c>
      <c r="E20" s="1082">
        <v>392316</v>
      </c>
      <c r="F20" s="1082">
        <v>296512</v>
      </c>
      <c r="G20" s="1082">
        <v>79.989999999999995</v>
      </c>
      <c r="H20" s="1082">
        <v>74195</v>
      </c>
      <c r="I20" s="1082">
        <v>95804</v>
      </c>
      <c r="J20" s="1082">
        <v>25.84</v>
      </c>
      <c r="K20" s="1082" t="s">
        <v>487</v>
      </c>
      <c r="L20" s="1082">
        <v>24.53</v>
      </c>
      <c r="M20" s="1082">
        <v>266974</v>
      </c>
      <c r="N20" s="1082">
        <v>280606</v>
      </c>
      <c r="O20" s="1082">
        <v>11.33</v>
      </c>
      <c r="P20" s="1082">
        <v>5.96</v>
      </c>
      <c r="Q20" s="1082">
        <v>139</v>
      </c>
      <c r="R20" s="1082" t="s">
        <v>488</v>
      </c>
      <c r="S20" s="1955">
        <v>27061</v>
      </c>
      <c r="T20" s="1955"/>
      <c r="U20" s="1082">
        <v>19489</v>
      </c>
      <c r="V20" s="1082">
        <v>28443</v>
      </c>
      <c r="W20" s="1082">
        <v>20484</v>
      </c>
      <c r="X20" s="434"/>
    </row>
    <row r="21" spans="1:24" s="437" customFormat="1" ht="9.6" customHeight="1">
      <c r="A21" s="564"/>
      <c r="B21" s="1083" t="s">
        <v>489</v>
      </c>
      <c r="C21" s="1083" t="s">
        <v>490</v>
      </c>
      <c r="D21" s="1083" t="s">
        <v>491</v>
      </c>
      <c r="E21" s="1083" t="s">
        <v>492</v>
      </c>
      <c r="F21" s="1083" t="s">
        <v>493</v>
      </c>
      <c r="G21" s="1083"/>
      <c r="H21" s="1083" t="s">
        <v>494</v>
      </c>
      <c r="I21" s="1083" t="s">
        <v>495</v>
      </c>
      <c r="J21" s="1083"/>
      <c r="K21" s="1083" t="s">
        <v>496</v>
      </c>
      <c r="L21" s="1083"/>
      <c r="M21" s="1083"/>
      <c r="N21" s="1083"/>
      <c r="O21" s="1083"/>
      <c r="P21" s="1083"/>
      <c r="Q21" s="1083"/>
      <c r="R21" s="1083"/>
      <c r="S21" s="1957" t="s">
        <v>497</v>
      </c>
      <c r="T21" s="1957"/>
      <c r="U21" s="1083"/>
      <c r="V21" s="1083" t="s">
        <v>498</v>
      </c>
      <c r="W21" s="1083"/>
      <c r="X21" s="436"/>
    </row>
    <row r="22" spans="1:24" s="88" customFormat="1" ht="9.6" customHeight="1">
      <c r="A22" s="8" t="s">
        <v>953</v>
      </c>
      <c r="B22" s="1082">
        <v>415728</v>
      </c>
      <c r="C22" s="1082">
        <v>442935</v>
      </c>
      <c r="D22" s="1082">
        <v>3653</v>
      </c>
      <c r="E22" s="1082" t="s">
        <v>499</v>
      </c>
      <c r="F22" s="1082">
        <v>331552</v>
      </c>
      <c r="G22" s="1082">
        <v>79.75</v>
      </c>
      <c r="H22" s="1082">
        <v>84176</v>
      </c>
      <c r="I22" s="1082">
        <v>115036</v>
      </c>
      <c r="J22" s="1082">
        <v>27.67</v>
      </c>
      <c r="K22" s="1082">
        <v>102480</v>
      </c>
      <c r="L22" s="1082">
        <v>24.65</v>
      </c>
      <c r="M22" s="1082">
        <v>284673</v>
      </c>
      <c r="N22" s="1082">
        <v>303303</v>
      </c>
      <c r="O22" s="1082">
        <v>12.14</v>
      </c>
      <c r="P22" s="1082" t="s">
        <v>500</v>
      </c>
      <c r="Q22" s="1082">
        <v>146</v>
      </c>
      <c r="R22" s="1082">
        <v>13.88</v>
      </c>
      <c r="S22" s="1955">
        <v>29955</v>
      </c>
      <c r="T22" s="1955"/>
      <c r="U22" s="1082">
        <v>20512</v>
      </c>
      <c r="V22" s="1082">
        <v>31915</v>
      </c>
      <c r="W22" s="1082">
        <v>21854</v>
      </c>
      <c r="X22" s="434"/>
    </row>
    <row r="23" spans="1:24" s="437" customFormat="1" ht="9.6" customHeight="1">
      <c r="A23" s="564"/>
      <c r="B23" s="1083" t="s">
        <v>501</v>
      </c>
      <c r="C23" s="1083" t="s">
        <v>502</v>
      </c>
      <c r="D23" s="1083" t="s">
        <v>503</v>
      </c>
      <c r="E23" s="1083" t="s">
        <v>504</v>
      </c>
      <c r="F23" s="1083" t="s">
        <v>505</v>
      </c>
      <c r="G23" s="1083"/>
      <c r="H23" s="1083" t="s">
        <v>506</v>
      </c>
      <c r="I23" s="1083" t="s">
        <v>507</v>
      </c>
      <c r="J23" s="1083"/>
      <c r="K23" s="1083" t="s">
        <v>508</v>
      </c>
      <c r="L23" s="1083"/>
      <c r="M23" s="1083"/>
      <c r="N23" s="1083"/>
      <c r="O23" s="1083"/>
      <c r="P23" s="1083"/>
      <c r="Q23" s="1083"/>
      <c r="R23" s="1083"/>
      <c r="S23" s="1957" t="s">
        <v>509</v>
      </c>
      <c r="T23" s="1957"/>
      <c r="U23" s="1083"/>
      <c r="V23" s="1083" t="s">
        <v>510</v>
      </c>
      <c r="W23" s="1083"/>
      <c r="X23" s="436"/>
    </row>
    <row r="24" spans="1:24" s="88" customFormat="1" ht="9.6" customHeight="1">
      <c r="A24" s="7" t="s">
        <v>962</v>
      </c>
      <c r="B24" s="1082" t="s">
        <v>992</v>
      </c>
      <c r="C24" s="1082" t="s">
        <v>511</v>
      </c>
      <c r="D24" s="1082" t="s">
        <v>512</v>
      </c>
      <c r="E24" s="1082" t="s">
        <v>513</v>
      </c>
      <c r="F24" s="1082" t="s">
        <v>514</v>
      </c>
      <c r="G24" s="1082" t="s">
        <v>515</v>
      </c>
      <c r="H24" s="1082" t="s">
        <v>516</v>
      </c>
      <c r="I24" s="1082" t="s">
        <v>517</v>
      </c>
      <c r="J24" s="1082" t="s">
        <v>518</v>
      </c>
      <c r="K24" s="1082" t="s">
        <v>519</v>
      </c>
      <c r="L24" s="1084" t="s">
        <v>520</v>
      </c>
      <c r="M24" s="1084" t="s">
        <v>521</v>
      </c>
      <c r="N24" s="1084" t="s">
        <v>522</v>
      </c>
      <c r="O24" s="1084" t="s">
        <v>523</v>
      </c>
      <c r="P24" s="1084" t="s">
        <v>524</v>
      </c>
      <c r="Q24" s="1084" t="s">
        <v>525</v>
      </c>
      <c r="R24" s="609">
        <v>14.06</v>
      </c>
      <c r="S24" s="1084" t="s">
        <v>526</v>
      </c>
      <c r="T24" s="1084"/>
      <c r="U24" s="1084" t="s">
        <v>527</v>
      </c>
      <c r="V24" s="1084" t="s">
        <v>528</v>
      </c>
      <c r="W24" s="1084" t="s">
        <v>529</v>
      </c>
      <c r="X24" s="438"/>
    </row>
    <row r="25" spans="1:24" s="437" customFormat="1" ht="9.6" customHeight="1">
      <c r="A25" s="566"/>
      <c r="B25" s="1085" t="s">
        <v>530</v>
      </c>
      <c r="C25" s="1085" t="s">
        <v>531</v>
      </c>
      <c r="D25" s="1085" t="s">
        <v>532</v>
      </c>
      <c r="E25" s="1085" t="s">
        <v>533</v>
      </c>
      <c r="F25" s="1085" t="s">
        <v>534</v>
      </c>
      <c r="G25" s="1085"/>
      <c r="H25" s="1085" t="s">
        <v>535</v>
      </c>
      <c r="I25" s="1085" t="s">
        <v>536</v>
      </c>
      <c r="J25" s="1085"/>
      <c r="K25" s="1085" t="s">
        <v>537</v>
      </c>
      <c r="L25" s="1085"/>
      <c r="M25" s="1085"/>
      <c r="N25" s="1085"/>
      <c r="O25" s="1085"/>
      <c r="P25" s="1085"/>
      <c r="Q25" s="1085"/>
      <c r="R25" s="1085"/>
      <c r="S25" s="1085" t="s">
        <v>538</v>
      </c>
      <c r="T25" s="1085"/>
      <c r="U25" s="1085"/>
      <c r="V25" s="1085" t="s">
        <v>539</v>
      </c>
      <c r="W25" s="1085"/>
      <c r="X25" s="435"/>
    </row>
    <row r="26" spans="1:24" s="88" customFormat="1" ht="9.6" customHeight="1">
      <c r="A26" s="440" t="s">
        <v>675</v>
      </c>
      <c r="B26" s="1086" t="s">
        <v>192</v>
      </c>
      <c r="C26" s="1086">
        <v>594212</v>
      </c>
      <c r="D26" s="1086" t="s">
        <v>540</v>
      </c>
      <c r="E26" s="1086" t="s">
        <v>541</v>
      </c>
      <c r="F26" s="1086" t="s">
        <v>542</v>
      </c>
      <c r="G26" s="1086" t="s">
        <v>543</v>
      </c>
      <c r="H26" s="1086" t="s">
        <v>544</v>
      </c>
      <c r="I26" s="1086" t="s">
        <v>545</v>
      </c>
      <c r="J26" s="1086" t="s">
        <v>546</v>
      </c>
      <c r="K26" s="1086" t="s">
        <v>547</v>
      </c>
      <c r="L26" s="1086" t="s">
        <v>548</v>
      </c>
      <c r="M26" s="1086" t="s">
        <v>549</v>
      </c>
      <c r="N26" s="1086">
        <v>350248</v>
      </c>
      <c r="O26" s="1086" t="s">
        <v>550</v>
      </c>
      <c r="P26" s="1086" t="s">
        <v>551</v>
      </c>
      <c r="Q26" s="1086" t="s">
        <v>552</v>
      </c>
      <c r="R26" s="609" t="s">
        <v>553</v>
      </c>
      <c r="S26" s="838">
        <v>38330</v>
      </c>
      <c r="T26" s="1086"/>
      <c r="U26" s="1086" t="s">
        <v>554</v>
      </c>
      <c r="V26" s="1086">
        <v>41728</v>
      </c>
      <c r="W26" s="1086">
        <v>24596</v>
      </c>
      <c r="X26" s="438"/>
    </row>
    <row r="27" spans="1:24" s="439" customFormat="1" ht="9.6" customHeight="1">
      <c r="A27" s="567"/>
      <c r="B27" s="1087">
        <v>-79565.889212827999</v>
      </c>
      <c r="C27" s="1087">
        <v>-86619.825072886306</v>
      </c>
      <c r="D27" s="1087">
        <v>-826.67638483965004</v>
      </c>
      <c r="E27" s="1087">
        <v>-87446.501457726001</v>
      </c>
      <c r="F27" s="1087">
        <v>-63406.851311953404</v>
      </c>
      <c r="G27" s="1087"/>
      <c r="H27" s="1087">
        <v>-16159.0379008746</v>
      </c>
      <c r="I27" s="1087">
        <v>-24039.650145772601</v>
      </c>
      <c r="J27" s="1087"/>
      <c r="K27" s="1087">
        <v>-19261.224489795899</v>
      </c>
      <c r="L27" s="1088"/>
      <c r="M27" s="1088"/>
      <c r="N27" s="1088"/>
      <c r="O27" s="1088"/>
      <c r="P27" s="1088"/>
      <c r="Q27" s="1088"/>
      <c r="R27" s="1088"/>
      <c r="S27" s="1089">
        <v>559</v>
      </c>
      <c r="T27" s="1088"/>
      <c r="U27" s="1088"/>
      <c r="V27" s="1087">
        <v>-608</v>
      </c>
      <c r="W27" s="1088"/>
      <c r="X27" s="441"/>
    </row>
    <row r="28" spans="1:24" s="88" customFormat="1" ht="9.6" customHeight="1">
      <c r="A28" s="440" t="s">
        <v>141</v>
      </c>
      <c r="B28" s="1086">
        <v>614795</v>
      </c>
      <c r="C28" s="1086">
        <v>670696</v>
      </c>
      <c r="D28" s="1086">
        <v>2407</v>
      </c>
      <c r="E28" s="1086">
        <v>673103</v>
      </c>
      <c r="F28" s="1086">
        <v>491291</v>
      </c>
      <c r="G28" s="609">
        <v>79.91</v>
      </c>
      <c r="H28" s="1086">
        <v>123504</v>
      </c>
      <c r="I28" s="1086">
        <v>181812</v>
      </c>
      <c r="J28" s="1086">
        <v>29.57</v>
      </c>
      <c r="K28" s="1086">
        <v>149839</v>
      </c>
      <c r="L28" s="1086">
        <v>24.37</v>
      </c>
      <c r="M28" s="1086">
        <v>340197</v>
      </c>
      <c r="N28" s="1086">
        <v>371130</v>
      </c>
      <c r="O28" s="1086">
        <v>12.64</v>
      </c>
      <c r="P28" s="1086">
        <v>5.74</v>
      </c>
      <c r="Q28" s="1086">
        <v>181</v>
      </c>
      <c r="R28" s="1086" t="s">
        <v>555</v>
      </c>
      <c r="S28" s="1086">
        <v>42628</v>
      </c>
      <c r="T28" s="1086"/>
      <c r="U28" s="1086">
        <v>23588</v>
      </c>
      <c r="V28" s="1086">
        <v>46504</v>
      </c>
      <c r="W28" s="1086">
        <v>25733</v>
      </c>
      <c r="X28" s="434"/>
    </row>
    <row r="29" spans="1:24" ht="9.6" customHeight="1">
      <c r="A29" s="517"/>
      <c r="B29" s="1089">
        <f>(B28/68.8)*10</f>
        <v>89359.738372093037</v>
      </c>
      <c r="C29" s="1089">
        <f>(C28/68.8)*10</f>
        <v>97484.883720930229</v>
      </c>
      <c r="D29" s="1089">
        <f>(D28/68.8)*10</f>
        <v>349.85465116279073</v>
      </c>
      <c r="E29" s="1089">
        <f>(E28/68.8)*10</f>
        <v>97834.738372093037</v>
      </c>
      <c r="F29" s="1089">
        <f>(F28/68.8)*10</f>
        <v>71408.575581395358</v>
      </c>
      <c r="G29" s="1089"/>
      <c r="H29" s="1089">
        <f>(H28/68.8)*10</f>
        <v>17951.162790697676</v>
      </c>
      <c r="I29" s="1089">
        <f>(I28/68.8)*10</f>
        <v>26426.162790697676</v>
      </c>
      <c r="J29" s="1089"/>
      <c r="K29" s="1089">
        <f>(K28/68.8)*10</f>
        <v>21778.924418604653</v>
      </c>
      <c r="L29" s="1085"/>
      <c r="M29" s="1085"/>
      <c r="N29" s="1085"/>
      <c r="O29" s="1085"/>
      <c r="P29" s="1085"/>
      <c r="Q29" s="1085"/>
      <c r="R29" s="1085"/>
      <c r="S29" s="1089">
        <f>(S28/68.8)</f>
        <v>619.59302325581393</v>
      </c>
      <c r="T29" s="1085"/>
      <c r="U29" s="1085"/>
      <c r="V29" s="1089">
        <f>(V28/68.8)</f>
        <v>675.93023255813955</v>
      </c>
      <c r="W29" s="1085"/>
      <c r="X29" s="78"/>
    </row>
    <row r="30" spans="1:24" ht="9.6" customHeight="1">
      <c r="A30" s="11" t="s">
        <v>136</v>
      </c>
      <c r="B30" s="1090">
        <v>694324</v>
      </c>
      <c r="C30" s="1091">
        <v>758928</v>
      </c>
      <c r="D30" s="1091">
        <v>4248</v>
      </c>
      <c r="E30" s="1091">
        <v>763176</v>
      </c>
      <c r="F30" s="1091">
        <v>554771</v>
      </c>
      <c r="G30" s="609">
        <f>(F30/B30)*100</f>
        <v>79.900882008975643</v>
      </c>
      <c r="H30" s="1091">
        <v>139553</v>
      </c>
      <c r="I30" s="1091">
        <v>208405</v>
      </c>
      <c r="J30" s="609">
        <f>(I30/B30)*100</f>
        <v>30.015525892810853</v>
      </c>
      <c r="K30" s="1091">
        <v>169511</v>
      </c>
      <c r="L30" s="609">
        <f>(K30/B30)*100</f>
        <v>24.413818332651616</v>
      </c>
      <c r="M30" s="1084" t="s">
        <v>1125</v>
      </c>
      <c r="N30" s="1084" t="s">
        <v>1130</v>
      </c>
      <c r="O30" s="1084" t="s">
        <v>1126</v>
      </c>
      <c r="P30" s="1084" t="s">
        <v>1127</v>
      </c>
      <c r="Q30" s="1084" t="s">
        <v>209</v>
      </c>
      <c r="R30" s="1084" t="s">
        <v>208</v>
      </c>
      <c r="S30" s="1084" t="s">
        <v>1128</v>
      </c>
      <c r="T30" s="1084"/>
      <c r="U30" s="1084" t="s">
        <v>1131</v>
      </c>
      <c r="V30" s="1084" t="s">
        <v>1129</v>
      </c>
      <c r="W30" s="1084" t="s">
        <v>1132</v>
      </c>
      <c r="X30" s="78"/>
    </row>
    <row r="31" spans="1:24" s="11" customFormat="1" ht="9.6" customHeight="1">
      <c r="A31" s="517"/>
      <c r="B31" s="1089">
        <f>(B30/69.18)*10</f>
        <v>100364.84533102051</v>
      </c>
      <c r="C31" s="1089">
        <f t="shared" ref="C31:K31" si="0">(C30/69.18)*10</f>
        <v>109703.38248048567</v>
      </c>
      <c r="D31" s="1089">
        <f t="shared" si="0"/>
        <v>614.0503035559409</v>
      </c>
      <c r="E31" s="1089">
        <f t="shared" si="0"/>
        <v>110317.43278404161</v>
      </c>
      <c r="F31" s="1089">
        <f t="shared" si="0"/>
        <v>80192.396646429595</v>
      </c>
      <c r="G31" s="1089"/>
      <c r="H31" s="1089">
        <f t="shared" si="0"/>
        <v>20172.44868459092</v>
      </c>
      <c r="I31" s="1089">
        <f t="shared" si="0"/>
        <v>30125.036137612024</v>
      </c>
      <c r="J31" s="1089"/>
      <c r="K31" s="1089">
        <f t="shared" si="0"/>
        <v>24502.891008962124</v>
      </c>
      <c r="L31" s="1085"/>
      <c r="M31" s="1085"/>
      <c r="N31" s="1085"/>
      <c r="O31" s="1085"/>
      <c r="P31" s="1085"/>
      <c r="Q31" s="1085"/>
      <c r="R31" s="1085"/>
      <c r="S31" s="1089">
        <f>S30/69.18</f>
        <v>687.13501011853134</v>
      </c>
      <c r="T31" s="1085"/>
      <c r="U31" s="1085"/>
      <c r="V31" s="1089">
        <f>V30/69.18</f>
        <v>751.06967331598719</v>
      </c>
      <c r="W31" s="1085"/>
      <c r="X31" s="137"/>
    </row>
    <row r="32" spans="1:24" s="11" customFormat="1" ht="9.6" customHeight="1">
      <c r="A32" s="11" t="s">
        <v>317</v>
      </c>
      <c r="B32" s="1086">
        <v>796704</v>
      </c>
      <c r="C32" s="1086">
        <v>869217</v>
      </c>
      <c r="D32" s="1086">
        <v>3101</v>
      </c>
      <c r="E32" s="1086">
        <v>872319</v>
      </c>
      <c r="F32" s="1086">
        <v>643022</v>
      </c>
      <c r="G32" s="609">
        <f>(F32/B32)*100</f>
        <v>80.710276338514689</v>
      </c>
      <c r="H32" s="1086">
        <v>153682</v>
      </c>
      <c r="I32" s="1086">
        <v>229297</v>
      </c>
      <c r="J32" s="609">
        <f>(I32/B32)*100</f>
        <v>28.780701490139375</v>
      </c>
      <c r="K32" s="1086">
        <v>200378</v>
      </c>
      <c r="L32" s="609">
        <f>(K32/B32)*100</f>
        <v>25.150871590954733</v>
      </c>
      <c r="M32" s="1084" t="s">
        <v>1490</v>
      </c>
      <c r="N32" s="1084" t="s">
        <v>1497</v>
      </c>
      <c r="O32" s="1084" t="s">
        <v>1491</v>
      </c>
      <c r="P32" s="1084" t="s">
        <v>1492</v>
      </c>
      <c r="Q32" s="1092" t="s">
        <v>1495</v>
      </c>
      <c r="R32" s="1084" t="s">
        <v>1493</v>
      </c>
      <c r="S32" s="1086">
        <v>53238</v>
      </c>
      <c r="T32" s="1084"/>
      <c r="U32" s="1092" t="s">
        <v>1496</v>
      </c>
      <c r="V32" s="1086">
        <v>58083</v>
      </c>
      <c r="W32" s="1084" t="s">
        <v>1498</v>
      </c>
      <c r="X32" s="290"/>
    </row>
    <row r="33" spans="1:24" s="11" customFormat="1" ht="9.6" customHeight="1">
      <c r="A33" s="517"/>
      <c r="B33" s="1089">
        <f>(B32/71.17)*10</f>
        <v>111943.79654348742</v>
      </c>
      <c r="C33" s="1089">
        <f>(C32/71.17)*10</f>
        <v>122132.49964872839</v>
      </c>
      <c r="D33" s="1089">
        <f>(D32/71.17)*10</f>
        <v>435.71729661374172</v>
      </c>
      <c r="E33" s="1089">
        <f>(E32/71.17)*10</f>
        <v>122568.35745398341</v>
      </c>
      <c r="F33" s="1089">
        <f>(F32/71.17)*10</f>
        <v>90350.147534073345</v>
      </c>
      <c r="G33" s="1089"/>
      <c r="H33" s="1089">
        <f>(H32/71.17)*10</f>
        <v>21593.649009414079</v>
      </c>
      <c r="I33" s="1089">
        <f>(I32/71.17)*10</f>
        <v>32218.209919910074</v>
      </c>
      <c r="J33" s="1089"/>
      <c r="K33" s="1089">
        <f>(K32/71.17)*10</f>
        <v>28154.840522692142</v>
      </c>
      <c r="L33" s="1085"/>
      <c r="M33" s="1085"/>
      <c r="N33" s="1085"/>
      <c r="O33" s="1085"/>
      <c r="P33" s="1085"/>
      <c r="Q33" s="1085"/>
      <c r="R33" s="1085"/>
      <c r="S33" s="1089">
        <f>S32/71.17</f>
        <v>748.03990445412387</v>
      </c>
      <c r="T33" s="1085"/>
      <c r="U33" s="1085"/>
      <c r="V33" s="1089">
        <f>V32/71.17</f>
        <v>816.116341154981</v>
      </c>
      <c r="W33" s="1085"/>
      <c r="X33" s="137"/>
    </row>
    <row r="34" spans="1:24" s="11" customFormat="1" ht="9.6" customHeight="1">
      <c r="A34" s="11" t="s">
        <v>1299</v>
      </c>
      <c r="B34" s="1079">
        <v>918141</v>
      </c>
      <c r="C34" s="1086">
        <v>1007443</v>
      </c>
      <c r="D34" s="1086">
        <v>1791</v>
      </c>
      <c r="E34" s="1086">
        <v>1009234</v>
      </c>
      <c r="F34" s="1086">
        <v>741287</v>
      </c>
      <c r="G34" s="609">
        <f>(F34/B34)*100</f>
        <v>80.73781695839746</v>
      </c>
      <c r="H34" s="1086">
        <v>176854</v>
      </c>
      <c r="I34" s="1086">
        <v>267947</v>
      </c>
      <c r="J34" s="609">
        <f>(I34/B34)*100</f>
        <v>29.183643906545942</v>
      </c>
      <c r="K34" s="1086">
        <v>243691</v>
      </c>
      <c r="L34" s="609">
        <f>(K34/B34)*100</f>
        <v>26.541783887224295</v>
      </c>
      <c r="M34" s="1084">
        <v>409053</v>
      </c>
      <c r="N34" s="1084" t="s">
        <v>1852</v>
      </c>
      <c r="O34" s="1084" t="s">
        <v>1837</v>
      </c>
      <c r="P34" s="1084" t="s">
        <v>1838</v>
      </c>
      <c r="Q34" s="1084" t="s">
        <v>1853</v>
      </c>
      <c r="R34" s="1084" t="s">
        <v>1494</v>
      </c>
      <c r="S34" s="1086">
        <v>60571</v>
      </c>
      <c r="T34" s="1084"/>
      <c r="U34" s="1084" t="s">
        <v>1855</v>
      </c>
      <c r="V34" s="1086">
        <v>66463</v>
      </c>
      <c r="W34" s="1084" t="s">
        <v>1856</v>
      </c>
      <c r="X34" s="137"/>
    </row>
    <row r="35" spans="1:24" s="11" customFormat="1" ht="9.6" customHeight="1">
      <c r="A35" s="517"/>
      <c r="B35" s="1089">
        <f>(B34/79.1)*10</f>
        <v>116073.45132743364</v>
      </c>
      <c r="C35" s="1089">
        <f>(C34/79.1)*10</f>
        <v>127363.21112515804</v>
      </c>
      <c r="D35" s="1089">
        <f>(D34/79.1)*10</f>
        <v>226.42225031605562</v>
      </c>
      <c r="E35" s="1089">
        <f>(E34/79.1)*10</f>
        <v>127589.63337547409</v>
      </c>
      <c r="F35" s="1089">
        <f>(F34/79.1)*10</f>
        <v>93715.170670037929</v>
      </c>
      <c r="G35" s="1089"/>
      <c r="H35" s="1089">
        <f>(H34/79.1)*10</f>
        <v>22358.280657395702</v>
      </c>
      <c r="I35" s="1089">
        <f>(I34/79.1)*10</f>
        <v>33874.462705436155</v>
      </c>
      <c r="J35" s="1089"/>
      <c r="K35" s="1089">
        <f>(K34/79.1)*10</f>
        <v>30807.964601769912</v>
      </c>
      <c r="L35" s="1085"/>
      <c r="M35" s="1085"/>
      <c r="N35" s="1085"/>
      <c r="O35" s="1085"/>
      <c r="P35" s="1085"/>
      <c r="Q35" s="1085"/>
      <c r="R35" s="1085"/>
      <c r="S35" s="1089">
        <f>S34/79.1</f>
        <v>765.75221238938059</v>
      </c>
      <c r="T35" s="1085"/>
      <c r="U35" s="1085"/>
      <c r="V35" s="1089">
        <f>V34/79.1</f>
        <v>840.24020227560061</v>
      </c>
      <c r="W35" s="1085"/>
      <c r="X35" s="137"/>
    </row>
    <row r="36" spans="1:24" s="11" customFormat="1" ht="9.6" customHeight="1">
      <c r="A36" s="635" t="s">
        <v>2187</v>
      </c>
      <c r="B36" s="838">
        <v>482337</v>
      </c>
      <c r="C36" s="1086">
        <v>509545</v>
      </c>
      <c r="D36" s="1086">
        <v>3653</v>
      </c>
      <c r="E36" s="1086">
        <v>513197</v>
      </c>
      <c r="F36" s="1086">
        <v>378940</v>
      </c>
      <c r="G36" s="609">
        <f>(F36/B36)*100</f>
        <v>78.563328129502821</v>
      </c>
      <c r="H36" s="1086">
        <v>103397</v>
      </c>
      <c r="I36" s="1086">
        <v>134257</v>
      </c>
      <c r="J36" s="609">
        <f>(I36/B36)*100</f>
        <v>27.834688195183038</v>
      </c>
      <c r="K36" s="1086">
        <v>126103</v>
      </c>
      <c r="L36" s="609">
        <f>(K36/B36)*100</f>
        <v>26.144168910948157</v>
      </c>
      <c r="M36" s="1084" t="s">
        <v>2188</v>
      </c>
      <c r="N36" s="1084" t="s">
        <v>2193</v>
      </c>
      <c r="O36" s="1084" t="s">
        <v>1126</v>
      </c>
      <c r="P36" s="1084" t="s">
        <v>2202</v>
      </c>
      <c r="Q36" s="1084" t="s">
        <v>1854</v>
      </c>
      <c r="R36" s="1084" t="s">
        <v>2206</v>
      </c>
      <c r="S36" s="1086">
        <v>34502</v>
      </c>
      <c r="T36" s="1084"/>
      <c r="U36" s="1084" t="s">
        <v>2212</v>
      </c>
      <c r="V36" s="1086">
        <v>36448</v>
      </c>
      <c r="W36" s="1084" t="s">
        <v>2211</v>
      </c>
      <c r="X36" s="137"/>
    </row>
    <row r="37" spans="1:24" s="11" customFormat="1" ht="9.6" customHeight="1">
      <c r="A37" s="517"/>
      <c r="B37" s="1089">
        <f>(B36/67.08)*10</f>
        <v>71904.740608228982</v>
      </c>
      <c r="C37" s="1089">
        <f>(C36/67.08)*10</f>
        <v>75960.793082886114</v>
      </c>
      <c r="D37" s="1089">
        <f>(D36/67.08)*10</f>
        <v>544.5736434108527</v>
      </c>
      <c r="E37" s="1089">
        <f>(E36/67.08)*10</f>
        <v>76505.217650566497</v>
      </c>
      <c r="F37" s="1089">
        <f>(F36/67.08)*10</f>
        <v>56490.757304710794</v>
      </c>
      <c r="G37" s="1089"/>
      <c r="H37" s="1089">
        <f>(H36/67.08)*10</f>
        <v>15413.983303518187</v>
      </c>
      <c r="I37" s="1089">
        <f>(I36/67.08)*10</f>
        <v>20014.460345855696</v>
      </c>
      <c r="J37" s="1089"/>
      <c r="K37" s="1089">
        <f>(K36/67.08)*10</f>
        <v>18798.896839594516</v>
      </c>
      <c r="L37" s="1085"/>
      <c r="M37" s="1085"/>
      <c r="N37" s="1085"/>
      <c r="O37" s="1085"/>
      <c r="P37" s="1085"/>
      <c r="Q37" s="1085"/>
      <c r="R37" s="1085"/>
      <c r="S37" s="1089">
        <f>S36/67.08</f>
        <v>514.34108527131787</v>
      </c>
      <c r="T37" s="1085"/>
      <c r="U37" s="1085"/>
      <c r="V37" s="1089">
        <f>V36/67.08</f>
        <v>543.35122242098987</v>
      </c>
      <c r="W37" s="1085"/>
      <c r="X37" s="137"/>
    </row>
    <row r="38" spans="1:24" s="11" customFormat="1" ht="9.6" customHeight="1">
      <c r="A38" s="298" t="s">
        <v>962</v>
      </c>
      <c r="B38" s="838">
        <v>549800</v>
      </c>
      <c r="C38" s="1086">
        <v>585075</v>
      </c>
      <c r="D38" s="1086">
        <v>3989</v>
      </c>
      <c r="E38" s="1086">
        <v>589064</v>
      </c>
      <c r="F38" s="1086">
        <v>435731</v>
      </c>
      <c r="G38" s="609">
        <f>(F38/B38)*100</f>
        <v>79.252637322662792</v>
      </c>
      <c r="H38" s="1086">
        <v>114069</v>
      </c>
      <c r="I38" s="1086">
        <v>153333</v>
      </c>
      <c r="J38" s="609">
        <f>(I38/B38)*100</f>
        <v>27.888868679519824</v>
      </c>
      <c r="K38" s="1086">
        <v>143929</v>
      </c>
      <c r="L38" s="609">
        <f>(K38/B38)*100</f>
        <v>26.178428519461622</v>
      </c>
      <c r="M38" s="1084" t="s">
        <v>2189</v>
      </c>
      <c r="N38" s="1084" t="s">
        <v>2194</v>
      </c>
      <c r="O38" s="1084" t="s">
        <v>2198</v>
      </c>
      <c r="P38" s="1084" t="s">
        <v>2203</v>
      </c>
      <c r="Q38" s="1084" t="s">
        <v>1854</v>
      </c>
      <c r="R38" s="1084" t="s">
        <v>2207</v>
      </c>
      <c r="S38" s="1086">
        <v>38773</v>
      </c>
      <c r="T38" s="1084"/>
      <c r="U38" s="1084" t="s">
        <v>2213</v>
      </c>
      <c r="V38" s="1086">
        <v>41261</v>
      </c>
      <c r="W38" s="1084" t="s">
        <v>2217</v>
      </c>
      <c r="X38" s="137"/>
    </row>
    <row r="39" spans="1:24" s="11" customFormat="1" ht="9.6" customHeight="1">
      <c r="A39" s="517"/>
      <c r="B39" s="1089">
        <f>(B38/69.03)*10</f>
        <v>79646.530493988117</v>
      </c>
      <c r="C39" s="1089">
        <f>(C38/69.03)*10</f>
        <v>84756.627553237719</v>
      </c>
      <c r="D39" s="1089">
        <f>(D38/69.03)*10</f>
        <v>577.86469650876427</v>
      </c>
      <c r="E39" s="1089">
        <f>(E38/69.03)*10</f>
        <v>85334.492249746487</v>
      </c>
      <c r="F39" s="1089">
        <f>(F38/69.03)*10</f>
        <v>63121.975952484427</v>
      </c>
      <c r="G39" s="1089"/>
      <c r="H39" s="1089">
        <f>(H38/69.03)*10</f>
        <v>16524.554541503694</v>
      </c>
      <c r="I39" s="1089">
        <f>(I38/69.03)*10</f>
        <v>22212.51629726206</v>
      </c>
      <c r="J39" s="1089"/>
      <c r="K39" s="1089">
        <f>(K38/69.03)*10</f>
        <v>20850.210053599883</v>
      </c>
      <c r="L39" s="1085"/>
      <c r="M39" s="1085"/>
      <c r="N39" s="1085"/>
      <c r="O39" s="1085"/>
      <c r="P39" s="1085"/>
      <c r="Q39" s="1085"/>
      <c r="R39" s="1085"/>
      <c r="S39" s="1089">
        <f>S38/69.03</f>
        <v>561.68332609010577</v>
      </c>
      <c r="T39" s="1085"/>
      <c r="U39" s="1085"/>
      <c r="V39" s="1089">
        <f>V38/69.03</f>
        <v>597.7256265391859</v>
      </c>
      <c r="W39" s="1085"/>
      <c r="X39" s="137"/>
    </row>
    <row r="40" spans="1:24" s="11" customFormat="1" ht="9.6" customHeight="1">
      <c r="A40" s="298" t="s">
        <v>675</v>
      </c>
      <c r="B40" s="838">
        <v>628682</v>
      </c>
      <c r="C40" s="1086">
        <v>677072</v>
      </c>
      <c r="D40" s="1086">
        <v>5671</v>
      </c>
      <c r="E40" s="1086">
        <v>682743</v>
      </c>
      <c r="F40" s="1086">
        <v>508042</v>
      </c>
      <c r="G40" s="609">
        <f>(F40/B40)*100</f>
        <v>80.810648308683881</v>
      </c>
      <c r="H40" s="1086">
        <v>120640</v>
      </c>
      <c r="I40" s="1086">
        <v>174701</v>
      </c>
      <c r="J40" s="609">
        <f>(I40/B40)*100</f>
        <v>27.788452667644375</v>
      </c>
      <c r="K40" s="1086">
        <v>164729</v>
      </c>
      <c r="L40" s="609">
        <f>(K40/B40)*100</f>
        <v>26.202277144884057</v>
      </c>
      <c r="M40" s="1084" t="s">
        <v>2190</v>
      </c>
      <c r="N40" s="1084" t="s">
        <v>2195</v>
      </c>
      <c r="O40" s="1084" t="s">
        <v>2199</v>
      </c>
      <c r="P40" s="1084" t="s">
        <v>2008</v>
      </c>
      <c r="Q40" s="1084" t="s">
        <v>1854</v>
      </c>
      <c r="R40" s="1084" t="s">
        <v>2208</v>
      </c>
      <c r="S40" s="1086">
        <v>43719</v>
      </c>
      <c r="T40" s="1084"/>
      <c r="U40" s="1084" t="s">
        <v>2218</v>
      </c>
      <c r="V40" s="1086">
        <v>47084</v>
      </c>
      <c r="W40" s="1084" t="s">
        <v>2214</v>
      </c>
      <c r="X40" s="137"/>
    </row>
    <row r="41" spans="1:24" s="11" customFormat="1" ht="9.6" customHeight="1">
      <c r="A41" s="517"/>
      <c r="B41" s="1089">
        <f>(B40/68.6)*10</f>
        <v>91644.606413994174</v>
      </c>
      <c r="C41" s="1089">
        <f>(C40/68.6)*10</f>
        <v>98698.542274052481</v>
      </c>
      <c r="D41" s="1089">
        <f>(D40/68.6)*10</f>
        <v>826.67638483965015</v>
      </c>
      <c r="E41" s="1089">
        <f>(E40/68.6)*10</f>
        <v>99525.218658892132</v>
      </c>
      <c r="F41" s="1089">
        <f>(F40/68.6)*10</f>
        <v>74058.600583090389</v>
      </c>
      <c r="G41" s="1089"/>
      <c r="H41" s="1089">
        <f>(H40/68.6)*10</f>
        <v>17586.005830903792</v>
      </c>
      <c r="I41" s="1089">
        <f>(I40/68.6)*10</f>
        <v>25466.618075801751</v>
      </c>
      <c r="J41" s="1089"/>
      <c r="K41" s="1089">
        <f>(K40/68.6)*10</f>
        <v>24012.973760932946</v>
      </c>
      <c r="L41" s="1085"/>
      <c r="M41" s="1085"/>
      <c r="N41" s="1085"/>
      <c r="O41" s="1085"/>
      <c r="P41" s="1085"/>
      <c r="Q41" s="1085"/>
      <c r="R41" s="1085"/>
      <c r="S41" s="1089">
        <f>S40/68.6</f>
        <v>637.30320699708454</v>
      </c>
      <c r="T41" s="1085"/>
      <c r="U41" s="1085"/>
      <c r="V41" s="1089">
        <f>V40/68.6</f>
        <v>686.3556851311954</v>
      </c>
      <c r="W41" s="1085"/>
      <c r="X41" s="137"/>
    </row>
    <row r="42" spans="1:24" s="11" customFormat="1" ht="9.6" customHeight="1">
      <c r="A42" s="298" t="s">
        <v>141</v>
      </c>
      <c r="B42" s="838">
        <v>705072</v>
      </c>
      <c r="C42" s="1086">
        <v>760973</v>
      </c>
      <c r="D42" s="1086">
        <v>2407</v>
      </c>
      <c r="E42" s="1086">
        <v>763380</v>
      </c>
      <c r="F42" s="1086">
        <v>561714</v>
      </c>
      <c r="G42" s="609">
        <f>(F42/B42)*100</f>
        <v>79.667608414459806</v>
      </c>
      <c r="H42" s="1086">
        <v>143358</v>
      </c>
      <c r="I42" s="1086">
        <v>201662</v>
      </c>
      <c r="J42" s="609">
        <f>(I42/B42)*100</f>
        <v>28.601617990786753</v>
      </c>
      <c r="K42" s="1086">
        <v>184772</v>
      </c>
      <c r="L42" s="609">
        <f>(K42/B42)*100</f>
        <v>26.206117956747683</v>
      </c>
      <c r="M42" s="1084" t="s">
        <v>2191</v>
      </c>
      <c r="N42" s="1084" t="s">
        <v>2196</v>
      </c>
      <c r="O42" s="1084" t="s">
        <v>2200</v>
      </c>
      <c r="P42" s="1084" t="s">
        <v>2204</v>
      </c>
      <c r="Q42" s="1084" t="s">
        <v>1854</v>
      </c>
      <c r="R42" s="1084" t="s">
        <v>2209</v>
      </c>
      <c r="S42" s="1086">
        <v>48359</v>
      </c>
      <c r="T42" s="1084"/>
      <c r="U42" s="1084" t="s">
        <v>2219</v>
      </c>
      <c r="V42" s="1086">
        <v>52193</v>
      </c>
      <c r="W42" s="1084" t="s">
        <v>2215</v>
      </c>
      <c r="X42" s="137"/>
    </row>
    <row r="43" spans="1:24" s="11" customFormat="1" ht="9.6" customHeight="1">
      <c r="A43" s="517"/>
      <c r="B43" s="1089">
        <f>(B42/68.8)*10</f>
        <v>102481.39534883722</v>
      </c>
      <c r="C43" s="1089">
        <f>(C42/68.8)*10</f>
        <v>110606.54069767443</v>
      </c>
      <c r="D43" s="1089">
        <f>(D42/68.8)*10</f>
        <v>349.85465116279073</v>
      </c>
      <c r="E43" s="1089">
        <f>(E42/68.8)*10</f>
        <v>110956.39534883722</v>
      </c>
      <c r="F43" s="1089">
        <f>(F42/68.8)*10</f>
        <v>81644.476744186046</v>
      </c>
      <c r="G43" s="1089"/>
      <c r="H43" s="1089">
        <f>(H42/68.8)*10</f>
        <v>20836.918604651164</v>
      </c>
      <c r="I43" s="1089">
        <f>(I42/68.8)*10</f>
        <v>29311.337209302328</v>
      </c>
      <c r="J43" s="1089"/>
      <c r="K43" s="1089">
        <f>(K42/68.8)*10</f>
        <v>26856.39534883721</v>
      </c>
      <c r="L43" s="1085"/>
      <c r="M43" s="1085"/>
      <c r="N43" s="1085"/>
      <c r="O43" s="1085"/>
      <c r="P43" s="1085"/>
      <c r="Q43" s="1085"/>
      <c r="R43" s="1085"/>
      <c r="S43" s="1089">
        <f>S42/68.8</f>
        <v>702.89244186046517</v>
      </c>
      <c r="T43" s="1085"/>
      <c r="U43" s="1085"/>
      <c r="V43" s="1089">
        <f>V42/68.8</f>
        <v>758.61918604651169</v>
      </c>
      <c r="W43" s="1085"/>
      <c r="X43" s="137"/>
    </row>
    <row r="44" spans="1:24" s="11" customFormat="1" ht="9.6" customHeight="1">
      <c r="A44" s="298" t="s">
        <v>136</v>
      </c>
      <c r="B44" s="838">
        <v>797539</v>
      </c>
      <c r="C44" s="1086">
        <v>862142</v>
      </c>
      <c r="D44" s="1086">
        <v>4248</v>
      </c>
      <c r="E44" s="1086">
        <v>866390</v>
      </c>
      <c r="F44" s="1086">
        <v>631571</v>
      </c>
      <c r="G44" s="609">
        <f>(F44/B44)*100</f>
        <v>79.189983185775233</v>
      </c>
      <c r="H44" s="1086">
        <v>165968</v>
      </c>
      <c r="I44" s="1086">
        <v>234819</v>
      </c>
      <c r="J44" s="609">
        <f>(I44/B44)*100</f>
        <v>29.442948871465845</v>
      </c>
      <c r="K44" s="1086">
        <v>209327</v>
      </c>
      <c r="L44" s="609">
        <f>(K44/B44)*100</f>
        <v>26.246616152940483</v>
      </c>
      <c r="M44" s="1084" t="s">
        <v>2192</v>
      </c>
      <c r="N44" s="1084" t="s">
        <v>2197</v>
      </c>
      <c r="O44" s="1084" t="s">
        <v>2201</v>
      </c>
      <c r="P44" s="1084" t="s">
        <v>2205</v>
      </c>
      <c r="Q44" s="1084" t="s">
        <v>1854</v>
      </c>
      <c r="R44" s="1084" t="s">
        <v>2210</v>
      </c>
      <c r="S44" s="1086">
        <v>53961</v>
      </c>
      <c r="T44" s="1084"/>
      <c r="U44" s="1084" t="s">
        <v>2220</v>
      </c>
      <c r="V44" s="1086">
        <v>58332</v>
      </c>
      <c r="W44" s="1084" t="s">
        <v>2216</v>
      </c>
      <c r="X44" s="137"/>
    </row>
    <row r="45" spans="1:24" s="11" customFormat="1" ht="9.6" customHeight="1">
      <c r="A45" s="517"/>
      <c r="B45" s="1089">
        <f>(B44/69.18)*10</f>
        <v>115284.61983232148</v>
      </c>
      <c r="C45" s="1089">
        <f>(C44/69.18)*10</f>
        <v>124623.01243133852</v>
      </c>
      <c r="D45" s="1089">
        <f>(D44/69.18)*10</f>
        <v>614.0503035559409</v>
      </c>
      <c r="E45" s="1089">
        <f>(E44/69.18)*10</f>
        <v>125237.06273489445</v>
      </c>
      <c r="F45" s="1089">
        <f>(F44/69.18)*10</f>
        <v>91293.871061000274</v>
      </c>
      <c r="G45" s="1089"/>
      <c r="H45" s="1089">
        <f>(H44/69.18)*10</f>
        <v>23990.748771321189</v>
      </c>
      <c r="I45" s="1089">
        <f>(I44/69.18)*10</f>
        <v>33943.191673894187</v>
      </c>
      <c r="J45" s="1089"/>
      <c r="K45" s="1089">
        <f>(K44/69.18)*10</f>
        <v>30258.311650766114</v>
      </c>
      <c r="L45" s="1085"/>
      <c r="M45" s="1085"/>
      <c r="N45" s="1085"/>
      <c r="O45" s="1085"/>
      <c r="P45" s="1085"/>
      <c r="Q45" s="1085"/>
      <c r="R45" s="1085"/>
      <c r="S45" s="1089">
        <f>S44/69.18</f>
        <v>780.0086730268863</v>
      </c>
      <c r="T45" s="1085"/>
      <c r="U45" s="1085"/>
      <c r="V45" s="1089">
        <f>V44/69.18</f>
        <v>843.19167389418897</v>
      </c>
      <c r="W45" s="1085"/>
      <c r="X45" s="137"/>
    </row>
    <row r="46" spans="1:24" s="11" customFormat="1" ht="9.6" customHeight="1">
      <c r="A46" s="11" t="s">
        <v>317</v>
      </c>
      <c r="B46" s="1086">
        <v>915829</v>
      </c>
      <c r="C46" s="1086">
        <v>988342</v>
      </c>
      <c r="D46" s="1086">
        <v>3102</v>
      </c>
      <c r="E46" s="1086">
        <v>991444</v>
      </c>
      <c r="F46" s="1086">
        <v>726966</v>
      </c>
      <c r="G46" s="609">
        <f>(F46/B46)*100</f>
        <v>79.377918803619451</v>
      </c>
      <c r="H46" s="1086">
        <v>188863</v>
      </c>
      <c r="I46" s="1086">
        <v>264478</v>
      </c>
      <c r="J46" s="609">
        <f>(I46/B46)*100</f>
        <v>28.878535185061839</v>
      </c>
      <c r="K46" s="1086">
        <v>251129</v>
      </c>
      <c r="L46" s="609">
        <f>(K46/B46)*100</f>
        <v>27.420948670548761</v>
      </c>
      <c r="M46" s="1084" t="s">
        <v>2001</v>
      </c>
      <c r="N46" s="1084" t="s">
        <v>2034</v>
      </c>
      <c r="O46" s="1084" t="s">
        <v>2002</v>
      </c>
      <c r="P46" s="1084" t="s">
        <v>2003</v>
      </c>
      <c r="Q46" s="1093">
        <f>(B46/M46)*100</f>
        <v>141.694180480303</v>
      </c>
      <c r="R46" s="1084" t="s">
        <v>1493</v>
      </c>
      <c r="S46" s="1086">
        <v>61198</v>
      </c>
      <c r="T46" s="1084"/>
      <c r="U46" s="1093">
        <v>43190</v>
      </c>
      <c r="V46" s="1086">
        <v>66044</v>
      </c>
      <c r="W46" s="1084" t="s">
        <v>2037</v>
      </c>
      <c r="X46" s="137"/>
    </row>
    <row r="47" spans="1:24" s="11" customFormat="1" ht="9.6" customHeight="1">
      <c r="A47" s="517"/>
      <c r="B47" s="1089">
        <f>(B46/71.17)*10</f>
        <v>128681.88843613882</v>
      </c>
      <c r="C47" s="1089">
        <f>(C46/71.17)*10</f>
        <v>138870.59154137981</v>
      </c>
      <c r="D47" s="1089">
        <f>(D46/71.17)*10</f>
        <v>435.85780525502315</v>
      </c>
      <c r="E47" s="1089">
        <f>(E46/71.17)*10</f>
        <v>139306.44934663482</v>
      </c>
      <c r="F47" s="1089">
        <f>(F46/71.17)*10</f>
        <v>102145.00491780243</v>
      </c>
      <c r="G47" s="1089"/>
      <c r="H47" s="1089">
        <f>(H46/71.17)*10</f>
        <v>26536.883518336377</v>
      </c>
      <c r="I47" s="1089">
        <f>(I46/71.17)*10</f>
        <v>37161.444428832372</v>
      </c>
      <c r="J47" s="1089"/>
      <c r="K47" s="1089">
        <f>(K46/71.17)*10</f>
        <v>35285.794576366447</v>
      </c>
      <c r="L47" s="1085"/>
      <c r="M47" s="1085"/>
      <c r="N47" s="1085"/>
      <c r="O47" s="1085"/>
      <c r="P47" s="1085"/>
      <c r="Q47" s="1085"/>
      <c r="R47" s="1085"/>
      <c r="S47" s="1089">
        <f>S46/71.17</f>
        <v>859.88478291414924</v>
      </c>
      <c r="T47" s="1085"/>
      <c r="U47" s="1085"/>
      <c r="V47" s="1089">
        <f>V46/71.17</f>
        <v>927.97527047913445</v>
      </c>
      <c r="W47" s="1085"/>
      <c r="X47" s="137"/>
    </row>
    <row r="48" spans="1:24" s="11" customFormat="1" ht="9.6" customHeight="1">
      <c r="A48" s="11" t="s">
        <v>1299</v>
      </c>
      <c r="B48" s="1079">
        <v>1055204</v>
      </c>
      <c r="C48" s="1086">
        <v>1144506</v>
      </c>
      <c r="D48" s="1086">
        <v>1791</v>
      </c>
      <c r="E48" s="1086">
        <v>1146297</v>
      </c>
      <c r="F48" s="1086">
        <v>831250</v>
      </c>
      <c r="G48" s="609">
        <f>(F48/B48)*100</f>
        <v>78.776236632916479</v>
      </c>
      <c r="H48" s="1086">
        <v>223954</v>
      </c>
      <c r="I48" s="1086">
        <v>315047</v>
      </c>
      <c r="J48" s="609">
        <f>(I48/B48)*100</f>
        <v>29.856501681191506</v>
      </c>
      <c r="K48" s="1086">
        <v>298225</v>
      </c>
      <c r="L48" s="609">
        <f>(K48/B48)*100</f>
        <v>28.262307572753702</v>
      </c>
      <c r="M48" s="1084" t="s">
        <v>2004</v>
      </c>
      <c r="N48" s="1084" t="s">
        <v>2033</v>
      </c>
      <c r="O48" s="1084" t="s">
        <v>2005</v>
      </c>
      <c r="P48" s="1084" t="s">
        <v>2006</v>
      </c>
      <c r="Q48" s="1093">
        <f>(B48/M48)*100</f>
        <v>153.26285089318264</v>
      </c>
      <c r="R48" s="1084" t="s">
        <v>1494</v>
      </c>
      <c r="S48" s="1086">
        <v>69614</v>
      </c>
      <c r="T48" s="1084"/>
      <c r="U48" s="1093">
        <v>45421</v>
      </c>
      <c r="V48" s="1086">
        <v>75505</v>
      </c>
      <c r="W48" s="1084" t="s">
        <v>2036</v>
      </c>
      <c r="X48" s="137"/>
    </row>
    <row r="49" spans="1:24" s="11" customFormat="1" ht="9.6" customHeight="1">
      <c r="A49" s="517"/>
      <c r="B49" s="1089">
        <f>(B48/79.1)*10</f>
        <v>133401.26422250317</v>
      </c>
      <c r="C49" s="1089">
        <f>(C48/79.1)*10</f>
        <v>144691.02402022757</v>
      </c>
      <c r="D49" s="1089">
        <f>(D48/79.1)*10</f>
        <v>226.42225031605562</v>
      </c>
      <c r="E49" s="1089">
        <f>(E48/79.1)*10</f>
        <v>144917.44627054362</v>
      </c>
      <c r="F49" s="1089">
        <f>(F48/79.1)*10</f>
        <v>105088.49557522124</v>
      </c>
      <c r="G49" s="1089"/>
      <c r="H49" s="1089">
        <f>(H48/79.1)*10</f>
        <v>28312.768647281922</v>
      </c>
      <c r="I49" s="1089">
        <f>(I48/79.1)*10</f>
        <v>39828.950695322375</v>
      </c>
      <c r="J49" s="1089"/>
      <c r="K49" s="1089">
        <f>(K48/79.1)*10</f>
        <v>37702.275600505687</v>
      </c>
      <c r="L49" s="1085"/>
      <c r="M49" s="1085"/>
      <c r="N49" s="1085"/>
      <c r="O49" s="1085"/>
      <c r="P49" s="1085"/>
      <c r="Q49" s="1085"/>
      <c r="R49" s="1085"/>
      <c r="S49" s="1089">
        <f>S48/79.1</f>
        <v>880.07585335018973</v>
      </c>
      <c r="T49" s="1085"/>
      <c r="U49" s="1085"/>
      <c r="V49" s="1089">
        <f>V48/79.1</f>
        <v>954.55120101137811</v>
      </c>
      <c r="W49" s="1085"/>
      <c r="X49" s="137"/>
    </row>
    <row r="50" spans="1:24" s="11" customFormat="1" ht="9.6" customHeight="1">
      <c r="A50" s="11" t="s">
        <v>1505</v>
      </c>
      <c r="B50" s="838">
        <v>1198923</v>
      </c>
      <c r="C50" s="1086">
        <v>1295352</v>
      </c>
      <c r="D50" s="1086">
        <v>5375</v>
      </c>
      <c r="E50" s="1086">
        <v>1300727</v>
      </c>
      <c r="F50" s="1086">
        <v>934727</v>
      </c>
      <c r="G50" s="609">
        <f>(F50/B50)*100</f>
        <v>77.963889257275071</v>
      </c>
      <c r="H50" s="1086">
        <v>264196</v>
      </c>
      <c r="I50" s="1086">
        <v>365999.9</v>
      </c>
      <c r="J50" s="609">
        <f>(I50/B50)*100</f>
        <v>30.527389999190941</v>
      </c>
      <c r="K50" s="1086">
        <v>340370</v>
      </c>
      <c r="L50" s="609">
        <f>(K50/B50)*100</f>
        <v>28.38964637428759</v>
      </c>
      <c r="M50" s="1084" t="s">
        <v>2007</v>
      </c>
      <c r="N50" s="1084" t="s">
        <v>2032</v>
      </c>
      <c r="O50" s="1084" t="s">
        <v>2009</v>
      </c>
      <c r="P50" s="1084" t="s">
        <v>2008</v>
      </c>
      <c r="Q50" s="1093">
        <f>(B50/M50)*100</f>
        <v>164.25920369586393</v>
      </c>
      <c r="R50" s="1084" t="s">
        <v>2010</v>
      </c>
      <c r="S50" s="1086">
        <v>78009</v>
      </c>
      <c r="T50" s="1084"/>
      <c r="U50" s="1093">
        <v>47491</v>
      </c>
      <c r="V50" s="1086">
        <v>84283</v>
      </c>
      <c r="W50" s="1084" t="s">
        <v>2035</v>
      </c>
      <c r="X50" s="137"/>
    </row>
    <row r="51" spans="1:24" s="11" customFormat="1" ht="9.6" customHeight="1">
      <c r="A51" s="517"/>
      <c r="B51" s="1089">
        <f>(B50/79.93)*10</f>
        <v>149996.62204428873</v>
      </c>
      <c r="C51" s="1089">
        <f>(C50/79.93)*10</f>
        <v>162060.80320280243</v>
      </c>
      <c r="D51" s="1089">
        <f>(D50/79.93)*10</f>
        <v>672.46340547979469</v>
      </c>
      <c r="E51" s="1089">
        <f>(E50/79.93)*10</f>
        <v>162733.26660828223</v>
      </c>
      <c r="F51" s="1089">
        <f>(F50/79.93)*10</f>
        <v>116943.20030026272</v>
      </c>
      <c r="G51" s="1089"/>
      <c r="H51" s="1089">
        <f>(H50/79.93)*10</f>
        <v>33053.421744026018</v>
      </c>
      <c r="I51" s="1089">
        <f>(I50/79.93)*10</f>
        <v>45790.05379707244</v>
      </c>
      <c r="J51" s="1089"/>
      <c r="K51" s="1089">
        <f>(K50/79.93)*10</f>
        <v>42583.510571750274</v>
      </c>
      <c r="L51" s="1085"/>
      <c r="M51" s="1085"/>
      <c r="N51" s="1085"/>
      <c r="O51" s="1085"/>
      <c r="P51" s="1085"/>
      <c r="Q51" s="1085"/>
      <c r="R51" s="1085"/>
      <c r="S51" s="1089">
        <f>S50/79.93</f>
        <v>975.96647066182902</v>
      </c>
      <c r="T51" s="1085"/>
      <c r="U51" s="1085"/>
      <c r="V51" s="1089">
        <f>V50/79.93</f>
        <v>1054.4601526335543</v>
      </c>
      <c r="W51" s="1085"/>
      <c r="X51" s="137"/>
    </row>
    <row r="52" spans="1:24" s="11" customFormat="1" ht="9.9499999999999993" customHeight="1">
      <c r="A52" s="635" t="s">
        <v>1886</v>
      </c>
      <c r="B52" s="838">
        <v>1343674</v>
      </c>
      <c r="C52" s="1086">
        <v>1433224</v>
      </c>
      <c r="D52" s="1086">
        <v>6334</v>
      </c>
      <c r="E52" s="1086">
        <v>1439558</v>
      </c>
      <c r="F52" s="1086">
        <v>1046856</v>
      </c>
      <c r="G52" s="609">
        <f>(F52/B52)*100</f>
        <v>77.909969233608749</v>
      </c>
      <c r="H52" s="1086">
        <v>296817</v>
      </c>
      <c r="I52" s="1086">
        <v>392701</v>
      </c>
      <c r="J52" s="609">
        <f>(I52/B52)*100</f>
        <v>29.225913428405999</v>
      </c>
      <c r="K52" s="1086">
        <v>383994</v>
      </c>
      <c r="L52" s="609">
        <f>(K52/B52)*100</f>
        <v>28.577913988065557</v>
      </c>
      <c r="M52" s="1084" t="s">
        <v>2182</v>
      </c>
      <c r="N52" s="1084">
        <v>825728</v>
      </c>
      <c r="O52" s="1084" t="s">
        <v>2183</v>
      </c>
      <c r="P52" s="1084" t="s">
        <v>2184</v>
      </c>
      <c r="Q52" s="1093">
        <f>(B52/M52)*100</f>
        <v>173.57079376233634</v>
      </c>
      <c r="R52" s="1084" t="s">
        <v>2011</v>
      </c>
      <c r="S52" s="1086">
        <v>86266</v>
      </c>
      <c r="T52" s="1084"/>
      <c r="U52" s="1093">
        <v>49701</v>
      </c>
      <c r="V52" s="1086">
        <v>92015</v>
      </c>
      <c r="W52" s="1084" t="s">
        <v>2323</v>
      </c>
      <c r="X52" s="137"/>
    </row>
    <row r="53" spans="1:24" s="11" customFormat="1" ht="9.75" customHeight="1">
      <c r="A53" s="517"/>
      <c r="B53" s="1089">
        <f>(B52/77.72)*10</f>
        <v>172886.51569737517</v>
      </c>
      <c r="C53" s="1089">
        <f>(C52/77.72)*10</f>
        <v>184408.64642305713</v>
      </c>
      <c r="D53" s="1089">
        <f>(D52/77.72)*10</f>
        <v>814.97683993823989</v>
      </c>
      <c r="E53" s="1089">
        <f>(E52/77.72)*10</f>
        <v>185223.62326299539</v>
      </c>
      <c r="F53" s="1089">
        <f>(F52/77.72)*10</f>
        <v>134695.83118888317</v>
      </c>
      <c r="G53" s="1089"/>
      <c r="H53" s="1089">
        <f>(H52/77.72)*10</f>
        <v>38190.555841482244</v>
      </c>
      <c r="I53" s="1089">
        <f>(I52/77.72)*10</f>
        <v>50527.663407102416</v>
      </c>
      <c r="J53" s="1089"/>
      <c r="K53" s="1089">
        <f>(K52/77.72)*10</f>
        <v>49407.359752959346</v>
      </c>
      <c r="L53" s="1085"/>
      <c r="M53" s="1085"/>
      <c r="N53" s="1085"/>
      <c r="O53" s="1085"/>
      <c r="P53" s="1085"/>
      <c r="Q53" s="1085"/>
      <c r="R53" s="1085"/>
      <c r="S53" s="1089">
        <f>S52/77.72</f>
        <v>1109.9588265568709</v>
      </c>
      <c r="T53" s="1085"/>
      <c r="U53" s="1085"/>
      <c r="V53" s="1089">
        <f>V52/77.72</f>
        <v>1183.9294904786414</v>
      </c>
      <c r="W53" s="1085"/>
      <c r="X53" s="137"/>
    </row>
    <row r="54" spans="1:24" s="11" customFormat="1" ht="10.5" customHeight="1">
      <c r="A54" s="635" t="s">
        <v>2017</v>
      </c>
      <c r="B54" s="838">
        <v>1515802</v>
      </c>
      <c r="C54" s="1086">
        <v>1614204</v>
      </c>
      <c r="D54" s="1086">
        <v>5600</v>
      </c>
      <c r="E54" s="1086">
        <v>1619804</v>
      </c>
      <c r="F54" s="1086">
        <v>1179924</v>
      </c>
      <c r="G54" s="609">
        <f>(F54/B54)*100</f>
        <v>77.84156505928874</v>
      </c>
      <c r="H54" s="1086">
        <v>335879</v>
      </c>
      <c r="I54" s="1086">
        <v>439881</v>
      </c>
      <c r="J54" s="609">
        <f>(I54/B54)*100</f>
        <v>29.01968726786216</v>
      </c>
      <c r="K54" s="1086">
        <v>437865</v>
      </c>
      <c r="L54" s="609">
        <f>(K54/B54)*100</f>
        <v>28.886688366950303</v>
      </c>
      <c r="M54" s="1084" t="s">
        <v>2319</v>
      </c>
      <c r="N54" s="1084" t="s">
        <v>2320</v>
      </c>
      <c r="O54" s="1084" t="s">
        <v>2321</v>
      </c>
      <c r="P54" s="1084" t="s">
        <v>2322</v>
      </c>
      <c r="Q54" s="1093">
        <f>(B54/M54)*100</f>
        <v>183.76431451564019</v>
      </c>
      <c r="R54" s="1084" t="s">
        <v>2185</v>
      </c>
      <c r="S54" s="1086">
        <v>96004</v>
      </c>
      <c r="T54" s="1084"/>
      <c r="U54" s="1086">
        <v>52240</v>
      </c>
      <c r="V54" s="1086">
        <v>102236</v>
      </c>
      <c r="W54" s="1084" t="s">
        <v>2471</v>
      </c>
      <c r="X54" s="137"/>
    </row>
    <row r="55" spans="1:24" s="11" customFormat="1" ht="9.75" customHeight="1">
      <c r="A55" s="517"/>
      <c r="B55" s="1089">
        <f>(B54/77.67)*10</f>
        <v>195159.26355092056</v>
      </c>
      <c r="C55" s="1089">
        <f>(C54/77.67)*10</f>
        <v>207828.50521436849</v>
      </c>
      <c r="D55" s="1089">
        <f>(D54/77.67)*10</f>
        <v>720.99909875112655</v>
      </c>
      <c r="E55" s="1089">
        <f>(E54/77.67)*10</f>
        <v>208549.50431311963</v>
      </c>
      <c r="F55" s="1089">
        <f>(F54/77.67)*10</f>
        <v>151915.02510621861</v>
      </c>
      <c r="G55" s="1089"/>
      <c r="H55" s="1089">
        <f>(H54/77.67)*10</f>
        <v>43244.36719454101</v>
      </c>
      <c r="I55" s="1089">
        <f>(I54/77.67)*10</f>
        <v>56634.607956740059</v>
      </c>
      <c r="J55" s="1089"/>
      <c r="K55" s="1089">
        <f>(K54/77.67)*10</f>
        <v>56375.048281189651</v>
      </c>
      <c r="L55" s="1085"/>
      <c r="M55" s="1085"/>
      <c r="N55" s="1085"/>
      <c r="O55" s="1085"/>
      <c r="P55" s="1085"/>
      <c r="Q55" s="1085"/>
      <c r="R55" s="1085"/>
      <c r="S55" s="1089">
        <f>S54/77.67</f>
        <v>1236.0499549375563</v>
      </c>
      <c r="T55" s="1085"/>
      <c r="U55" s="1085"/>
      <c r="V55" s="1089">
        <f>V54/77.67</f>
        <v>1316.2868546414318</v>
      </c>
      <c r="W55" s="1085"/>
      <c r="X55" s="137"/>
    </row>
    <row r="56" spans="1:24" s="11" customFormat="1" ht="10.5" customHeight="1">
      <c r="A56" s="960" t="s">
        <v>2226</v>
      </c>
      <c r="B56" s="1079">
        <v>1732864</v>
      </c>
      <c r="C56" s="1079">
        <v>1832675</v>
      </c>
      <c r="D56" s="1079">
        <v>583</v>
      </c>
      <c r="E56" s="1079">
        <v>1833258</v>
      </c>
      <c r="F56" s="1079">
        <v>1300034</v>
      </c>
      <c r="G56" s="609">
        <f>(F56/B56)*100</f>
        <v>75.022275262224852</v>
      </c>
      <c r="H56" s="1079">
        <v>432830</v>
      </c>
      <c r="I56" s="1079">
        <v>533224</v>
      </c>
      <c r="J56" s="609">
        <f>(I56/B56)*100</f>
        <v>30.771254985965431</v>
      </c>
      <c r="K56" s="1079">
        <v>513839</v>
      </c>
      <c r="L56" s="609">
        <f>(K56/B56)*100</f>
        <v>29.652586700398874</v>
      </c>
      <c r="M56" s="1079">
        <v>883539</v>
      </c>
      <c r="N56" s="1079">
        <v>934430</v>
      </c>
      <c r="O56" s="460">
        <v>14.32</v>
      </c>
      <c r="P56" s="1079">
        <v>7.11</v>
      </c>
      <c r="Q56" s="1093">
        <f>(B56/M56)*100</f>
        <v>196.12761858842677</v>
      </c>
      <c r="R56" s="1079">
        <v>15.99</v>
      </c>
      <c r="S56" s="1079">
        <v>108378</v>
      </c>
      <c r="T56" s="1079"/>
      <c r="U56" s="1086">
        <v>55259</v>
      </c>
      <c r="V56" s="1079">
        <v>114621</v>
      </c>
      <c r="W56" s="1079">
        <v>58442</v>
      </c>
      <c r="X56" s="137"/>
    </row>
    <row r="57" spans="1:24" s="11" customFormat="1" ht="11.25" customHeight="1">
      <c r="A57" s="517"/>
      <c r="B57" s="1089">
        <f>(B56/78.2658)*10</f>
        <v>221407.56243467773</v>
      </c>
      <c r="C57" s="1089">
        <f>(C56/78.2658)*10</f>
        <v>234160.38678452146</v>
      </c>
      <c r="D57" s="1089">
        <f>(D56/78.2658)*10</f>
        <v>74.489751590094272</v>
      </c>
      <c r="E57" s="1089">
        <f>(E56/78.2658)*10</f>
        <v>234234.87653611155</v>
      </c>
      <c r="F57" s="1089">
        <f>(F56/78.2658)*10</f>
        <v>166104.99094112628</v>
      </c>
      <c r="G57" s="1089"/>
      <c r="H57" s="1089">
        <f>(H56/78.2658)*10</f>
        <v>55302.571493551455</v>
      </c>
      <c r="I57" s="1089">
        <f>(I56/78.2658)*10</f>
        <v>68129.885594985302</v>
      </c>
      <c r="J57" s="1089"/>
      <c r="K57" s="1089">
        <f>(K56/78.2658)*10</f>
        <v>65653.06941218258</v>
      </c>
      <c r="L57" s="1085"/>
      <c r="M57" s="1085"/>
      <c r="N57" s="1085"/>
      <c r="O57" s="1085"/>
      <c r="P57" s="1085"/>
      <c r="Q57" s="1085"/>
      <c r="R57" s="1085"/>
      <c r="S57" s="1089">
        <f>(S56/78.2658)</f>
        <v>1384.742761206044</v>
      </c>
      <c r="T57" s="1085"/>
      <c r="U57" s="1085"/>
      <c r="V57" s="1089">
        <f>(V56/78.2658)</f>
        <v>1464.5094025743044</v>
      </c>
      <c r="W57" s="1085"/>
      <c r="X57" s="137"/>
    </row>
    <row r="58" spans="1:24" s="298" customFormat="1" ht="11.25" customHeight="1">
      <c r="A58" s="298" t="s">
        <v>2427</v>
      </c>
      <c r="B58" s="1079">
        <v>1956057</v>
      </c>
      <c r="C58" s="1079">
        <v>2038042</v>
      </c>
      <c r="D58" s="1079">
        <v>944</v>
      </c>
      <c r="E58" s="1079">
        <v>2038985</v>
      </c>
      <c r="F58" s="1079">
        <v>1446385</v>
      </c>
      <c r="G58" s="609">
        <f>(F58/B58)*100</f>
        <v>73.943908587530942</v>
      </c>
      <c r="H58" s="1079">
        <v>509671</v>
      </c>
      <c r="I58" s="1079">
        <v>592599</v>
      </c>
      <c r="J58" s="609">
        <f>(I58/B58)*100</f>
        <v>30.295589545703422</v>
      </c>
      <c r="K58" s="1079">
        <v>592074</v>
      </c>
      <c r="L58" s="609">
        <f>(K58/B58)*100</f>
        <v>30.268749837044627</v>
      </c>
      <c r="M58" s="1079">
        <v>947543</v>
      </c>
      <c r="N58" s="1079">
        <v>987258</v>
      </c>
      <c r="O58" s="1079">
        <v>12.88</v>
      </c>
      <c r="P58" s="1079">
        <v>7.24</v>
      </c>
      <c r="Q58" s="1093">
        <f>(B58/M58)*100</f>
        <v>206.43464201624622</v>
      </c>
      <c r="R58" s="1079">
        <v>16.18</v>
      </c>
      <c r="S58" s="1079">
        <v>120931</v>
      </c>
      <c r="T58" s="1079"/>
      <c r="U58" s="1079">
        <v>58581</v>
      </c>
      <c r="V58" s="1079">
        <v>125999</v>
      </c>
      <c r="W58" s="1079">
        <v>61036</v>
      </c>
      <c r="X58" s="1517"/>
    </row>
    <row r="59" spans="1:24" s="11" customFormat="1" ht="11.25" customHeight="1" thickBot="1">
      <c r="A59" s="611"/>
      <c r="B59" s="1094">
        <f>(B58/79.119175)*10</f>
        <v>247229.19570382274</v>
      </c>
      <c r="C59" s="1094">
        <f>(C58/79.119175)*10</f>
        <v>257591.41194280656</v>
      </c>
      <c r="D59" s="1094">
        <f>(D58/79.119175)*10</f>
        <v>119.31368091237049</v>
      </c>
      <c r="E59" s="1094">
        <f>(E58/79.119175)*10</f>
        <v>257710.59923210778</v>
      </c>
      <c r="F59" s="1094">
        <f>(F58/79.119175)*10</f>
        <v>182810.93047292266</v>
      </c>
      <c r="G59" s="1094"/>
      <c r="H59" s="1094">
        <f>(H58/79.119175)*10</f>
        <v>64418.138839288957</v>
      </c>
      <c r="I59" s="1094">
        <f>(I58/79.119175)*10</f>
        <v>74899.542367573973</v>
      </c>
      <c r="J59" s="1094"/>
      <c r="K59" s="1094">
        <f>(K58/79.119175)*10</f>
        <v>74833.186771727589</v>
      </c>
      <c r="L59" s="1095"/>
      <c r="M59" s="1095"/>
      <c r="N59" s="1095"/>
      <c r="O59" s="1095"/>
      <c r="P59" s="1095"/>
      <c r="Q59" s="1095"/>
      <c r="R59" s="1095"/>
      <c r="S59" s="1094">
        <f>(S58/79.119175)</f>
        <v>1528.4663926285884</v>
      </c>
      <c r="T59" s="1095"/>
      <c r="U59" s="1095"/>
      <c r="V59" s="1094">
        <f>(V58/79.119175)</f>
        <v>1592.521661152306</v>
      </c>
      <c r="W59" s="1095"/>
      <c r="X59" s="137"/>
    </row>
    <row r="60" spans="1:24" ht="10.5" customHeight="1">
      <c r="A60" s="1959" t="s">
        <v>2657</v>
      </c>
      <c r="B60" s="1959"/>
      <c r="C60" s="1959"/>
      <c r="D60" s="1959"/>
      <c r="E60" s="1959"/>
      <c r="F60" s="1959"/>
      <c r="G60" s="11"/>
      <c r="I60" s="75"/>
      <c r="J60" s="75"/>
      <c r="K60" s="75"/>
      <c r="L60" s="1960" t="s">
        <v>2517</v>
      </c>
      <c r="M60" s="1960"/>
      <c r="N60" s="1960"/>
      <c r="O60" s="1960"/>
      <c r="P60" s="1516"/>
      <c r="Q60" s="1939" t="s">
        <v>2721</v>
      </c>
      <c r="R60" s="1939"/>
      <c r="S60" s="1516"/>
      <c r="T60" s="75"/>
      <c r="U60" s="45"/>
      <c r="V60" s="18"/>
      <c r="W60" s="75"/>
      <c r="X60" s="78"/>
    </row>
    <row r="61" spans="1:24" ht="9.75" customHeight="1">
      <c r="A61" s="1956" t="s">
        <v>2518</v>
      </c>
      <c r="B61" s="1956"/>
      <c r="C61" s="1956"/>
      <c r="D61" s="1956"/>
      <c r="E61" s="1956"/>
      <c r="F61" s="1956"/>
      <c r="G61" s="1956"/>
      <c r="H61" s="1956"/>
      <c r="I61" s="75"/>
      <c r="J61" s="75"/>
      <c r="K61" s="75"/>
      <c r="L61" s="1958"/>
      <c r="M61" s="1958"/>
      <c r="N61" s="1958"/>
      <c r="O61" s="75"/>
      <c r="P61" s="75"/>
      <c r="Q61" s="75"/>
      <c r="R61" s="75"/>
      <c r="S61" s="21"/>
      <c r="T61" s="75"/>
      <c r="U61" s="75"/>
      <c r="V61" s="75"/>
      <c r="W61" s="75"/>
      <c r="X61" s="78"/>
    </row>
    <row r="62" spans="1:24">
      <c r="N62" s="78"/>
    </row>
    <row r="64" spans="1:24">
      <c r="M64" s="78"/>
      <c r="N64" s="78"/>
    </row>
    <row r="65" spans="13:18">
      <c r="M65" s="78"/>
      <c r="P65" s="78"/>
      <c r="Q65" s="78"/>
      <c r="R65" s="78"/>
    </row>
    <row r="66" spans="13:18">
      <c r="M66" s="78"/>
      <c r="N66" s="78"/>
    </row>
    <row r="67" spans="13:18">
      <c r="M67" s="78"/>
    </row>
    <row r="68" spans="13:18">
      <c r="M68" s="78"/>
      <c r="N68" s="78"/>
    </row>
    <row r="69" spans="13:18">
      <c r="M69" s="78"/>
    </row>
    <row r="70" spans="13:18">
      <c r="M70" s="78"/>
      <c r="N70" s="78"/>
    </row>
    <row r="71" spans="13:18">
      <c r="M71" s="78"/>
      <c r="N71" s="78"/>
    </row>
    <row r="72" spans="13:18">
      <c r="M72" s="78"/>
      <c r="N72" s="78"/>
    </row>
    <row r="73" spans="13:18">
      <c r="M73" s="78"/>
      <c r="N73" s="78"/>
    </row>
    <row r="74" spans="13:18">
      <c r="M74" s="78"/>
      <c r="N74" s="78"/>
    </row>
    <row r="75" spans="13:18">
      <c r="N75" s="78"/>
    </row>
    <row r="76" spans="13:18">
      <c r="N76" s="78"/>
    </row>
  </sheetData>
  <mergeCells count="51">
    <mergeCell ref="S18:T18"/>
    <mergeCell ref="S15:T15"/>
    <mergeCell ref="S12:T12"/>
    <mergeCell ref="S11:T11"/>
    <mergeCell ref="A3:A5"/>
    <mergeCell ref="S10:T10"/>
    <mergeCell ref="S8:T8"/>
    <mergeCell ref="S13:T13"/>
    <mergeCell ref="S14:T14"/>
    <mergeCell ref="S17:T17"/>
    <mergeCell ref="S16:T16"/>
    <mergeCell ref="S3:W3"/>
    <mergeCell ref="S4:T4"/>
    <mergeCell ref="S5:T5"/>
    <mergeCell ref="S7:T7"/>
    <mergeCell ref="S9:T9"/>
    <mergeCell ref="A61:H61"/>
    <mergeCell ref="S19:T19"/>
    <mergeCell ref="S20:T20"/>
    <mergeCell ref="S21:T21"/>
    <mergeCell ref="S22:T22"/>
    <mergeCell ref="S23:T23"/>
    <mergeCell ref="L61:N61"/>
    <mergeCell ref="A60:F60"/>
    <mergeCell ref="L60:O60"/>
    <mergeCell ref="Q60:R60"/>
    <mergeCell ref="S6:T6"/>
    <mergeCell ref="Q3:Q4"/>
    <mergeCell ref="B3:B4"/>
    <mergeCell ref="C3:C4"/>
    <mergeCell ref="D3:D4"/>
    <mergeCell ref="H3:H4"/>
    <mergeCell ref="I3:I4"/>
    <mergeCell ref="E3:E4"/>
    <mergeCell ref="F3:F4"/>
    <mergeCell ref="G3:G4"/>
    <mergeCell ref="K3:K4"/>
    <mergeCell ref="L3:L4"/>
    <mergeCell ref="J3:J4"/>
    <mergeCell ref="P3:P4"/>
    <mergeCell ref="N3:N4"/>
    <mergeCell ref="O3:O4"/>
    <mergeCell ref="M3:M4"/>
    <mergeCell ref="R3:R4"/>
    <mergeCell ref="U1:W1"/>
    <mergeCell ref="D2:E2"/>
    <mergeCell ref="J2:K2"/>
    <mergeCell ref="V2:W2"/>
    <mergeCell ref="B1:K1"/>
    <mergeCell ref="L1:O1"/>
    <mergeCell ref="L2:P2"/>
  </mergeCells>
  <phoneticPr fontId="47" type="noConversion"/>
  <pageMargins left="0.47244094488188998" right="0.47244094488188998" top="0.511811023622047" bottom="0" header="0" footer="0"/>
  <pageSetup paperSize="151" firstPageNumber="50" orientation="portrait" useFirstPageNumber="1" r:id="rId1"/>
  <headerFooter>
    <oddFooter>&amp;C&amp;"Times New Roman,Regular"&amp;8&amp;P</oddFooter>
  </headerFooter>
  <ignoredErrors>
    <ignoredError sqref="J10 N30 Q30 R28 B6:R9 B29:R29 B28:Q28 B31:R31 B30:M30 R30 O30:P30 B11:R27 B10:I10 K10:R10 G33 G32 U30 S6:V26 S31:V31 S30:T30 V30 W24:W31 W8:W10 J32 L32 J33 L33:M33 S28:V29 T27:V27 N33:R33 T32 N32:S32 U32:W32 S33:W33 M32 R34 T36 T34 P34:P35 O34:O35 N34:N35 N37:Q37 Q36 Q34:Q35 U34:U35 W34:W35 M46 O46:P46 R46 M48 O48:P48 R48 M50 O50:P50 R50 R52 N46:N50 W46:W51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>
  <dimension ref="A1:K106"/>
  <sheetViews>
    <sheetView zoomScale="140" zoomScaleNormal="140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A15" sqref="A15:E15"/>
    </sheetView>
  </sheetViews>
  <sheetFormatPr defaultColWidth="9.140625" defaultRowHeight="12.75"/>
  <cols>
    <col min="1" max="1" width="10.7109375" style="2" customWidth="1"/>
    <col min="2" max="2" width="15.7109375" style="150" customWidth="1"/>
    <col min="3" max="3" width="16.85546875" style="150" customWidth="1"/>
    <col min="4" max="5" width="17.140625" style="150" customWidth="1"/>
    <col min="6" max="6" width="13.28515625" style="2" customWidth="1"/>
    <col min="7" max="7" width="15.7109375" style="2" customWidth="1"/>
    <col min="8" max="8" width="15.42578125" style="2" customWidth="1"/>
    <col min="9" max="9" width="16.85546875" style="2" customWidth="1"/>
    <col min="10" max="10" width="2.42578125" style="2" customWidth="1"/>
    <col min="11" max="11" width="13.7109375" style="2" customWidth="1"/>
    <col min="12" max="16384" width="9.140625" style="2"/>
  </cols>
  <sheetData>
    <row r="1" spans="1:11" s="5" customFormat="1" ht="15.75" customHeight="1">
      <c r="A1" s="1967" t="s">
        <v>2582</v>
      </c>
      <c r="B1" s="1967"/>
      <c r="C1" s="1967"/>
      <c r="D1" s="1967"/>
      <c r="E1" s="1967"/>
      <c r="F1" s="1970" t="s">
        <v>755</v>
      </c>
      <c r="G1" s="1970"/>
      <c r="H1" s="1970"/>
      <c r="I1" s="1970"/>
      <c r="J1" s="1970"/>
      <c r="K1" s="153" t="s">
        <v>572</v>
      </c>
    </row>
    <row r="2" spans="1:11" s="5" customFormat="1" ht="11.1" customHeight="1">
      <c r="A2" s="133"/>
      <c r="B2" s="133"/>
      <c r="C2" s="133"/>
      <c r="D2" s="133"/>
      <c r="G2" s="108"/>
      <c r="H2" s="136"/>
      <c r="I2" s="136"/>
      <c r="J2" s="136"/>
      <c r="K2" s="152"/>
    </row>
    <row r="3" spans="1:11" s="165" customFormat="1" ht="24" customHeight="1">
      <c r="A3" s="87" t="s">
        <v>1678</v>
      </c>
      <c r="B3" s="1349" t="s">
        <v>1896</v>
      </c>
      <c r="C3" s="1349" t="s">
        <v>1818</v>
      </c>
      <c r="D3" s="1349" t="s">
        <v>1819</v>
      </c>
      <c r="E3" s="1349" t="s">
        <v>1681</v>
      </c>
      <c r="F3" s="87" t="s">
        <v>1679</v>
      </c>
      <c r="G3" s="87" t="s">
        <v>1897</v>
      </c>
      <c r="H3" s="87" t="s">
        <v>1818</v>
      </c>
      <c r="I3" s="87" t="s">
        <v>1819</v>
      </c>
      <c r="J3" s="1968" t="s">
        <v>1680</v>
      </c>
      <c r="K3" s="1969"/>
    </row>
    <row r="4" spans="1:11" s="300" customFormat="1" ht="13.15" customHeight="1">
      <c r="A4" s="243" t="s">
        <v>946</v>
      </c>
      <c r="B4" s="40">
        <v>830.46</v>
      </c>
      <c r="C4" s="41">
        <v>3060</v>
      </c>
      <c r="D4" s="41">
        <v>3553.7</v>
      </c>
      <c r="E4" s="40">
        <v>251</v>
      </c>
      <c r="F4" s="897">
        <v>42918</v>
      </c>
      <c r="G4" s="605">
        <v>5654.62</v>
      </c>
      <c r="H4" s="374">
        <v>855.13300000000004</v>
      </c>
      <c r="I4" s="41">
        <v>62124</v>
      </c>
      <c r="J4" s="298"/>
      <c r="K4" s="40">
        <v>335</v>
      </c>
    </row>
    <row r="5" spans="1:11" s="10" customFormat="1" ht="13.15" customHeight="1">
      <c r="A5" s="528" t="s">
        <v>947</v>
      </c>
      <c r="B5" s="508">
        <v>1318.92</v>
      </c>
      <c r="C5" s="511">
        <v>2477</v>
      </c>
      <c r="D5" s="511">
        <v>4871.8</v>
      </c>
      <c r="E5" s="508">
        <v>259</v>
      </c>
      <c r="F5" s="896">
        <v>42919</v>
      </c>
      <c r="G5" s="1350">
        <v>5726.38</v>
      </c>
      <c r="H5" s="691">
        <v>1046.3130000000001</v>
      </c>
      <c r="I5" s="511">
        <v>62124</v>
      </c>
      <c r="J5" s="517"/>
      <c r="K5" s="508">
        <v>335</v>
      </c>
    </row>
    <row r="6" spans="1:11" s="300" customFormat="1" ht="13.15" customHeight="1">
      <c r="A6" s="243" t="s">
        <v>948</v>
      </c>
      <c r="B6" s="40">
        <v>1713.17</v>
      </c>
      <c r="C6" s="41">
        <v>7526</v>
      </c>
      <c r="D6" s="40">
        <v>5266.52</v>
      </c>
      <c r="E6" s="40">
        <v>251</v>
      </c>
      <c r="F6" s="897">
        <v>42920</v>
      </c>
      <c r="G6" s="605">
        <v>5760.5</v>
      </c>
      <c r="H6" s="374">
        <v>1223.742</v>
      </c>
      <c r="I6" s="41">
        <v>62124</v>
      </c>
      <c r="J6" s="41"/>
      <c r="K6" s="40">
        <v>335</v>
      </c>
    </row>
    <row r="7" spans="1:11" s="10" customFormat="1" ht="13.15" customHeight="1">
      <c r="A7" s="528" t="s">
        <v>953</v>
      </c>
      <c r="B7" s="508">
        <v>1339.52</v>
      </c>
      <c r="C7" s="511">
        <v>4599.3599999999997</v>
      </c>
      <c r="D7" s="511">
        <v>6455</v>
      </c>
      <c r="E7" s="508">
        <v>269</v>
      </c>
      <c r="F7" s="896">
        <v>42921</v>
      </c>
      <c r="G7" s="1350">
        <v>5782.66</v>
      </c>
      <c r="H7" s="691">
        <v>1164.92</v>
      </c>
      <c r="I7" s="511">
        <v>62124</v>
      </c>
      <c r="J7" s="511"/>
      <c r="K7" s="508">
        <v>335</v>
      </c>
    </row>
    <row r="8" spans="1:11" s="300" customFormat="1" ht="13.15" customHeight="1">
      <c r="A8" s="243" t="s">
        <v>962</v>
      </c>
      <c r="B8" s="40">
        <v>2149.3200000000002</v>
      </c>
      <c r="C8" s="41">
        <v>16467.09</v>
      </c>
      <c r="D8" s="41">
        <v>8358.6</v>
      </c>
      <c r="E8" s="40">
        <v>273</v>
      </c>
      <c r="F8" s="897">
        <v>42922</v>
      </c>
      <c r="G8" s="605">
        <v>5749.66</v>
      </c>
      <c r="H8" s="374">
        <v>1005.46</v>
      </c>
      <c r="I8" s="41">
        <v>62124</v>
      </c>
      <c r="J8" s="41"/>
      <c r="K8" s="40">
        <v>335</v>
      </c>
    </row>
    <row r="9" spans="1:11" s="16" customFormat="1" ht="13.15" customHeight="1">
      <c r="A9" s="528" t="s">
        <v>675</v>
      </c>
      <c r="B9" s="511">
        <v>3000.5</v>
      </c>
      <c r="C9" s="511">
        <v>54323.95</v>
      </c>
      <c r="D9" s="511">
        <v>10883.6</v>
      </c>
      <c r="E9" s="508">
        <v>286</v>
      </c>
      <c r="F9" s="896">
        <v>42925</v>
      </c>
      <c r="G9" s="1350">
        <v>5774.3</v>
      </c>
      <c r="H9" s="691">
        <v>1160.4169999999999</v>
      </c>
      <c r="I9" s="511">
        <v>62124</v>
      </c>
      <c r="J9" s="511"/>
      <c r="K9" s="508">
        <v>335</v>
      </c>
    </row>
    <row r="10" spans="1:11" s="300" customFormat="1" ht="13.15" customHeight="1">
      <c r="A10" s="243" t="s">
        <v>141</v>
      </c>
      <c r="B10" s="40">
        <v>3010.26</v>
      </c>
      <c r="C10" s="41">
        <v>89378.94</v>
      </c>
      <c r="D10" s="41">
        <v>14704</v>
      </c>
      <c r="E10" s="40">
        <v>300</v>
      </c>
      <c r="F10" s="897">
        <v>42926</v>
      </c>
      <c r="G10" s="605">
        <v>5827.19</v>
      </c>
      <c r="H10" s="374">
        <v>1264.432</v>
      </c>
      <c r="I10" s="41">
        <v>62124</v>
      </c>
      <c r="J10" s="298"/>
      <c r="K10" s="40">
        <v>335</v>
      </c>
    </row>
    <row r="11" spans="1:11" s="16" customFormat="1" ht="13.15" customHeight="1">
      <c r="A11" s="528" t="s">
        <v>136</v>
      </c>
      <c r="B11" s="508">
        <v>6153.68</v>
      </c>
      <c r="C11" s="511">
        <v>256353.55100000001</v>
      </c>
      <c r="D11" s="511">
        <v>21744.6</v>
      </c>
      <c r="E11" s="508">
        <v>273</v>
      </c>
      <c r="F11" s="896">
        <v>42927</v>
      </c>
      <c r="G11" s="1350">
        <v>5830.77</v>
      </c>
      <c r="H11" s="691">
        <v>1320.6859999999999</v>
      </c>
      <c r="I11" s="511">
        <v>62124</v>
      </c>
      <c r="J11" s="517"/>
      <c r="K11" s="508">
        <v>335</v>
      </c>
    </row>
    <row r="12" spans="1:11" s="335" customFormat="1" ht="13.15" customHeight="1">
      <c r="A12" s="243" t="s">
        <v>317</v>
      </c>
      <c r="B12" s="40">
        <v>6117.23</v>
      </c>
      <c r="C12" s="41">
        <v>325879.77</v>
      </c>
      <c r="D12" s="41">
        <v>30104.5</v>
      </c>
      <c r="E12" s="40">
        <v>267</v>
      </c>
      <c r="F12" s="897">
        <v>42928</v>
      </c>
      <c r="G12" s="605">
        <v>5790.79</v>
      </c>
      <c r="H12" s="374">
        <v>914.28800000000001</v>
      </c>
      <c r="I12" s="41">
        <v>62124</v>
      </c>
      <c r="J12" s="298"/>
      <c r="K12" s="40">
        <v>335</v>
      </c>
    </row>
    <row r="13" spans="1:11" s="999" customFormat="1" ht="13.15" customHeight="1">
      <c r="A13" s="714" t="s">
        <v>1299</v>
      </c>
      <c r="B13" s="505">
        <v>4572.88</v>
      </c>
      <c r="C13" s="505">
        <v>117145.07</v>
      </c>
      <c r="D13" s="505">
        <v>38410.899999999994</v>
      </c>
      <c r="E13" s="504">
        <v>279</v>
      </c>
      <c r="F13" s="896">
        <v>42929</v>
      </c>
      <c r="G13" s="1350">
        <v>5834.87</v>
      </c>
      <c r="H13" s="691">
        <v>1009.325</v>
      </c>
      <c r="I13" s="511">
        <v>62124</v>
      </c>
      <c r="J13" s="517"/>
      <c r="K13" s="508">
        <v>335</v>
      </c>
    </row>
    <row r="14" spans="1:11" s="1449" customFormat="1" ht="13.15" customHeight="1">
      <c r="A14" s="700" t="s">
        <v>1505</v>
      </c>
      <c r="B14" s="460">
        <v>4385.7700000000004</v>
      </c>
      <c r="C14" s="460">
        <v>85716.56</v>
      </c>
      <c r="D14" s="460">
        <v>43407.3</v>
      </c>
      <c r="E14" s="459">
        <v>296</v>
      </c>
      <c r="F14" s="897">
        <v>42932</v>
      </c>
      <c r="G14" s="605">
        <v>5844.72</v>
      </c>
      <c r="H14" s="967">
        <v>1263.4690000000001</v>
      </c>
      <c r="I14" s="41">
        <v>62124</v>
      </c>
      <c r="J14" s="457"/>
      <c r="K14" s="40">
        <v>335</v>
      </c>
    </row>
    <row r="15" spans="1:11" s="112" customFormat="1" ht="13.15" customHeight="1">
      <c r="A15" s="528" t="s">
        <v>1886</v>
      </c>
      <c r="B15" s="511">
        <v>4480.5200000000004</v>
      </c>
      <c r="C15" s="511">
        <v>112539.85800000001</v>
      </c>
      <c r="D15" s="511">
        <v>48255.5</v>
      </c>
      <c r="E15" s="508">
        <v>307</v>
      </c>
      <c r="F15" s="896">
        <v>42933</v>
      </c>
      <c r="G15" s="1350">
        <v>5824.43</v>
      </c>
      <c r="H15" s="1281">
        <v>1147.6079999999999</v>
      </c>
      <c r="I15" s="511">
        <v>62124</v>
      </c>
      <c r="J15" s="574"/>
      <c r="K15" s="508">
        <v>335</v>
      </c>
    </row>
    <row r="16" spans="1:11" s="840" customFormat="1" ht="13.15" customHeight="1">
      <c r="A16" s="874" t="s">
        <v>2017</v>
      </c>
      <c r="B16" s="622">
        <v>4583.1099999999997</v>
      </c>
      <c r="C16" s="622">
        <v>112351.91100000001</v>
      </c>
      <c r="D16" s="622">
        <v>54300.800000000003</v>
      </c>
      <c r="E16" s="861">
        <v>326</v>
      </c>
      <c r="F16" s="897">
        <v>42934</v>
      </c>
      <c r="G16" s="41">
        <v>5819.26</v>
      </c>
      <c r="H16" s="374">
        <v>962.23</v>
      </c>
      <c r="I16" s="41">
        <v>62124</v>
      </c>
      <c r="J16" s="298"/>
      <c r="K16" s="40">
        <v>335</v>
      </c>
    </row>
    <row r="17" spans="1:11" s="112" customFormat="1" ht="13.15" customHeight="1">
      <c r="A17" s="966" t="s">
        <v>2226</v>
      </c>
      <c r="B17" s="608">
        <f>B29</f>
        <v>4507.58</v>
      </c>
      <c r="C17" s="608">
        <f>SUM(C18:C29)</f>
        <v>107246.07099999998</v>
      </c>
      <c r="D17" s="608">
        <f>D29</f>
        <v>57846.400000000001</v>
      </c>
      <c r="E17" s="951">
        <f>E29</f>
        <v>330</v>
      </c>
      <c r="F17" s="896">
        <v>42935</v>
      </c>
      <c r="G17" s="1350">
        <v>5775.59</v>
      </c>
      <c r="H17" s="1350">
        <v>1069.5899999999999</v>
      </c>
      <c r="I17" s="511">
        <v>62124</v>
      </c>
      <c r="J17" s="517"/>
      <c r="K17" s="508">
        <v>335</v>
      </c>
    </row>
    <row r="18" spans="1:11" s="840" customFormat="1" ht="13.15" customHeight="1">
      <c r="A18" s="700" t="s">
        <v>954</v>
      </c>
      <c r="B18" s="460">
        <v>4792.3100000000004</v>
      </c>
      <c r="C18" s="460">
        <v>9827.27</v>
      </c>
      <c r="D18" s="460">
        <v>54343.77</v>
      </c>
      <c r="E18" s="459">
        <v>326</v>
      </c>
      <c r="F18" s="897">
        <v>42936</v>
      </c>
      <c r="G18" s="605">
        <v>5782.47</v>
      </c>
      <c r="H18" s="605">
        <v>636.63300000000004</v>
      </c>
      <c r="I18" s="41">
        <v>62124</v>
      </c>
      <c r="J18" s="298"/>
      <c r="K18" s="40">
        <v>335</v>
      </c>
    </row>
    <row r="19" spans="1:11" s="112" customFormat="1" ht="13.15" customHeight="1">
      <c r="A19" s="714" t="s">
        <v>955</v>
      </c>
      <c r="B19" s="505">
        <v>4768.67</v>
      </c>
      <c r="C19" s="505">
        <v>12935.4</v>
      </c>
      <c r="D19" s="505">
        <v>54401.4</v>
      </c>
      <c r="E19" s="504">
        <v>326</v>
      </c>
      <c r="F19" s="896">
        <v>42939</v>
      </c>
      <c r="G19" s="1350">
        <v>5775.6</v>
      </c>
      <c r="H19" s="1350">
        <v>477.96899999999999</v>
      </c>
      <c r="I19" s="511">
        <v>62124</v>
      </c>
      <c r="J19" s="517"/>
      <c r="K19" s="508">
        <v>335</v>
      </c>
    </row>
    <row r="20" spans="1:11" s="840" customFormat="1" ht="13.15" customHeight="1">
      <c r="A20" s="700" t="s">
        <v>949</v>
      </c>
      <c r="B20" s="460">
        <v>4852.08</v>
      </c>
      <c r="C20" s="460">
        <v>8370.2099999999991</v>
      </c>
      <c r="D20" s="460">
        <v>54785.599999999999</v>
      </c>
      <c r="E20" s="459">
        <v>327</v>
      </c>
      <c r="F20" s="897">
        <v>42940</v>
      </c>
      <c r="G20" s="605">
        <v>5798.12</v>
      </c>
      <c r="H20" s="605">
        <v>631.39</v>
      </c>
      <c r="I20" s="41">
        <v>62124</v>
      </c>
      <c r="J20" s="298"/>
      <c r="K20" s="40">
        <v>335</v>
      </c>
    </row>
    <row r="21" spans="1:11" s="112" customFormat="1" ht="13.15" customHeight="1">
      <c r="A21" s="714" t="s">
        <v>956</v>
      </c>
      <c r="B21" s="505">
        <v>4564.49</v>
      </c>
      <c r="C21" s="505">
        <v>7335.71</v>
      </c>
      <c r="D21" s="505">
        <v>55070.400000000001</v>
      </c>
      <c r="E21" s="504">
        <v>328</v>
      </c>
      <c r="F21" s="896">
        <v>42941</v>
      </c>
      <c r="G21" s="1350">
        <v>5801.9</v>
      </c>
      <c r="H21" s="1350">
        <v>656.15200000000004</v>
      </c>
      <c r="I21" s="511">
        <v>62124</v>
      </c>
      <c r="J21" s="517"/>
      <c r="K21" s="508">
        <v>335</v>
      </c>
    </row>
    <row r="22" spans="1:11" s="840" customFormat="1" ht="13.15" customHeight="1">
      <c r="A22" s="700" t="s">
        <v>957</v>
      </c>
      <c r="B22" s="460">
        <v>4581</v>
      </c>
      <c r="C22" s="460">
        <v>7841.99</v>
      </c>
      <c r="D22" s="460">
        <v>55225.1</v>
      </c>
      <c r="E22" s="459">
        <v>329</v>
      </c>
      <c r="F22" s="897">
        <v>42942</v>
      </c>
      <c r="G22" s="605">
        <v>5824.43</v>
      </c>
      <c r="H22" s="605">
        <v>638.94100000000003</v>
      </c>
      <c r="I22" s="41">
        <v>62124</v>
      </c>
      <c r="J22" s="298"/>
      <c r="K22" s="40">
        <v>335</v>
      </c>
    </row>
    <row r="23" spans="1:11" s="112" customFormat="1" ht="13.15" customHeight="1">
      <c r="A23" s="714" t="s">
        <v>950</v>
      </c>
      <c r="B23" s="505">
        <v>4629.6400000000003</v>
      </c>
      <c r="C23" s="505">
        <v>9161.19</v>
      </c>
      <c r="D23" s="505">
        <f>55113.5+600</f>
        <v>55713.5</v>
      </c>
      <c r="E23" s="504">
        <f>328+2</f>
        <v>330</v>
      </c>
      <c r="F23" s="896">
        <v>42943</v>
      </c>
      <c r="G23" s="1350">
        <v>5815.07</v>
      </c>
      <c r="H23" s="1350">
        <v>712.96299999999997</v>
      </c>
      <c r="I23" s="511">
        <v>62124</v>
      </c>
      <c r="J23" s="517"/>
      <c r="K23" s="508">
        <v>335</v>
      </c>
    </row>
    <row r="24" spans="1:11" s="840" customFormat="1" ht="13.15" customHeight="1">
      <c r="A24" s="700" t="s">
        <v>958</v>
      </c>
      <c r="B24" s="460">
        <v>4540.8900000000003</v>
      </c>
      <c r="C24" s="460">
        <v>11349.63</v>
      </c>
      <c r="D24" s="460">
        <f>55371+595.1</f>
        <v>55966.1</v>
      </c>
      <c r="E24" s="459">
        <f>331+2</f>
        <v>333</v>
      </c>
      <c r="F24" s="897">
        <v>42946</v>
      </c>
      <c r="G24" s="605">
        <v>5802.04</v>
      </c>
      <c r="H24" s="605">
        <v>601.66399999999999</v>
      </c>
      <c r="I24" s="41">
        <v>62124</v>
      </c>
      <c r="J24" s="298"/>
      <c r="K24" s="40">
        <v>335</v>
      </c>
    </row>
    <row r="25" spans="1:11" s="112" customFormat="1" ht="13.15" customHeight="1" thickBot="1">
      <c r="A25" s="714" t="s">
        <v>959</v>
      </c>
      <c r="B25" s="504">
        <v>4511.97</v>
      </c>
      <c r="C25" s="504">
        <v>8642.15</v>
      </c>
      <c r="D25" s="505">
        <f>55493+595.1</f>
        <v>56088.1</v>
      </c>
      <c r="E25" s="504">
        <v>333</v>
      </c>
      <c r="F25" s="1575">
        <v>42947</v>
      </c>
      <c r="G25" s="1576">
        <v>5860.65</v>
      </c>
      <c r="H25" s="1576">
        <v>1166.135</v>
      </c>
      <c r="I25" s="1380">
        <v>62124</v>
      </c>
      <c r="J25" s="611"/>
      <c r="K25" s="612">
        <v>335</v>
      </c>
    </row>
    <row r="26" spans="1:11" s="840" customFormat="1" ht="13.15" customHeight="1">
      <c r="A26" s="700" t="s">
        <v>951</v>
      </c>
      <c r="B26" s="459">
        <v>4357.54</v>
      </c>
      <c r="C26" s="460">
        <v>7997.2669999999998</v>
      </c>
      <c r="D26" s="460">
        <f>55673.9+595.1</f>
        <v>56269</v>
      </c>
      <c r="E26" s="459">
        <f>329+2</f>
        <v>331</v>
      </c>
      <c r="F26" s="897"/>
      <c r="G26" s="605"/>
      <c r="H26" s="605"/>
      <c r="I26" s="41"/>
      <c r="J26" s="298"/>
      <c r="K26" s="40"/>
    </row>
    <row r="27" spans="1:11" s="112" customFormat="1" ht="13.15" customHeight="1">
      <c r="A27" s="714" t="s">
        <v>960</v>
      </c>
      <c r="B27" s="505">
        <v>4195.7</v>
      </c>
      <c r="C27" s="505">
        <v>7504.7439999999997</v>
      </c>
      <c r="D27" s="505">
        <f>56067.75+595.1</f>
        <v>56662.85</v>
      </c>
      <c r="E27" s="504">
        <f>327+2</f>
        <v>329</v>
      </c>
      <c r="F27" s="897"/>
      <c r="G27" s="605"/>
      <c r="H27" s="605"/>
      <c r="I27" s="41"/>
      <c r="J27" s="298"/>
      <c r="K27" s="40"/>
    </row>
    <row r="28" spans="1:11" s="840" customFormat="1" ht="13.15" customHeight="1">
      <c r="A28" s="700" t="s">
        <v>961</v>
      </c>
      <c r="B28" s="460">
        <v>4195.7</v>
      </c>
      <c r="C28" s="460">
        <v>8142.2150000000001</v>
      </c>
      <c r="D28" s="460">
        <f>56626.314+595.1</f>
        <v>57221.413999999997</v>
      </c>
      <c r="E28" s="459">
        <f>327+2</f>
        <v>329</v>
      </c>
      <c r="G28" s="374"/>
      <c r="H28" s="374"/>
    </row>
    <row r="29" spans="1:11" s="112" customFormat="1" ht="13.15" customHeight="1">
      <c r="A29" s="714" t="s">
        <v>952</v>
      </c>
      <c r="B29" s="505">
        <v>4507.58</v>
      </c>
      <c r="C29" s="505">
        <v>8138.2950000000001</v>
      </c>
      <c r="D29" s="505">
        <f>57251.3+595.1</f>
        <v>57846.400000000001</v>
      </c>
      <c r="E29" s="504">
        <f>328+2</f>
        <v>330</v>
      </c>
      <c r="G29" s="374"/>
      <c r="H29" s="374"/>
    </row>
    <row r="30" spans="1:11" s="840" customFormat="1" ht="13.15" customHeight="1">
      <c r="A30" s="874" t="s">
        <v>2384</v>
      </c>
      <c r="B30" s="622">
        <f>B42</f>
        <v>5656.05</v>
      </c>
      <c r="C30" s="622">
        <f>SUM(C31:C42)</f>
        <v>180522.2</v>
      </c>
      <c r="D30" s="622">
        <f>D42</f>
        <v>61656.5</v>
      </c>
      <c r="E30" s="861">
        <f>E42</f>
        <v>334</v>
      </c>
      <c r="F30" s="897"/>
      <c r="G30" s="40"/>
      <c r="H30" s="374"/>
      <c r="I30" s="41"/>
      <c r="K30" s="40"/>
    </row>
    <row r="31" spans="1:11" s="112" customFormat="1" ht="13.15" customHeight="1">
      <c r="A31" s="714" t="s">
        <v>954</v>
      </c>
      <c r="B31" s="505">
        <v>4525.3500000000004</v>
      </c>
      <c r="C31" s="505">
        <v>6573.6170000000002</v>
      </c>
      <c r="D31" s="505">
        <f>57510.714+595.1</f>
        <v>58105.813999999998</v>
      </c>
      <c r="E31" s="504">
        <f>328+2</f>
        <v>330</v>
      </c>
      <c r="F31" s="897"/>
      <c r="G31" s="36"/>
      <c r="H31" s="374"/>
      <c r="I31" s="41"/>
      <c r="J31" s="41"/>
      <c r="K31" s="40"/>
    </row>
    <row r="32" spans="1:11" s="840" customFormat="1" ht="13.15" customHeight="1">
      <c r="A32" s="700" t="s">
        <v>955</v>
      </c>
      <c r="B32" s="460">
        <v>4526.58</v>
      </c>
      <c r="C32" s="460">
        <v>9629.2900000000009</v>
      </c>
      <c r="D32" s="460">
        <f>57549.5+595.1</f>
        <v>58144.6</v>
      </c>
      <c r="E32" s="459">
        <f>327+2</f>
        <v>329</v>
      </c>
      <c r="F32" s="897"/>
      <c r="G32" s="40"/>
      <c r="H32" s="374"/>
      <c r="I32" s="41"/>
      <c r="J32" s="41"/>
      <c r="K32" s="40"/>
    </row>
    <row r="33" spans="1:11" s="112" customFormat="1" ht="13.15" customHeight="1">
      <c r="A33" s="714" t="s">
        <v>949</v>
      </c>
      <c r="B33" s="505">
        <v>4695.1899999999996</v>
      </c>
      <c r="C33" s="505">
        <v>8689.3819999999996</v>
      </c>
      <c r="D33" s="505">
        <f>57649.1+595.1</f>
        <v>58244.2</v>
      </c>
      <c r="E33" s="504">
        <f>328+2</f>
        <v>330</v>
      </c>
      <c r="F33" s="897"/>
      <c r="G33" s="40"/>
      <c r="H33" s="41"/>
      <c r="I33" s="41"/>
      <c r="J33" s="41"/>
      <c r="K33" s="40"/>
    </row>
    <row r="34" spans="1:11" s="840" customFormat="1" ht="13.15" customHeight="1">
      <c r="A34" s="700" t="s">
        <v>956</v>
      </c>
      <c r="B34" s="460">
        <v>4592.18</v>
      </c>
      <c r="C34" s="460">
        <v>10560.499</v>
      </c>
      <c r="D34" s="460">
        <f>57959.3+595.1</f>
        <v>58554.400000000001</v>
      </c>
      <c r="E34" s="459">
        <f>328+2</f>
        <v>330</v>
      </c>
      <c r="F34" s="897"/>
      <c r="G34" s="605"/>
      <c r="H34" s="41"/>
      <c r="I34" s="41"/>
      <c r="J34" s="41"/>
      <c r="K34" s="40"/>
    </row>
    <row r="35" spans="1:11" s="112" customFormat="1" ht="13.15" customHeight="1">
      <c r="A35" s="714" t="s">
        <v>957</v>
      </c>
      <c r="B35" s="505">
        <v>4801.24</v>
      </c>
      <c r="C35" s="505">
        <v>14149.828</v>
      </c>
      <c r="D35" s="505">
        <f>58410.7+595.1</f>
        <v>59005.799999999996</v>
      </c>
      <c r="E35" s="504">
        <f>328+2</f>
        <v>330</v>
      </c>
      <c r="F35" s="897"/>
      <c r="G35" s="605"/>
      <c r="H35" s="460"/>
      <c r="I35" s="41"/>
      <c r="J35" s="298"/>
      <c r="K35" s="40"/>
    </row>
    <row r="36" spans="1:11" s="840" customFormat="1" ht="13.15" customHeight="1">
      <c r="A36" s="700" t="s">
        <v>950</v>
      </c>
      <c r="B36" s="460">
        <v>5036.05</v>
      </c>
      <c r="C36" s="460">
        <v>17780.206999999999</v>
      </c>
      <c r="D36" s="460">
        <f>59040.3+595.1</f>
        <v>59635.4</v>
      </c>
      <c r="E36" s="459">
        <f>329+2</f>
        <v>331</v>
      </c>
      <c r="F36" s="897"/>
      <c r="G36" s="605"/>
      <c r="H36" s="374"/>
      <c r="I36" s="41"/>
      <c r="J36" s="298"/>
      <c r="K36" s="40"/>
    </row>
    <row r="37" spans="1:11" s="112" customFormat="1" ht="13.15" customHeight="1">
      <c r="A37" s="714" t="s">
        <v>958</v>
      </c>
      <c r="B37" s="505">
        <v>5468.34</v>
      </c>
      <c r="C37" s="505">
        <v>34232.014999999999</v>
      </c>
      <c r="D37" s="505">
        <f>59213.4+585</f>
        <v>59798.400000000001</v>
      </c>
      <c r="E37" s="504">
        <f>329+2</f>
        <v>331</v>
      </c>
      <c r="F37" s="897"/>
      <c r="G37" s="605"/>
      <c r="H37" s="374"/>
      <c r="I37" s="41"/>
      <c r="J37" s="298"/>
      <c r="K37" s="40"/>
    </row>
    <row r="38" spans="1:11" s="840" customFormat="1" ht="13.15" customHeight="1">
      <c r="A38" s="700" t="s">
        <v>959</v>
      </c>
      <c r="B38" s="460">
        <v>5612.7</v>
      </c>
      <c r="C38" s="460">
        <v>19404.841</v>
      </c>
      <c r="D38" s="460">
        <f>59430.5+585</f>
        <v>60015.5</v>
      </c>
      <c r="E38" s="459">
        <f>331+2</f>
        <v>333</v>
      </c>
      <c r="F38" s="897"/>
      <c r="G38" s="605"/>
      <c r="H38" s="374"/>
      <c r="I38" s="41"/>
      <c r="J38" s="41"/>
      <c r="K38" s="40"/>
    </row>
    <row r="39" spans="1:11" s="112" customFormat="1" ht="13.15" customHeight="1">
      <c r="A39" s="714" t="s">
        <v>951</v>
      </c>
      <c r="B39" s="505">
        <v>5719.61</v>
      </c>
      <c r="C39" s="505">
        <v>21770.14</v>
      </c>
      <c r="D39" s="505">
        <f>60360.6+585</f>
        <v>60945.599999999999</v>
      </c>
      <c r="E39" s="504">
        <f>333+2</f>
        <v>335</v>
      </c>
      <c r="F39" s="897"/>
      <c r="G39" s="605"/>
      <c r="H39" s="374"/>
      <c r="I39" s="41"/>
      <c r="J39" s="41"/>
      <c r="K39" s="40"/>
    </row>
    <row r="40" spans="1:11" s="840" customFormat="1" ht="13.15" customHeight="1">
      <c r="A40" s="700" t="s">
        <v>960</v>
      </c>
      <c r="B40" s="460">
        <v>5475.55</v>
      </c>
      <c r="C40" s="460">
        <v>15317.778</v>
      </c>
      <c r="D40" s="460">
        <f>60127.4+585</f>
        <v>60712.4</v>
      </c>
      <c r="E40" s="459">
        <f>331+2</f>
        <v>333</v>
      </c>
      <c r="F40" s="897"/>
      <c r="G40" s="605"/>
      <c r="H40" s="374"/>
      <c r="I40" s="41"/>
      <c r="J40" s="41"/>
      <c r="K40" s="40"/>
    </row>
    <row r="41" spans="1:11" s="840" customFormat="1" ht="13.15" customHeight="1">
      <c r="A41" s="714" t="s">
        <v>961</v>
      </c>
      <c r="B41" s="505">
        <v>5403.12</v>
      </c>
      <c r="C41" s="505">
        <v>12258.223</v>
      </c>
      <c r="D41" s="505">
        <f>60311.4+585</f>
        <v>60896.4</v>
      </c>
      <c r="E41" s="504">
        <f>331+2</f>
        <v>333</v>
      </c>
      <c r="F41" s="897"/>
      <c r="G41" s="605"/>
      <c r="H41" s="374"/>
      <c r="I41" s="41"/>
      <c r="J41" s="41"/>
      <c r="K41" s="40"/>
    </row>
    <row r="42" spans="1:11" s="840" customFormat="1" ht="13.15" customHeight="1">
      <c r="A42" s="700" t="s">
        <v>952</v>
      </c>
      <c r="B42" s="460">
        <v>5656.05</v>
      </c>
      <c r="C42" s="460">
        <v>10156.379999999999</v>
      </c>
      <c r="D42" s="460">
        <f>61071.5+585</f>
        <v>61656.5</v>
      </c>
      <c r="E42" s="459">
        <f>332+2</f>
        <v>334</v>
      </c>
      <c r="F42" s="897"/>
      <c r="G42" s="605"/>
      <c r="H42" s="374"/>
      <c r="I42" s="41"/>
      <c r="J42" s="41"/>
      <c r="K42" s="40"/>
    </row>
    <row r="43" spans="1:11" s="840" customFormat="1" ht="13.15" customHeight="1">
      <c r="A43" s="966" t="s">
        <v>2755</v>
      </c>
      <c r="B43" s="505"/>
      <c r="C43" s="505"/>
      <c r="D43" s="505"/>
      <c r="E43" s="504"/>
      <c r="F43" s="897"/>
      <c r="G43" s="605"/>
      <c r="H43" s="374"/>
      <c r="I43" s="41"/>
      <c r="J43" s="41"/>
      <c r="K43" s="40"/>
    </row>
    <row r="44" spans="1:11" s="840" customFormat="1" ht="13.15" customHeight="1" thickBot="1">
      <c r="A44" s="1498" t="s">
        <v>954</v>
      </c>
      <c r="B44" s="894">
        <v>5860.65</v>
      </c>
      <c r="C44" s="894">
        <v>20929.46</v>
      </c>
      <c r="D44" s="894">
        <f>61539+585</f>
        <v>62124</v>
      </c>
      <c r="E44" s="801">
        <f>333+2</f>
        <v>335</v>
      </c>
      <c r="F44" s="897"/>
      <c r="G44" s="605"/>
      <c r="H44" s="374"/>
      <c r="I44" s="41"/>
      <c r="J44" s="41"/>
      <c r="K44" s="40"/>
    </row>
    <row r="45" spans="1:11" s="112" customFormat="1">
      <c r="A45" s="243" t="s">
        <v>2658</v>
      </c>
      <c r="B45" s="39"/>
      <c r="C45" s="39"/>
      <c r="D45" s="39"/>
      <c r="E45" s="39"/>
      <c r="F45" s="897"/>
      <c r="G45" s="605"/>
      <c r="H45" s="374"/>
      <c r="I45" s="41"/>
      <c r="J45" s="41"/>
      <c r="K45" s="40"/>
    </row>
    <row r="46" spans="1:11" s="112" customFormat="1" ht="10.5" customHeight="1">
      <c r="A46" s="163" t="s">
        <v>2659</v>
      </c>
      <c r="B46" s="39"/>
      <c r="C46" s="41"/>
      <c r="D46" s="392"/>
      <c r="E46" s="392"/>
      <c r="F46" s="897"/>
      <c r="G46" s="605"/>
      <c r="H46" s="374"/>
      <c r="I46" s="41"/>
      <c r="J46" s="41"/>
      <c r="K46" s="40"/>
    </row>
    <row r="47" spans="1:11" s="112" customFormat="1" ht="8.85" customHeight="1">
      <c r="F47" s="897"/>
      <c r="G47" s="605"/>
      <c r="H47" s="374"/>
      <c r="I47" s="41"/>
      <c r="J47" s="298"/>
      <c r="K47" s="40"/>
    </row>
    <row r="48" spans="1:11" s="112" customFormat="1" ht="8.85" customHeight="1">
      <c r="F48" s="897"/>
      <c r="G48" s="605"/>
      <c r="H48" s="374"/>
      <c r="I48" s="41"/>
      <c r="J48" s="298"/>
      <c r="K48" s="40"/>
    </row>
    <row r="49" spans="2:11" s="112" customFormat="1" ht="13.5" customHeight="1">
      <c r="F49" s="897"/>
      <c r="G49" s="605"/>
      <c r="H49" s="374"/>
      <c r="I49" s="41"/>
      <c r="J49" s="298"/>
      <c r="K49" s="40"/>
    </row>
    <row r="50" spans="2:11" s="112" customFormat="1" ht="8.85" customHeight="1">
      <c r="F50" s="897"/>
      <c r="G50" s="605"/>
      <c r="H50" s="374"/>
      <c r="I50" s="41"/>
      <c r="J50" s="298"/>
      <c r="K50" s="40"/>
    </row>
    <row r="51" spans="2:11" s="112" customFormat="1" ht="8.85" customHeight="1">
      <c r="F51" s="897"/>
      <c r="G51" s="605"/>
      <c r="H51" s="967"/>
      <c r="I51" s="41"/>
      <c r="J51" s="457"/>
      <c r="K51" s="40"/>
    </row>
    <row r="52" spans="2:11" s="112" customFormat="1" ht="8.85" customHeight="1">
      <c r="F52" s="897"/>
      <c r="G52" s="605"/>
      <c r="H52" s="967"/>
      <c r="I52" s="41"/>
      <c r="J52" s="457"/>
      <c r="K52" s="40"/>
    </row>
    <row r="53" spans="2:11" s="112" customFormat="1" ht="8.85" customHeight="1">
      <c r="F53" s="897"/>
      <c r="G53" s="605"/>
      <c r="H53" s="374"/>
      <c r="I53" s="41"/>
      <c r="J53" s="840"/>
      <c r="K53" s="40"/>
    </row>
    <row r="54" spans="2:11" s="112" customFormat="1" ht="8.85" customHeight="1">
      <c r="F54" s="897"/>
      <c r="G54" s="605"/>
      <c r="H54" s="374"/>
      <c r="I54" s="41"/>
      <c r="J54" s="840"/>
      <c r="K54" s="40"/>
    </row>
    <row r="55" spans="2:11" s="112" customFormat="1" ht="8.85" customHeight="1">
      <c r="F55" s="897"/>
      <c r="G55" s="605"/>
      <c r="H55" s="374"/>
      <c r="I55" s="41"/>
      <c r="J55" s="840"/>
      <c r="K55" s="40"/>
    </row>
    <row r="56" spans="2:11" s="112" customFormat="1" ht="9.9499999999999993" customHeight="1">
      <c r="F56" s="897"/>
      <c r="G56" s="605"/>
      <c r="H56" s="374"/>
      <c r="I56" s="41"/>
      <c r="J56" s="840"/>
      <c r="K56" s="40"/>
    </row>
    <row r="57" spans="2:11" s="112" customFormat="1" ht="9.9499999999999993" customHeight="1">
      <c r="F57" s="897"/>
      <c r="G57" s="605"/>
      <c r="H57" s="374"/>
      <c r="I57" s="41"/>
      <c r="J57" s="840"/>
      <c r="K57" s="40"/>
    </row>
    <row r="58" spans="2:11" s="112" customFormat="1" ht="9.9499999999999993" customHeight="1">
      <c r="F58" s="897"/>
      <c r="G58" s="605"/>
      <c r="H58" s="374"/>
      <c r="I58" s="41"/>
      <c r="J58" s="840"/>
      <c r="K58" s="40"/>
    </row>
    <row r="59" spans="2:11" s="112" customFormat="1" ht="11.1" customHeight="1">
      <c r="F59" s="897"/>
      <c r="G59" s="40"/>
      <c r="H59" s="374"/>
      <c r="I59" s="41"/>
      <c r="J59" s="298"/>
      <c r="K59" s="40"/>
    </row>
    <row r="60" spans="2:11" s="112" customFormat="1" ht="11.1" customHeight="1">
      <c r="F60" s="897"/>
      <c r="G60" s="40"/>
      <c r="H60" s="374"/>
      <c r="I60" s="41"/>
      <c r="J60" s="298"/>
      <c r="K60" s="40"/>
    </row>
    <row r="61" spans="2:11" s="112" customFormat="1" ht="11.1" customHeight="1">
      <c r="F61" s="897"/>
      <c r="G61" s="40"/>
      <c r="H61" s="374"/>
      <c r="I61" s="41"/>
      <c r="J61" s="40"/>
      <c r="K61" s="40"/>
    </row>
    <row r="62" spans="2:11" s="112" customFormat="1" ht="11.1" customHeight="1">
      <c r="F62" s="897"/>
      <c r="G62" s="40"/>
      <c r="H62" s="374"/>
      <c r="I62" s="41"/>
      <c r="J62" s="40"/>
      <c r="K62" s="40"/>
    </row>
    <row r="63" spans="2:11" s="840" customFormat="1" ht="11.1" customHeight="1">
      <c r="F63" s="897"/>
      <c r="G63" s="605"/>
      <c r="H63" s="605"/>
      <c r="I63" s="41"/>
      <c r="J63" s="298"/>
      <c r="K63" s="40"/>
    </row>
    <row r="64" spans="2:11" ht="11.1" customHeight="1">
      <c r="B64" s="2"/>
      <c r="C64" s="2"/>
      <c r="D64" s="2"/>
      <c r="E64" s="2"/>
      <c r="F64" s="897"/>
      <c r="G64" s="605"/>
      <c r="H64" s="605"/>
      <c r="I64" s="41"/>
      <c r="J64" s="298"/>
      <c r="K64" s="40"/>
    </row>
    <row r="65" spans="1:11" ht="11.1" customHeight="1">
      <c r="B65" s="2"/>
      <c r="C65" s="2"/>
      <c r="D65" s="2"/>
      <c r="E65" s="2"/>
      <c r="F65" s="897"/>
      <c r="G65" s="605"/>
      <c r="H65" s="605"/>
      <c r="I65" s="41"/>
      <c r="J65" s="840"/>
      <c r="K65" s="40"/>
    </row>
    <row r="66" spans="1:11">
      <c r="A66" s="156"/>
      <c r="B66" s="157"/>
      <c r="C66" s="157"/>
      <c r="D66" s="162"/>
      <c r="E66" s="80"/>
      <c r="F66" s="897"/>
      <c r="G66" s="605"/>
      <c r="H66" s="605"/>
      <c r="I66" s="41"/>
      <c r="J66" s="840"/>
      <c r="K66" s="40"/>
    </row>
    <row r="67" spans="1:11">
      <c r="A67" s="160"/>
      <c r="B67" s="161"/>
      <c r="C67" s="161"/>
      <c r="D67" s="162"/>
      <c r="E67" s="128"/>
      <c r="F67" s="897"/>
      <c r="G67" s="605"/>
      <c r="H67" s="605"/>
      <c r="I67" s="41"/>
      <c r="J67" s="840"/>
      <c r="K67" s="40"/>
    </row>
    <row r="68" spans="1:11">
      <c r="A68" s="160"/>
      <c r="B68" s="161"/>
      <c r="C68" s="161"/>
      <c r="D68" s="162"/>
      <c r="E68" s="128"/>
      <c r="F68" s="897"/>
      <c r="G68" s="605"/>
      <c r="H68" s="605"/>
      <c r="I68" s="41"/>
      <c r="J68" s="840"/>
      <c r="K68" s="40"/>
    </row>
    <row r="69" spans="1:11">
      <c r="A69" s="160"/>
      <c r="B69" s="161"/>
      <c r="C69" s="161"/>
      <c r="D69" s="162"/>
      <c r="E69" s="128"/>
      <c r="F69" s="897"/>
      <c r="G69" s="605"/>
      <c r="H69" s="605"/>
      <c r="I69" s="41"/>
      <c r="J69" s="840"/>
      <c r="K69" s="40"/>
    </row>
    <row r="70" spans="1:11">
      <c r="A70" s="160"/>
      <c r="B70" s="161"/>
      <c r="C70" s="161"/>
      <c r="D70" s="162"/>
      <c r="E70" s="128"/>
      <c r="F70" s="897"/>
      <c r="G70" s="605"/>
      <c r="H70" s="605"/>
      <c r="I70" s="41"/>
      <c r="J70" s="840"/>
      <c r="K70" s="40"/>
    </row>
    <row r="71" spans="1:11">
      <c r="A71" s="160"/>
      <c r="B71" s="161"/>
      <c r="C71" s="161"/>
      <c r="D71" s="162"/>
      <c r="E71" s="128"/>
      <c r="F71" s="897"/>
      <c r="G71" s="605"/>
      <c r="H71" s="605"/>
      <c r="I71" s="41"/>
      <c r="J71" s="840"/>
      <c r="K71" s="40"/>
    </row>
    <row r="72" spans="1:11">
      <c r="A72" s="160"/>
      <c r="B72" s="161"/>
      <c r="C72" s="161"/>
      <c r="D72" s="162"/>
      <c r="E72" s="128"/>
      <c r="F72" s="765"/>
      <c r="G72" s="840"/>
      <c r="H72" s="840"/>
      <c r="I72" s="840"/>
      <c r="J72" s="840"/>
      <c r="K72" s="840"/>
    </row>
    <row r="73" spans="1:11">
      <c r="A73" s="160"/>
      <c r="B73" s="161"/>
      <c r="C73" s="161"/>
      <c r="D73" s="162"/>
      <c r="E73" s="128"/>
      <c r="F73" s="765"/>
      <c r="G73" s="840"/>
      <c r="H73" s="840"/>
      <c r="I73" s="840"/>
      <c r="J73" s="840"/>
      <c r="K73" s="840"/>
    </row>
    <row r="74" spans="1:11">
      <c r="A74" s="160"/>
      <c r="B74" s="161"/>
      <c r="C74" s="161"/>
      <c r="D74" s="162"/>
      <c r="E74" s="128"/>
      <c r="F74" s="765"/>
      <c r="G74" s="840"/>
      <c r="H74" s="840"/>
      <c r="I74" s="840"/>
      <c r="J74" s="840"/>
      <c r="K74" s="840"/>
    </row>
    <row r="75" spans="1:11">
      <c r="A75" s="160"/>
      <c r="B75" s="161"/>
      <c r="C75" s="161"/>
      <c r="D75" s="162"/>
      <c r="E75" s="128"/>
      <c r="F75" s="765"/>
      <c r="G75" s="840"/>
      <c r="H75" s="840"/>
      <c r="I75" s="840"/>
      <c r="J75" s="840"/>
      <c r="K75" s="840"/>
    </row>
    <row r="76" spans="1:11">
      <c r="A76" s="160"/>
      <c r="B76" s="161"/>
      <c r="C76" s="161"/>
      <c r="D76" s="162"/>
      <c r="E76" s="128"/>
      <c r="F76" s="765"/>
      <c r="G76" s="840"/>
      <c r="H76" s="840"/>
      <c r="I76" s="840"/>
      <c r="J76" s="840"/>
      <c r="K76" s="840"/>
    </row>
    <row r="77" spans="1:11">
      <c r="A77" s="160"/>
      <c r="B77" s="161"/>
      <c r="C77" s="161"/>
      <c r="D77" s="162"/>
      <c r="E77" s="128"/>
      <c r="F77" s="765"/>
      <c r="G77" s="840"/>
      <c r="H77" s="840"/>
      <c r="I77" s="840"/>
      <c r="J77" s="840"/>
      <c r="K77" s="840"/>
    </row>
    <row r="78" spans="1:11">
      <c r="F78" s="765"/>
      <c r="G78" s="840"/>
      <c r="H78" s="840"/>
      <c r="I78" s="840"/>
      <c r="J78" s="840"/>
      <c r="K78" s="840"/>
    </row>
    <row r="79" spans="1:11">
      <c r="F79" s="765"/>
      <c r="G79" s="840"/>
      <c r="H79" s="840"/>
      <c r="I79" s="840"/>
      <c r="J79" s="840"/>
      <c r="K79" s="840"/>
    </row>
    <row r="80" spans="1:11">
      <c r="F80" s="765"/>
      <c r="G80" s="840"/>
      <c r="H80" s="840"/>
      <c r="I80" s="840"/>
      <c r="J80" s="840"/>
      <c r="K80" s="840"/>
    </row>
    <row r="81" spans="1:11">
      <c r="F81" s="765"/>
      <c r="G81" s="840"/>
      <c r="H81" s="840"/>
      <c r="I81" s="840"/>
      <c r="J81" s="840"/>
      <c r="K81" s="840"/>
    </row>
    <row r="82" spans="1:11">
      <c r="A82" s="160"/>
      <c r="B82" s="157"/>
      <c r="C82" s="161"/>
      <c r="D82" s="162"/>
      <c r="E82" s="128"/>
      <c r="F82" s="765"/>
      <c r="G82" s="840"/>
      <c r="H82" s="840"/>
      <c r="I82" s="840"/>
      <c r="J82" s="840"/>
      <c r="K82" s="840"/>
    </row>
    <row r="83" spans="1:11">
      <c r="A83" s="160"/>
      <c r="B83" s="157"/>
      <c r="C83" s="161"/>
      <c r="D83" s="162"/>
      <c r="E83" s="128"/>
      <c r="F83" s="765"/>
      <c r="G83" s="840"/>
      <c r="H83" s="840"/>
      <c r="I83" s="840"/>
      <c r="J83" s="840"/>
      <c r="K83" s="840"/>
    </row>
    <row r="84" spans="1:11">
      <c r="A84" s="160"/>
      <c r="B84" s="161"/>
      <c r="C84" s="157"/>
      <c r="D84" s="162"/>
      <c r="E84" s="128"/>
      <c r="F84" s="765"/>
      <c r="G84" s="840"/>
      <c r="H84" s="840"/>
      <c r="I84" s="840"/>
      <c r="J84" s="840"/>
      <c r="K84" s="840"/>
    </row>
    <row r="85" spans="1:11">
      <c r="A85" s="160"/>
      <c r="B85" s="161"/>
      <c r="C85" s="161"/>
      <c r="D85" s="162"/>
      <c r="E85" s="128"/>
      <c r="G85" s="840"/>
      <c r="H85" s="840"/>
      <c r="I85" s="840"/>
      <c r="J85" s="840"/>
      <c r="K85" s="840"/>
    </row>
    <row r="86" spans="1:11">
      <c r="A86" s="160"/>
      <c r="B86" s="157"/>
      <c r="C86" s="161"/>
      <c r="D86" s="162"/>
      <c r="E86" s="128"/>
      <c r="G86" s="840"/>
      <c r="H86" s="840"/>
      <c r="I86" s="840"/>
      <c r="J86" s="840"/>
      <c r="K86" s="840"/>
    </row>
    <row r="87" spans="1:11">
      <c r="A87" s="160"/>
      <c r="B87" s="128"/>
      <c r="C87" s="161"/>
      <c r="D87" s="162"/>
      <c r="E87" s="128"/>
      <c r="G87" s="840"/>
      <c r="H87" s="840"/>
      <c r="I87" s="840"/>
      <c r="J87" s="840"/>
      <c r="K87" s="840"/>
    </row>
    <row r="88" spans="1:11">
      <c r="A88" s="160"/>
      <c r="B88" s="80"/>
      <c r="C88" s="157"/>
      <c r="D88" s="162"/>
      <c r="E88" s="128"/>
      <c r="G88" s="840"/>
      <c r="H88" s="840"/>
      <c r="I88" s="840"/>
      <c r="J88" s="840"/>
      <c r="K88" s="840"/>
    </row>
    <row r="89" spans="1:11">
      <c r="G89" s="840"/>
      <c r="H89" s="840"/>
      <c r="I89" s="840"/>
      <c r="J89" s="840"/>
      <c r="K89" s="840"/>
    </row>
    <row r="90" spans="1:11">
      <c r="A90" s="160"/>
      <c r="B90" s="162"/>
      <c r="C90" s="162"/>
      <c r="D90" s="162"/>
      <c r="E90" s="128"/>
      <c r="G90" s="840"/>
      <c r="H90" s="840"/>
      <c r="I90" s="840"/>
      <c r="J90" s="840"/>
      <c r="K90" s="840"/>
    </row>
    <row r="91" spans="1:11">
      <c r="A91" s="160"/>
      <c r="B91" s="162"/>
      <c r="C91" s="162"/>
      <c r="D91" s="162"/>
      <c r="E91" s="128"/>
      <c r="G91" s="840"/>
      <c r="H91" s="840"/>
      <c r="I91" s="840"/>
      <c r="J91" s="840"/>
      <c r="K91" s="840"/>
    </row>
    <row r="92" spans="1:11">
      <c r="G92" s="840"/>
      <c r="H92" s="840"/>
      <c r="I92" s="840"/>
      <c r="J92" s="840"/>
      <c r="K92" s="840"/>
    </row>
    <row r="93" spans="1:11">
      <c r="A93" s="160"/>
      <c r="B93" s="2"/>
      <c r="C93" s="2"/>
      <c r="D93" s="162"/>
      <c r="E93" s="128"/>
      <c r="G93" s="840"/>
      <c r="H93" s="840"/>
      <c r="I93" s="840"/>
      <c r="J93" s="840"/>
      <c r="K93" s="840"/>
    </row>
    <row r="94" spans="1:11">
      <c r="A94" s="160"/>
      <c r="B94" s="128"/>
      <c r="C94" s="128"/>
      <c r="D94" s="162"/>
      <c r="E94" s="128"/>
      <c r="G94" s="840"/>
      <c r="H94" s="840"/>
      <c r="I94" s="840"/>
      <c r="J94" s="840"/>
      <c r="K94" s="840"/>
    </row>
    <row r="95" spans="1:11">
      <c r="G95" s="840"/>
      <c r="H95" s="840"/>
      <c r="I95" s="840"/>
      <c r="J95" s="840"/>
      <c r="K95" s="840"/>
    </row>
    <row r="96" spans="1:11">
      <c r="A96" s="160"/>
      <c r="B96" s="128"/>
      <c r="C96" s="128"/>
      <c r="D96" s="162"/>
      <c r="E96" s="128"/>
      <c r="G96" s="840"/>
      <c r="H96" s="840"/>
      <c r="I96" s="840"/>
      <c r="J96" s="840"/>
      <c r="K96" s="840"/>
    </row>
    <row r="97" spans="1:11">
      <c r="A97" s="160"/>
      <c r="B97" s="128"/>
      <c r="C97" s="128"/>
      <c r="D97" s="162"/>
      <c r="E97" s="128"/>
      <c r="G97" s="840"/>
      <c r="H97" s="840"/>
      <c r="I97" s="840"/>
      <c r="J97" s="840"/>
      <c r="K97" s="840"/>
    </row>
    <row r="98" spans="1:11">
      <c r="G98" s="840"/>
      <c r="H98" s="840"/>
      <c r="I98" s="840"/>
      <c r="J98" s="840"/>
      <c r="K98" s="840"/>
    </row>
    <row r="99" spans="1:11">
      <c r="A99" s="160"/>
      <c r="B99" s="128"/>
      <c r="C99" s="161"/>
      <c r="D99" s="162"/>
      <c r="E99" s="128"/>
      <c r="G99" s="840"/>
      <c r="H99" s="840"/>
      <c r="I99" s="840"/>
      <c r="J99" s="840"/>
      <c r="K99" s="840"/>
    </row>
    <row r="100" spans="1:11">
      <c r="A100" s="160"/>
      <c r="B100" s="157"/>
      <c r="C100" s="80"/>
      <c r="D100" s="162"/>
      <c r="E100" s="128"/>
      <c r="G100" s="840"/>
      <c r="H100" s="840"/>
      <c r="I100" s="840"/>
      <c r="J100" s="840"/>
      <c r="K100" s="840"/>
    </row>
    <row r="101" spans="1:11">
      <c r="A101" s="10"/>
      <c r="B101" s="39"/>
      <c r="C101" s="39"/>
      <c r="D101" s="39"/>
      <c r="E101" s="39"/>
    </row>
    <row r="102" spans="1:11">
      <c r="A102" s="10"/>
      <c r="B102" s="39"/>
      <c r="C102" s="39"/>
      <c r="D102" s="39"/>
      <c r="E102" s="39"/>
    </row>
    <row r="103" spans="1:11">
      <c r="C103" s="39"/>
      <c r="D103" s="39"/>
      <c r="E103" s="39"/>
    </row>
    <row r="104" spans="1:11">
      <c r="A104" s="10"/>
      <c r="B104" s="39"/>
      <c r="C104" s="39"/>
      <c r="D104" s="39"/>
      <c r="E104" s="39"/>
    </row>
    <row r="105" spans="1:11">
      <c r="A105" s="10"/>
      <c r="B105" s="39"/>
      <c r="C105" s="39"/>
      <c r="D105" s="39"/>
      <c r="E105" s="39"/>
    </row>
    <row r="106" spans="1:11">
      <c r="A106" s="10"/>
      <c r="B106" s="39"/>
      <c r="C106" s="39"/>
      <c r="D106" s="39"/>
      <c r="E106" s="39"/>
    </row>
  </sheetData>
  <mergeCells count="3">
    <mergeCell ref="A1:E1"/>
    <mergeCell ref="J3:K3"/>
    <mergeCell ref="F1:J1"/>
  </mergeCells>
  <phoneticPr fontId="47" type="noConversion"/>
  <pageMargins left="0.59055118110236204" right="0.511811023622047" top="0.511811023622047" bottom="0.511811023622047" header="0.25" footer="0"/>
  <pageSetup paperSize="151" firstPageNumber="52" orientation="portrait" useFirstPageNumber="1" r:id="rId1"/>
  <headerFooter>
    <oddFooter>&amp;C&amp;"Times New Roman,Regular"&amp;8&amp;P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S61"/>
  <sheetViews>
    <sheetView zoomScale="130" zoomScaleNormal="130" workbookViewId="0">
      <pane xSplit="2" ySplit="4" topLeftCell="J7" activePane="bottomRight" state="frozen"/>
      <selection pane="topRight" activeCell="C1" sqref="C1"/>
      <selection pane="bottomLeft" activeCell="A5" sqref="A5"/>
      <selection pane="bottomRight" activeCell="A16" sqref="A16:XFD16"/>
    </sheetView>
  </sheetViews>
  <sheetFormatPr defaultColWidth="9.140625" defaultRowHeight="11.25"/>
  <cols>
    <col min="1" max="1" width="7.5703125" style="24" customWidth="1"/>
    <col min="2" max="2" width="1.28515625" style="24" customWidth="1"/>
    <col min="3" max="3" width="8.28515625" style="10" customWidth="1"/>
    <col min="4" max="4" width="9.28515625" style="10" customWidth="1"/>
    <col min="5" max="5" width="7.140625" style="10" customWidth="1"/>
    <col min="6" max="6" width="9.7109375" style="10" customWidth="1"/>
    <col min="7" max="7" width="8.5703125" style="10" customWidth="1"/>
    <col min="8" max="8" width="8.140625" style="10" customWidth="1"/>
    <col min="9" max="9" width="7.85546875" style="10" customWidth="1"/>
    <col min="10" max="10" width="8.42578125" style="10" customWidth="1"/>
    <col min="11" max="11" width="9.5703125" style="10" customWidth="1"/>
    <col min="12" max="12" width="7.140625" style="10" customWidth="1"/>
    <col min="13" max="15" width="7.7109375" style="10" customWidth="1"/>
    <col min="16" max="16" width="9.7109375" style="10" customWidth="1"/>
    <col min="17" max="17" width="7.85546875" style="10" customWidth="1"/>
    <col min="18" max="18" width="12.5703125" style="10" customWidth="1"/>
    <col min="19" max="19" width="9" style="10" customWidth="1"/>
    <col min="20" max="16384" width="9.140625" style="10"/>
  </cols>
  <sheetData>
    <row r="1" spans="1:19" s="164" customFormat="1" ht="12.75" customHeight="1">
      <c r="A1" s="1977" t="s">
        <v>1057</v>
      </c>
      <c r="B1" s="1977"/>
      <c r="C1" s="1977"/>
      <c r="D1" s="1977"/>
      <c r="E1" s="1977"/>
      <c r="F1" s="1977"/>
      <c r="G1" s="1977"/>
      <c r="H1" s="1977"/>
      <c r="I1" s="1977"/>
      <c r="J1" s="1977"/>
      <c r="K1" s="1976" t="s">
        <v>756</v>
      </c>
      <c r="L1" s="1976"/>
      <c r="M1" s="1976"/>
      <c r="N1" s="1976"/>
      <c r="O1" s="1976"/>
      <c r="P1" s="1976"/>
      <c r="Q1" s="1976"/>
      <c r="R1" s="1978" t="s">
        <v>2080</v>
      </c>
      <c r="S1" s="1978"/>
    </row>
    <row r="2" spans="1:19" s="30" customFormat="1" ht="10.5" customHeight="1">
      <c r="C2" s="167"/>
      <c r="D2" s="167"/>
      <c r="E2" s="167"/>
      <c r="F2" s="167"/>
      <c r="G2" s="167"/>
      <c r="H2" s="167"/>
      <c r="K2" s="167"/>
      <c r="L2" s="167"/>
      <c r="M2" s="167"/>
      <c r="N2" s="167"/>
      <c r="O2" s="167"/>
      <c r="P2" s="167"/>
      <c r="Q2" s="167"/>
      <c r="R2" s="1982" t="s">
        <v>101</v>
      </c>
      <c r="S2" s="1982"/>
    </row>
    <row r="3" spans="1:19" s="166" customFormat="1" ht="12.75" customHeight="1">
      <c r="A3" s="1972" t="s">
        <v>869</v>
      </c>
      <c r="B3" s="1973"/>
      <c r="C3" s="1979" t="s">
        <v>2416</v>
      </c>
      <c r="D3" s="1980"/>
      <c r="E3" s="1980"/>
      <c r="F3" s="1980"/>
      <c r="G3" s="1980"/>
      <c r="H3" s="1980"/>
      <c r="I3" s="1980"/>
      <c r="J3" s="1980"/>
      <c r="K3" s="1980"/>
      <c r="L3" s="1980"/>
      <c r="M3" s="1980"/>
      <c r="N3" s="1980"/>
      <c r="O3" s="1980"/>
      <c r="P3" s="1980"/>
      <c r="Q3" s="1980"/>
      <c r="R3" s="1981"/>
      <c r="S3" s="1983" t="s">
        <v>1677</v>
      </c>
    </row>
    <row r="4" spans="1:19" s="114" customFormat="1" ht="39.75" customHeight="1">
      <c r="A4" s="1974"/>
      <c r="B4" s="1975"/>
      <c r="C4" s="28" t="s">
        <v>870</v>
      </c>
      <c r="D4" s="28" t="s">
        <v>360</v>
      </c>
      <c r="E4" s="28" t="s">
        <v>362</v>
      </c>
      <c r="F4" s="28" t="s">
        <v>143</v>
      </c>
      <c r="G4" s="1409" t="s">
        <v>2551</v>
      </c>
      <c r="H4" s="1409" t="s">
        <v>2550</v>
      </c>
      <c r="I4" s="28" t="s">
        <v>144</v>
      </c>
      <c r="J4" s="28" t="s">
        <v>899</v>
      </c>
      <c r="K4" s="1409" t="s">
        <v>2549</v>
      </c>
      <c r="L4" s="1409" t="s">
        <v>2552</v>
      </c>
      <c r="M4" s="1409" t="s">
        <v>2553</v>
      </c>
      <c r="N4" s="28" t="s">
        <v>146</v>
      </c>
      <c r="O4" s="28" t="s">
        <v>900</v>
      </c>
      <c r="P4" s="28" t="s">
        <v>369</v>
      </c>
      <c r="Q4" s="28" t="s">
        <v>581</v>
      </c>
      <c r="R4" s="28" t="s">
        <v>147</v>
      </c>
      <c r="S4" s="1983"/>
    </row>
    <row r="5" spans="1:19" s="300" customFormat="1" ht="13.15" customHeight="1">
      <c r="A5" s="626" t="s">
        <v>137</v>
      </c>
      <c r="B5" s="626"/>
      <c r="C5" s="1450">
        <v>2042.7</v>
      </c>
      <c r="D5" s="1450" t="s">
        <v>603</v>
      </c>
      <c r="E5" s="1450">
        <v>99.4</v>
      </c>
      <c r="F5" s="1450">
        <v>552.4</v>
      </c>
      <c r="G5" s="1450">
        <v>859.2</v>
      </c>
      <c r="H5" s="1450">
        <v>381.1</v>
      </c>
      <c r="I5" s="1450">
        <v>12.7</v>
      </c>
      <c r="J5" s="1450">
        <v>618.9</v>
      </c>
      <c r="K5" s="1450">
        <v>1120.2</v>
      </c>
      <c r="L5" s="1450">
        <v>31.2</v>
      </c>
      <c r="M5" s="1450">
        <v>158</v>
      </c>
      <c r="N5" s="1450">
        <v>369.2</v>
      </c>
      <c r="O5" s="1450">
        <v>383.8</v>
      </c>
      <c r="P5" s="1450" t="s">
        <v>603</v>
      </c>
      <c r="Q5" s="1450">
        <v>587.5</v>
      </c>
      <c r="R5" s="1451">
        <f t="shared" ref="R5:R10" si="0">SUM(C5:Q5)</f>
        <v>7216.2999999999993</v>
      </c>
      <c r="S5" s="429" t="s">
        <v>137</v>
      </c>
    </row>
    <row r="6" spans="1:19" ht="13.15" customHeight="1">
      <c r="A6" s="549" t="s">
        <v>148</v>
      </c>
      <c r="B6" s="549"/>
      <c r="C6" s="568">
        <v>5078.6000000000004</v>
      </c>
      <c r="D6" s="568" t="s">
        <v>603</v>
      </c>
      <c r="E6" s="568">
        <v>144.9</v>
      </c>
      <c r="F6" s="568">
        <v>687</v>
      </c>
      <c r="G6" s="568">
        <v>1160.5999999999999</v>
      </c>
      <c r="H6" s="568">
        <v>416.4</v>
      </c>
      <c r="I6" s="568">
        <v>12.4</v>
      </c>
      <c r="J6" s="568">
        <v>753.3</v>
      </c>
      <c r="K6" s="568">
        <v>2401.6999999999998</v>
      </c>
      <c r="L6" s="568">
        <v>25.9</v>
      </c>
      <c r="M6" s="568">
        <v>205.6</v>
      </c>
      <c r="N6" s="568">
        <v>1933.4</v>
      </c>
      <c r="O6" s="568">
        <v>654</v>
      </c>
      <c r="P6" s="568" t="s">
        <v>603</v>
      </c>
      <c r="Q6" s="568">
        <v>711.3</v>
      </c>
      <c r="R6" s="569">
        <f t="shared" si="0"/>
        <v>14185.099999999997</v>
      </c>
      <c r="S6" s="527" t="s">
        <v>148</v>
      </c>
    </row>
    <row r="7" spans="1:19" s="300" customFormat="1" ht="13.15" customHeight="1">
      <c r="A7" s="626" t="s">
        <v>948</v>
      </c>
      <c r="B7" s="626"/>
      <c r="C7" s="1450">
        <v>9818</v>
      </c>
      <c r="D7" s="1450" t="s">
        <v>603</v>
      </c>
      <c r="E7" s="1450">
        <v>224.7</v>
      </c>
      <c r="F7" s="1450">
        <v>739.1</v>
      </c>
      <c r="G7" s="1450">
        <v>968.4</v>
      </c>
      <c r="H7" s="1450">
        <v>404.2</v>
      </c>
      <c r="I7" s="1450">
        <v>13.7</v>
      </c>
      <c r="J7" s="1450">
        <v>845.4</v>
      </c>
      <c r="K7" s="1450">
        <v>3235.5</v>
      </c>
      <c r="L7" s="1450">
        <v>20.399999999999999</v>
      </c>
      <c r="M7" s="1450">
        <v>172.4</v>
      </c>
      <c r="N7" s="1450">
        <v>3120.2</v>
      </c>
      <c r="O7" s="1450">
        <v>833.67</v>
      </c>
      <c r="P7" s="1450" t="s">
        <v>603</v>
      </c>
      <c r="Q7" s="1450">
        <v>821.9</v>
      </c>
      <c r="R7" s="1451">
        <f t="shared" si="0"/>
        <v>21217.570000000003</v>
      </c>
      <c r="S7" s="429" t="s">
        <v>948</v>
      </c>
    </row>
    <row r="8" spans="1:19" ht="13.15" customHeight="1">
      <c r="A8" s="549" t="s">
        <v>953</v>
      </c>
      <c r="B8" s="549"/>
      <c r="C8" s="551">
        <v>10102.799999999999</v>
      </c>
      <c r="D8" s="568" t="s">
        <v>603</v>
      </c>
      <c r="E8" s="551">
        <v>189.5</v>
      </c>
      <c r="F8" s="551">
        <v>595.6</v>
      </c>
      <c r="G8" s="551">
        <v>618.70000000000005</v>
      </c>
      <c r="H8" s="551">
        <v>1115.5999999999999</v>
      </c>
      <c r="I8" s="551">
        <v>15.7</v>
      </c>
      <c r="J8" s="551">
        <v>1064.4000000000001</v>
      </c>
      <c r="K8" s="551">
        <v>2408.6999999999998</v>
      </c>
      <c r="L8" s="551">
        <v>17.600000000000001</v>
      </c>
      <c r="M8" s="551">
        <v>127.4</v>
      </c>
      <c r="N8" s="551">
        <v>2250.3000000000002</v>
      </c>
      <c r="O8" s="551">
        <v>823.7</v>
      </c>
      <c r="P8" s="551" t="s">
        <v>603</v>
      </c>
      <c r="Q8" s="551">
        <v>1020.2</v>
      </c>
      <c r="R8" s="514">
        <f t="shared" si="0"/>
        <v>20350.2</v>
      </c>
      <c r="S8" s="527" t="s">
        <v>953</v>
      </c>
    </row>
    <row r="9" spans="1:19" s="300" customFormat="1" ht="13.15" customHeight="1">
      <c r="A9" s="626" t="s">
        <v>962</v>
      </c>
      <c r="B9" s="626"/>
      <c r="C9" s="20">
        <v>23112.799999999999</v>
      </c>
      <c r="D9" s="1450" t="s">
        <v>603</v>
      </c>
      <c r="E9" s="20">
        <v>532.79999999999995</v>
      </c>
      <c r="F9" s="20">
        <v>1047</v>
      </c>
      <c r="G9" s="20">
        <v>676.5</v>
      </c>
      <c r="H9" s="20">
        <v>4810</v>
      </c>
      <c r="I9" s="20">
        <v>14.2</v>
      </c>
      <c r="J9" s="20">
        <v>1096.2</v>
      </c>
      <c r="K9" s="20">
        <v>3790.2</v>
      </c>
      <c r="L9" s="20">
        <v>27.2</v>
      </c>
      <c r="M9" s="20">
        <v>182.8</v>
      </c>
      <c r="N9" s="20">
        <v>3059.3</v>
      </c>
      <c r="O9" s="20">
        <v>1202.3</v>
      </c>
      <c r="P9" s="20" t="s">
        <v>603</v>
      </c>
      <c r="Q9" s="20">
        <v>1603.4</v>
      </c>
      <c r="R9" s="760">
        <f t="shared" si="0"/>
        <v>41154.700000000004</v>
      </c>
      <c r="S9" s="763" t="s">
        <v>962</v>
      </c>
    </row>
    <row r="10" spans="1:19" ht="13.15" customHeight="1">
      <c r="A10" s="570" t="s">
        <v>675</v>
      </c>
      <c r="B10" s="570"/>
      <c r="C10" s="511">
        <v>41640.400000000001</v>
      </c>
      <c r="D10" s="568" t="s">
        <v>603</v>
      </c>
      <c r="E10" s="511">
        <v>2827.4</v>
      </c>
      <c r="F10" s="511">
        <v>1963.5</v>
      </c>
      <c r="G10" s="511">
        <v>1288.8</v>
      </c>
      <c r="H10" s="511">
        <v>7310.3</v>
      </c>
      <c r="I10" s="511">
        <v>24.6</v>
      </c>
      <c r="J10" s="511">
        <v>1443.4</v>
      </c>
      <c r="K10" s="511">
        <v>8494.4</v>
      </c>
      <c r="L10" s="511">
        <v>52.6</v>
      </c>
      <c r="M10" s="511">
        <v>697.9</v>
      </c>
      <c r="N10" s="511">
        <v>4116.8999999999996</v>
      </c>
      <c r="O10" s="511">
        <v>5192.1000000000004</v>
      </c>
      <c r="P10" s="511" t="s">
        <v>603</v>
      </c>
      <c r="Q10" s="511">
        <v>3829.9</v>
      </c>
      <c r="R10" s="511">
        <f t="shared" si="0"/>
        <v>78882.2</v>
      </c>
      <c r="S10" s="571" t="s">
        <v>675</v>
      </c>
    </row>
    <row r="11" spans="1:19" s="300" customFormat="1" ht="13.15" customHeight="1">
      <c r="A11" s="914" t="s">
        <v>141</v>
      </c>
      <c r="B11" s="914"/>
      <c r="C11" s="41">
        <v>38682.199999999997</v>
      </c>
      <c r="D11" s="1450" t="s">
        <v>603</v>
      </c>
      <c r="E11" s="41">
        <v>4090.1</v>
      </c>
      <c r="F11" s="41">
        <v>3948</v>
      </c>
      <c r="G11" s="41">
        <v>2124.8000000000002</v>
      </c>
      <c r="H11" s="41">
        <v>16645.400000000001</v>
      </c>
      <c r="I11" s="41">
        <v>33.9</v>
      </c>
      <c r="J11" s="41">
        <v>3225.2</v>
      </c>
      <c r="K11" s="41">
        <v>11548.9</v>
      </c>
      <c r="L11" s="41">
        <v>108.8</v>
      </c>
      <c r="M11" s="41">
        <v>2849.6</v>
      </c>
      <c r="N11" s="41">
        <v>4337.5</v>
      </c>
      <c r="O11" s="41">
        <v>5548.6</v>
      </c>
      <c r="P11" s="41" t="s">
        <v>603</v>
      </c>
      <c r="Q11" s="41">
        <v>7000.3</v>
      </c>
      <c r="R11" s="41">
        <v>100143.30000000002</v>
      </c>
      <c r="S11" s="1452" t="s">
        <v>141</v>
      </c>
    </row>
    <row r="12" spans="1:19" s="155" customFormat="1" ht="13.15" customHeight="1">
      <c r="A12" s="769" t="s">
        <v>136</v>
      </c>
      <c r="B12" s="769"/>
      <c r="C12" s="505">
        <v>64408.3</v>
      </c>
      <c r="D12" s="770">
        <v>28352.9</v>
      </c>
      <c r="E12" s="505">
        <v>2723.1</v>
      </c>
      <c r="F12" s="505">
        <v>9507.7999999999993</v>
      </c>
      <c r="G12" s="505">
        <v>4335.1000000000004</v>
      </c>
      <c r="H12" s="505">
        <v>30142.7</v>
      </c>
      <c r="I12" s="505">
        <v>61.1</v>
      </c>
      <c r="J12" s="505">
        <v>6098</v>
      </c>
      <c r="K12" s="505">
        <v>16282.4</v>
      </c>
      <c r="L12" s="505">
        <v>85.9</v>
      </c>
      <c r="M12" s="505">
        <v>2684.7</v>
      </c>
      <c r="N12" s="505">
        <v>5476.9</v>
      </c>
      <c r="O12" s="505">
        <v>10591.1</v>
      </c>
      <c r="P12" s="505">
        <v>31826.6</v>
      </c>
      <c r="Q12" s="505">
        <v>15064.2</v>
      </c>
      <c r="R12" s="505">
        <v>227640.80000000005</v>
      </c>
      <c r="S12" s="771" t="s">
        <v>136</v>
      </c>
    </row>
    <row r="13" spans="1:19" s="453" customFormat="1" ht="13.15" customHeight="1">
      <c r="A13" s="1043" t="s">
        <v>317</v>
      </c>
      <c r="B13" s="1043"/>
      <c r="C13" s="460">
        <v>68061.899999999994</v>
      </c>
      <c r="D13" s="1044">
        <v>28715.5</v>
      </c>
      <c r="E13" s="460">
        <v>3595.5</v>
      </c>
      <c r="F13" s="460">
        <v>12054.8</v>
      </c>
      <c r="G13" s="460">
        <v>5342</v>
      </c>
      <c r="H13" s="460">
        <v>28931.4</v>
      </c>
      <c r="I13" s="460">
        <v>79</v>
      </c>
      <c r="J13" s="460">
        <v>8229.2000000000007</v>
      </c>
      <c r="K13" s="460">
        <v>18080.8</v>
      </c>
      <c r="L13" s="460">
        <v>90.6</v>
      </c>
      <c r="M13" s="460">
        <v>1871.8</v>
      </c>
      <c r="N13" s="460">
        <v>7703</v>
      </c>
      <c r="O13" s="460">
        <v>14010.4</v>
      </c>
      <c r="P13" s="460">
        <v>22131.4</v>
      </c>
      <c r="Q13" s="460">
        <v>13804.3</v>
      </c>
      <c r="R13" s="460">
        <v>232701.59999999998</v>
      </c>
      <c r="S13" s="1045" t="s">
        <v>317</v>
      </c>
    </row>
    <row r="14" spans="1:19" s="155" customFormat="1" ht="13.15" customHeight="1">
      <c r="A14" s="769" t="s">
        <v>1299</v>
      </c>
      <c r="B14" s="769"/>
      <c r="C14" s="505">
        <v>51238.6</v>
      </c>
      <c r="D14" s="770">
        <v>18987.8</v>
      </c>
      <c r="E14" s="505">
        <v>3588.1</v>
      </c>
      <c r="F14" s="505">
        <v>8631.4</v>
      </c>
      <c r="G14" s="505">
        <v>5117.6000000000004</v>
      </c>
      <c r="H14" s="505">
        <v>24813</v>
      </c>
      <c r="I14" s="505">
        <v>49.8</v>
      </c>
      <c r="J14" s="505">
        <v>4585</v>
      </c>
      <c r="K14" s="505">
        <v>16465.8</v>
      </c>
      <c r="L14" s="505">
        <v>48.8</v>
      </c>
      <c r="M14" s="505">
        <v>1187.3</v>
      </c>
      <c r="N14" s="505">
        <v>8386.2999999999993</v>
      </c>
      <c r="O14" s="505">
        <v>10716.9</v>
      </c>
      <c r="P14" s="505">
        <v>28924.3</v>
      </c>
      <c r="Q14" s="505">
        <v>10503.380000000001</v>
      </c>
      <c r="R14" s="505">
        <v>193244.07999999996</v>
      </c>
      <c r="S14" s="771" t="s">
        <v>1299</v>
      </c>
    </row>
    <row r="15" spans="1:19" s="453" customFormat="1" ht="13.15" customHeight="1">
      <c r="A15" s="1043" t="s">
        <v>1505</v>
      </c>
      <c r="B15" s="1043"/>
      <c r="C15" s="460">
        <v>41710.1</v>
      </c>
      <c r="D15" s="1044">
        <v>16994.599999999999</v>
      </c>
      <c r="E15" s="460">
        <v>4130.8</v>
      </c>
      <c r="F15" s="460">
        <v>9567</v>
      </c>
      <c r="G15" s="460">
        <v>8581.6</v>
      </c>
      <c r="H15" s="460">
        <v>29036.7</v>
      </c>
      <c r="I15" s="460">
        <v>49.5</v>
      </c>
      <c r="J15" s="460">
        <v>6418.5</v>
      </c>
      <c r="K15" s="460">
        <v>19754.099999999999</v>
      </c>
      <c r="L15" s="460">
        <v>32.9</v>
      </c>
      <c r="M15" s="460">
        <v>954.1</v>
      </c>
      <c r="N15" s="460">
        <v>9156.1</v>
      </c>
      <c r="O15" s="460">
        <v>10675.2</v>
      </c>
      <c r="P15" s="460">
        <v>27168.2</v>
      </c>
      <c r="Q15" s="460">
        <v>13513.613000000001</v>
      </c>
      <c r="R15" s="460">
        <v>197743.01300000004</v>
      </c>
      <c r="S15" s="1045" t="s">
        <v>1505</v>
      </c>
    </row>
    <row r="16" spans="1:19" s="298" customFormat="1" ht="13.15" customHeight="1">
      <c r="A16" s="1578" t="s">
        <v>1886</v>
      </c>
      <c r="B16" s="1578"/>
      <c r="C16" s="511">
        <v>39281.1</v>
      </c>
      <c r="D16" s="511">
        <v>15318.1</v>
      </c>
      <c r="E16" s="511">
        <v>3431.1</v>
      </c>
      <c r="F16" s="511">
        <v>9860.7000000000007</v>
      </c>
      <c r="G16" s="511">
        <v>18418.5</v>
      </c>
      <c r="H16" s="511">
        <v>29365.5</v>
      </c>
      <c r="I16" s="511">
        <v>66.900000000000006</v>
      </c>
      <c r="J16" s="511">
        <v>8245.7999999999993</v>
      </c>
      <c r="K16" s="511">
        <v>30676.799999999999</v>
      </c>
      <c r="L16" s="511">
        <v>50.9</v>
      </c>
      <c r="M16" s="511">
        <v>1002.3</v>
      </c>
      <c r="N16" s="511">
        <v>15672.4</v>
      </c>
      <c r="O16" s="511">
        <v>9972.4</v>
      </c>
      <c r="P16" s="511">
        <v>43364.9</v>
      </c>
      <c r="Q16" s="511">
        <v>13898.900999999998</v>
      </c>
      <c r="R16" s="511">
        <v>238626.30099999998</v>
      </c>
      <c r="S16" s="1579" t="s">
        <v>1886</v>
      </c>
    </row>
    <row r="17" spans="1:19" s="298" customFormat="1" ht="13.15" customHeight="1">
      <c r="A17" s="1128" t="s">
        <v>2017</v>
      </c>
      <c r="B17" s="1128"/>
      <c r="C17" s="622">
        <v>36607.300000000003</v>
      </c>
      <c r="D17" s="622">
        <v>15119.2</v>
      </c>
      <c r="E17" s="622">
        <v>2884.8</v>
      </c>
      <c r="F17" s="622">
        <v>13566.4</v>
      </c>
      <c r="G17" s="622">
        <v>23673.8</v>
      </c>
      <c r="H17" s="622">
        <v>38616.1</v>
      </c>
      <c r="I17" s="622">
        <v>71.099999999999994</v>
      </c>
      <c r="J17" s="622">
        <v>9181.1</v>
      </c>
      <c r="K17" s="622">
        <v>38646.1</v>
      </c>
      <c r="L17" s="622">
        <v>256.60000000000002</v>
      </c>
      <c r="M17" s="622">
        <v>2095.3000000000002</v>
      </c>
      <c r="N17" s="622">
        <v>19413.8</v>
      </c>
      <c r="O17" s="622">
        <v>7528.3</v>
      </c>
      <c r="P17" s="622">
        <v>46505.8</v>
      </c>
      <c r="Q17" s="622">
        <v>16021.86</v>
      </c>
      <c r="R17" s="622">
        <v>270187.56</v>
      </c>
      <c r="S17" s="1008" t="s">
        <v>2017</v>
      </c>
    </row>
    <row r="18" spans="1:19" s="797" customFormat="1" ht="13.15" customHeight="1">
      <c r="A18" s="969" t="s">
        <v>2226</v>
      </c>
      <c r="B18" s="984"/>
      <c r="C18" s="608">
        <f>C30</f>
        <v>39555.603000000003</v>
      </c>
      <c r="D18" s="608">
        <f t="shared" ref="D18:R18" si="1">D30</f>
        <v>14567.243</v>
      </c>
      <c r="E18" s="608">
        <f t="shared" si="1"/>
        <v>3028.4430000000002</v>
      </c>
      <c r="F18" s="608">
        <f t="shared" si="1"/>
        <v>15529.823</v>
      </c>
      <c r="G18" s="608">
        <f t="shared" si="1"/>
        <v>24410.638999999999</v>
      </c>
      <c r="H18" s="608">
        <f t="shared" si="1"/>
        <v>35133.678</v>
      </c>
      <c r="I18" s="608">
        <f t="shared" si="1"/>
        <v>79.346999999999994</v>
      </c>
      <c r="J18" s="608">
        <f t="shared" si="1"/>
        <v>8184.8909999999996</v>
      </c>
      <c r="K18" s="608">
        <f t="shared" si="1"/>
        <v>43424.767999999996</v>
      </c>
      <c r="L18" s="608">
        <f t="shared" si="1"/>
        <v>150.286</v>
      </c>
      <c r="M18" s="608">
        <f t="shared" si="1"/>
        <v>1834.0039999999999</v>
      </c>
      <c r="N18" s="608">
        <f t="shared" si="1"/>
        <v>14872.710999999999</v>
      </c>
      <c r="O18" s="608">
        <f t="shared" si="1"/>
        <v>7141.9579999999996</v>
      </c>
      <c r="P18" s="608">
        <f t="shared" si="1"/>
        <v>36209.4</v>
      </c>
      <c r="Q18" s="608">
        <f t="shared" si="1"/>
        <v>17324.168000000005</v>
      </c>
      <c r="R18" s="608">
        <f t="shared" si="1"/>
        <v>261446.962</v>
      </c>
      <c r="S18" s="970" t="s">
        <v>2226</v>
      </c>
    </row>
    <row r="19" spans="1:19" s="298" customFormat="1" ht="13.15" customHeight="1">
      <c r="A19" s="968" t="s">
        <v>954</v>
      </c>
      <c r="B19" s="968"/>
      <c r="C19" s="460">
        <v>37812.949999999997</v>
      </c>
      <c r="D19" s="460">
        <v>15852.44</v>
      </c>
      <c r="E19" s="460">
        <v>3206.52</v>
      </c>
      <c r="F19" s="460">
        <v>14796.7</v>
      </c>
      <c r="G19" s="460">
        <v>24266.43</v>
      </c>
      <c r="H19" s="460">
        <v>40657.599999999999</v>
      </c>
      <c r="I19" s="460">
        <v>76.7</v>
      </c>
      <c r="J19" s="460">
        <v>9498.15</v>
      </c>
      <c r="K19" s="460">
        <v>41614.6</v>
      </c>
      <c r="L19" s="460">
        <v>244.7</v>
      </c>
      <c r="M19" s="460">
        <v>2007.1</v>
      </c>
      <c r="N19" s="460">
        <v>20922.3</v>
      </c>
      <c r="O19" s="460">
        <v>7500.84</v>
      </c>
      <c r="P19" s="460">
        <v>46673.7</v>
      </c>
      <c r="Q19" s="460">
        <f>609.3+2489.69+7739+557+2425.4+2999.41</f>
        <v>16819.8</v>
      </c>
      <c r="R19" s="460">
        <f t="shared" ref="R19:R24" si="2">SUM(C19:Q19)</f>
        <v>281950.53000000003</v>
      </c>
      <c r="S19" s="954" t="s">
        <v>954</v>
      </c>
    </row>
    <row r="20" spans="1:19" s="797" customFormat="1" ht="13.15" customHeight="1">
      <c r="A20" s="984" t="s">
        <v>955</v>
      </c>
      <c r="B20" s="984"/>
      <c r="C20" s="505">
        <v>39823.83</v>
      </c>
      <c r="D20" s="505">
        <v>16204.85</v>
      </c>
      <c r="E20" s="505">
        <v>3096</v>
      </c>
      <c r="F20" s="505">
        <v>14680.32</v>
      </c>
      <c r="G20" s="505">
        <v>24609.15</v>
      </c>
      <c r="H20" s="505">
        <v>39474.94</v>
      </c>
      <c r="I20" s="505">
        <v>103.58</v>
      </c>
      <c r="J20" s="505">
        <v>9377.7999999999993</v>
      </c>
      <c r="K20" s="505">
        <v>39824.61</v>
      </c>
      <c r="L20" s="505">
        <v>222.21</v>
      </c>
      <c r="M20" s="505">
        <v>1982.1</v>
      </c>
      <c r="N20" s="505">
        <v>19180.27</v>
      </c>
      <c r="O20" s="505">
        <v>7456.23</v>
      </c>
      <c r="P20" s="505">
        <v>44657.42</v>
      </c>
      <c r="Q20" s="505">
        <f>2781.53+2502.74+555.47+2355.9+8113.81+604.5</f>
        <v>16913.95</v>
      </c>
      <c r="R20" s="505">
        <f t="shared" si="2"/>
        <v>277607.25999999995</v>
      </c>
      <c r="S20" s="985" t="s">
        <v>955</v>
      </c>
    </row>
    <row r="21" spans="1:19" s="298" customFormat="1" ht="13.15" customHeight="1">
      <c r="A21" s="968" t="s">
        <v>949</v>
      </c>
      <c r="B21" s="968"/>
      <c r="C21" s="460">
        <v>41273.919999999998</v>
      </c>
      <c r="D21" s="460">
        <v>16964.09</v>
      </c>
      <c r="E21" s="460">
        <v>3011.36</v>
      </c>
      <c r="F21" s="460">
        <v>15682.95</v>
      </c>
      <c r="G21" s="460">
        <v>24357.67</v>
      </c>
      <c r="H21" s="460">
        <v>39506.269999999997</v>
      </c>
      <c r="I21" s="460">
        <v>100.31</v>
      </c>
      <c r="J21" s="460">
        <v>9308.67</v>
      </c>
      <c r="K21" s="460">
        <v>42868.62</v>
      </c>
      <c r="L21" s="460">
        <v>225.04</v>
      </c>
      <c r="M21" s="460">
        <v>2155.66</v>
      </c>
      <c r="N21" s="460">
        <v>19031.919999999998</v>
      </c>
      <c r="O21" s="460">
        <v>7678.81</v>
      </c>
      <c r="P21" s="460">
        <v>40198.559999999998</v>
      </c>
      <c r="Q21" s="460">
        <f>551.53+2406.58+2792.1+2563.43+8967.49+616.65</f>
        <v>17897.78</v>
      </c>
      <c r="R21" s="460">
        <f t="shared" si="2"/>
        <v>280261.63</v>
      </c>
      <c r="S21" s="954" t="s">
        <v>949</v>
      </c>
    </row>
    <row r="22" spans="1:19" s="797" customFormat="1" ht="13.15" customHeight="1">
      <c r="A22" s="984" t="s">
        <v>956</v>
      </c>
      <c r="B22" s="984"/>
      <c r="C22" s="505">
        <v>40464.14</v>
      </c>
      <c r="D22" s="505">
        <v>15733.09</v>
      </c>
      <c r="E22" s="505">
        <v>3133.79</v>
      </c>
      <c r="F22" s="505">
        <v>14576.46</v>
      </c>
      <c r="G22" s="505">
        <v>23934.19</v>
      </c>
      <c r="H22" s="505">
        <v>37022.129999999997</v>
      </c>
      <c r="I22" s="505">
        <v>92.52</v>
      </c>
      <c r="J22" s="505">
        <v>8784.2199999999993</v>
      </c>
      <c r="K22" s="505">
        <v>40818.65</v>
      </c>
      <c r="L22" s="505">
        <v>207.84</v>
      </c>
      <c r="M22" s="505">
        <v>1834.13</v>
      </c>
      <c r="N22" s="505">
        <v>15845.32</v>
      </c>
      <c r="O22" s="505">
        <v>7287.25</v>
      </c>
      <c r="P22" s="505">
        <v>35311.51</v>
      </c>
      <c r="Q22" s="505">
        <f>2659.74+2481.29+508.93+2187.62+8174.36+595.5</f>
        <v>16607.439999999999</v>
      </c>
      <c r="R22" s="505">
        <f t="shared" si="2"/>
        <v>261652.68</v>
      </c>
      <c r="S22" s="985" t="s">
        <v>956</v>
      </c>
    </row>
    <row r="23" spans="1:19" s="298" customFormat="1" ht="13.15" customHeight="1">
      <c r="A23" s="968" t="s">
        <v>957</v>
      </c>
      <c r="B23" s="968"/>
      <c r="C23" s="460">
        <v>41069.160000000003</v>
      </c>
      <c r="D23" s="460">
        <v>14871.82</v>
      </c>
      <c r="E23" s="460">
        <v>3043.44</v>
      </c>
      <c r="F23" s="460">
        <v>15227.58</v>
      </c>
      <c r="G23" s="460">
        <v>23010.13</v>
      </c>
      <c r="H23" s="460">
        <v>34287.019999999997</v>
      </c>
      <c r="I23" s="460">
        <v>87.69</v>
      </c>
      <c r="J23" s="460">
        <v>8350.09</v>
      </c>
      <c r="K23" s="460">
        <v>41141.949999999997</v>
      </c>
      <c r="L23" s="460">
        <v>177.73</v>
      </c>
      <c r="M23" s="460">
        <v>1977.2</v>
      </c>
      <c r="N23" s="460">
        <v>15431.64</v>
      </c>
      <c r="O23" s="460">
        <v>7251.66</v>
      </c>
      <c r="P23" s="460">
        <v>37537.449999999997</v>
      </c>
      <c r="Q23" s="460">
        <f>2610.37+2398.04+482.05+2098.8+7971.92+605.85</f>
        <v>16167.03</v>
      </c>
      <c r="R23" s="460">
        <f t="shared" si="2"/>
        <v>259631.59</v>
      </c>
      <c r="S23" s="954" t="s">
        <v>957</v>
      </c>
    </row>
    <row r="24" spans="1:19" s="797" customFormat="1" ht="13.15" customHeight="1">
      <c r="A24" s="984" t="s">
        <v>950</v>
      </c>
      <c r="B24" s="984"/>
      <c r="C24" s="505">
        <v>41095.85</v>
      </c>
      <c r="D24" s="505">
        <v>15076.35</v>
      </c>
      <c r="E24" s="505">
        <v>3041.97</v>
      </c>
      <c r="F24" s="505">
        <v>16068.27</v>
      </c>
      <c r="G24" s="505">
        <v>24385.439999999999</v>
      </c>
      <c r="H24" s="505">
        <v>33426.69</v>
      </c>
      <c r="I24" s="505">
        <v>86.06</v>
      </c>
      <c r="J24" s="505">
        <v>8491.9</v>
      </c>
      <c r="K24" s="505">
        <v>41456.589999999997</v>
      </c>
      <c r="L24" s="505">
        <v>185.25</v>
      </c>
      <c r="M24" s="505">
        <v>2077.2800000000002</v>
      </c>
      <c r="N24" s="505">
        <v>14687.83</v>
      </c>
      <c r="O24" s="505">
        <v>8077.45</v>
      </c>
      <c r="P24" s="505">
        <v>35945.22</v>
      </c>
      <c r="Q24" s="505">
        <f>2664.43+2446.68+510.39+2233.85+8186.52+599.4</f>
        <v>16641.27</v>
      </c>
      <c r="R24" s="505">
        <f t="shared" si="2"/>
        <v>260743.41999999998</v>
      </c>
      <c r="S24" s="985" t="s">
        <v>950</v>
      </c>
    </row>
    <row r="25" spans="1:19" s="298" customFormat="1" ht="13.15" customHeight="1">
      <c r="A25" s="968" t="s">
        <v>958</v>
      </c>
      <c r="B25" s="968"/>
      <c r="C25" s="460">
        <v>40269.620000000003</v>
      </c>
      <c r="D25" s="460">
        <v>14949.39</v>
      </c>
      <c r="E25" s="460">
        <v>3250.94</v>
      </c>
      <c r="F25" s="460">
        <v>15239.18</v>
      </c>
      <c r="G25" s="460">
        <v>25218.55</v>
      </c>
      <c r="H25" s="460">
        <v>33020.620000000003</v>
      </c>
      <c r="I25" s="460">
        <v>78.5</v>
      </c>
      <c r="J25" s="460">
        <v>8861.4</v>
      </c>
      <c r="K25" s="460">
        <v>41474.86</v>
      </c>
      <c r="L25" s="460">
        <v>199.29</v>
      </c>
      <c r="M25" s="460">
        <v>1887.01</v>
      </c>
      <c r="N25" s="460">
        <v>14135.57</v>
      </c>
      <c r="O25" s="460">
        <v>7797.23</v>
      </c>
      <c r="P25" s="460">
        <v>36355.78</v>
      </c>
      <c r="Q25" s="460">
        <f>2358.89+1156.54+2194.48+8259.96+597.56+2898.9</f>
        <v>17466.329999999998</v>
      </c>
      <c r="R25" s="460">
        <f t="shared" ref="R25:R45" si="3">SUM(C25:Q25)</f>
        <v>260204.27000000002</v>
      </c>
      <c r="S25" s="954" t="s">
        <v>958</v>
      </c>
    </row>
    <row r="26" spans="1:19" s="797" customFormat="1" ht="13.15" customHeight="1">
      <c r="A26" s="984" t="s">
        <v>959</v>
      </c>
      <c r="B26" s="984"/>
      <c r="C26" s="719">
        <v>38911.06</v>
      </c>
      <c r="D26" s="719">
        <v>14702.07</v>
      </c>
      <c r="E26" s="1165">
        <v>3217.5</v>
      </c>
      <c r="F26" s="719">
        <v>16675.09</v>
      </c>
      <c r="G26" s="719">
        <v>23881.25</v>
      </c>
      <c r="H26" s="1165">
        <v>33171.5</v>
      </c>
      <c r="I26" s="719">
        <v>81.31</v>
      </c>
      <c r="J26" s="719">
        <v>8783.82</v>
      </c>
      <c r="K26" s="1165">
        <v>42160.2</v>
      </c>
      <c r="L26" s="719">
        <v>190.45</v>
      </c>
      <c r="M26" s="1165">
        <v>1668.6</v>
      </c>
      <c r="N26" s="719">
        <v>14613.22</v>
      </c>
      <c r="O26" s="719">
        <v>7821.82</v>
      </c>
      <c r="P26" s="719">
        <v>36353.82</v>
      </c>
      <c r="Q26" s="719">
        <f>2700.53+2286.01+926.99+2105.88+8450.07+597.99</f>
        <v>17067.47</v>
      </c>
      <c r="R26" s="719">
        <f t="shared" si="3"/>
        <v>259299.18000000002</v>
      </c>
      <c r="S26" s="985" t="s">
        <v>959</v>
      </c>
    </row>
    <row r="27" spans="1:19" s="298" customFormat="1" ht="13.15" customHeight="1">
      <c r="A27" s="968" t="s">
        <v>951</v>
      </c>
      <c r="B27" s="968"/>
      <c r="C27" s="698">
        <v>37491.18</v>
      </c>
      <c r="D27" s="698">
        <v>14200.25</v>
      </c>
      <c r="E27" s="698">
        <v>2854.99</v>
      </c>
      <c r="F27" s="698">
        <v>15952.87</v>
      </c>
      <c r="G27" s="698">
        <v>22612.52</v>
      </c>
      <c r="H27" s="1203">
        <v>32818.89</v>
      </c>
      <c r="I27" s="698">
        <v>85.97</v>
      </c>
      <c r="J27" s="698">
        <v>8785.39</v>
      </c>
      <c r="K27" s="1203">
        <v>41045.49</v>
      </c>
      <c r="L27" s="1203">
        <v>182.9</v>
      </c>
      <c r="M27" s="1203">
        <v>1650.05</v>
      </c>
      <c r="N27" s="698">
        <v>13412.06</v>
      </c>
      <c r="O27" s="698">
        <v>7645.16</v>
      </c>
      <c r="P27" s="698">
        <v>32361.26</v>
      </c>
      <c r="Q27" s="1203">
        <f>2591.74+2173.12+986.02+2026.93+8448.03+599.96</f>
        <v>16825.8</v>
      </c>
      <c r="R27" s="698">
        <f t="shared" si="3"/>
        <v>247924.77999999997</v>
      </c>
      <c r="S27" s="954" t="s">
        <v>951</v>
      </c>
    </row>
    <row r="28" spans="1:19" s="797" customFormat="1" ht="13.15" customHeight="1">
      <c r="A28" s="984" t="s">
        <v>960</v>
      </c>
      <c r="B28" s="984"/>
      <c r="C28" s="719">
        <v>35314.29</v>
      </c>
      <c r="D28" s="719">
        <v>13046.94</v>
      </c>
      <c r="E28" s="719">
        <v>2670.78</v>
      </c>
      <c r="F28" s="719">
        <v>14169.38</v>
      </c>
      <c r="G28" s="719">
        <v>23456.720000000001</v>
      </c>
      <c r="H28" s="1165">
        <v>34548.769999999997</v>
      </c>
      <c r="I28" s="719">
        <v>81.62</v>
      </c>
      <c r="J28" s="719">
        <v>7898.59</v>
      </c>
      <c r="K28" s="1165">
        <v>40225.360000000001</v>
      </c>
      <c r="L28" s="1165">
        <v>143.27000000000001</v>
      </c>
      <c r="M28" s="1165">
        <v>1751.55</v>
      </c>
      <c r="N28" s="719">
        <v>12337.64</v>
      </c>
      <c r="O28" s="719">
        <v>7051.36</v>
      </c>
      <c r="P28" s="719">
        <v>34940.239999999998</v>
      </c>
      <c r="Q28" s="719">
        <f>2411.74+930.41+1774.55+8447.34+576.9+2162.45</f>
        <v>16303.39</v>
      </c>
      <c r="R28" s="1165">
        <f t="shared" si="3"/>
        <v>243939.89999999997</v>
      </c>
      <c r="S28" s="985" t="s">
        <v>960</v>
      </c>
    </row>
    <row r="29" spans="1:19" s="298" customFormat="1" ht="13.15" customHeight="1">
      <c r="A29" s="968" t="s">
        <v>961</v>
      </c>
      <c r="B29" s="968"/>
      <c r="C29" s="1203">
        <v>37566.156999999999</v>
      </c>
      <c r="D29" s="1203">
        <v>13367.321</v>
      </c>
      <c r="E29" s="1203">
        <v>2747.1210000000001</v>
      </c>
      <c r="F29" s="1203">
        <v>15208.245000000001</v>
      </c>
      <c r="G29" s="1203">
        <v>23652.178</v>
      </c>
      <c r="H29" s="1203">
        <v>35391.334000000003</v>
      </c>
      <c r="I29" s="1203">
        <v>83.766000000000005</v>
      </c>
      <c r="J29" s="1203">
        <v>8202.2610000000004</v>
      </c>
      <c r="K29" s="1203">
        <v>40021.336000000003</v>
      </c>
      <c r="L29" s="1203">
        <v>156.21799999999999</v>
      </c>
      <c r="M29" s="1203">
        <v>1928.069</v>
      </c>
      <c r="N29" s="1203">
        <v>15233.686</v>
      </c>
      <c r="O29" s="1203">
        <v>7118.826</v>
      </c>
      <c r="P29" s="1203">
        <v>36177.661</v>
      </c>
      <c r="Q29" s="1203">
        <f>575.709+8772.742+2045.547+968.309+2208.119+2500.205</f>
        <v>17070.631000000001</v>
      </c>
      <c r="R29" s="1203">
        <f t="shared" si="3"/>
        <v>253924.80999999997</v>
      </c>
      <c r="S29" s="954" t="s">
        <v>961</v>
      </c>
    </row>
    <row r="30" spans="1:19" s="797" customFormat="1" ht="13.15" customHeight="1">
      <c r="A30" s="984" t="s">
        <v>952</v>
      </c>
      <c r="B30" s="984"/>
      <c r="C30" s="1165">
        <v>39555.603000000003</v>
      </c>
      <c r="D30" s="1165">
        <v>14567.243</v>
      </c>
      <c r="E30" s="1165">
        <v>3028.4430000000002</v>
      </c>
      <c r="F30" s="1165">
        <v>15529.823</v>
      </c>
      <c r="G30" s="1165">
        <v>24410.638999999999</v>
      </c>
      <c r="H30" s="1165">
        <v>35133.678</v>
      </c>
      <c r="I30" s="1165">
        <v>79.346999999999994</v>
      </c>
      <c r="J30" s="1165">
        <v>8184.8909999999996</v>
      </c>
      <c r="K30" s="1165">
        <v>43424.767999999996</v>
      </c>
      <c r="L30" s="1165">
        <v>150.286</v>
      </c>
      <c r="M30" s="1165">
        <v>1834.0039999999999</v>
      </c>
      <c r="N30" s="1165">
        <v>14872.710999999999</v>
      </c>
      <c r="O30" s="1165">
        <v>7141.9579999999996</v>
      </c>
      <c r="P30" s="1165">
        <v>36209.4</v>
      </c>
      <c r="Q30" s="1165">
        <f>2463.929+2276.6+948.564+2056.93+8989.118+589.027</f>
        <v>17324.168000000005</v>
      </c>
      <c r="R30" s="1165">
        <f t="shared" si="3"/>
        <v>261446.962</v>
      </c>
      <c r="S30" s="985" t="s">
        <v>952</v>
      </c>
    </row>
    <row r="31" spans="1:19" s="298" customFormat="1" ht="13.15" customHeight="1">
      <c r="A31" s="1128" t="s">
        <v>2384</v>
      </c>
      <c r="B31" s="968"/>
      <c r="C31" s="622">
        <f>C43</f>
        <v>56058.838000000003</v>
      </c>
      <c r="D31" s="622">
        <f t="shared" ref="D31:R31" si="4">D43</f>
        <v>23379.762999999999</v>
      </c>
      <c r="E31" s="622">
        <f t="shared" si="4"/>
        <v>4250.0659999999998</v>
      </c>
      <c r="F31" s="622">
        <f t="shared" si="4"/>
        <v>19062.416000000001</v>
      </c>
      <c r="G31" s="622">
        <f t="shared" si="4"/>
        <v>24719.441999999999</v>
      </c>
      <c r="H31" s="622">
        <f t="shared" si="4"/>
        <v>40486.985999999997</v>
      </c>
      <c r="I31" s="622">
        <f t="shared" si="4"/>
        <v>154.69</v>
      </c>
      <c r="J31" s="622">
        <f t="shared" si="4"/>
        <v>12634.067999999999</v>
      </c>
      <c r="K31" s="622">
        <f t="shared" si="4"/>
        <v>50185.283000000003</v>
      </c>
      <c r="L31" s="622">
        <f t="shared" si="4"/>
        <v>192.57</v>
      </c>
      <c r="M31" s="622">
        <f t="shared" si="4"/>
        <v>2533.12</v>
      </c>
      <c r="N31" s="622">
        <f t="shared" si="4"/>
        <v>13144.56</v>
      </c>
      <c r="O31" s="622">
        <f t="shared" si="4"/>
        <v>8648.9599999999991</v>
      </c>
      <c r="P31" s="622">
        <f t="shared" si="4"/>
        <v>48484.847999999998</v>
      </c>
      <c r="Q31" s="622">
        <f t="shared" si="4"/>
        <v>20005.729999999996</v>
      </c>
      <c r="R31" s="622">
        <f t="shared" si="4"/>
        <v>323941.33999999997</v>
      </c>
      <c r="S31" s="1008" t="s">
        <v>2384</v>
      </c>
    </row>
    <row r="32" spans="1:19" s="797" customFormat="1" ht="13.15" customHeight="1">
      <c r="A32" s="984" t="s">
        <v>954</v>
      </c>
      <c r="B32" s="984"/>
      <c r="C32" s="1165">
        <v>41602.769999999997</v>
      </c>
      <c r="D32" s="1165">
        <v>14249.442999999999</v>
      </c>
      <c r="E32" s="1165">
        <v>3085.6770000000001</v>
      </c>
      <c r="F32" s="1165">
        <v>15887.865</v>
      </c>
      <c r="G32" s="1165">
        <v>23983.731</v>
      </c>
      <c r="H32" s="1165">
        <v>34968.375</v>
      </c>
      <c r="I32" s="1165">
        <v>99.575000000000003</v>
      </c>
      <c r="J32" s="1165">
        <v>8135.4930000000004</v>
      </c>
      <c r="K32" s="1165">
        <v>42977.13</v>
      </c>
      <c r="L32" s="1165">
        <v>168.39500000000001</v>
      </c>
      <c r="M32" s="1165">
        <v>1719.5119999999999</v>
      </c>
      <c r="N32" s="1165">
        <v>13980.825000000001</v>
      </c>
      <c r="O32" s="1165">
        <v>6993.1030000000001</v>
      </c>
      <c r="P32" s="1165">
        <v>39113.165999999997</v>
      </c>
      <c r="Q32" s="1165">
        <f>2333.974+2295.216+883.892+1886.303+8791.286+591.386</f>
        <v>16782.057000000001</v>
      </c>
      <c r="R32" s="1165">
        <f t="shared" si="3"/>
        <v>263747.11699999997</v>
      </c>
      <c r="S32" s="985" t="s">
        <v>954</v>
      </c>
    </row>
    <row r="33" spans="1:19" s="298" customFormat="1" ht="13.15" customHeight="1">
      <c r="A33" s="968" t="s">
        <v>955</v>
      </c>
      <c r="B33" s="968"/>
      <c r="C33" s="1203">
        <v>41731.088000000003</v>
      </c>
      <c r="D33" s="1203">
        <v>14394.69</v>
      </c>
      <c r="E33" s="1203">
        <v>2976.152</v>
      </c>
      <c r="F33" s="1203">
        <v>16608.080999999998</v>
      </c>
      <c r="G33" s="1203">
        <v>22158.175999999999</v>
      </c>
      <c r="H33" s="1203">
        <v>35403.733</v>
      </c>
      <c r="I33" s="1203">
        <v>105.68899999999999</v>
      </c>
      <c r="J33" s="1203">
        <v>8311.2559999999994</v>
      </c>
      <c r="K33" s="1203">
        <v>42183.438999999998</v>
      </c>
      <c r="L33" s="1203">
        <v>165.23699999999999</v>
      </c>
      <c r="M33" s="1203">
        <v>1840.33</v>
      </c>
      <c r="N33" s="1203">
        <v>14711.217000000001</v>
      </c>
      <c r="O33" s="1203">
        <v>7018.442</v>
      </c>
      <c r="P33" s="1203">
        <v>37451.675999999999</v>
      </c>
      <c r="Q33" s="1203">
        <f>2326.452+2280.291+908.36+1872.769+588.029+8857.847</f>
        <v>16833.748</v>
      </c>
      <c r="R33" s="1203">
        <f t="shared" si="3"/>
        <v>261892.954</v>
      </c>
      <c r="S33" s="954" t="s">
        <v>955</v>
      </c>
    </row>
    <row r="34" spans="1:19" s="797" customFormat="1" ht="13.15" customHeight="1">
      <c r="A34" s="984" t="s">
        <v>949</v>
      </c>
      <c r="B34" s="984"/>
      <c r="C34" s="1165">
        <v>44183.584000000003</v>
      </c>
      <c r="D34" s="1165">
        <v>15320.971</v>
      </c>
      <c r="E34" s="1165">
        <v>3118.1860000000001</v>
      </c>
      <c r="F34" s="1165">
        <v>17231.553</v>
      </c>
      <c r="G34" s="1165">
        <v>22626.963</v>
      </c>
      <c r="H34" s="1165">
        <v>36188.5</v>
      </c>
      <c r="I34" s="1165">
        <v>105.461</v>
      </c>
      <c r="J34" s="1165">
        <v>8698.6919999999991</v>
      </c>
      <c r="K34" s="1165">
        <v>42683.767999999996</v>
      </c>
      <c r="L34" s="1165">
        <v>162.547</v>
      </c>
      <c r="M34" s="1165">
        <v>1879.2239999999999</v>
      </c>
      <c r="N34" s="1165">
        <v>15129.206</v>
      </c>
      <c r="O34" s="1165">
        <v>7481.7389999999996</v>
      </c>
      <c r="P34" s="1165">
        <v>38475.923000000003</v>
      </c>
      <c r="Q34" s="1165">
        <f>2404.752+2264.627+966.719+1928.608+9358.207+598.635</f>
        <v>17521.547999999999</v>
      </c>
      <c r="R34" s="1165">
        <f t="shared" si="3"/>
        <v>270807.86499999999</v>
      </c>
      <c r="S34" s="985" t="s">
        <v>949</v>
      </c>
    </row>
    <row r="35" spans="1:19" s="298" customFormat="1" ht="13.15" customHeight="1">
      <c r="A35" s="968" t="s">
        <v>956</v>
      </c>
      <c r="B35" s="968"/>
      <c r="C35" s="1203">
        <v>43914.542000000001</v>
      </c>
      <c r="D35" s="1203">
        <v>14233.71</v>
      </c>
      <c r="E35" s="1203">
        <v>2996.2890000000002</v>
      </c>
      <c r="F35" s="1203">
        <v>15596.311</v>
      </c>
      <c r="G35" s="1203">
        <v>22860.149000000001</v>
      </c>
      <c r="H35" s="1203">
        <v>36349.629999999997</v>
      </c>
      <c r="I35" s="1203">
        <v>104.206</v>
      </c>
      <c r="J35" s="1203">
        <v>8606.9130000000005</v>
      </c>
      <c r="K35" s="1203">
        <v>41622.756999999998</v>
      </c>
      <c r="L35" s="1203">
        <v>136.47999999999999</v>
      </c>
      <c r="M35" s="1203">
        <v>1861.9590000000001</v>
      </c>
      <c r="N35" s="1203">
        <v>14492.208000000001</v>
      </c>
      <c r="O35" s="1203">
        <v>7461.826</v>
      </c>
      <c r="P35" s="1203">
        <v>38834.432999999997</v>
      </c>
      <c r="Q35" s="1203">
        <f>2276.152+2678.19+1046.716+1831.425+9048.298+597.912</f>
        <v>17478.693000000003</v>
      </c>
      <c r="R35" s="1203">
        <f t="shared" si="3"/>
        <v>266550.10600000003</v>
      </c>
      <c r="S35" s="954" t="s">
        <v>956</v>
      </c>
    </row>
    <row r="36" spans="1:19" s="298" customFormat="1" ht="13.15" customHeight="1">
      <c r="A36" s="984" t="s">
        <v>957</v>
      </c>
      <c r="B36" s="984"/>
      <c r="C36" s="1165">
        <v>46169.417999999998</v>
      </c>
      <c r="D36" s="1165">
        <v>15086.673000000001</v>
      </c>
      <c r="E36" s="1165">
        <v>3118.3110000000001</v>
      </c>
      <c r="F36" s="1165">
        <v>16150.496999999999</v>
      </c>
      <c r="G36" s="1165">
        <v>22840.684000000001</v>
      </c>
      <c r="H36" s="1165">
        <v>36050.911</v>
      </c>
      <c r="I36" s="1165">
        <v>98.921000000000006</v>
      </c>
      <c r="J36" s="1165">
        <v>8994.7129999999997</v>
      </c>
      <c r="K36" s="1165">
        <v>42063.870999999999</v>
      </c>
      <c r="L36" s="1165">
        <v>156.84</v>
      </c>
      <c r="M36" s="1165">
        <v>1911.5329999999999</v>
      </c>
      <c r="N36" s="1165">
        <v>14861.933999999999</v>
      </c>
      <c r="O36" s="1165">
        <v>8166.741</v>
      </c>
      <c r="P36" s="1165">
        <v>40208.44</v>
      </c>
      <c r="Q36" s="1165">
        <f>2531.071+2756.052+1121.209+1971.973+9693.453+597.811</f>
        <v>18671.569000000003</v>
      </c>
      <c r="R36" s="1165">
        <f t="shared" si="3"/>
        <v>274551.05600000004</v>
      </c>
      <c r="S36" s="985" t="s">
        <v>957</v>
      </c>
    </row>
    <row r="37" spans="1:19" s="298" customFormat="1" ht="13.15" customHeight="1">
      <c r="A37" s="968" t="s">
        <v>950</v>
      </c>
      <c r="B37" s="968"/>
      <c r="C37" s="1203">
        <v>48406.834000000003</v>
      </c>
      <c r="D37" s="1203">
        <v>16099.031999999999</v>
      </c>
      <c r="E37" s="1203">
        <v>3507.8879999999999</v>
      </c>
      <c r="F37" s="1203">
        <v>17911.521000000001</v>
      </c>
      <c r="G37" s="1203">
        <v>23407.384999999998</v>
      </c>
      <c r="H37" s="1203">
        <v>36027.124000000003</v>
      </c>
      <c r="I37" s="1203">
        <v>98.399000000000001</v>
      </c>
      <c r="J37" s="1203">
        <v>10491.151</v>
      </c>
      <c r="K37" s="1203">
        <v>43371.247000000003</v>
      </c>
      <c r="L37" s="1203">
        <v>162.108</v>
      </c>
      <c r="M37" s="1203">
        <v>2266.3649999999998</v>
      </c>
      <c r="N37" s="1203">
        <v>15699.39</v>
      </c>
      <c r="O37" s="1203">
        <v>8455.3150000000005</v>
      </c>
      <c r="P37" s="1203">
        <v>40317.803</v>
      </c>
      <c r="Q37" s="1203">
        <f>2572.684+2689.548+1179.382+2504.057+9792.737+589.558</f>
        <v>19327.965999999997</v>
      </c>
      <c r="R37" s="1203">
        <f t="shared" si="3"/>
        <v>285549.52800000005</v>
      </c>
      <c r="S37" s="954" t="s">
        <v>950</v>
      </c>
    </row>
    <row r="38" spans="1:19" s="298" customFormat="1" ht="13.15" customHeight="1">
      <c r="A38" s="984" t="s">
        <v>958</v>
      </c>
      <c r="B38" s="984"/>
      <c r="C38" s="1165">
        <v>56937.194000000003</v>
      </c>
      <c r="D38" s="1165">
        <v>21781.723000000002</v>
      </c>
      <c r="E38" s="1165">
        <v>4016.1149999999998</v>
      </c>
      <c r="F38" s="1165">
        <v>18825.409</v>
      </c>
      <c r="G38" s="1165">
        <v>23313.752</v>
      </c>
      <c r="H38" s="1165">
        <v>39023.131000000001</v>
      </c>
      <c r="I38" s="1165">
        <v>112.499</v>
      </c>
      <c r="J38" s="1165">
        <v>10967.084000000001</v>
      </c>
      <c r="K38" s="1165">
        <v>46080.976000000002</v>
      </c>
      <c r="L38" s="1165">
        <v>153.37299999999999</v>
      </c>
      <c r="M38" s="1165">
        <v>2352.75</v>
      </c>
      <c r="N38" s="1165">
        <v>15962.299000000001</v>
      </c>
      <c r="O38" s="1165">
        <v>9116.2559999999994</v>
      </c>
      <c r="P38" s="1165">
        <v>42758.334000000003</v>
      </c>
      <c r="Q38" s="1165">
        <f>2782.571+2735.402+1199.404+2573.456+10540.371+601.891</f>
        <v>20433.094999999998</v>
      </c>
      <c r="R38" s="1165">
        <f t="shared" si="3"/>
        <v>311833.99</v>
      </c>
      <c r="S38" s="985" t="s">
        <v>958</v>
      </c>
    </row>
    <row r="39" spans="1:19" s="298" customFormat="1" ht="13.15" customHeight="1">
      <c r="A39" s="968" t="s">
        <v>959</v>
      </c>
      <c r="B39" s="968"/>
      <c r="C39" s="1203">
        <v>56280.339</v>
      </c>
      <c r="D39" s="1203">
        <v>23013.555</v>
      </c>
      <c r="E39" s="1203">
        <v>3986.241</v>
      </c>
      <c r="F39" s="1203">
        <v>19735.266</v>
      </c>
      <c r="G39" s="1203">
        <v>23422.162</v>
      </c>
      <c r="H39" s="1203">
        <v>40310.35</v>
      </c>
      <c r="I39" s="1203">
        <v>113.357</v>
      </c>
      <c r="J39" s="1203">
        <v>11847.234</v>
      </c>
      <c r="K39" s="1203">
        <v>47640.362000000001</v>
      </c>
      <c r="L39" s="1203">
        <v>159.26300000000001</v>
      </c>
      <c r="M39" s="1203">
        <v>2285.9569999999999</v>
      </c>
      <c r="N39" s="1203">
        <v>15917.878000000001</v>
      </c>
      <c r="O39" s="1203">
        <v>9176.6869999999999</v>
      </c>
      <c r="P39" s="1203">
        <v>43760.853999999999</v>
      </c>
      <c r="Q39" s="1203">
        <f>2693.904+2835.526+1225.452+2572.26+10724.666+616.216</f>
        <v>20668.023999999998</v>
      </c>
      <c r="R39" s="1203">
        <f t="shared" si="3"/>
        <v>318317.52899999998</v>
      </c>
      <c r="S39" s="954" t="s">
        <v>959</v>
      </c>
    </row>
    <row r="40" spans="1:19" s="298" customFormat="1" ht="13.15" customHeight="1">
      <c r="A40" s="984" t="s">
        <v>951</v>
      </c>
      <c r="B40" s="984"/>
      <c r="C40" s="1165">
        <v>59415.086000000003</v>
      </c>
      <c r="D40" s="1165">
        <v>25158.741999999998</v>
      </c>
      <c r="E40" s="1165">
        <v>4089.248</v>
      </c>
      <c r="F40" s="1165">
        <v>19753.388999999999</v>
      </c>
      <c r="G40" s="1165">
        <v>22483.541000000001</v>
      </c>
      <c r="H40" s="1165">
        <v>38895.019999999997</v>
      </c>
      <c r="I40" s="1165">
        <v>118.398</v>
      </c>
      <c r="J40" s="1165">
        <v>12260.852000000001</v>
      </c>
      <c r="K40" s="1165">
        <v>48594.22</v>
      </c>
      <c r="L40" s="1165">
        <v>160.65199999999999</v>
      </c>
      <c r="M40" s="1165">
        <v>2676.779</v>
      </c>
      <c r="N40" s="1165">
        <v>14715.7</v>
      </c>
      <c r="O40" s="1165">
        <v>9234.4249999999993</v>
      </c>
      <c r="P40" s="1165">
        <v>46865.205000000002</v>
      </c>
      <c r="Q40" s="1165">
        <f>2687.152+2708.53+1168.121+2530.786+10468.361+598.29</f>
        <v>20161.240000000002</v>
      </c>
      <c r="R40" s="1165">
        <f t="shared" si="3"/>
        <v>324582.49700000003</v>
      </c>
      <c r="S40" s="985" t="s">
        <v>951</v>
      </c>
    </row>
    <row r="41" spans="1:19" s="298" customFormat="1" ht="13.15" customHeight="1">
      <c r="A41" s="968" t="s">
        <v>960</v>
      </c>
      <c r="B41" s="968"/>
      <c r="C41" s="1203">
        <v>53216.027999999998</v>
      </c>
      <c r="D41" s="1203">
        <v>24170.851999999999</v>
      </c>
      <c r="E41" s="1203">
        <v>4100.3190000000004</v>
      </c>
      <c r="F41" s="1203">
        <v>18392.705000000002</v>
      </c>
      <c r="G41" s="1203">
        <v>22882.133999999998</v>
      </c>
      <c r="H41" s="1203">
        <v>38462.296000000002</v>
      </c>
      <c r="I41" s="1203">
        <v>135.108</v>
      </c>
      <c r="J41" s="1203">
        <v>11856.964</v>
      </c>
      <c r="K41" s="1203">
        <v>48926.180999999997</v>
      </c>
      <c r="L41" s="1203">
        <v>155.80099999999999</v>
      </c>
      <c r="M41" s="1203">
        <v>2495.63</v>
      </c>
      <c r="N41" s="1203">
        <v>13710.929</v>
      </c>
      <c r="O41" s="1203">
        <v>8684.777</v>
      </c>
      <c r="P41" s="1203">
        <v>47573.24</v>
      </c>
      <c r="Q41" s="1203">
        <f>2537.829+2714.361+1268.745+2390.251+10375.2+568.365</f>
        <v>19854.751000000004</v>
      </c>
      <c r="R41" s="1203">
        <f t="shared" si="3"/>
        <v>314617.71500000003</v>
      </c>
      <c r="S41" s="954" t="s">
        <v>960</v>
      </c>
    </row>
    <row r="42" spans="1:19" s="298" customFormat="1" ht="13.15" customHeight="1">
      <c r="A42" s="984" t="s">
        <v>961</v>
      </c>
      <c r="B42" s="984"/>
      <c r="C42" s="1165">
        <v>51905.248</v>
      </c>
      <c r="D42" s="1165">
        <v>23073.736000000001</v>
      </c>
      <c r="E42" s="1165">
        <v>4130.9309999999996</v>
      </c>
      <c r="F42" s="1165">
        <v>18477.596000000001</v>
      </c>
      <c r="G42" s="1165">
        <v>24138.337</v>
      </c>
      <c r="H42" s="1165">
        <v>39436.394999999997</v>
      </c>
      <c r="I42" s="1165">
        <v>164.06899999999999</v>
      </c>
      <c r="J42" s="1165">
        <v>11762.769</v>
      </c>
      <c r="K42" s="1165">
        <v>48703.023999999998</v>
      </c>
      <c r="L42" s="1165">
        <v>161.834</v>
      </c>
      <c r="M42" s="1165">
        <v>2442.5700000000002</v>
      </c>
      <c r="N42" s="1165">
        <v>13272.418</v>
      </c>
      <c r="O42" s="1165">
        <v>8238.0709999999999</v>
      </c>
      <c r="P42" s="1165">
        <v>46305.510999999999</v>
      </c>
      <c r="Q42" s="1165">
        <f>2478.729+2725.754+1298.632+2318.398+10237.789+578.4</f>
        <v>19637.702000000001</v>
      </c>
      <c r="R42" s="1165">
        <f t="shared" si="3"/>
        <v>311850.21099999995</v>
      </c>
      <c r="S42" s="985" t="s">
        <v>961</v>
      </c>
    </row>
    <row r="43" spans="1:19" s="298" customFormat="1" ht="13.15" customHeight="1">
      <c r="A43" s="968" t="s">
        <v>952</v>
      </c>
      <c r="B43" s="968"/>
      <c r="C43" s="1203">
        <v>56058.838000000003</v>
      </c>
      <c r="D43" s="1203">
        <v>23379.762999999999</v>
      </c>
      <c r="E43" s="1203">
        <v>4250.0659999999998</v>
      </c>
      <c r="F43" s="1203">
        <v>19062.416000000001</v>
      </c>
      <c r="G43" s="1203">
        <v>24719.441999999999</v>
      </c>
      <c r="H43" s="1203">
        <v>40486.985999999997</v>
      </c>
      <c r="I43" s="1203">
        <v>154.69</v>
      </c>
      <c r="J43" s="1203">
        <v>12634.067999999999</v>
      </c>
      <c r="K43" s="1203">
        <v>50185.283000000003</v>
      </c>
      <c r="L43" s="1203">
        <v>192.57</v>
      </c>
      <c r="M43" s="1203">
        <v>2533.12</v>
      </c>
      <c r="N43" s="1203">
        <v>13144.56</v>
      </c>
      <c r="O43" s="1203">
        <v>8648.9599999999991</v>
      </c>
      <c r="P43" s="1203">
        <v>48484.847999999998</v>
      </c>
      <c r="Q43" s="1203">
        <f>2621.299+2743.43+1359.394+2497.695+10193.346+590.566</f>
        <v>20005.729999999996</v>
      </c>
      <c r="R43" s="1203">
        <f t="shared" si="3"/>
        <v>323941.33999999997</v>
      </c>
      <c r="S43" s="954" t="s">
        <v>952</v>
      </c>
    </row>
    <row r="44" spans="1:19" s="298" customFormat="1" ht="13.15" customHeight="1">
      <c r="A44" s="969" t="s">
        <v>2755</v>
      </c>
      <c r="B44" s="984"/>
      <c r="C44" s="1165"/>
      <c r="D44" s="1165"/>
      <c r="E44" s="1165"/>
      <c r="F44" s="1165"/>
      <c r="G44" s="1165"/>
      <c r="H44" s="1165"/>
      <c r="I44" s="1165"/>
      <c r="J44" s="1165"/>
      <c r="K44" s="1165"/>
      <c r="L44" s="1165"/>
      <c r="M44" s="1165"/>
      <c r="N44" s="1165"/>
      <c r="O44" s="1165"/>
      <c r="P44" s="1165"/>
      <c r="Q44" s="1165"/>
      <c r="R44" s="1165"/>
      <c r="S44" s="970" t="s">
        <v>2755</v>
      </c>
    </row>
    <row r="45" spans="1:19" s="298" customFormat="1" ht="13.15" customHeight="1" thickBot="1">
      <c r="A45" s="1499" t="s">
        <v>954</v>
      </c>
      <c r="B45" s="1499"/>
      <c r="C45" s="1500">
        <v>62267.713000000003</v>
      </c>
      <c r="D45" s="1500">
        <v>25487.59</v>
      </c>
      <c r="E45" s="1500">
        <v>4351.5110000000004</v>
      </c>
      <c r="F45" s="1500">
        <v>20689.066999999999</v>
      </c>
      <c r="G45" s="1500">
        <v>26176.550999999999</v>
      </c>
      <c r="H45" s="1500">
        <v>40381.881000000001</v>
      </c>
      <c r="I45" s="1500">
        <v>167.154</v>
      </c>
      <c r="J45" s="1500">
        <v>12800.245000000001</v>
      </c>
      <c r="K45" s="1500">
        <v>49694.307000000001</v>
      </c>
      <c r="L45" s="1500">
        <v>227.834</v>
      </c>
      <c r="M45" s="1500">
        <v>2594.4870000000001</v>
      </c>
      <c r="N45" s="1500">
        <v>13091.636</v>
      </c>
      <c r="O45" s="1500">
        <v>8863.33</v>
      </c>
      <c r="P45" s="1500">
        <v>53267.275999999998</v>
      </c>
      <c r="Q45" s="1500">
        <f>2692.549+2920.929+1401.151+2537.557+10341.857+575.115</f>
        <v>20469.157999999999</v>
      </c>
      <c r="R45" s="1500">
        <f t="shared" si="3"/>
        <v>340529.74</v>
      </c>
      <c r="S45" s="1501" t="s">
        <v>954</v>
      </c>
    </row>
    <row r="46" spans="1:19" ht="11.1" customHeight="1">
      <c r="A46" s="84" t="s">
        <v>335</v>
      </c>
      <c r="B46" s="84" t="s">
        <v>361</v>
      </c>
      <c r="C46" s="1514" t="s">
        <v>2718</v>
      </c>
      <c r="D46" s="1513"/>
      <c r="E46" s="1513"/>
      <c r="F46" s="1513"/>
      <c r="G46" s="1513"/>
      <c r="H46" s="1513"/>
      <c r="I46" s="157"/>
      <c r="J46" s="45"/>
      <c r="K46" s="1971" t="s">
        <v>2719</v>
      </c>
      <c r="L46" s="1971"/>
      <c r="M46" s="1971"/>
      <c r="N46" s="1971"/>
      <c r="O46" s="1971"/>
      <c r="P46" s="1971"/>
      <c r="Q46" s="1971"/>
      <c r="R46" s="1971"/>
      <c r="S46" s="1971"/>
    </row>
    <row r="47" spans="1:19" ht="9.75" customHeight="1">
      <c r="A47" s="64"/>
      <c r="B47" s="64"/>
      <c r="C47" s="1723" t="s">
        <v>1060</v>
      </c>
      <c r="D47" s="1723"/>
      <c r="E47" s="318"/>
      <c r="F47" s="318"/>
      <c r="G47" s="318"/>
      <c r="H47" s="318"/>
      <c r="I47" s="21"/>
      <c r="J47" s="21"/>
      <c r="K47" s="934" t="s">
        <v>32</v>
      </c>
      <c r="L47" s="1515" t="s">
        <v>2660</v>
      </c>
      <c r="M47" s="252"/>
      <c r="N47" s="252"/>
      <c r="P47" s="21"/>
      <c r="Q47" s="21"/>
      <c r="R47" s="21"/>
      <c r="S47" s="110"/>
    </row>
    <row r="48" spans="1:19" ht="9.75" customHeight="1"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24"/>
    </row>
    <row r="49" spans="6:19">
      <c r="S49" s="24"/>
    </row>
    <row r="50" spans="6:19">
      <c r="R50" s="1319"/>
      <c r="S50" s="24"/>
    </row>
    <row r="51" spans="6:19">
      <c r="S51" s="24"/>
    </row>
    <row r="52" spans="6:19">
      <c r="F52" s="131"/>
      <c r="S52" s="24"/>
    </row>
    <row r="53" spans="6:19">
      <c r="S53" s="24"/>
    </row>
    <row r="54" spans="6:19">
      <c r="S54" s="24"/>
    </row>
    <row r="55" spans="6:19">
      <c r="S55" s="24"/>
    </row>
    <row r="56" spans="6:19">
      <c r="S56" s="24"/>
    </row>
    <row r="57" spans="6:19">
      <c r="S57" s="24"/>
    </row>
    <row r="58" spans="6:19">
      <c r="S58" s="24"/>
    </row>
    <row r="59" spans="6:19">
      <c r="S59" s="24"/>
    </row>
    <row r="60" spans="6:19">
      <c r="S60" s="24"/>
    </row>
    <row r="61" spans="6:19">
      <c r="S61" s="24"/>
    </row>
  </sheetData>
  <mergeCells count="9">
    <mergeCell ref="K46:S46"/>
    <mergeCell ref="C47:D47"/>
    <mergeCell ref="A3:B4"/>
    <mergeCell ref="K1:Q1"/>
    <mergeCell ref="A1:J1"/>
    <mergeCell ref="R1:S1"/>
    <mergeCell ref="C3:R3"/>
    <mergeCell ref="R2:S2"/>
    <mergeCell ref="S3:S4"/>
  </mergeCells>
  <phoneticPr fontId="47" type="noConversion"/>
  <pageMargins left="0.62992125984252001" right="0.55118110236220497" top="0.511811023622047" bottom="0.31496062992126" header="0.25" footer="0"/>
  <pageSetup paperSize="151" firstPageNumber="54" orientation="portrait" useFirstPageNumber="1" r:id="rId1"/>
  <headerFooter>
    <oddFooter>&amp;C&amp;"Times New Roman,Regular"&amp;8&amp;P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BL209"/>
  <sheetViews>
    <sheetView zoomScale="120" zoomScaleNormal="120" workbookViewId="0">
      <pane xSplit="3" ySplit="3" topLeftCell="BE4" activePane="bottomRight" state="frozen"/>
      <selection pane="topRight" activeCell="D1" sqref="D1"/>
      <selection pane="bottomLeft" activeCell="A4" sqref="A4"/>
      <selection pane="bottomRight" activeCell="BL52" sqref="BL52"/>
    </sheetView>
  </sheetViews>
  <sheetFormatPr defaultColWidth="9.140625" defaultRowHeight="11.25"/>
  <cols>
    <col min="1" max="1" width="2.85546875" style="10" customWidth="1"/>
    <col min="2" max="2" width="4.5703125" style="53" customWidth="1"/>
    <col min="3" max="3" width="23.7109375" style="10" customWidth="1"/>
    <col min="4" max="5" width="8.85546875" style="10" customWidth="1"/>
    <col min="6" max="6" width="9.140625" style="10" customWidth="1"/>
    <col min="7" max="7" width="10.42578125" style="53" customWidth="1"/>
    <col min="8" max="8" width="9.7109375" style="10" customWidth="1"/>
    <col min="9" max="9" width="2.85546875" style="300" customWidth="1"/>
    <col min="10" max="10" width="6" style="469" customWidth="1"/>
    <col min="11" max="11" width="23.28515625" style="300" customWidth="1"/>
    <col min="12" max="12" width="9.28515625" style="300" customWidth="1"/>
    <col min="13" max="13" width="9.85546875" style="300" customWidth="1"/>
    <col min="14" max="14" width="8.5703125" style="300" customWidth="1"/>
    <col min="15" max="15" width="9.140625" style="470" customWidth="1"/>
    <col min="16" max="16" width="9.140625" style="300" customWidth="1"/>
    <col min="17" max="17" width="3" style="300" customWidth="1"/>
    <col min="18" max="18" width="6.5703125" style="469" customWidth="1"/>
    <col min="19" max="19" width="21.5703125" style="300" customWidth="1"/>
    <col min="20" max="20" width="8.5703125" style="300" customWidth="1"/>
    <col min="21" max="21" width="9" style="300" customWidth="1"/>
    <col min="22" max="22" width="8.7109375" style="300" customWidth="1"/>
    <col min="23" max="23" width="10.28515625" style="470" customWidth="1"/>
    <col min="24" max="24" width="10.28515625" style="300" customWidth="1"/>
    <col min="25" max="25" width="2.7109375" style="300" customWidth="1"/>
    <col min="26" max="26" width="7.28515625" style="471" customWidth="1"/>
    <col min="27" max="27" width="23.5703125" style="300" customWidth="1"/>
    <col min="28" max="28" width="9.140625" style="300"/>
    <col min="29" max="29" width="8.42578125" style="300" customWidth="1"/>
    <col min="30" max="30" width="8.7109375" style="300" customWidth="1"/>
    <col min="31" max="32" width="9.140625" style="300"/>
    <col min="33" max="33" width="2.28515625" style="300" customWidth="1"/>
    <col min="34" max="34" width="6.7109375" style="471" customWidth="1"/>
    <col min="35" max="35" width="26.140625" style="300" customWidth="1"/>
    <col min="36" max="36" width="8" style="300" customWidth="1"/>
    <col min="37" max="37" width="8.7109375" style="300" customWidth="1"/>
    <col min="38" max="38" width="8.5703125" style="300" customWidth="1"/>
    <col min="39" max="40" width="9.140625" style="300"/>
    <col min="41" max="41" width="2.7109375" style="300" customWidth="1"/>
    <col min="42" max="42" width="6" style="471" customWidth="1"/>
    <col min="43" max="43" width="24.5703125" style="300" customWidth="1"/>
    <col min="44" max="44" width="7.85546875" style="300" customWidth="1"/>
    <col min="45" max="45" width="9" style="300" customWidth="1"/>
    <col min="46" max="46" width="8.7109375" style="300" customWidth="1"/>
    <col min="47" max="47" width="10.140625" style="300" customWidth="1"/>
    <col min="48" max="48" width="9.5703125" style="300" customWidth="1"/>
    <col min="49" max="49" width="2.5703125" style="300" customWidth="1"/>
    <col min="50" max="50" width="5.85546875" style="471" customWidth="1"/>
    <col min="51" max="51" width="25.140625" style="300" customWidth="1"/>
    <col min="52" max="53" width="8.7109375" style="300" customWidth="1"/>
    <col min="54" max="56" width="9.140625" style="300"/>
    <col min="57" max="57" width="2.7109375" style="300" customWidth="1"/>
    <col min="58" max="58" width="6.7109375" style="471" customWidth="1"/>
    <col min="59" max="59" width="23.7109375" style="300" customWidth="1"/>
    <col min="60" max="61" width="9" style="300" customWidth="1"/>
    <col min="62" max="62" width="8.7109375" style="300" customWidth="1"/>
    <col min="63" max="63" width="9.5703125" style="300" customWidth="1"/>
    <col min="64" max="64" width="8.85546875" style="300" customWidth="1"/>
    <col min="65" max="16384" width="9.140625" style="10"/>
  </cols>
  <sheetData>
    <row r="1" spans="1:64" s="166" customFormat="1" ht="15.75" customHeight="1">
      <c r="A1" s="1992" t="s">
        <v>1596</v>
      </c>
      <c r="B1" s="1992"/>
      <c r="C1" s="1992"/>
      <c r="D1" s="1992"/>
      <c r="E1" s="1992"/>
      <c r="F1" s="1992"/>
      <c r="G1" s="1992"/>
      <c r="H1" s="1992"/>
      <c r="I1" s="1988" t="s">
        <v>1597</v>
      </c>
      <c r="J1" s="1988"/>
      <c r="K1" s="1988"/>
      <c r="L1" s="1988"/>
      <c r="M1" s="1988"/>
      <c r="N1" s="1989" t="s">
        <v>2081</v>
      </c>
      <c r="O1" s="1989"/>
      <c r="P1" s="1989"/>
      <c r="Q1" s="450"/>
      <c r="R1" s="451"/>
      <c r="S1" s="1989" t="s">
        <v>1598</v>
      </c>
      <c r="T1" s="1989"/>
      <c r="U1" s="1989"/>
      <c r="V1" s="1989"/>
      <c r="W1" s="1989"/>
      <c r="X1" s="1989"/>
      <c r="Y1" s="1988" t="s">
        <v>1599</v>
      </c>
      <c r="Z1" s="1988"/>
      <c r="AA1" s="1988"/>
      <c r="AB1" s="1988"/>
      <c r="AC1" s="1988"/>
      <c r="AD1" s="1989" t="s">
        <v>2081</v>
      </c>
      <c r="AE1" s="1989"/>
      <c r="AF1" s="1989"/>
      <c r="AG1" s="450"/>
      <c r="AH1" s="451"/>
      <c r="AI1" s="1989" t="s">
        <v>1596</v>
      </c>
      <c r="AJ1" s="1989"/>
      <c r="AK1" s="1989"/>
      <c r="AL1" s="1989"/>
      <c r="AM1" s="1989"/>
      <c r="AN1" s="1989"/>
      <c r="AO1" s="1988" t="s">
        <v>1600</v>
      </c>
      <c r="AP1" s="1988"/>
      <c r="AQ1" s="1988"/>
      <c r="AR1" s="1988"/>
      <c r="AS1" s="1988"/>
      <c r="AT1" s="1989" t="s">
        <v>2081</v>
      </c>
      <c r="AU1" s="1989"/>
      <c r="AV1" s="1989"/>
      <c r="AW1" s="450"/>
      <c r="AX1" s="451"/>
      <c r="AY1" s="1989" t="s">
        <v>1596</v>
      </c>
      <c r="AZ1" s="1989"/>
      <c r="BA1" s="1989"/>
      <c r="BB1" s="1989"/>
      <c r="BC1" s="1989"/>
      <c r="BD1" s="1989"/>
      <c r="BE1" s="1988" t="s">
        <v>1601</v>
      </c>
      <c r="BF1" s="1988"/>
      <c r="BG1" s="1988"/>
      <c r="BH1" s="1988"/>
      <c r="BI1" s="1988"/>
      <c r="BJ1" s="1989" t="s">
        <v>2082</v>
      </c>
      <c r="BK1" s="1989"/>
      <c r="BL1" s="1989"/>
    </row>
    <row r="2" spans="1:64" s="389" customFormat="1" ht="17.25" customHeight="1">
      <c r="A2" s="1891" t="s">
        <v>1393</v>
      </c>
      <c r="B2" s="1891"/>
      <c r="C2" s="1891"/>
      <c r="D2" s="1990" t="s">
        <v>677</v>
      </c>
      <c r="E2" s="1990" t="s">
        <v>45</v>
      </c>
      <c r="F2" s="1990" t="s">
        <v>1392</v>
      </c>
      <c r="G2" s="1990" t="s">
        <v>604</v>
      </c>
      <c r="H2" s="1990"/>
      <c r="I2" s="1987" t="s">
        <v>1393</v>
      </c>
      <c r="J2" s="1987"/>
      <c r="K2" s="1987"/>
      <c r="L2" s="1986" t="s">
        <v>1449</v>
      </c>
      <c r="M2" s="1986" t="s">
        <v>43</v>
      </c>
      <c r="N2" s="1986" t="s">
        <v>1392</v>
      </c>
      <c r="O2" s="1986" t="s">
        <v>604</v>
      </c>
      <c r="P2" s="1986"/>
      <c r="Q2" s="1987" t="s">
        <v>1393</v>
      </c>
      <c r="R2" s="1987"/>
      <c r="S2" s="1987"/>
      <c r="T2" s="1986" t="s">
        <v>1394</v>
      </c>
      <c r="U2" s="1986" t="s">
        <v>43</v>
      </c>
      <c r="V2" s="1986" t="s">
        <v>1392</v>
      </c>
      <c r="W2" s="1986" t="s">
        <v>604</v>
      </c>
      <c r="X2" s="1986"/>
      <c r="Y2" s="1987" t="s">
        <v>1393</v>
      </c>
      <c r="Z2" s="1987"/>
      <c r="AA2" s="1987"/>
      <c r="AB2" s="1986" t="s">
        <v>1394</v>
      </c>
      <c r="AC2" s="1986" t="s">
        <v>43</v>
      </c>
      <c r="AD2" s="1986" t="s">
        <v>1392</v>
      </c>
      <c r="AE2" s="1986" t="s">
        <v>604</v>
      </c>
      <c r="AF2" s="1986"/>
      <c r="AG2" s="1987" t="s">
        <v>1393</v>
      </c>
      <c r="AH2" s="1987"/>
      <c r="AI2" s="1987"/>
      <c r="AJ2" s="1986" t="s">
        <v>1394</v>
      </c>
      <c r="AK2" s="1986" t="s">
        <v>43</v>
      </c>
      <c r="AL2" s="1986" t="s">
        <v>1392</v>
      </c>
      <c r="AM2" s="1986" t="s">
        <v>604</v>
      </c>
      <c r="AN2" s="1986"/>
      <c r="AO2" s="1987" t="s">
        <v>1393</v>
      </c>
      <c r="AP2" s="1987"/>
      <c r="AQ2" s="1987"/>
      <c r="AR2" s="1986" t="s">
        <v>1394</v>
      </c>
      <c r="AS2" s="1986" t="s">
        <v>43</v>
      </c>
      <c r="AT2" s="1986" t="s">
        <v>1392</v>
      </c>
      <c r="AU2" s="1986" t="s">
        <v>604</v>
      </c>
      <c r="AV2" s="1986"/>
      <c r="AW2" s="1987" t="s">
        <v>1393</v>
      </c>
      <c r="AX2" s="1987"/>
      <c r="AY2" s="1987"/>
      <c r="AZ2" s="1986" t="s">
        <v>1394</v>
      </c>
      <c r="BA2" s="1986" t="s">
        <v>43</v>
      </c>
      <c r="BB2" s="1986" t="s">
        <v>1392</v>
      </c>
      <c r="BC2" s="1986" t="s">
        <v>604</v>
      </c>
      <c r="BD2" s="1986"/>
      <c r="BE2" s="1987" t="s">
        <v>1393</v>
      </c>
      <c r="BF2" s="1987"/>
      <c r="BG2" s="1987"/>
      <c r="BH2" s="1986" t="s">
        <v>1394</v>
      </c>
      <c r="BI2" s="1986" t="s">
        <v>43</v>
      </c>
      <c r="BJ2" s="1986" t="s">
        <v>1392</v>
      </c>
      <c r="BK2" s="1986" t="s">
        <v>604</v>
      </c>
      <c r="BL2" s="1986"/>
    </row>
    <row r="3" spans="1:64" s="105" customFormat="1" ht="27.75" customHeight="1">
      <c r="A3" s="1891"/>
      <c r="B3" s="1891"/>
      <c r="C3" s="1891"/>
      <c r="D3" s="1990"/>
      <c r="E3" s="1990"/>
      <c r="F3" s="1990"/>
      <c r="G3" s="82" t="s">
        <v>605</v>
      </c>
      <c r="H3" s="82" t="s">
        <v>606</v>
      </c>
      <c r="I3" s="1987"/>
      <c r="J3" s="1987"/>
      <c r="K3" s="1987"/>
      <c r="L3" s="1986"/>
      <c r="M3" s="1986"/>
      <c r="N3" s="1986"/>
      <c r="O3" s="452" t="s">
        <v>605</v>
      </c>
      <c r="P3" s="1363" t="s">
        <v>606</v>
      </c>
      <c r="Q3" s="1987"/>
      <c r="R3" s="1987"/>
      <c r="S3" s="1987"/>
      <c r="T3" s="1986"/>
      <c r="U3" s="1986"/>
      <c r="V3" s="1986"/>
      <c r="W3" s="452" t="s">
        <v>605</v>
      </c>
      <c r="X3" s="1363" t="s">
        <v>606</v>
      </c>
      <c r="Y3" s="1987"/>
      <c r="Z3" s="1987"/>
      <c r="AA3" s="1987"/>
      <c r="AB3" s="1986"/>
      <c r="AC3" s="1986"/>
      <c r="AD3" s="1986"/>
      <c r="AE3" s="452" t="s">
        <v>605</v>
      </c>
      <c r="AF3" s="1363" t="s">
        <v>606</v>
      </c>
      <c r="AG3" s="1987"/>
      <c r="AH3" s="1987"/>
      <c r="AI3" s="1987"/>
      <c r="AJ3" s="1986"/>
      <c r="AK3" s="1986"/>
      <c r="AL3" s="1986"/>
      <c r="AM3" s="452" t="s">
        <v>605</v>
      </c>
      <c r="AN3" s="1363" t="s">
        <v>606</v>
      </c>
      <c r="AO3" s="1987"/>
      <c r="AP3" s="1987"/>
      <c r="AQ3" s="1987"/>
      <c r="AR3" s="1986"/>
      <c r="AS3" s="1986"/>
      <c r="AT3" s="1986"/>
      <c r="AU3" s="452" t="s">
        <v>605</v>
      </c>
      <c r="AV3" s="1363" t="s">
        <v>606</v>
      </c>
      <c r="AW3" s="1987"/>
      <c r="AX3" s="1987"/>
      <c r="AY3" s="1987"/>
      <c r="AZ3" s="1986"/>
      <c r="BA3" s="1986"/>
      <c r="BB3" s="1986"/>
      <c r="BC3" s="452" t="s">
        <v>605</v>
      </c>
      <c r="BD3" s="1363" t="s">
        <v>606</v>
      </c>
      <c r="BE3" s="1987"/>
      <c r="BF3" s="1987"/>
      <c r="BG3" s="1987"/>
      <c r="BH3" s="1986"/>
      <c r="BI3" s="1986"/>
      <c r="BJ3" s="1986"/>
      <c r="BK3" s="452" t="s">
        <v>605</v>
      </c>
      <c r="BL3" s="452" t="s">
        <v>606</v>
      </c>
    </row>
    <row r="4" spans="1:64" s="457" customFormat="1" ht="11.25" customHeight="1">
      <c r="A4" s="1984" t="s">
        <v>1370</v>
      </c>
      <c r="B4" s="1984"/>
      <c r="C4" s="1984"/>
      <c r="D4" s="1187"/>
      <c r="E4" s="1187"/>
      <c r="F4" s="1985"/>
      <c r="G4" s="1985"/>
      <c r="H4" s="1985"/>
      <c r="I4" s="552"/>
      <c r="J4" s="1184" t="s">
        <v>1251</v>
      </c>
      <c r="K4" s="983" t="s">
        <v>1450</v>
      </c>
      <c r="L4" s="1173" t="s">
        <v>2170</v>
      </c>
      <c r="M4" s="505">
        <v>9.4</v>
      </c>
      <c r="N4" s="1173" t="s">
        <v>2171</v>
      </c>
      <c r="O4" s="1172" t="s">
        <v>607</v>
      </c>
      <c r="P4" s="1172" t="s">
        <v>608</v>
      </c>
      <c r="Q4" s="517"/>
      <c r="R4" s="1170" t="s">
        <v>1235</v>
      </c>
      <c r="S4" s="1177" t="s">
        <v>1451</v>
      </c>
      <c r="T4" s="1392" t="s">
        <v>63</v>
      </c>
      <c r="U4" s="550">
        <v>11.72</v>
      </c>
      <c r="V4" s="1392" t="s">
        <v>75</v>
      </c>
      <c r="W4" s="1172" t="s">
        <v>607</v>
      </c>
      <c r="X4" s="1172" t="s">
        <v>608</v>
      </c>
      <c r="Y4" s="527"/>
      <c r="Z4" s="575" t="s">
        <v>1285</v>
      </c>
      <c r="AA4" s="1177" t="s">
        <v>1451</v>
      </c>
      <c r="AB4" s="1194" t="s">
        <v>1832</v>
      </c>
      <c r="AC4" s="550">
        <v>12.16</v>
      </c>
      <c r="AD4" s="1194" t="s">
        <v>1833</v>
      </c>
      <c r="AE4" s="1172" t="s">
        <v>607</v>
      </c>
      <c r="AF4" s="1172" t="s">
        <v>608</v>
      </c>
      <c r="AG4" s="574"/>
      <c r="AH4" s="1186" t="s">
        <v>1228</v>
      </c>
      <c r="AI4" s="1191" t="s">
        <v>1452</v>
      </c>
      <c r="AJ4" s="547" t="s">
        <v>618</v>
      </c>
      <c r="AK4" s="551">
        <v>12.22</v>
      </c>
      <c r="AL4" s="513" t="s">
        <v>626</v>
      </c>
      <c r="AM4" s="1179" t="s">
        <v>607</v>
      </c>
      <c r="AN4" s="1172" t="s">
        <v>608</v>
      </c>
      <c r="AO4" s="527"/>
      <c r="AP4" s="1180" t="s">
        <v>1273</v>
      </c>
      <c r="AQ4" s="1181" t="s">
        <v>1452</v>
      </c>
      <c r="AR4" s="1190" t="s">
        <v>1754</v>
      </c>
      <c r="AS4" s="511">
        <v>12.3</v>
      </c>
      <c r="AT4" s="1190" t="s">
        <v>1755</v>
      </c>
      <c r="AU4" s="1179" t="s">
        <v>607</v>
      </c>
      <c r="AV4" s="1172" t="s">
        <v>608</v>
      </c>
      <c r="AW4" s="527"/>
      <c r="AX4" s="1176" t="s">
        <v>1228</v>
      </c>
      <c r="AY4" s="983" t="s">
        <v>1453</v>
      </c>
      <c r="AZ4" s="1305" t="s">
        <v>81</v>
      </c>
      <c r="BA4" s="550">
        <v>13.09</v>
      </c>
      <c r="BB4" s="1305" t="s">
        <v>95</v>
      </c>
      <c r="BC4" s="1172" t="s">
        <v>607</v>
      </c>
      <c r="BD4" s="1172" t="s">
        <v>608</v>
      </c>
      <c r="BE4" s="517"/>
      <c r="BF4" s="1180" t="s">
        <v>1278</v>
      </c>
      <c r="BG4" s="1182" t="s">
        <v>1453</v>
      </c>
      <c r="BH4" s="1183" t="s">
        <v>1639</v>
      </c>
      <c r="BI4" s="511">
        <v>12.28</v>
      </c>
      <c r="BJ4" s="1183" t="s">
        <v>1640</v>
      </c>
      <c r="BK4" s="1179" t="s">
        <v>607</v>
      </c>
      <c r="BL4" s="1179" t="s">
        <v>608</v>
      </c>
    </row>
    <row r="5" spans="1:64" s="457" customFormat="1" ht="10.5" customHeight="1">
      <c r="A5" s="390" t="s">
        <v>1039</v>
      </c>
      <c r="B5" s="448" t="s">
        <v>1219</v>
      </c>
      <c r="C5" s="634" t="s">
        <v>1864</v>
      </c>
      <c r="D5" s="466" t="s">
        <v>2234</v>
      </c>
      <c r="E5" s="454">
        <v>6.44</v>
      </c>
      <c r="F5" s="826" t="s">
        <v>2235</v>
      </c>
      <c r="G5" s="630" t="s">
        <v>607</v>
      </c>
      <c r="H5" s="486" t="s">
        <v>608</v>
      </c>
      <c r="J5" s="448" t="s">
        <v>1252</v>
      </c>
      <c r="K5" s="634" t="s">
        <v>1450</v>
      </c>
      <c r="L5" s="636" t="s">
        <v>2224</v>
      </c>
      <c r="M5" s="460">
        <v>8.6</v>
      </c>
      <c r="N5" s="636" t="s">
        <v>2225</v>
      </c>
      <c r="O5" s="630" t="s">
        <v>607</v>
      </c>
      <c r="P5" s="630" t="s">
        <v>608</v>
      </c>
      <c r="Q5" s="298"/>
      <c r="R5" s="448" t="s">
        <v>1236</v>
      </c>
      <c r="S5" s="631" t="s">
        <v>1451</v>
      </c>
      <c r="T5" s="390" t="s">
        <v>1</v>
      </c>
      <c r="U5" s="454">
        <v>11.72</v>
      </c>
      <c r="V5" s="390" t="s">
        <v>2</v>
      </c>
      <c r="W5" s="630" t="s">
        <v>607</v>
      </c>
      <c r="X5" s="630" t="s">
        <v>608</v>
      </c>
      <c r="Y5" s="429"/>
      <c r="Z5" s="631" t="s">
        <v>1286</v>
      </c>
      <c r="AA5" s="631" t="s">
        <v>1451</v>
      </c>
      <c r="AB5" s="636" t="s">
        <v>1841</v>
      </c>
      <c r="AC5" s="454">
        <v>12.19</v>
      </c>
      <c r="AD5" s="636" t="s">
        <v>1842</v>
      </c>
      <c r="AE5" s="630" t="s">
        <v>607</v>
      </c>
      <c r="AF5" s="630" t="s">
        <v>608</v>
      </c>
      <c r="AH5" s="463" t="s">
        <v>1229</v>
      </c>
      <c r="AI5" s="822" t="s">
        <v>1452</v>
      </c>
      <c r="AJ5" s="466" t="s">
        <v>1874</v>
      </c>
      <c r="AK5" s="454">
        <v>12.14</v>
      </c>
      <c r="AL5" s="826" t="s">
        <v>1875</v>
      </c>
      <c r="AM5" s="630" t="s">
        <v>607</v>
      </c>
      <c r="AN5" s="630" t="s">
        <v>608</v>
      </c>
      <c r="AO5" s="462"/>
      <c r="AP5" s="895" t="s">
        <v>1274</v>
      </c>
      <c r="AQ5" s="632" t="s">
        <v>1452</v>
      </c>
      <c r="AR5" s="636" t="s">
        <v>1825</v>
      </c>
      <c r="AS5" s="460">
        <v>12.38</v>
      </c>
      <c r="AT5" s="636" t="s">
        <v>1826</v>
      </c>
      <c r="AU5" s="630" t="s">
        <v>607</v>
      </c>
      <c r="AV5" s="630" t="s">
        <v>608</v>
      </c>
      <c r="AW5" s="429"/>
      <c r="AX5" s="895" t="s">
        <v>1229</v>
      </c>
      <c r="AY5" s="634" t="s">
        <v>1453</v>
      </c>
      <c r="AZ5" s="390" t="s">
        <v>82</v>
      </c>
      <c r="BA5" s="454">
        <v>13.07</v>
      </c>
      <c r="BB5" s="390" t="s">
        <v>96</v>
      </c>
      <c r="BC5" s="630" t="s">
        <v>607</v>
      </c>
      <c r="BD5" s="630" t="s">
        <v>608</v>
      </c>
      <c r="BF5" s="458" t="s">
        <v>1279</v>
      </c>
      <c r="BG5" s="633" t="s">
        <v>1453</v>
      </c>
      <c r="BH5" s="396" t="s">
        <v>1642</v>
      </c>
      <c r="BI5" s="41">
        <v>12.38</v>
      </c>
      <c r="BJ5" s="396" t="s">
        <v>1847</v>
      </c>
      <c r="BK5" s="486" t="s">
        <v>607</v>
      </c>
      <c r="BL5" s="486" t="s">
        <v>608</v>
      </c>
    </row>
    <row r="6" spans="1:64" s="457" customFormat="1" ht="10.5" customHeight="1">
      <c r="A6" s="574"/>
      <c r="B6" s="1170" t="s">
        <v>1220</v>
      </c>
      <c r="C6" s="983" t="s">
        <v>1864</v>
      </c>
      <c r="D6" s="1171" t="s">
        <v>2247</v>
      </c>
      <c r="E6" s="550">
        <v>6.43</v>
      </c>
      <c r="F6" s="1171" t="s">
        <v>2248</v>
      </c>
      <c r="G6" s="1172" t="s">
        <v>607</v>
      </c>
      <c r="H6" s="1179" t="s">
        <v>608</v>
      </c>
      <c r="I6" s="552"/>
      <c r="J6" s="1184" t="s">
        <v>1253</v>
      </c>
      <c r="K6" s="983" t="s">
        <v>1450</v>
      </c>
      <c r="L6" s="1173" t="s">
        <v>2227</v>
      </c>
      <c r="M6" s="505">
        <v>7.6</v>
      </c>
      <c r="N6" s="1173" t="s">
        <v>2228</v>
      </c>
      <c r="O6" s="1172" t="s">
        <v>607</v>
      </c>
      <c r="P6" s="1172" t="s">
        <v>608</v>
      </c>
      <c r="Q6" s="574"/>
      <c r="R6" s="1184" t="s">
        <v>1237</v>
      </c>
      <c r="S6" s="1177" t="s">
        <v>1451</v>
      </c>
      <c r="T6" s="1392" t="s">
        <v>3</v>
      </c>
      <c r="U6" s="550">
        <v>11.72</v>
      </c>
      <c r="V6" s="1392" t="s">
        <v>4</v>
      </c>
      <c r="W6" s="1172" t="s">
        <v>607</v>
      </c>
      <c r="X6" s="1172" t="s">
        <v>608</v>
      </c>
      <c r="Y6" s="573"/>
      <c r="Z6" s="1177" t="s">
        <v>1287</v>
      </c>
      <c r="AA6" s="1177" t="s">
        <v>1451</v>
      </c>
      <c r="AB6" s="1190" t="s">
        <v>1901</v>
      </c>
      <c r="AC6" s="550">
        <v>12.22</v>
      </c>
      <c r="AD6" s="1190" t="s">
        <v>1902</v>
      </c>
      <c r="AE6" s="1172" t="s">
        <v>607</v>
      </c>
      <c r="AF6" s="1172" t="s">
        <v>608</v>
      </c>
      <c r="AG6" s="574"/>
      <c r="AH6" s="1186" t="s">
        <v>1230</v>
      </c>
      <c r="AI6" s="1191" t="s">
        <v>1452</v>
      </c>
      <c r="AJ6" s="1171" t="s">
        <v>619</v>
      </c>
      <c r="AK6" s="550">
        <v>12.14</v>
      </c>
      <c r="AL6" s="1188" t="s">
        <v>627</v>
      </c>
      <c r="AM6" s="1172" t="s">
        <v>607</v>
      </c>
      <c r="AN6" s="1172" t="s">
        <v>608</v>
      </c>
      <c r="AO6" s="527"/>
      <c r="AP6" s="1180" t="s">
        <v>1275</v>
      </c>
      <c r="AQ6" s="1181" t="s">
        <v>1452</v>
      </c>
      <c r="AR6" s="1190" t="s">
        <v>1834</v>
      </c>
      <c r="AS6" s="511">
        <v>12.38</v>
      </c>
      <c r="AT6" s="1190" t="s">
        <v>1835</v>
      </c>
      <c r="AU6" s="1179" t="s">
        <v>607</v>
      </c>
      <c r="AV6" s="1172" t="s">
        <v>608</v>
      </c>
      <c r="AW6" s="573"/>
      <c r="AX6" s="1180" t="s">
        <v>1230</v>
      </c>
      <c r="AY6" s="1182" t="s">
        <v>1453</v>
      </c>
      <c r="AZ6" s="547" t="s">
        <v>83</v>
      </c>
      <c r="BA6" s="551">
        <v>13.07</v>
      </c>
      <c r="BB6" s="547" t="s">
        <v>2548</v>
      </c>
      <c r="BC6" s="1179" t="s">
        <v>607</v>
      </c>
      <c r="BD6" s="1179" t="s">
        <v>608</v>
      </c>
      <c r="BE6" s="574"/>
      <c r="BF6" s="1180" t="s">
        <v>1280</v>
      </c>
      <c r="BG6" s="1182" t="s">
        <v>1571</v>
      </c>
      <c r="BH6" s="1183" t="s">
        <v>1695</v>
      </c>
      <c r="BI6" s="511">
        <v>12.48</v>
      </c>
      <c r="BJ6" s="1183" t="s">
        <v>1848</v>
      </c>
      <c r="BK6" s="1179" t="s">
        <v>607</v>
      </c>
      <c r="BL6" s="1179" t="s">
        <v>608</v>
      </c>
    </row>
    <row r="7" spans="1:64" s="457" customFormat="1" ht="10.5" customHeight="1">
      <c r="B7" s="448" t="s">
        <v>1221</v>
      </c>
      <c r="C7" s="634" t="s">
        <v>1864</v>
      </c>
      <c r="D7" s="466" t="s">
        <v>2255</v>
      </c>
      <c r="E7" s="454">
        <v>4.1900000000000004</v>
      </c>
      <c r="F7" s="466" t="s">
        <v>2256</v>
      </c>
      <c r="G7" s="630" t="s">
        <v>607</v>
      </c>
      <c r="H7" s="486" t="s">
        <v>608</v>
      </c>
      <c r="I7" s="447"/>
      <c r="J7" s="448" t="s">
        <v>1254</v>
      </c>
      <c r="K7" s="634" t="s">
        <v>1450</v>
      </c>
      <c r="L7" s="636" t="s">
        <v>2236</v>
      </c>
      <c r="M7" s="460">
        <v>7.49</v>
      </c>
      <c r="N7" s="636" t="s">
        <v>2237</v>
      </c>
      <c r="O7" s="630" t="s">
        <v>607</v>
      </c>
      <c r="P7" s="630" t="s">
        <v>608</v>
      </c>
      <c r="R7" s="448" t="s">
        <v>1238</v>
      </c>
      <c r="S7" s="631" t="s">
        <v>1451</v>
      </c>
      <c r="T7" s="390" t="s">
        <v>5</v>
      </c>
      <c r="U7" s="454">
        <v>11.72</v>
      </c>
      <c r="V7" s="390" t="s">
        <v>6</v>
      </c>
      <c r="W7" s="630" t="s">
        <v>607</v>
      </c>
      <c r="X7" s="630" t="s">
        <v>608</v>
      </c>
      <c r="Y7" s="429"/>
      <c r="Z7" s="456" t="s">
        <v>1288</v>
      </c>
      <c r="AA7" s="631" t="s">
        <v>1451</v>
      </c>
      <c r="AB7" s="636" t="s">
        <v>1903</v>
      </c>
      <c r="AC7" s="454">
        <v>12.22</v>
      </c>
      <c r="AD7" s="636" t="s">
        <v>1904</v>
      </c>
      <c r="AE7" s="630" t="s">
        <v>607</v>
      </c>
      <c r="AF7" s="630" t="s">
        <v>608</v>
      </c>
      <c r="AH7" s="463" t="s">
        <v>1231</v>
      </c>
      <c r="AI7" s="822" t="s">
        <v>1452</v>
      </c>
      <c r="AJ7" s="466" t="s">
        <v>1075</v>
      </c>
      <c r="AK7" s="454">
        <v>12.14</v>
      </c>
      <c r="AL7" s="826" t="s">
        <v>1076</v>
      </c>
      <c r="AM7" s="630" t="s">
        <v>607</v>
      </c>
      <c r="AN7" s="630" t="s">
        <v>608</v>
      </c>
      <c r="AO7" s="429"/>
      <c r="AP7" s="458" t="s">
        <v>1276</v>
      </c>
      <c r="AQ7" s="632" t="s">
        <v>1452</v>
      </c>
      <c r="AR7" s="395" t="s">
        <v>1844</v>
      </c>
      <c r="AS7" s="41">
        <v>12.38</v>
      </c>
      <c r="AT7" s="395" t="s">
        <v>1845</v>
      </c>
      <c r="AU7" s="486" t="s">
        <v>607</v>
      </c>
      <c r="AV7" s="630" t="s">
        <v>608</v>
      </c>
      <c r="AX7" s="458" t="s">
        <v>1231</v>
      </c>
      <c r="AY7" s="633" t="s">
        <v>1453</v>
      </c>
      <c r="AZ7" s="428" t="s">
        <v>84</v>
      </c>
      <c r="BA7" s="20">
        <v>13.07</v>
      </c>
      <c r="BB7" s="428" t="s">
        <v>97</v>
      </c>
      <c r="BC7" s="486" t="s">
        <v>607</v>
      </c>
      <c r="BD7" s="486" t="s">
        <v>608</v>
      </c>
      <c r="BE7" s="298"/>
      <c r="BF7" s="895" t="s">
        <v>1281</v>
      </c>
      <c r="BG7" s="634" t="s">
        <v>1571</v>
      </c>
      <c r="BH7" s="893" t="s">
        <v>1827</v>
      </c>
      <c r="BI7" s="460">
        <v>12.48</v>
      </c>
      <c r="BJ7" s="893" t="s">
        <v>1849</v>
      </c>
      <c r="BK7" s="630" t="s">
        <v>607</v>
      </c>
      <c r="BL7" s="630" t="s">
        <v>608</v>
      </c>
    </row>
    <row r="8" spans="1:64" s="457" customFormat="1" ht="10.5" customHeight="1">
      <c r="A8" s="574"/>
      <c r="B8" s="1170" t="s">
        <v>1222</v>
      </c>
      <c r="C8" s="983" t="s">
        <v>1864</v>
      </c>
      <c r="D8" s="1171" t="s">
        <v>2264</v>
      </c>
      <c r="E8" s="550">
        <v>5.5</v>
      </c>
      <c r="F8" s="1171" t="s">
        <v>2265</v>
      </c>
      <c r="G8" s="1172" t="s">
        <v>607</v>
      </c>
      <c r="H8" s="1179" t="s">
        <v>608</v>
      </c>
      <c r="I8" s="1187"/>
      <c r="J8" s="1170" t="s">
        <v>1255</v>
      </c>
      <c r="K8" s="1182" t="s">
        <v>1450</v>
      </c>
      <c r="L8" s="1173" t="s">
        <v>2249</v>
      </c>
      <c r="M8" s="505">
        <v>7.35</v>
      </c>
      <c r="N8" s="1173" t="s">
        <v>2250</v>
      </c>
      <c r="O8" s="1172" t="s">
        <v>607</v>
      </c>
      <c r="P8" s="1172" t="s">
        <v>608</v>
      </c>
      <c r="Q8" s="547"/>
      <c r="R8" s="1184" t="s">
        <v>1239</v>
      </c>
      <c r="S8" s="1177" t="s">
        <v>1451</v>
      </c>
      <c r="T8" s="1392" t="s">
        <v>7</v>
      </c>
      <c r="U8" s="550">
        <v>10.23</v>
      </c>
      <c r="V8" s="1392" t="s">
        <v>8</v>
      </c>
      <c r="W8" s="1172" t="s">
        <v>607</v>
      </c>
      <c r="X8" s="1172" t="s">
        <v>608</v>
      </c>
      <c r="Y8" s="527"/>
      <c r="Z8" s="1177" t="s">
        <v>1289</v>
      </c>
      <c r="AA8" s="1177" t="s">
        <v>1451</v>
      </c>
      <c r="AB8" s="1173" t="s">
        <v>1947</v>
      </c>
      <c r="AC8" s="550">
        <v>12.16</v>
      </c>
      <c r="AD8" s="1173" t="s">
        <v>1948</v>
      </c>
      <c r="AE8" s="1172" t="s">
        <v>607</v>
      </c>
      <c r="AF8" s="1172" t="s">
        <v>608</v>
      </c>
      <c r="AG8" s="1187"/>
      <c r="AH8" s="1180" t="s">
        <v>1232</v>
      </c>
      <c r="AI8" s="1195" t="s">
        <v>1452</v>
      </c>
      <c r="AJ8" s="504" t="s">
        <v>620</v>
      </c>
      <c r="AK8" s="505">
        <v>12.14</v>
      </c>
      <c r="AL8" s="504" t="s">
        <v>628</v>
      </c>
      <c r="AM8" s="1172" t="s">
        <v>607</v>
      </c>
      <c r="AN8" s="1172" t="s">
        <v>608</v>
      </c>
      <c r="AO8" s="527"/>
      <c r="AP8" s="1180" t="s">
        <v>1277</v>
      </c>
      <c r="AQ8" s="1181" t="s">
        <v>1452</v>
      </c>
      <c r="AR8" s="1190" t="s">
        <v>1860</v>
      </c>
      <c r="AS8" s="511">
        <v>12.4</v>
      </c>
      <c r="AT8" s="1190" t="s">
        <v>1861</v>
      </c>
      <c r="AU8" s="1179" t="s">
        <v>607</v>
      </c>
      <c r="AV8" s="1172" t="s">
        <v>608</v>
      </c>
      <c r="AW8" s="517"/>
      <c r="AX8" s="1176" t="s">
        <v>1232</v>
      </c>
      <c r="AY8" s="983" t="s">
        <v>1453</v>
      </c>
      <c r="AZ8" s="1305" t="s">
        <v>85</v>
      </c>
      <c r="BA8" s="550">
        <v>13.07</v>
      </c>
      <c r="BB8" s="1305" t="s">
        <v>98</v>
      </c>
      <c r="BC8" s="1172" t="s">
        <v>607</v>
      </c>
      <c r="BD8" s="1172" t="s">
        <v>608</v>
      </c>
      <c r="BE8" s="517"/>
      <c r="BF8" s="1176" t="s">
        <v>1282</v>
      </c>
      <c r="BG8" s="983" t="s">
        <v>1571</v>
      </c>
      <c r="BH8" s="1185" t="s">
        <v>1836</v>
      </c>
      <c r="BI8" s="505">
        <v>12.48</v>
      </c>
      <c r="BJ8" s="1185" t="s">
        <v>1850</v>
      </c>
      <c r="BK8" s="1172" t="s">
        <v>607</v>
      </c>
      <c r="BL8" s="1172" t="s">
        <v>608</v>
      </c>
    </row>
    <row r="9" spans="1:64" s="457" customFormat="1" ht="11.25" customHeight="1">
      <c r="B9" s="448" t="s">
        <v>1223</v>
      </c>
      <c r="C9" s="634" t="s">
        <v>1864</v>
      </c>
      <c r="D9" s="466" t="s">
        <v>2289</v>
      </c>
      <c r="E9" s="454">
        <v>6</v>
      </c>
      <c r="F9" s="466" t="s">
        <v>2290</v>
      </c>
      <c r="G9" s="630" t="s">
        <v>607</v>
      </c>
      <c r="H9" s="486" t="s">
        <v>608</v>
      </c>
      <c r="I9" s="447"/>
      <c r="J9" s="448" t="s">
        <v>1256</v>
      </c>
      <c r="K9" s="634" t="s">
        <v>1450</v>
      </c>
      <c r="L9" s="636" t="s">
        <v>2257</v>
      </c>
      <c r="M9" s="460">
        <v>5.15</v>
      </c>
      <c r="N9" s="636" t="s">
        <v>2325</v>
      </c>
      <c r="O9" s="630" t="s">
        <v>607</v>
      </c>
      <c r="P9" s="630" t="s">
        <v>608</v>
      </c>
      <c r="R9" s="937" t="s">
        <v>1240</v>
      </c>
      <c r="S9" s="631" t="s">
        <v>1451</v>
      </c>
      <c r="T9" s="390" t="s">
        <v>10</v>
      </c>
      <c r="U9" s="454">
        <v>10.050000000000001</v>
      </c>
      <c r="V9" s="390" t="s">
        <v>11</v>
      </c>
      <c r="W9" s="630" t="s">
        <v>607</v>
      </c>
      <c r="X9" s="630" t="s">
        <v>608</v>
      </c>
      <c r="Y9" s="429"/>
      <c r="Z9" s="456" t="s">
        <v>1290</v>
      </c>
      <c r="AA9" s="631" t="s">
        <v>1451</v>
      </c>
      <c r="AB9" s="636" t="s">
        <v>1972</v>
      </c>
      <c r="AC9" s="454">
        <v>11.75</v>
      </c>
      <c r="AD9" s="636" t="s">
        <v>1973</v>
      </c>
      <c r="AE9" s="630" t="s">
        <v>607</v>
      </c>
      <c r="AF9" s="630" t="s">
        <v>608</v>
      </c>
      <c r="AH9" s="895" t="s">
        <v>1233</v>
      </c>
      <c r="AI9" s="632" t="s">
        <v>1452</v>
      </c>
      <c r="AJ9" s="459" t="s">
        <v>621</v>
      </c>
      <c r="AK9" s="460">
        <v>12.14</v>
      </c>
      <c r="AL9" s="459" t="s">
        <v>629</v>
      </c>
      <c r="AM9" s="630" t="s">
        <v>607</v>
      </c>
      <c r="AN9" s="630" t="s">
        <v>608</v>
      </c>
      <c r="AO9" s="462"/>
      <c r="AP9" s="895" t="s">
        <v>1278</v>
      </c>
      <c r="AQ9" s="632" t="s">
        <v>1452</v>
      </c>
      <c r="AR9" s="636" t="s">
        <v>1889</v>
      </c>
      <c r="AS9" s="460">
        <v>12.4</v>
      </c>
      <c r="AT9" s="636" t="s">
        <v>1906</v>
      </c>
      <c r="AU9" s="630" t="s">
        <v>607</v>
      </c>
      <c r="AV9" s="630" t="s">
        <v>608</v>
      </c>
      <c r="AW9" s="298"/>
      <c r="AX9" s="895" t="s">
        <v>1233</v>
      </c>
      <c r="AY9" s="634" t="s">
        <v>1453</v>
      </c>
      <c r="AZ9" s="390" t="s">
        <v>86</v>
      </c>
      <c r="BA9" s="454">
        <v>13.07</v>
      </c>
      <c r="BB9" s="390" t="s">
        <v>99</v>
      </c>
      <c r="BC9" s="630" t="s">
        <v>607</v>
      </c>
      <c r="BD9" s="630" t="s">
        <v>608</v>
      </c>
      <c r="BE9" s="298"/>
      <c r="BF9" s="458" t="s">
        <v>1283</v>
      </c>
      <c r="BG9" s="633" t="s">
        <v>1571</v>
      </c>
      <c r="BH9" s="396" t="s">
        <v>1846</v>
      </c>
      <c r="BI9" s="41">
        <v>12.47</v>
      </c>
      <c r="BJ9" s="396" t="s">
        <v>1851</v>
      </c>
      <c r="BK9" s="486" t="s">
        <v>607</v>
      </c>
      <c r="BL9" s="486" t="s">
        <v>608</v>
      </c>
    </row>
    <row r="10" spans="1:64" s="457" customFormat="1" ht="9.75" customHeight="1">
      <c r="A10" s="1216"/>
      <c r="B10" s="1170" t="s">
        <v>1224</v>
      </c>
      <c r="C10" s="983" t="s">
        <v>1864</v>
      </c>
      <c r="D10" s="1171" t="s">
        <v>2291</v>
      </c>
      <c r="E10" s="550">
        <v>4.9800000000000004</v>
      </c>
      <c r="F10" s="1171" t="s">
        <v>2292</v>
      </c>
      <c r="G10" s="1172" t="s">
        <v>607</v>
      </c>
      <c r="H10" s="1179" t="s">
        <v>608</v>
      </c>
      <c r="I10" s="552"/>
      <c r="J10" s="1170" t="s">
        <v>1257</v>
      </c>
      <c r="K10" s="983" t="s">
        <v>1450</v>
      </c>
      <c r="L10" s="1173" t="s">
        <v>2266</v>
      </c>
      <c r="M10" s="505">
        <v>6</v>
      </c>
      <c r="N10" s="1173" t="s">
        <v>2267</v>
      </c>
      <c r="O10" s="1172" t="s">
        <v>607</v>
      </c>
      <c r="P10" s="1172" t="s">
        <v>608</v>
      </c>
      <c r="Q10" s="552"/>
      <c r="R10" s="1184" t="s">
        <v>1241</v>
      </c>
      <c r="S10" s="1177" t="s">
        <v>1451</v>
      </c>
      <c r="T10" s="1392" t="s">
        <v>14</v>
      </c>
      <c r="U10" s="550">
        <v>9.4499999999999993</v>
      </c>
      <c r="V10" s="1392" t="s">
        <v>15</v>
      </c>
      <c r="W10" s="1172" t="s">
        <v>607</v>
      </c>
      <c r="X10" s="1172" t="s">
        <v>608</v>
      </c>
      <c r="Y10" s="527"/>
      <c r="Z10" s="1177" t="s">
        <v>1291</v>
      </c>
      <c r="AA10" s="1177" t="s">
        <v>1451</v>
      </c>
      <c r="AB10" s="1173" t="s">
        <v>2014</v>
      </c>
      <c r="AC10" s="550">
        <v>11.59</v>
      </c>
      <c r="AD10" s="1173" t="s">
        <v>2015</v>
      </c>
      <c r="AE10" s="1172" t="s">
        <v>607</v>
      </c>
      <c r="AF10" s="1172" t="s">
        <v>608</v>
      </c>
      <c r="AG10" s="1187"/>
      <c r="AH10" s="1176" t="s">
        <v>1234</v>
      </c>
      <c r="AI10" s="1181" t="s">
        <v>1452</v>
      </c>
      <c r="AJ10" s="504" t="s">
        <v>1077</v>
      </c>
      <c r="AK10" s="505">
        <v>12.14</v>
      </c>
      <c r="AL10" s="504" t="s">
        <v>1078</v>
      </c>
      <c r="AM10" s="1172" t="s">
        <v>607</v>
      </c>
      <c r="AN10" s="1172" t="s">
        <v>608</v>
      </c>
      <c r="AO10" s="573"/>
      <c r="AP10" s="1176" t="s">
        <v>1279</v>
      </c>
      <c r="AQ10" s="1181" t="s">
        <v>1570</v>
      </c>
      <c r="AR10" s="1173" t="s">
        <v>1905</v>
      </c>
      <c r="AS10" s="505">
        <v>12.4</v>
      </c>
      <c r="AT10" s="1173" t="s">
        <v>1907</v>
      </c>
      <c r="AU10" s="1172" t="s">
        <v>607</v>
      </c>
      <c r="AV10" s="1172" t="s">
        <v>608</v>
      </c>
      <c r="AW10" s="574"/>
      <c r="AX10" s="1180" t="s">
        <v>1234</v>
      </c>
      <c r="AY10" s="1182" t="s">
        <v>1453</v>
      </c>
      <c r="AZ10" s="547" t="s">
        <v>87</v>
      </c>
      <c r="BA10" s="551">
        <v>13.07</v>
      </c>
      <c r="BB10" s="547" t="s">
        <v>100</v>
      </c>
      <c r="BC10" s="1179" t="s">
        <v>607</v>
      </c>
      <c r="BD10" s="1179" t="s">
        <v>608</v>
      </c>
      <c r="BE10" s="574"/>
      <c r="BF10" s="1180" t="s">
        <v>1284</v>
      </c>
      <c r="BG10" s="1182" t="s">
        <v>1571</v>
      </c>
      <c r="BH10" s="1183" t="s">
        <v>1862</v>
      </c>
      <c r="BI10" s="511">
        <v>12.48</v>
      </c>
      <c r="BJ10" s="1183" t="s">
        <v>1863</v>
      </c>
      <c r="BK10" s="1179" t="s">
        <v>607</v>
      </c>
      <c r="BL10" s="1179" t="s">
        <v>608</v>
      </c>
    </row>
    <row r="11" spans="1:64" s="457" customFormat="1" ht="10.5" customHeight="1">
      <c r="A11" s="772"/>
      <c r="B11" s="448" t="s">
        <v>1225</v>
      </c>
      <c r="C11" s="634" t="s">
        <v>1864</v>
      </c>
      <c r="D11" s="466" t="s">
        <v>2301</v>
      </c>
      <c r="E11" s="454">
        <v>5.04</v>
      </c>
      <c r="F11" s="466" t="s">
        <v>2357</v>
      </c>
      <c r="G11" s="630" t="s">
        <v>607</v>
      </c>
      <c r="H11" s="486" t="s">
        <v>608</v>
      </c>
      <c r="J11" s="448" t="s">
        <v>1258</v>
      </c>
      <c r="K11" s="634" t="s">
        <v>1450</v>
      </c>
      <c r="L11" s="636" t="s">
        <v>2293</v>
      </c>
      <c r="M11" s="460">
        <v>6.44</v>
      </c>
      <c r="N11" s="636" t="s">
        <v>2326</v>
      </c>
      <c r="O11" s="630" t="s">
        <v>607</v>
      </c>
      <c r="P11" s="630" t="s">
        <v>608</v>
      </c>
      <c r="Q11" s="298"/>
      <c r="R11" s="937" t="s">
        <v>1242</v>
      </c>
      <c r="S11" s="631" t="s">
        <v>1451</v>
      </c>
      <c r="T11" s="390" t="s">
        <v>18</v>
      </c>
      <c r="U11" s="454">
        <v>8.74</v>
      </c>
      <c r="V11" s="390" t="s">
        <v>19</v>
      </c>
      <c r="W11" s="630" t="s">
        <v>607</v>
      </c>
      <c r="X11" s="630" t="s">
        <v>608</v>
      </c>
      <c r="Y11" s="429"/>
      <c r="Z11" s="456" t="s">
        <v>1292</v>
      </c>
      <c r="AA11" s="631" t="s">
        <v>1451</v>
      </c>
      <c r="AB11" s="636" t="s">
        <v>2053</v>
      </c>
      <c r="AC11" s="454">
        <v>10.92</v>
      </c>
      <c r="AD11" s="636" t="s">
        <v>2054</v>
      </c>
      <c r="AE11" s="630" t="s">
        <v>607</v>
      </c>
      <c r="AF11" s="630" t="s">
        <v>608</v>
      </c>
      <c r="AG11" s="461"/>
      <c r="AH11" s="458" t="s">
        <v>1235</v>
      </c>
      <c r="AI11" s="632" t="s">
        <v>1452</v>
      </c>
      <c r="AJ11" s="459" t="s">
        <v>1079</v>
      </c>
      <c r="AK11" s="460">
        <v>12.14</v>
      </c>
      <c r="AL11" s="459" t="s">
        <v>1080</v>
      </c>
      <c r="AM11" s="630" t="s">
        <v>607</v>
      </c>
      <c r="AN11" s="630" t="s">
        <v>608</v>
      </c>
      <c r="AO11" s="429"/>
      <c r="AP11" s="458" t="s">
        <v>1280</v>
      </c>
      <c r="AQ11" s="632" t="s">
        <v>1570</v>
      </c>
      <c r="AR11" s="395" t="s">
        <v>1932</v>
      </c>
      <c r="AS11" s="41">
        <v>12.42</v>
      </c>
      <c r="AT11" s="395" t="s">
        <v>1933</v>
      </c>
      <c r="AU11" s="486" t="s">
        <v>607</v>
      </c>
      <c r="AV11" s="486" t="s">
        <v>608</v>
      </c>
      <c r="AW11" s="298"/>
      <c r="AX11" s="458" t="s">
        <v>1235</v>
      </c>
      <c r="AY11" s="633" t="s">
        <v>1453</v>
      </c>
      <c r="AZ11" s="428" t="s">
        <v>9</v>
      </c>
      <c r="BA11" s="20">
        <v>13.07</v>
      </c>
      <c r="BB11" s="428" t="s">
        <v>89</v>
      </c>
      <c r="BC11" s="486" t="s">
        <v>607</v>
      </c>
      <c r="BD11" s="486" t="s">
        <v>608</v>
      </c>
      <c r="BE11" s="298"/>
      <c r="BF11" s="458" t="s">
        <v>1285</v>
      </c>
      <c r="BG11" s="633" t="s">
        <v>1571</v>
      </c>
      <c r="BH11" s="396" t="s">
        <v>1890</v>
      </c>
      <c r="BI11" s="41">
        <v>12.48</v>
      </c>
      <c r="BJ11" s="396" t="s">
        <v>1891</v>
      </c>
      <c r="BK11" s="486" t="s">
        <v>607</v>
      </c>
      <c r="BL11" s="486" t="s">
        <v>608</v>
      </c>
    </row>
    <row r="12" spans="1:64" s="457" customFormat="1" ht="10.5" customHeight="1">
      <c r="A12" s="574"/>
      <c r="B12" s="1170" t="s">
        <v>1226</v>
      </c>
      <c r="C12" s="983" t="s">
        <v>1864</v>
      </c>
      <c r="D12" s="1171" t="s">
        <v>2359</v>
      </c>
      <c r="E12" s="550">
        <v>5.29</v>
      </c>
      <c r="F12" s="1171" t="s">
        <v>2360</v>
      </c>
      <c r="G12" s="1172" t="s">
        <v>607</v>
      </c>
      <c r="H12" s="1179" t="s">
        <v>608</v>
      </c>
      <c r="I12" s="574"/>
      <c r="J12" s="1170" t="s">
        <v>1259</v>
      </c>
      <c r="K12" s="983" t="s">
        <v>1450</v>
      </c>
      <c r="L12" s="1173" t="s">
        <v>2294</v>
      </c>
      <c r="M12" s="505">
        <v>5.89</v>
      </c>
      <c r="N12" s="1173" t="s">
        <v>2327</v>
      </c>
      <c r="O12" s="1172" t="s">
        <v>607</v>
      </c>
      <c r="P12" s="1172" t="s">
        <v>608</v>
      </c>
      <c r="Q12" s="527"/>
      <c r="R12" s="1170" t="s">
        <v>1243</v>
      </c>
      <c r="S12" s="1177" t="s">
        <v>1451</v>
      </c>
      <c r="T12" s="547" t="s">
        <v>22</v>
      </c>
      <c r="U12" s="551">
        <v>8.49</v>
      </c>
      <c r="V12" s="547" t="s">
        <v>23</v>
      </c>
      <c r="W12" s="1179" t="s">
        <v>607</v>
      </c>
      <c r="X12" s="1172" t="s">
        <v>608</v>
      </c>
      <c r="Y12" s="527"/>
      <c r="Z12" s="575" t="s">
        <v>1356</v>
      </c>
      <c r="AA12" s="1177" t="s">
        <v>1451</v>
      </c>
      <c r="AB12" s="1190" t="s">
        <v>2172</v>
      </c>
      <c r="AC12" s="550">
        <v>10.72</v>
      </c>
      <c r="AD12" s="1190" t="s">
        <v>2173</v>
      </c>
      <c r="AE12" s="1172" t="s">
        <v>607</v>
      </c>
      <c r="AF12" s="1172" t="s">
        <v>608</v>
      </c>
      <c r="AG12" s="574"/>
      <c r="AH12" s="1180" t="s">
        <v>1236</v>
      </c>
      <c r="AI12" s="1181" t="s">
        <v>1452</v>
      </c>
      <c r="AJ12" s="504" t="s">
        <v>1081</v>
      </c>
      <c r="AK12" s="505">
        <v>12.14</v>
      </c>
      <c r="AL12" s="504" t="s">
        <v>1082</v>
      </c>
      <c r="AM12" s="1172" t="s">
        <v>607</v>
      </c>
      <c r="AN12" s="1172" t="s">
        <v>608</v>
      </c>
      <c r="AO12" s="527"/>
      <c r="AP12" s="1180" t="s">
        <v>1281</v>
      </c>
      <c r="AQ12" s="1181" t="s">
        <v>1570</v>
      </c>
      <c r="AR12" s="1190" t="s">
        <v>1934</v>
      </c>
      <c r="AS12" s="511">
        <v>12.42</v>
      </c>
      <c r="AT12" s="1190" t="s">
        <v>1935</v>
      </c>
      <c r="AU12" s="1179" t="s">
        <v>607</v>
      </c>
      <c r="AV12" s="1179" t="s">
        <v>608</v>
      </c>
      <c r="AW12" s="527"/>
      <c r="AX12" s="1176" t="s">
        <v>1236</v>
      </c>
      <c r="AY12" s="983" t="s">
        <v>1453</v>
      </c>
      <c r="AZ12" s="1305" t="s">
        <v>12</v>
      </c>
      <c r="BA12" s="550">
        <v>13.07</v>
      </c>
      <c r="BB12" s="1305" t="s">
        <v>13</v>
      </c>
      <c r="BC12" s="1172" t="s">
        <v>607</v>
      </c>
      <c r="BD12" s="1172" t="s">
        <v>608</v>
      </c>
      <c r="BE12" s="547"/>
      <c r="BF12" s="1176" t="s">
        <v>1286</v>
      </c>
      <c r="BG12" s="983" t="s">
        <v>1571</v>
      </c>
      <c r="BH12" s="1185" t="s">
        <v>1908</v>
      </c>
      <c r="BI12" s="505">
        <v>12.48</v>
      </c>
      <c r="BJ12" s="1185" t="s">
        <v>1909</v>
      </c>
      <c r="BK12" s="1172" t="s">
        <v>607</v>
      </c>
      <c r="BL12" s="1172" t="s">
        <v>608</v>
      </c>
    </row>
    <row r="13" spans="1:64" s="457" customFormat="1" ht="10.5" customHeight="1">
      <c r="B13" s="937" t="s">
        <v>1227</v>
      </c>
      <c r="C13" s="634" t="s">
        <v>1864</v>
      </c>
      <c r="D13" s="466" t="s">
        <v>2356</v>
      </c>
      <c r="E13" s="454">
        <v>5.54</v>
      </c>
      <c r="F13" s="466" t="s">
        <v>2358</v>
      </c>
      <c r="G13" s="630" t="s">
        <v>607</v>
      </c>
      <c r="H13" s="486" t="s">
        <v>608</v>
      </c>
      <c r="I13" s="447"/>
      <c r="J13" s="448" t="s">
        <v>1260</v>
      </c>
      <c r="K13" s="633" t="s">
        <v>1450</v>
      </c>
      <c r="L13" s="636" t="s">
        <v>2324</v>
      </c>
      <c r="M13" s="460">
        <v>5.94</v>
      </c>
      <c r="N13" s="636" t="s">
        <v>2328</v>
      </c>
      <c r="O13" s="630" t="s">
        <v>607</v>
      </c>
      <c r="P13" s="630" t="s">
        <v>608</v>
      </c>
      <c r="Q13" s="298"/>
      <c r="R13" s="937" t="s">
        <v>1244</v>
      </c>
      <c r="S13" s="631" t="s">
        <v>1451</v>
      </c>
      <c r="T13" s="428" t="s">
        <v>686</v>
      </c>
      <c r="U13" s="20">
        <v>8.75</v>
      </c>
      <c r="V13" s="428" t="s">
        <v>687</v>
      </c>
      <c r="W13" s="486" t="s">
        <v>607</v>
      </c>
      <c r="X13" s="630" t="s">
        <v>608</v>
      </c>
      <c r="Y13" s="429"/>
      <c r="Z13" s="631" t="s">
        <v>1357</v>
      </c>
      <c r="AA13" s="631" t="s">
        <v>1451</v>
      </c>
      <c r="AB13" s="395" t="s">
        <v>2231</v>
      </c>
      <c r="AC13" s="454">
        <v>9.7899999999999991</v>
      </c>
      <c r="AD13" s="395" t="s">
        <v>2232</v>
      </c>
      <c r="AE13" s="630" t="s">
        <v>607</v>
      </c>
      <c r="AF13" s="630" t="s">
        <v>608</v>
      </c>
      <c r="AH13" s="895" t="s">
        <v>1237</v>
      </c>
      <c r="AI13" s="632" t="s">
        <v>1452</v>
      </c>
      <c r="AJ13" s="459" t="s">
        <v>1083</v>
      </c>
      <c r="AK13" s="460">
        <v>12.14</v>
      </c>
      <c r="AL13" s="459" t="s">
        <v>1084</v>
      </c>
      <c r="AM13" s="630" t="s">
        <v>607</v>
      </c>
      <c r="AN13" s="630" t="s">
        <v>608</v>
      </c>
      <c r="AO13" s="429"/>
      <c r="AP13" s="458" t="s">
        <v>1282</v>
      </c>
      <c r="AQ13" s="632" t="s">
        <v>1570</v>
      </c>
      <c r="AR13" s="395" t="s">
        <v>1949</v>
      </c>
      <c r="AS13" s="41">
        <v>12.29</v>
      </c>
      <c r="AT13" s="395" t="s">
        <v>1950</v>
      </c>
      <c r="AU13" s="486" t="s">
        <v>607</v>
      </c>
      <c r="AV13" s="486" t="s">
        <v>608</v>
      </c>
      <c r="AW13" s="429"/>
      <c r="AX13" s="458" t="s">
        <v>1237</v>
      </c>
      <c r="AY13" s="633" t="s">
        <v>1453</v>
      </c>
      <c r="AZ13" s="428" t="s">
        <v>16</v>
      </c>
      <c r="BA13" s="20">
        <v>13.07</v>
      </c>
      <c r="BB13" s="428" t="s">
        <v>17</v>
      </c>
      <c r="BC13" s="486" t="s">
        <v>607</v>
      </c>
      <c r="BD13" s="486" t="s">
        <v>608</v>
      </c>
      <c r="BE13" s="462"/>
      <c r="BF13" s="458" t="s">
        <v>1287</v>
      </c>
      <c r="BG13" s="633" t="s">
        <v>1571</v>
      </c>
      <c r="BH13" s="396" t="s">
        <v>1936</v>
      </c>
      <c r="BI13" s="41">
        <v>12.48</v>
      </c>
      <c r="BJ13" s="396" t="s">
        <v>1937</v>
      </c>
      <c r="BK13" s="486" t="s">
        <v>607</v>
      </c>
      <c r="BL13" s="486" t="s">
        <v>608</v>
      </c>
    </row>
    <row r="14" spans="1:64" s="457" customFormat="1" ht="10.5" customHeight="1">
      <c r="A14" s="574"/>
      <c r="B14" s="1184" t="s">
        <v>1228</v>
      </c>
      <c r="C14" s="983" t="s">
        <v>1864</v>
      </c>
      <c r="D14" s="1171" t="s">
        <v>2372</v>
      </c>
      <c r="E14" s="550">
        <v>6.09</v>
      </c>
      <c r="F14" s="1171" t="s">
        <v>2373</v>
      </c>
      <c r="G14" s="1172" t="s">
        <v>607</v>
      </c>
      <c r="H14" s="1179" t="s">
        <v>608</v>
      </c>
      <c r="I14" s="552"/>
      <c r="J14" s="1170" t="s">
        <v>1261</v>
      </c>
      <c r="K14" s="983" t="s">
        <v>1450</v>
      </c>
      <c r="L14" s="1173" t="s">
        <v>2361</v>
      </c>
      <c r="M14" s="505">
        <v>6.25</v>
      </c>
      <c r="N14" s="1173" t="s">
        <v>2362</v>
      </c>
      <c r="O14" s="1172" t="s">
        <v>607</v>
      </c>
      <c r="P14" s="1172" t="s">
        <v>608</v>
      </c>
      <c r="Q14" s="517"/>
      <c r="R14" s="1170" t="s">
        <v>1245</v>
      </c>
      <c r="S14" s="1177" t="s">
        <v>1451</v>
      </c>
      <c r="T14" s="547" t="s">
        <v>688</v>
      </c>
      <c r="U14" s="551">
        <v>8.75</v>
      </c>
      <c r="V14" s="547" t="s">
        <v>689</v>
      </c>
      <c r="W14" s="1179" t="s">
        <v>607</v>
      </c>
      <c r="X14" s="1172" t="s">
        <v>608</v>
      </c>
      <c r="Y14" s="527"/>
      <c r="Z14" s="575" t="s">
        <v>1358</v>
      </c>
      <c r="AA14" s="1177" t="s">
        <v>1451</v>
      </c>
      <c r="AB14" s="1190" t="s">
        <v>2240</v>
      </c>
      <c r="AC14" s="550">
        <v>8.18</v>
      </c>
      <c r="AD14" s="1190" t="s">
        <v>2241</v>
      </c>
      <c r="AE14" s="1172" t="s">
        <v>607</v>
      </c>
      <c r="AF14" s="1172" t="s">
        <v>608</v>
      </c>
      <c r="AG14" s="527"/>
      <c r="AH14" s="1180" t="s">
        <v>1238</v>
      </c>
      <c r="AI14" s="1181" t="s">
        <v>1452</v>
      </c>
      <c r="AJ14" s="508" t="s">
        <v>1085</v>
      </c>
      <c r="AK14" s="511">
        <v>10.6</v>
      </c>
      <c r="AL14" s="508" t="s">
        <v>1086</v>
      </c>
      <c r="AM14" s="1179" t="s">
        <v>607</v>
      </c>
      <c r="AN14" s="1172" t="s">
        <v>608</v>
      </c>
      <c r="AO14" s="574"/>
      <c r="AP14" s="1176" t="s">
        <v>1283</v>
      </c>
      <c r="AQ14" s="1181" t="s">
        <v>1570</v>
      </c>
      <c r="AR14" s="1173" t="s">
        <v>1960</v>
      </c>
      <c r="AS14" s="505">
        <v>12.29</v>
      </c>
      <c r="AT14" s="1173" t="s">
        <v>1961</v>
      </c>
      <c r="AU14" s="1172" t="s">
        <v>607</v>
      </c>
      <c r="AV14" s="1172" t="s">
        <v>608</v>
      </c>
      <c r="AW14" s="573"/>
      <c r="AX14" s="1180" t="s">
        <v>1238</v>
      </c>
      <c r="AY14" s="1182" t="s">
        <v>1453</v>
      </c>
      <c r="AZ14" s="547" t="s">
        <v>20</v>
      </c>
      <c r="BA14" s="551">
        <v>13.07</v>
      </c>
      <c r="BB14" s="547" t="s">
        <v>21</v>
      </c>
      <c r="BC14" s="1179" t="s">
        <v>607</v>
      </c>
      <c r="BD14" s="1179" t="s">
        <v>608</v>
      </c>
      <c r="BE14" s="573"/>
      <c r="BF14" s="1180" t="s">
        <v>1288</v>
      </c>
      <c r="BG14" s="1182" t="s">
        <v>1571</v>
      </c>
      <c r="BH14" s="1183" t="s">
        <v>1938</v>
      </c>
      <c r="BI14" s="511">
        <v>12.48</v>
      </c>
      <c r="BJ14" s="1183" t="s">
        <v>1939</v>
      </c>
      <c r="BK14" s="1179" t="s">
        <v>607</v>
      </c>
      <c r="BL14" s="1179" t="s">
        <v>608</v>
      </c>
    </row>
    <row r="15" spans="1:64" s="457" customFormat="1" ht="10.5" customHeight="1">
      <c r="B15" s="937" t="s">
        <v>1229</v>
      </c>
      <c r="C15" s="634" t="s">
        <v>1864</v>
      </c>
      <c r="D15" s="466" t="s">
        <v>2387</v>
      </c>
      <c r="E15" s="454">
        <v>6.54</v>
      </c>
      <c r="F15" s="466" t="s">
        <v>2388</v>
      </c>
      <c r="G15" s="630" t="s">
        <v>607</v>
      </c>
      <c r="H15" s="486" t="s">
        <v>608</v>
      </c>
      <c r="I15" s="447"/>
      <c r="J15" s="448" t="s">
        <v>1262</v>
      </c>
      <c r="K15" s="633" t="s">
        <v>1450</v>
      </c>
      <c r="L15" s="636" t="s">
        <v>2374</v>
      </c>
      <c r="M15" s="460">
        <v>6.24</v>
      </c>
      <c r="N15" s="636" t="s">
        <v>2375</v>
      </c>
      <c r="O15" s="630" t="s">
        <v>607</v>
      </c>
      <c r="P15" s="630" t="s">
        <v>608</v>
      </c>
      <c r="Q15" s="298"/>
      <c r="R15" s="448" t="s">
        <v>1246</v>
      </c>
      <c r="S15" s="631" t="s">
        <v>1451</v>
      </c>
      <c r="T15" s="428" t="s">
        <v>690</v>
      </c>
      <c r="U15" s="20">
        <v>8.75</v>
      </c>
      <c r="V15" s="428" t="s">
        <v>691</v>
      </c>
      <c r="W15" s="486" t="s">
        <v>607</v>
      </c>
      <c r="X15" s="630" t="s">
        <v>608</v>
      </c>
      <c r="Y15" s="429"/>
      <c r="Z15" s="456" t="s">
        <v>1359</v>
      </c>
      <c r="AA15" s="631" t="s">
        <v>1451</v>
      </c>
      <c r="AB15" s="395" t="s">
        <v>2261</v>
      </c>
      <c r="AC15" s="454">
        <v>6.79</v>
      </c>
      <c r="AD15" s="395" t="s">
        <v>2262</v>
      </c>
      <c r="AE15" s="630" t="s">
        <v>607</v>
      </c>
      <c r="AF15" s="630" t="s">
        <v>608</v>
      </c>
      <c r="AG15" s="429"/>
      <c r="AH15" s="458" t="s">
        <v>1239</v>
      </c>
      <c r="AI15" s="632" t="s">
        <v>1452</v>
      </c>
      <c r="AJ15" s="40" t="s">
        <v>1087</v>
      </c>
      <c r="AK15" s="41">
        <v>11.09</v>
      </c>
      <c r="AL15" s="40" t="s">
        <v>1088</v>
      </c>
      <c r="AM15" s="486" t="s">
        <v>607</v>
      </c>
      <c r="AN15" s="630" t="s">
        <v>608</v>
      </c>
      <c r="AO15" s="298"/>
      <c r="AP15" s="458" t="s">
        <v>1284</v>
      </c>
      <c r="AQ15" s="632" t="s">
        <v>1570</v>
      </c>
      <c r="AR15" s="395" t="s">
        <v>1966</v>
      </c>
      <c r="AS15" s="41">
        <v>12.2</v>
      </c>
      <c r="AT15" s="395" t="s">
        <v>1968</v>
      </c>
      <c r="AU15" s="486" t="s">
        <v>607</v>
      </c>
      <c r="AV15" s="486" t="s">
        <v>608</v>
      </c>
      <c r="AW15" s="462"/>
      <c r="AX15" s="458" t="s">
        <v>1239</v>
      </c>
      <c r="AY15" s="633" t="s">
        <v>1453</v>
      </c>
      <c r="AZ15" s="428" t="s">
        <v>24</v>
      </c>
      <c r="BA15" s="20">
        <v>11.09</v>
      </c>
      <c r="BB15" s="428" t="s">
        <v>25</v>
      </c>
      <c r="BC15" s="486" t="s">
        <v>607</v>
      </c>
      <c r="BD15" s="486" t="s">
        <v>608</v>
      </c>
      <c r="BF15" s="458" t="s">
        <v>1289</v>
      </c>
      <c r="BG15" s="633" t="s">
        <v>1571</v>
      </c>
      <c r="BH15" s="396" t="s">
        <v>1951</v>
      </c>
      <c r="BI15" s="41">
        <v>12.33</v>
      </c>
      <c r="BJ15" s="396" t="s">
        <v>1952</v>
      </c>
      <c r="BK15" s="486" t="s">
        <v>607</v>
      </c>
      <c r="BL15" s="486" t="s">
        <v>608</v>
      </c>
    </row>
    <row r="16" spans="1:64" s="457" customFormat="1" ht="10.5" customHeight="1">
      <c r="A16" s="574"/>
      <c r="B16" s="1184" t="s">
        <v>1230</v>
      </c>
      <c r="C16" s="983" t="s">
        <v>1864</v>
      </c>
      <c r="D16" s="508" t="s">
        <v>1701</v>
      </c>
      <c r="E16" s="511">
        <v>5.99</v>
      </c>
      <c r="F16" s="508" t="s">
        <v>2389</v>
      </c>
      <c r="G16" s="1172" t="s">
        <v>607</v>
      </c>
      <c r="H16" s="1179" t="s">
        <v>608</v>
      </c>
      <c r="I16" s="552"/>
      <c r="J16" s="1170" t="s">
        <v>1263</v>
      </c>
      <c r="K16" s="1182" t="s">
        <v>1450</v>
      </c>
      <c r="L16" s="1173" t="s">
        <v>2390</v>
      </c>
      <c r="M16" s="505">
        <v>6.6</v>
      </c>
      <c r="N16" s="1173" t="s">
        <v>2391</v>
      </c>
      <c r="O16" s="1172" t="s">
        <v>607</v>
      </c>
      <c r="P16" s="1172" t="s">
        <v>608</v>
      </c>
      <c r="Q16" s="574"/>
      <c r="R16" s="1170" t="s">
        <v>1247</v>
      </c>
      <c r="S16" s="1177" t="s">
        <v>1451</v>
      </c>
      <c r="T16" s="547" t="s">
        <v>692</v>
      </c>
      <c r="U16" s="551">
        <v>8.77</v>
      </c>
      <c r="V16" s="547" t="s">
        <v>1102</v>
      </c>
      <c r="W16" s="1179" t="s">
        <v>607</v>
      </c>
      <c r="X16" s="1172" t="s">
        <v>608</v>
      </c>
      <c r="Y16" s="573"/>
      <c r="Z16" s="575" t="s">
        <v>1360</v>
      </c>
      <c r="AA16" s="1177" t="s">
        <v>1451</v>
      </c>
      <c r="AB16" s="1190" t="s">
        <v>2268</v>
      </c>
      <c r="AC16" s="550">
        <v>7.4</v>
      </c>
      <c r="AD16" s="1190" t="s">
        <v>2275</v>
      </c>
      <c r="AE16" s="1172" t="s">
        <v>607</v>
      </c>
      <c r="AF16" s="1172" t="s">
        <v>608</v>
      </c>
      <c r="AG16" s="517"/>
      <c r="AH16" s="1180" t="s">
        <v>1240</v>
      </c>
      <c r="AI16" s="1181" t="s">
        <v>1452</v>
      </c>
      <c r="AJ16" s="508" t="s">
        <v>1089</v>
      </c>
      <c r="AK16" s="511">
        <v>9.39</v>
      </c>
      <c r="AL16" s="508" t="s">
        <v>1090</v>
      </c>
      <c r="AM16" s="1179" t="s">
        <v>607</v>
      </c>
      <c r="AN16" s="1172" t="s">
        <v>608</v>
      </c>
      <c r="AO16" s="517"/>
      <c r="AP16" s="1180" t="s">
        <v>1285</v>
      </c>
      <c r="AQ16" s="1181" t="s">
        <v>1570</v>
      </c>
      <c r="AR16" s="1190" t="s">
        <v>1969</v>
      </c>
      <c r="AS16" s="511">
        <v>12.1</v>
      </c>
      <c r="AT16" s="1190" t="s">
        <v>1971</v>
      </c>
      <c r="AU16" s="1179" t="s">
        <v>607</v>
      </c>
      <c r="AV16" s="1179" t="s">
        <v>608</v>
      </c>
      <c r="AW16" s="527"/>
      <c r="AX16" s="1176" t="s">
        <v>1240</v>
      </c>
      <c r="AY16" s="983" t="s">
        <v>1453</v>
      </c>
      <c r="AZ16" s="1305" t="s">
        <v>26</v>
      </c>
      <c r="BA16" s="550">
        <v>10.07</v>
      </c>
      <c r="BB16" s="1305" t="s">
        <v>27</v>
      </c>
      <c r="BC16" s="1172" t="s">
        <v>607</v>
      </c>
      <c r="BD16" s="1172" t="s">
        <v>608</v>
      </c>
      <c r="BE16" s="574"/>
      <c r="BF16" s="1180" t="s">
        <v>1290</v>
      </c>
      <c r="BG16" s="1182" t="s">
        <v>1571</v>
      </c>
      <c r="BH16" s="1183" t="s">
        <v>1960</v>
      </c>
      <c r="BI16" s="511">
        <v>12.33</v>
      </c>
      <c r="BJ16" s="1183" t="s">
        <v>1962</v>
      </c>
      <c r="BK16" s="1179" t="s">
        <v>607</v>
      </c>
      <c r="BL16" s="1179" t="s">
        <v>608</v>
      </c>
    </row>
    <row r="17" spans="1:64" s="457" customFormat="1" ht="10.5" customHeight="1">
      <c r="B17" s="476" t="s">
        <v>1231</v>
      </c>
      <c r="C17" s="634" t="s">
        <v>1864</v>
      </c>
      <c r="D17" s="40" t="s">
        <v>1702</v>
      </c>
      <c r="E17" s="41">
        <v>5.39</v>
      </c>
      <c r="F17" s="40" t="s">
        <v>2408</v>
      </c>
      <c r="G17" s="630" t="s">
        <v>607</v>
      </c>
      <c r="H17" s="486" t="s">
        <v>608</v>
      </c>
      <c r="I17" s="447"/>
      <c r="J17" s="448" t="s">
        <v>1264</v>
      </c>
      <c r="K17" s="633" t="s">
        <v>1450</v>
      </c>
      <c r="L17" s="636" t="s">
        <v>2387</v>
      </c>
      <c r="M17" s="460">
        <v>7.09</v>
      </c>
      <c r="N17" s="636" t="s">
        <v>1415</v>
      </c>
      <c r="O17" s="630" t="s">
        <v>607</v>
      </c>
      <c r="P17" s="630" t="s">
        <v>608</v>
      </c>
      <c r="R17" s="448" t="s">
        <v>1248</v>
      </c>
      <c r="S17" s="631" t="s">
        <v>1451</v>
      </c>
      <c r="T17" s="428" t="s">
        <v>1137</v>
      </c>
      <c r="U17" s="20">
        <v>8.77</v>
      </c>
      <c r="V17" s="428" t="s">
        <v>1138</v>
      </c>
      <c r="W17" s="486" t="s">
        <v>607</v>
      </c>
      <c r="X17" s="630" t="s">
        <v>608</v>
      </c>
      <c r="Y17" s="429"/>
      <c r="Z17" s="463" t="s">
        <v>1361</v>
      </c>
      <c r="AA17" s="631" t="s">
        <v>1451</v>
      </c>
      <c r="AB17" s="395" t="s">
        <v>2295</v>
      </c>
      <c r="AC17" s="454">
        <v>7.39</v>
      </c>
      <c r="AD17" s="395" t="s">
        <v>2296</v>
      </c>
      <c r="AE17" s="630" t="s">
        <v>607</v>
      </c>
      <c r="AF17" s="630" t="s">
        <v>608</v>
      </c>
      <c r="AG17" s="429"/>
      <c r="AH17" s="458" t="s">
        <v>1241</v>
      </c>
      <c r="AI17" s="632" t="s">
        <v>1452</v>
      </c>
      <c r="AJ17" s="40" t="s">
        <v>1091</v>
      </c>
      <c r="AK17" s="41">
        <v>8.59</v>
      </c>
      <c r="AL17" s="40" t="s">
        <v>1092</v>
      </c>
      <c r="AM17" s="486" t="s">
        <v>607</v>
      </c>
      <c r="AN17" s="630" t="s">
        <v>608</v>
      </c>
      <c r="AO17" s="298"/>
      <c r="AP17" s="458" t="s">
        <v>1286</v>
      </c>
      <c r="AQ17" s="632" t="s">
        <v>1570</v>
      </c>
      <c r="AR17" s="395" t="s">
        <v>1980</v>
      </c>
      <c r="AS17" s="41">
        <v>12</v>
      </c>
      <c r="AT17" s="395" t="s">
        <v>1981</v>
      </c>
      <c r="AU17" s="486" t="s">
        <v>607</v>
      </c>
      <c r="AV17" s="486" t="s">
        <v>608</v>
      </c>
      <c r="AW17" s="429"/>
      <c r="AX17" s="895" t="s">
        <v>1241</v>
      </c>
      <c r="AY17" s="634" t="s">
        <v>1453</v>
      </c>
      <c r="AZ17" s="390" t="s">
        <v>28</v>
      </c>
      <c r="BA17" s="454">
        <v>8.9700000000000006</v>
      </c>
      <c r="BB17" s="390" t="s">
        <v>29</v>
      </c>
      <c r="BC17" s="630" t="s">
        <v>607</v>
      </c>
      <c r="BD17" s="630" t="s">
        <v>608</v>
      </c>
      <c r="BE17" s="298"/>
      <c r="BF17" s="895" t="s">
        <v>1291</v>
      </c>
      <c r="BG17" s="634" t="s">
        <v>1571</v>
      </c>
      <c r="BH17" s="893" t="s">
        <v>1966</v>
      </c>
      <c r="BI17" s="460">
        <v>12.26</v>
      </c>
      <c r="BJ17" s="893" t="s">
        <v>1967</v>
      </c>
      <c r="BK17" s="630" t="s">
        <v>607</v>
      </c>
      <c r="BL17" s="630" t="s">
        <v>608</v>
      </c>
    </row>
    <row r="18" spans="1:64" s="457" customFormat="1" ht="9.75" customHeight="1">
      <c r="A18" s="574"/>
      <c r="B18" s="1192" t="s">
        <v>1232</v>
      </c>
      <c r="C18" s="983" t="s">
        <v>1864</v>
      </c>
      <c r="D18" s="508" t="s">
        <v>1703</v>
      </c>
      <c r="E18" s="511">
        <v>5.24</v>
      </c>
      <c r="F18" s="508" t="s">
        <v>2428</v>
      </c>
      <c r="G18" s="1172" t="s">
        <v>607</v>
      </c>
      <c r="H18" s="1179" t="s">
        <v>608</v>
      </c>
      <c r="I18" s="552"/>
      <c r="J18" s="1170" t="s">
        <v>1265</v>
      </c>
      <c r="K18" s="1182" t="s">
        <v>1450</v>
      </c>
      <c r="L18" s="1173" t="s">
        <v>2392</v>
      </c>
      <c r="M18" s="505">
        <v>6.54</v>
      </c>
      <c r="N18" s="1173" t="s">
        <v>1416</v>
      </c>
      <c r="O18" s="1172" t="s">
        <v>607</v>
      </c>
      <c r="P18" s="1172" t="s">
        <v>608</v>
      </c>
      <c r="Q18" s="574"/>
      <c r="R18" s="1170" t="s">
        <v>1249</v>
      </c>
      <c r="S18" s="1177" t="s">
        <v>1451</v>
      </c>
      <c r="T18" s="547" t="s">
        <v>1139</v>
      </c>
      <c r="U18" s="551">
        <v>8.77</v>
      </c>
      <c r="V18" s="547" t="s">
        <v>1140</v>
      </c>
      <c r="W18" s="1179" t="s">
        <v>607</v>
      </c>
      <c r="X18" s="1172" t="s">
        <v>608</v>
      </c>
      <c r="Y18" s="573"/>
      <c r="Z18" s="1186" t="s">
        <v>1417</v>
      </c>
      <c r="AA18" s="1177" t="s">
        <v>1451</v>
      </c>
      <c r="AB18" s="1190" t="s">
        <v>2302</v>
      </c>
      <c r="AC18" s="550">
        <v>5.95</v>
      </c>
      <c r="AD18" s="1190" t="s">
        <v>2303</v>
      </c>
      <c r="AE18" s="1172" t="s">
        <v>607</v>
      </c>
      <c r="AF18" s="1172" t="s">
        <v>608</v>
      </c>
      <c r="AG18" s="527"/>
      <c r="AH18" s="1180" t="s">
        <v>1242</v>
      </c>
      <c r="AI18" s="1181" t="s">
        <v>1452</v>
      </c>
      <c r="AJ18" s="508" t="s">
        <v>1093</v>
      </c>
      <c r="AK18" s="511">
        <v>8.8000000000000007</v>
      </c>
      <c r="AL18" s="508" t="s">
        <v>1094</v>
      </c>
      <c r="AM18" s="1179" t="s">
        <v>607</v>
      </c>
      <c r="AN18" s="1172" t="s">
        <v>608</v>
      </c>
      <c r="AO18" s="574"/>
      <c r="AP18" s="1180" t="s">
        <v>1287</v>
      </c>
      <c r="AQ18" s="1181" t="s">
        <v>1570</v>
      </c>
      <c r="AR18" s="1190" t="s">
        <v>1982</v>
      </c>
      <c r="AS18" s="511">
        <v>11.97</v>
      </c>
      <c r="AT18" s="1190" t="s">
        <v>1983</v>
      </c>
      <c r="AU18" s="1179" t="s">
        <v>607</v>
      </c>
      <c r="AV18" s="1179" t="s">
        <v>608</v>
      </c>
      <c r="AW18" s="573"/>
      <c r="AX18" s="1180" t="s">
        <v>1242</v>
      </c>
      <c r="AY18" s="1182" t="s">
        <v>1453</v>
      </c>
      <c r="AZ18" s="547" t="s">
        <v>30</v>
      </c>
      <c r="BA18" s="551">
        <v>8.59</v>
      </c>
      <c r="BB18" s="547" t="s">
        <v>31</v>
      </c>
      <c r="BC18" s="1179" t="s">
        <v>607</v>
      </c>
      <c r="BD18" s="1179" t="s">
        <v>608</v>
      </c>
      <c r="BE18" s="517"/>
      <c r="BF18" s="1176" t="s">
        <v>1292</v>
      </c>
      <c r="BG18" s="983" t="s">
        <v>1571</v>
      </c>
      <c r="BH18" s="1185" t="s">
        <v>1969</v>
      </c>
      <c r="BI18" s="505">
        <v>12.24</v>
      </c>
      <c r="BJ18" s="1185" t="s">
        <v>1970</v>
      </c>
      <c r="BK18" s="1172" t="s">
        <v>607</v>
      </c>
      <c r="BL18" s="1172" t="s">
        <v>608</v>
      </c>
    </row>
    <row r="19" spans="1:64" s="457" customFormat="1" ht="11.25" customHeight="1">
      <c r="B19" s="476" t="s">
        <v>1233</v>
      </c>
      <c r="C19" s="634" t="s">
        <v>1864</v>
      </c>
      <c r="D19" s="40" t="s">
        <v>1704</v>
      </c>
      <c r="E19" s="40">
        <v>4.54</v>
      </c>
      <c r="F19" s="40" t="s">
        <v>2448</v>
      </c>
      <c r="G19" s="630" t="s">
        <v>607</v>
      </c>
      <c r="H19" s="486" t="s">
        <v>608</v>
      </c>
      <c r="I19" s="447"/>
      <c r="J19" s="448" t="s">
        <v>1266</v>
      </c>
      <c r="K19" s="633" t="s">
        <v>1450</v>
      </c>
      <c r="L19" s="636" t="s">
        <v>2429</v>
      </c>
      <c r="M19" s="460">
        <v>6.14</v>
      </c>
      <c r="N19" s="636" t="s">
        <v>2430</v>
      </c>
      <c r="O19" s="630" t="s">
        <v>607</v>
      </c>
      <c r="P19" s="630" t="s">
        <v>608</v>
      </c>
      <c r="R19" s="448" t="s">
        <v>1250</v>
      </c>
      <c r="S19" s="631" t="s">
        <v>1451</v>
      </c>
      <c r="T19" s="428" t="s">
        <v>1141</v>
      </c>
      <c r="U19" s="20">
        <v>8.7899999999999991</v>
      </c>
      <c r="V19" s="428" t="s">
        <v>1142</v>
      </c>
      <c r="W19" s="486" t="s">
        <v>607</v>
      </c>
      <c r="X19" s="630" t="s">
        <v>608</v>
      </c>
      <c r="Y19" s="462"/>
      <c r="Z19" s="463" t="s">
        <v>1418</v>
      </c>
      <c r="AA19" s="631" t="s">
        <v>1451</v>
      </c>
      <c r="AB19" s="395" t="s">
        <v>1136</v>
      </c>
      <c r="AC19" s="454">
        <v>5.95</v>
      </c>
      <c r="AD19" s="395" t="s">
        <v>2329</v>
      </c>
      <c r="AE19" s="630" t="s">
        <v>607</v>
      </c>
      <c r="AF19" s="630" t="s">
        <v>608</v>
      </c>
      <c r="AH19" s="458" t="s">
        <v>1243</v>
      </c>
      <c r="AI19" s="632" t="s">
        <v>1452</v>
      </c>
      <c r="AJ19" s="40" t="s">
        <v>693</v>
      </c>
      <c r="AK19" s="41">
        <v>8.69</v>
      </c>
      <c r="AL19" s="40" t="s">
        <v>694</v>
      </c>
      <c r="AM19" s="1402" t="s">
        <v>607</v>
      </c>
      <c r="AN19" s="630" t="s">
        <v>608</v>
      </c>
      <c r="AP19" s="458" t="s">
        <v>1288</v>
      </c>
      <c r="AQ19" s="632" t="s">
        <v>1570</v>
      </c>
      <c r="AR19" s="395" t="s">
        <v>1992</v>
      </c>
      <c r="AS19" s="41">
        <v>11.97</v>
      </c>
      <c r="AT19" s="395" t="s">
        <v>1996</v>
      </c>
      <c r="AU19" s="486" t="s">
        <v>607</v>
      </c>
      <c r="AV19" s="486" t="s">
        <v>608</v>
      </c>
      <c r="AW19" s="428"/>
      <c r="AX19" s="458" t="s">
        <v>1243</v>
      </c>
      <c r="AY19" s="633" t="s">
        <v>1453</v>
      </c>
      <c r="AZ19" s="428" t="s">
        <v>703</v>
      </c>
      <c r="BA19" s="20">
        <v>9.1</v>
      </c>
      <c r="BB19" s="428" t="s">
        <v>704</v>
      </c>
      <c r="BC19" s="486" t="s">
        <v>607</v>
      </c>
      <c r="BD19" s="486" t="s">
        <v>608</v>
      </c>
      <c r="BE19" s="298"/>
      <c r="BF19" s="458" t="s">
        <v>1356</v>
      </c>
      <c r="BG19" s="633" t="s">
        <v>1571</v>
      </c>
      <c r="BH19" s="396" t="s">
        <v>1980</v>
      </c>
      <c r="BI19" s="41">
        <v>12.14</v>
      </c>
      <c r="BJ19" s="396" t="s">
        <v>1984</v>
      </c>
      <c r="BK19" s="486" t="s">
        <v>607</v>
      </c>
      <c r="BL19" s="486" t="s">
        <v>608</v>
      </c>
    </row>
    <row r="20" spans="1:64" s="298" customFormat="1" ht="9.75" customHeight="1">
      <c r="A20" s="517"/>
      <c r="B20" s="1192" t="s">
        <v>1234</v>
      </c>
      <c r="C20" s="983" t="s">
        <v>1864</v>
      </c>
      <c r="D20" s="508" t="s">
        <v>2475</v>
      </c>
      <c r="E20" s="511">
        <v>4.4400000000000004</v>
      </c>
      <c r="F20" s="508" t="s">
        <v>2476</v>
      </c>
      <c r="G20" s="1172" t="s">
        <v>607</v>
      </c>
      <c r="H20" s="1179" t="s">
        <v>608</v>
      </c>
      <c r="I20" s="552"/>
      <c r="J20" s="1184" t="s">
        <v>1267</v>
      </c>
      <c r="K20" s="1182" t="s">
        <v>1450</v>
      </c>
      <c r="L20" s="1173" t="s">
        <v>2449</v>
      </c>
      <c r="M20" s="505">
        <v>5.8</v>
      </c>
      <c r="N20" s="1173" t="s">
        <v>2450</v>
      </c>
      <c r="O20" s="1172" t="s">
        <v>607</v>
      </c>
      <c r="P20" s="1172" t="s">
        <v>608</v>
      </c>
      <c r="Q20" s="1195"/>
      <c r="R20" s="1170" t="s">
        <v>1251</v>
      </c>
      <c r="S20" s="1177" t="s">
        <v>1451</v>
      </c>
      <c r="T20" s="547" t="s">
        <v>1143</v>
      </c>
      <c r="U20" s="551">
        <v>8.7899999999999991</v>
      </c>
      <c r="V20" s="547" t="s">
        <v>1144</v>
      </c>
      <c r="W20" s="1179" t="s">
        <v>607</v>
      </c>
      <c r="X20" s="1172" t="s">
        <v>608</v>
      </c>
      <c r="Y20" s="527"/>
      <c r="Z20" s="1186" t="s">
        <v>1419</v>
      </c>
      <c r="AA20" s="1177" t="s">
        <v>1451</v>
      </c>
      <c r="AB20" s="1190" t="s">
        <v>1205</v>
      </c>
      <c r="AC20" s="550">
        <v>5.95</v>
      </c>
      <c r="AD20" s="1190" t="s">
        <v>2363</v>
      </c>
      <c r="AE20" s="1172" t="s">
        <v>607</v>
      </c>
      <c r="AF20" s="1172" t="s">
        <v>608</v>
      </c>
      <c r="AG20" s="527"/>
      <c r="AH20" s="1180" t="s">
        <v>1244</v>
      </c>
      <c r="AI20" s="1181" t="s">
        <v>1452</v>
      </c>
      <c r="AJ20" s="504" t="s">
        <v>695</v>
      </c>
      <c r="AK20" s="505">
        <v>8.69</v>
      </c>
      <c r="AL20" s="504" t="s">
        <v>696</v>
      </c>
      <c r="AM20" s="1172" t="s">
        <v>607</v>
      </c>
      <c r="AN20" s="1172" t="s">
        <v>608</v>
      </c>
      <c r="AO20" s="574"/>
      <c r="AP20" s="1180" t="s">
        <v>1289</v>
      </c>
      <c r="AQ20" s="1181" t="s">
        <v>1570</v>
      </c>
      <c r="AR20" s="1190" t="s">
        <v>1995</v>
      </c>
      <c r="AS20" s="511">
        <v>11.97</v>
      </c>
      <c r="AT20" s="1190" t="s">
        <v>1997</v>
      </c>
      <c r="AU20" s="1179" t="s">
        <v>607</v>
      </c>
      <c r="AV20" s="1179" t="s">
        <v>608</v>
      </c>
      <c r="AW20" s="547"/>
      <c r="AX20" s="1176" t="s">
        <v>1244</v>
      </c>
      <c r="AY20" s="983" t="s">
        <v>1453</v>
      </c>
      <c r="AZ20" s="504" t="s">
        <v>705</v>
      </c>
      <c r="BA20" s="505">
        <v>9.1</v>
      </c>
      <c r="BB20" s="504" t="s">
        <v>706</v>
      </c>
      <c r="BC20" s="1172" t="s">
        <v>607</v>
      </c>
      <c r="BD20" s="1172" t="s">
        <v>608</v>
      </c>
      <c r="BE20" s="574"/>
      <c r="BF20" s="1180" t="s">
        <v>1357</v>
      </c>
      <c r="BG20" s="1182" t="s">
        <v>1571</v>
      </c>
      <c r="BH20" s="1183" t="s">
        <v>1982</v>
      </c>
      <c r="BI20" s="511">
        <v>12.14</v>
      </c>
      <c r="BJ20" s="1183" t="s">
        <v>1985</v>
      </c>
      <c r="BK20" s="1179" t="s">
        <v>607</v>
      </c>
      <c r="BL20" s="1179" t="s">
        <v>608</v>
      </c>
    </row>
    <row r="21" spans="1:64" s="457" customFormat="1" ht="11.25" customHeight="1">
      <c r="B21" s="476" t="s">
        <v>1235</v>
      </c>
      <c r="C21" s="634" t="s">
        <v>1864</v>
      </c>
      <c r="D21" s="40" t="s">
        <v>2714</v>
      </c>
      <c r="E21" s="41">
        <v>5.05</v>
      </c>
      <c r="F21" s="40" t="s">
        <v>2715</v>
      </c>
      <c r="G21" s="630" t="s">
        <v>607</v>
      </c>
      <c r="H21" s="486" t="s">
        <v>608</v>
      </c>
      <c r="I21" s="447"/>
      <c r="J21" s="937" t="s">
        <v>1268</v>
      </c>
      <c r="K21" s="633" t="s">
        <v>1450</v>
      </c>
      <c r="L21" s="636" t="s">
        <v>2459</v>
      </c>
      <c r="M21" s="460">
        <v>6</v>
      </c>
      <c r="N21" s="636" t="s">
        <v>1790</v>
      </c>
      <c r="O21" s="630" t="s">
        <v>607</v>
      </c>
      <c r="P21" s="630" t="s">
        <v>608</v>
      </c>
      <c r="R21" s="448" t="s">
        <v>1252</v>
      </c>
      <c r="S21" s="631" t="s">
        <v>1451</v>
      </c>
      <c r="T21" s="428" t="s">
        <v>1145</v>
      </c>
      <c r="U21" s="20">
        <v>8.82</v>
      </c>
      <c r="V21" s="428" t="s">
        <v>1146</v>
      </c>
      <c r="W21" s="486" t="s">
        <v>607</v>
      </c>
      <c r="X21" s="630" t="s">
        <v>608</v>
      </c>
      <c r="Y21" s="978"/>
      <c r="Z21" s="463" t="s">
        <v>1420</v>
      </c>
      <c r="AA21" s="631" t="s">
        <v>1451</v>
      </c>
      <c r="AB21" s="395" t="s">
        <v>1699</v>
      </c>
      <c r="AC21" s="454">
        <v>7.05</v>
      </c>
      <c r="AD21" s="395" t="s">
        <v>2376</v>
      </c>
      <c r="AE21" s="630" t="s">
        <v>607</v>
      </c>
      <c r="AF21" s="630" t="s">
        <v>608</v>
      </c>
      <c r="AH21" s="458" t="s">
        <v>1245</v>
      </c>
      <c r="AI21" s="632" t="s">
        <v>1452</v>
      </c>
      <c r="AJ21" s="459" t="s">
        <v>697</v>
      </c>
      <c r="AK21" s="460">
        <v>8.74</v>
      </c>
      <c r="AL21" s="459" t="s">
        <v>698</v>
      </c>
      <c r="AM21" s="630" t="s">
        <v>607</v>
      </c>
      <c r="AN21" s="630" t="s">
        <v>608</v>
      </c>
      <c r="AP21" s="458" t="s">
        <v>1290</v>
      </c>
      <c r="AQ21" s="632" t="s">
        <v>1570</v>
      </c>
      <c r="AR21" s="395" t="s">
        <v>2020</v>
      </c>
      <c r="AS21" s="41">
        <v>11.87</v>
      </c>
      <c r="AT21" s="395" t="s">
        <v>2021</v>
      </c>
      <c r="AU21" s="486" t="s">
        <v>607</v>
      </c>
      <c r="AV21" s="486" t="s">
        <v>608</v>
      </c>
      <c r="AW21" s="428"/>
      <c r="AX21" s="458" t="s">
        <v>1245</v>
      </c>
      <c r="AY21" s="633" t="s">
        <v>1453</v>
      </c>
      <c r="AZ21" s="428" t="s">
        <v>707</v>
      </c>
      <c r="BA21" s="20">
        <v>9.11</v>
      </c>
      <c r="BB21" s="428" t="s">
        <v>708</v>
      </c>
      <c r="BC21" s="486" t="s">
        <v>607</v>
      </c>
      <c r="BD21" s="486" t="s">
        <v>608</v>
      </c>
      <c r="BE21" s="298"/>
      <c r="BF21" s="458" t="s">
        <v>1358</v>
      </c>
      <c r="BG21" s="633" t="s">
        <v>1571</v>
      </c>
      <c r="BH21" s="396" t="s">
        <v>1992</v>
      </c>
      <c r="BI21" s="41">
        <v>12.14</v>
      </c>
      <c r="BJ21" s="396" t="s">
        <v>1993</v>
      </c>
      <c r="BK21" s="486" t="s">
        <v>607</v>
      </c>
      <c r="BL21" s="486" t="s">
        <v>608</v>
      </c>
    </row>
    <row r="22" spans="1:64" s="457" customFormat="1" ht="9.75" customHeight="1">
      <c r="A22" s="574"/>
      <c r="B22" s="1192" t="s">
        <v>1236</v>
      </c>
      <c r="C22" s="983" t="s">
        <v>1864</v>
      </c>
      <c r="D22" s="508" t="s">
        <v>2731</v>
      </c>
      <c r="E22" s="511">
        <v>5.0999999999999996</v>
      </c>
      <c r="F22" s="508" t="s">
        <v>2732</v>
      </c>
      <c r="G22" s="1172" t="s">
        <v>607</v>
      </c>
      <c r="H22" s="1179" t="s">
        <v>608</v>
      </c>
      <c r="I22" s="552"/>
      <c r="J22" s="1184" t="s">
        <v>1269</v>
      </c>
      <c r="K22" s="1182" t="s">
        <v>1450</v>
      </c>
      <c r="L22" s="1173" t="s">
        <v>2477</v>
      </c>
      <c r="M22" s="505">
        <v>5.84</v>
      </c>
      <c r="N22" s="1173" t="s">
        <v>1792</v>
      </c>
      <c r="O22" s="1172" t="s">
        <v>607</v>
      </c>
      <c r="P22" s="1172" t="s">
        <v>608</v>
      </c>
      <c r="Q22" s="574"/>
      <c r="R22" s="1170" t="s">
        <v>1253</v>
      </c>
      <c r="S22" s="1177" t="s">
        <v>1451</v>
      </c>
      <c r="T22" s="547" t="s">
        <v>2174</v>
      </c>
      <c r="U22" s="551">
        <v>8.85</v>
      </c>
      <c r="V22" s="547" t="s">
        <v>1147</v>
      </c>
      <c r="W22" s="1179" t="s">
        <v>607</v>
      </c>
      <c r="X22" s="1172" t="s">
        <v>608</v>
      </c>
      <c r="Y22" s="527"/>
      <c r="Z22" s="1186" t="s">
        <v>1421</v>
      </c>
      <c r="AA22" s="1177" t="s">
        <v>1451</v>
      </c>
      <c r="AB22" s="1190" t="s">
        <v>1700</v>
      </c>
      <c r="AC22" s="550">
        <v>7.29</v>
      </c>
      <c r="AD22" s="1190" t="s">
        <v>2395</v>
      </c>
      <c r="AE22" s="1172" t="s">
        <v>607</v>
      </c>
      <c r="AF22" s="1172" t="s">
        <v>608</v>
      </c>
      <c r="AG22" s="517"/>
      <c r="AH22" s="1180" t="s">
        <v>1246</v>
      </c>
      <c r="AI22" s="1181" t="s">
        <v>1452</v>
      </c>
      <c r="AJ22" s="504" t="s">
        <v>699</v>
      </c>
      <c r="AK22" s="505">
        <v>8.74</v>
      </c>
      <c r="AL22" s="504" t="s">
        <v>700</v>
      </c>
      <c r="AM22" s="1172" t="s">
        <v>607</v>
      </c>
      <c r="AN22" s="1172" t="s">
        <v>608</v>
      </c>
      <c r="AO22" s="574"/>
      <c r="AP22" s="1180" t="s">
        <v>1291</v>
      </c>
      <c r="AQ22" s="1181" t="s">
        <v>1570</v>
      </c>
      <c r="AR22" s="1190" t="s">
        <v>2022</v>
      </c>
      <c r="AS22" s="511">
        <v>11.59</v>
      </c>
      <c r="AT22" s="1190" t="s">
        <v>2023</v>
      </c>
      <c r="AU22" s="1179" t="s">
        <v>607</v>
      </c>
      <c r="AV22" s="1179" t="s">
        <v>608</v>
      </c>
      <c r="AW22" s="547"/>
      <c r="AX22" s="1180" t="s">
        <v>1246</v>
      </c>
      <c r="AY22" s="1182" t="s">
        <v>1453</v>
      </c>
      <c r="AZ22" s="547" t="s">
        <v>709</v>
      </c>
      <c r="BA22" s="551">
        <v>9.15</v>
      </c>
      <c r="BB22" s="547" t="s">
        <v>710</v>
      </c>
      <c r="BC22" s="1179" t="s">
        <v>607</v>
      </c>
      <c r="BD22" s="1179" t="s">
        <v>608</v>
      </c>
      <c r="BE22" s="517"/>
      <c r="BF22" s="1176" t="s">
        <v>1359</v>
      </c>
      <c r="BG22" s="983" t="s">
        <v>1571</v>
      </c>
      <c r="BH22" s="1185" t="s">
        <v>1995</v>
      </c>
      <c r="BI22" s="505">
        <v>12.12</v>
      </c>
      <c r="BJ22" s="1185" t="s">
        <v>1994</v>
      </c>
      <c r="BK22" s="1172" t="s">
        <v>607</v>
      </c>
      <c r="BL22" s="1172" t="s">
        <v>608</v>
      </c>
    </row>
    <row r="23" spans="1:64" s="457" customFormat="1" ht="9.75" customHeight="1">
      <c r="A23" s="457" t="s">
        <v>1041</v>
      </c>
      <c r="B23" s="476" t="s">
        <v>1219</v>
      </c>
      <c r="C23" s="634" t="s">
        <v>1450</v>
      </c>
      <c r="D23" s="40" t="s">
        <v>1705</v>
      </c>
      <c r="E23" s="41">
        <v>11.55</v>
      </c>
      <c r="F23" s="40" t="s">
        <v>834</v>
      </c>
      <c r="G23" s="630" t="s">
        <v>607</v>
      </c>
      <c r="H23" s="486" t="s">
        <v>608</v>
      </c>
      <c r="I23" s="461"/>
      <c r="J23" s="937" t="s">
        <v>1270</v>
      </c>
      <c r="K23" s="633" t="s">
        <v>1450</v>
      </c>
      <c r="L23" s="636" t="s">
        <v>2491</v>
      </c>
      <c r="M23" s="460">
        <v>5.0999999999999996</v>
      </c>
      <c r="N23" s="636" t="s">
        <v>2492</v>
      </c>
      <c r="O23" s="630" t="s">
        <v>607</v>
      </c>
      <c r="P23" s="630" t="s">
        <v>608</v>
      </c>
      <c r="R23" s="448" t="s">
        <v>1254</v>
      </c>
      <c r="S23" s="631" t="s">
        <v>1451</v>
      </c>
      <c r="T23" s="428" t="s">
        <v>1148</v>
      </c>
      <c r="U23" s="20">
        <v>8.85</v>
      </c>
      <c r="V23" s="428" t="s">
        <v>1990</v>
      </c>
      <c r="W23" s="486" t="s">
        <v>607</v>
      </c>
      <c r="X23" s="630" t="s">
        <v>608</v>
      </c>
      <c r="Y23" s="462"/>
      <c r="Z23" s="463" t="s">
        <v>1422</v>
      </c>
      <c r="AA23" s="631" t="s">
        <v>1451</v>
      </c>
      <c r="AB23" s="395" t="s">
        <v>2393</v>
      </c>
      <c r="AC23" s="454">
        <v>7.59</v>
      </c>
      <c r="AD23" s="395" t="s">
        <v>2394</v>
      </c>
      <c r="AE23" s="630" t="s">
        <v>607</v>
      </c>
      <c r="AF23" s="630" t="s">
        <v>608</v>
      </c>
      <c r="AG23" s="315"/>
      <c r="AH23" s="458" t="s">
        <v>1247</v>
      </c>
      <c r="AI23" s="632" t="s">
        <v>1452</v>
      </c>
      <c r="AJ23" s="459" t="s">
        <v>701</v>
      </c>
      <c r="AK23" s="460">
        <v>8.75</v>
      </c>
      <c r="AL23" s="459" t="s">
        <v>702</v>
      </c>
      <c r="AM23" s="630" t="s">
        <v>607</v>
      </c>
      <c r="AN23" s="630" t="s">
        <v>608</v>
      </c>
      <c r="AP23" s="458" t="s">
        <v>1292</v>
      </c>
      <c r="AQ23" s="632" t="s">
        <v>1570</v>
      </c>
      <c r="AR23" s="395" t="s">
        <v>2028</v>
      </c>
      <c r="AS23" s="41">
        <v>11.5</v>
      </c>
      <c r="AT23" s="395" t="s">
        <v>2029</v>
      </c>
      <c r="AU23" s="486" t="s">
        <v>607</v>
      </c>
      <c r="AV23" s="486" t="s">
        <v>608</v>
      </c>
      <c r="AW23" s="428"/>
      <c r="AX23" s="458" t="s">
        <v>1247</v>
      </c>
      <c r="AY23" s="633" t="s">
        <v>1453</v>
      </c>
      <c r="AZ23" s="428" t="s">
        <v>1182</v>
      </c>
      <c r="BA23" s="20">
        <v>9.17</v>
      </c>
      <c r="BB23" s="428" t="s">
        <v>1183</v>
      </c>
      <c r="BC23" s="486" t="s">
        <v>607</v>
      </c>
      <c r="BD23" s="486" t="s">
        <v>608</v>
      </c>
      <c r="BE23" s="298"/>
      <c r="BF23" s="458" t="s">
        <v>1360</v>
      </c>
      <c r="BG23" s="633" t="s">
        <v>1571</v>
      </c>
      <c r="BH23" s="396" t="s">
        <v>2020</v>
      </c>
      <c r="BI23" s="41">
        <v>12.1</v>
      </c>
      <c r="BJ23" s="396" t="s">
        <v>2024</v>
      </c>
      <c r="BK23" s="486" t="s">
        <v>607</v>
      </c>
      <c r="BL23" s="486" t="s">
        <v>608</v>
      </c>
    </row>
    <row r="24" spans="1:64" s="298" customFormat="1" ht="9.75" customHeight="1">
      <c r="A24" s="508"/>
      <c r="B24" s="1192" t="s">
        <v>1220</v>
      </c>
      <c r="C24" s="983" t="s">
        <v>1450</v>
      </c>
      <c r="D24" s="1173" t="s">
        <v>1706</v>
      </c>
      <c r="E24" s="505">
        <v>11.55</v>
      </c>
      <c r="F24" s="1173" t="s">
        <v>835</v>
      </c>
      <c r="G24" s="1172" t="s">
        <v>607</v>
      </c>
      <c r="H24" s="1179" t="s">
        <v>608</v>
      </c>
      <c r="I24" s="1187"/>
      <c r="J24" s="1184" t="s">
        <v>1271</v>
      </c>
      <c r="K24" s="1182" t="s">
        <v>1450</v>
      </c>
      <c r="L24" s="1173" t="s">
        <v>2791</v>
      </c>
      <c r="M24" s="505">
        <v>5.83</v>
      </c>
      <c r="N24" s="1173" t="s">
        <v>2792</v>
      </c>
      <c r="O24" s="1172" t="s">
        <v>607</v>
      </c>
      <c r="P24" s="1172" t="s">
        <v>608</v>
      </c>
      <c r="Q24" s="1187"/>
      <c r="R24" s="1170" t="s">
        <v>1255</v>
      </c>
      <c r="S24" s="1177" t="s">
        <v>1451</v>
      </c>
      <c r="T24" s="547" t="s">
        <v>1149</v>
      </c>
      <c r="U24" s="551">
        <v>8.9</v>
      </c>
      <c r="V24" s="547" t="s">
        <v>1150</v>
      </c>
      <c r="W24" s="1179" t="s">
        <v>607</v>
      </c>
      <c r="X24" s="1172" t="s">
        <v>608</v>
      </c>
      <c r="Y24" s="527"/>
      <c r="Z24" s="1186" t="s">
        <v>1423</v>
      </c>
      <c r="AA24" s="1177" t="s">
        <v>1451</v>
      </c>
      <c r="AB24" s="1190" t="s">
        <v>2409</v>
      </c>
      <c r="AC24" s="550">
        <v>7.36</v>
      </c>
      <c r="AD24" s="1190" t="s">
        <v>1802</v>
      </c>
      <c r="AE24" s="1172" t="s">
        <v>607</v>
      </c>
      <c r="AF24" s="1172" t="s">
        <v>608</v>
      </c>
      <c r="AG24" s="574"/>
      <c r="AH24" s="1180" t="s">
        <v>1248</v>
      </c>
      <c r="AI24" s="1181" t="s">
        <v>1452</v>
      </c>
      <c r="AJ24" s="504" t="s">
        <v>1160</v>
      </c>
      <c r="AK24" s="505">
        <v>8.77</v>
      </c>
      <c r="AL24" s="504" t="s">
        <v>1161</v>
      </c>
      <c r="AM24" s="1172" t="s">
        <v>607</v>
      </c>
      <c r="AN24" s="1172" t="s">
        <v>608</v>
      </c>
      <c r="AO24" s="574"/>
      <c r="AP24" s="1180" t="s">
        <v>1356</v>
      </c>
      <c r="AQ24" s="1181" t="s">
        <v>1570</v>
      </c>
      <c r="AR24" s="1190" t="s">
        <v>2055</v>
      </c>
      <c r="AS24" s="511">
        <v>11.42</v>
      </c>
      <c r="AT24" s="1190" t="s">
        <v>2056</v>
      </c>
      <c r="AU24" s="1179" t="s">
        <v>607</v>
      </c>
      <c r="AV24" s="1179" t="s">
        <v>608</v>
      </c>
      <c r="AW24" s="547"/>
      <c r="AX24" s="1180" t="s">
        <v>1248</v>
      </c>
      <c r="AY24" s="1182" t="s">
        <v>1453</v>
      </c>
      <c r="AZ24" s="547" t="s">
        <v>1184</v>
      </c>
      <c r="BA24" s="551">
        <v>9.1999999999999993</v>
      </c>
      <c r="BB24" s="547" t="s">
        <v>1185</v>
      </c>
      <c r="BC24" s="1179" t="s">
        <v>607</v>
      </c>
      <c r="BD24" s="1179" t="s">
        <v>608</v>
      </c>
      <c r="BE24" s="517"/>
      <c r="BF24" s="1180" t="s">
        <v>1361</v>
      </c>
      <c r="BG24" s="1182" t="s">
        <v>1571</v>
      </c>
      <c r="BH24" s="1183" t="s">
        <v>2022</v>
      </c>
      <c r="BI24" s="511">
        <v>11.89</v>
      </c>
      <c r="BJ24" s="1183" t="s">
        <v>2025</v>
      </c>
      <c r="BK24" s="1179" t="s">
        <v>607</v>
      </c>
      <c r="BL24" s="1179" t="s">
        <v>608</v>
      </c>
    </row>
    <row r="25" spans="1:64" s="298" customFormat="1" ht="10.5" customHeight="1">
      <c r="B25" s="448" t="s">
        <v>1221</v>
      </c>
      <c r="C25" s="633" t="s">
        <v>1450</v>
      </c>
      <c r="D25" s="636" t="s">
        <v>1707</v>
      </c>
      <c r="E25" s="460">
        <v>11.5</v>
      </c>
      <c r="F25" s="636" t="s">
        <v>1708</v>
      </c>
      <c r="G25" s="630" t="s">
        <v>607</v>
      </c>
      <c r="H25" s="486" t="s">
        <v>608</v>
      </c>
      <c r="I25" s="461"/>
      <c r="J25" s="464" t="s">
        <v>1272</v>
      </c>
      <c r="K25" s="633" t="s">
        <v>1450</v>
      </c>
      <c r="L25" s="1570" t="s">
        <v>2733</v>
      </c>
      <c r="M25" s="41">
        <v>5.93</v>
      </c>
      <c r="N25" s="40" t="s">
        <v>2734</v>
      </c>
      <c r="O25" s="630" t="s">
        <v>607</v>
      </c>
      <c r="P25" s="630" t="s">
        <v>608</v>
      </c>
      <c r="Q25" s="461"/>
      <c r="R25" s="448" t="s">
        <v>1256</v>
      </c>
      <c r="S25" s="631" t="s">
        <v>1451</v>
      </c>
      <c r="T25" s="428" t="s">
        <v>1151</v>
      </c>
      <c r="U25" s="20">
        <v>9.5</v>
      </c>
      <c r="V25" s="428" t="s">
        <v>1152</v>
      </c>
      <c r="W25" s="486" t="s">
        <v>607</v>
      </c>
      <c r="X25" s="630" t="s">
        <v>608</v>
      </c>
      <c r="Y25" s="429"/>
      <c r="Z25" s="463" t="s">
        <v>1424</v>
      </c>
      <c r="AA25" s="631" t="s">
        <v>1451</v>
      </c>
      <c r="AB25" s="395" t="s">
        <v>2434</v>
      </c>
      <c r="AC25" s="454">
        <v>7.25</v>
      </c>
      <c r="AD25" s="395" t="s">
        <v>1804</v>
      </c>
      <c r="AE25" s="630" t="s">
        <v>607</v>
      </c>
      <c r="AF25" s="630" t="s">
        <v>608</v>
      </c>
      <c r="AG25" s="457"/>
      <c r="AH25" s="458" t="s">
        <v>1249</v>
      </c>
      <c r="AI25" s="632" t="s">
        <v>1452</v>
      </c>
      <c r="AJ25" s="459" t="s">
        <v>1162</v>
      </c>
      <c r="AK25" s="460">
        <v>8.8000000000000007</v>
      </c>
      <c r="AL25" s="459" t="s">
        <v>1163</v>
      </c>
      <c r="AM25" s="630" t="s">
        <v>607</v>
      </c>
      <c r="AN25" s="630" t="s">
        <v>608</v>
      </c>
      <c r="AO25" s="457"/>
      <c r="AP25" s="458" t="s">
        <v>1357</v>
      </c>
      <c r="AQ25" s="632" t="s">
        <v>1570</v>
      </c>
      <c r="AR25" s="395" t="s">
        <v>2057</v>
      </c>
      <c r="AS25" s="41">
        <v>11.47</v>
      </c>
      <c r="AT25" s="395" t="s">
        <v>2058</v>
      </c>
      <c r="AU25" s="486" t="s">
        <v>607</v>
      </c>
      <c r="AV25" s="486" t="s">
        <v>608</v>
      </c>
      <c r="AW25" s="428"/>
      <c r="AX25" s="458" t="s">
        <v>1249</v>
      </c>
      <c r="AY25" s="633" t="s">
        <v>1453</v>
      </c>
      <c r="AZ25" s="428" t="s">
        <v>1186</v>
      </c>
      <c r="BA25" s="20">
        <v>9.15</v>
      </c>
      <c r="BB25" s="428" t="s">
        <v>1187</v>
      </c>
      <c r="BC25" s="486" t="s">
        <v>607</v>
      </c>
      <c r="BD25" s="486" t="s">
        <v>608</v>
      </c>
      <c r="BF25" s="458" t="s">
        <v>1991</v>
      </c>
      <c r="BG25" s="633" t="s">
        <v>1571</v>
      </c>
      <c r="BH25" s="396" t="s">
        <v>2028</v>
      </c>
      <c r="BI25" s="41">
        <v>11.98</v>
      </c>
      <c r="BJ25" s="396" t="s">
        <v>2030</v>
      </c>
      <c r="BK25" s="486" t="s">
        <v>607</v>
      </c>
      <c r="BL25" s="486" t="s">
        <v>608</v>
      </c>
    </row>
    <row r="26" spans="1:64" s="298" customFormat="1" ht="9.75" customHeight="1">
      <c r="A26" s="513"/>
      <c r="B26" s="1170" t="s">
        <v>1222</v>
      </c>
      <c r="C26" s="1182" t="s">
        <v>1450</v>
      </c>
      <c r="D26" s="1173" t="s">
        <v>1709</v>
      </c>
      <c r="E26" s="505">
        <v>11.52</v>
      </c>
      <c r="F26" s="1173" t="s">
        <v>837</v>
      </c>
      <c r="G26" s="1179" t="s">
        <v>607</v>
      </c>
      <c r="H26" s="1179" t="s">
        <v>608</v>
      </c>
      <c r="I26" s="1187"/>
      <c r="J26" s="1174" t="s">
        <v>1273</v>
      </c>
      <c r="K26" s="1182" t="s">
        <v>1465</v>
      </c>
      <c r="L26" s="1173" t="s">
        <v>2431</v>
      </c>
      <c r="M26" s="511">
        <v>7</v>
      </c>
      <c r="N26" s="1571" t="s">
        <v>2432</v>
      </c>
      <c r="O26" s="1172" t="s">
        <v>607</v>
      </c>
      <c r="P26" s="1172" t="s">
        <v>608</v>
      </c>
      <c r="Q26" s="1187"/>
      <c r="R26" s="1170" t="s">
        <v>1257</v>
      </c>
      <c r="S26" s="1177" t="s">
        <v>1451</v>
      </c>
      <c r="T26" s="547" t="s">
        <v>1153</v>
      </c>
      <c r="U26" s="551">
        <v>9.5299999999999994</v>
      </c>
      <c r="V26" s="547" t="s">
        <v>1154</v>
      </c>
      <c r="W26" s="1179" t="s">
        <v>607</v>
      </c>
      <c r="X26" s="1172" t="s">
        <v>608</v>
      </c>
      <c r="Y26" s="574"/>
      <c r="Z26" s="1186" t="s">
        <v>1605</v>
      </c>
      <c r="AA26" s="1177" t="s">
        <v>1451</v>
      </c>
      <c r="AB26" s="1190" t="s">
        <v>2435</v>
      </c>
      <c r="AC26" s="550">
        <v>6.98</v>
      </c>
      <c r="AD26" s="1190" t="s">
        <v>1806</v>
      </c>
      <c r="AE26" s="1172" t="s">
        <v>607</v>
      </c>
      <c r="AF26" s="1172" t="s">
        <v>608</v>
      </c>
      <c r="AG26" s="573"/>
      <c r="AH26" s="1180" t="s">
        <v>1250</v>
      </c>
      <c r="AI26" s="1181" t="s">
        <v>1452</v>
      </c>
      <c r="AJ26" s="504" t="s">
        <v>1164</v>
      </c>
      <c r="AK26" s="505">
        <v>8.8000000000000007</v>
      </c>
      <c r="AL26" s="504" t="s">
        <v>1165</v>
      </c>
      <c r="AM26" s="1172" t="s">
        <v>607</v>
      </c>
      <c r="AN26" s="1172" t="s">
        <v>608</v>
      </c>
      <c r="AO26" s="574"/>
      <c r="AP26" s="1180" t="s">
        <v>1358</v>
      </c>
      <c r="AQ26" s="1181" t="s">
        <v>1570</v>
      </c>
      <c r="AR26" s="1190" t="s">
        <v>2229</v>
      </c>
      <c r="AS26" s="511">
        <v>10.06</v>
      </c>
      <c r="AT26" s="1190" t="s">
        <v>1189</v>
      </c>
      <c r="AU26" s="1179" t="s">
        <v>607</v>
      </c>
      <c r="AV26" s="1179" t="s">
        <v>608</v>
      </c>
      <c r="AW26" s="547"/>
      <c r="AX26" s="1180" t="s">
        <v>1250</v>
      </c>
      <c r="AY26" s="1182" t="s">
        <v>1453</v>
      </c>
      <c r="AZ26" s="547" t="s">
        <v>1188</v>
      </c>
      <c r="BA26" s="551">
        <v>9.1999999999999993</v>
      </c>
      <c r="BB26" s="547" t="s">
        <v>1189</v>
      </c>
      <c r="BC26" s="1179" t="s">
        <v>607</v>
      </c>
      <c r="BD26" s="1179" t="s">
        <v>608</v>
      </c>
      <c r="BE26" s="517"/>
      <c r="BF26" s="1180" t="s">
        <v>1417</v>
      </c>
      <c r="BG26" s="1182" t="s">
        <v>1571</v>
      </c>
      <c r="BH26" s="1183" t="s">
        <v>2055</v>
      </c>
      <c r="BI26" s="511">
        <v>11.98</v>
      </c>
      <c r="BJ26" s="1183" t="s">
        <v>2060</v>
      </c>
      <c r="BK26" s="1179" t="s">
        <v>607</v>
      </c>
      <c r="BL26" s="1179" t="s">
        <v>608</v>
      </c>
    </row>
    <row r="27" spans="1:64" s="298" customFormat="1" ht="10.5" customHeight="1">
      <c r="A27" s="398"/>
      <c r="B27" s="448" t="s">
        <v>1223</v>
      </c>
      <c r="C27" s="633" t="s">
        <v>1450</v>
      </c>
      <c r="D27" s="636" t="s">
        <v>1710</v>
      </c>
      <c r="E27" s="460">
        <v>11.62</v>
      </c>
      <c r="F27" s="636" t="s">
        <v>64</v>
      </c>
      <c r="G27" s="630" t="s">
        <v>607</v>
      </c>
      <c r="H27" s="486" t="s">
        <v>608</v>
      </c>
      <c r="I27" s="447"/>
      <c r="J27" s="464" t="s">
        <v>1274</v>
      </c>
      <c r="K27" s="633" t="s">
        <v>1466</v>
      </c>
      <c r="L27" s="1485" t="s">
        <v>2431</v>
      </c>
      <c r="M27" s="41">
        <v>7</v>
      </c>
      <c r="N27" s="40" t="s">
        <v>2432</v>
      </c>
      <c r="O27" s="630" t="s">
        <v>607</v>
      </c>
      <c r="P27" s="630" t="s">
        <v>608</v>
      </c>
      <c r="Q27" s="461"/>
      <c r="R27" s="448" t="s">
        <v>1258</v>
      </c>
      <c r="S27" s="631" t="s">
        <v>1451</v>
      </c>
      <c r="T27" s="428" t="s">
        <v>1159</v>
      </c>
      <c r="U27" s="20" t="s">
        <v>1293</v>
      </c>
      <c r="V27" s="428" t="s">
        <v>1209</v>
      </c>
      <c r="W27" s="486" t="s">
        <v>607</v>
      </c>
      <c r="X27" s="630" t="s">
        <v>103</v>
      </c>
      <c r="Z27" s="463" t="s">
        <v>1606</v>
      </c>
      <c r="AA27" s="631" t="s">
        <v>1451</v>
      </c>
      <c r="AB27" s="395" t="s">
        <v>2460</v>
      </c>
      <c r="AC27" s="454">
        <v>6.89</v>
      </c>
      <c r="AD27" s="395" t="s">
        <v>1808</v>
      </c>
      <c r="AE27" s="630" t="s">
        <v>607</v>
      </c>
      <c r="AF27" s="630" t="s">
        <v>608</v>
      </c>
      <c r="AG27" s="457"/>
      <c r="AH27" s="458" t="s">
        <v>1251</v>
      </c>
      <c r="AI27" s="632" t="s">
        <v>1452</v>
      </c>
      <c r="AJ27" s="459" t="s">
        <v>1166</v>
      </c>
      <c r="AK27" s="460">
        <v>8.85</v>
      </c>
      <c r="AL27" s="459" t="s">
        <v>1167</v>
      </c>
      <c r="AM27" s="630" t="s">
        <v>607</v>
      </c>
      <c r="AN27" s="630" t="s">
        <v>608</v>
      </c>
      <c r="AO27" s="457"/>
      <c r="AP27" s="458" t="s">
        <v>1359</v>
      </c>
      <c r="AQ27" s="632" t="s">
        <v>1570</v>
      </c>
      <c r="AR27" s="395" t="s">
        <v>2238</v>
      </c>
      <c r="AS27" s="41">
        <v>8.57</v>
      </c>
      <c r="AT27" s="395" t="s">
        <v>2239</v>
      </c>
      <c r="AU27" s="486" t="s">
        <v>607</v>
      </c>
      <c r="AV27" s="486" t="s">
        <v>608</v>
      </c>
      <c r="AW27" s="461"/>
      <c r="AX27" s="458" t="s">
        <v>1251</v>
      </c>
      <c r="AY27" s="633" t="s">
        <v>1453</v>
      </c>
      <c r="AZ27" s="428" t="s">
        <v>1190</v>
      </c>
      <c r="BA27" s="20">
        <v>9.23</v>
      </c>
      <c r="BB27" s="428" t="s">
        <v>1191</v>
      </c>
      <c r="BC27" s="486" t="s">
        <v>607</v>
      </c>
      <c r="BD27" s="486" t="s">
        <v>608</v>
      </c>
      <c r="BF27" s="458" t="s">
        <v>1418</v>
      </c>
      <c r="BG27" s="633" t="s">
        <v>1571</v>
      </c>
      <c r="BH27" s="396" t="s">
        <v>2057</v>
      </c>
      <c r="BI27" s="41">
        <v>11.98</v>
      </c>
      <c r="BJ27" s="396" t="s">
        <v>2059</v>
      </c>
      <c r="BK27" s="486" t="s">
        <v>607</v>
      </c>
      <c r="BL27" s="486" t="s">
        <v>608</v>
      </c>
    </row>
    <row r="28" spans="1:64" s="298" customFormat="1" ht="9.75" customHeight="1">
      <c r="A28" s="547"/>
      <c r="B28" s="1170" t="s">
        <v>1224</v>
      </c>
      <c r="C28" s="1182" t="s">
        <v>1450</v>
      </c>
      <c r="D28" s="1173" t="s">
        <v>1711</v>
      </c>
      <c r="E28" s="505">
        <v>11.72</v>
      </c>
      <c r="F28" s="1173" t="s">
        <v>65</v>
      </c>
      <c r="G28" s="1172" t="s">
        <v>607</v>
      </c>
      <c r="H28" s="1172" t="s">
        <v>608</v>
      </c>
      <c r="I28" s="552"/>
      <c r="J28" s="1174" t="s">
        <v>1275</v>
      </c>
      <c r="K28" s="1182" t="s">
        <v>1467</v>
      </c>
      <c r="L28" s="1486" t="s">
        <v>2431</v>
      </c>
      <c r="M28" s="511">
        <v>7</v>
      </c>
      <c r="N28" s="1486" t="s">
        <v>2432</v>
      </c>
      <c r="O28" s="1172" t="s">
        <v>607</v>
      </c>
      <c r="P28" s="1172" t="s">
        <v>608</v>
      </c>
      <c r="Q28" s="1187"/>
      <c r="R28" s="1170" t="s">
        <v>1259</v>
      </c>
      <c r="S28" s="1177" t="s">
        <v>1458</v>
      </c>
      <c r="T28" s="547" t="s">
        <v>1155</v>
      </c>
      <c r="U28" s="551">
        <v>9.4499999999999993</v>
      </c>
      <c r="V28" s="547" t="s">
        <v>1156</v>
      </c>
      <c r="W28" s="1179" t="s">
        <v>607</v>
      </c>
      <c r="X28" s="1172" t="s">
        <v>608</v>
      </c>
      <c r="Y28" s="517"/>
      <c r="Z28" s="1186" t="s">
        <v>1607</v>
      </c>
      <c r="AA28" s="1177" t="s">
        <v>1451</v>
      </c>
      <c r="AB28" s="1190" t="s">
        <v>2478</v>
      </c>
      <c r="AC28" s="550">
        <v>6.89</v>
      </c>
      <c r="AD28" s="1190" t="s">
        <v>1810</v>
      </c>
      <c r="AE28" s="1172" t="s">
        <v>607</v>
      </c>
      <c r="AF28" s="1172" t="s">
        <v>608</v>
      </c>
      <c r="AG28" s="574"/>
      <c r="AH28" s="1180" t="s">
        <v>1252</v>
      </c>
      <c r="AI28" s="1181" t="s">
        <v>1452</v>
      </c>
      <c r="AJ28" s="504" t="s">
        <v>1168</v>
      </c>
      <c r="AK28" s="505">
        <v>8.86</v>
      </c>
      <c r="AL28" s="504" t="s">
        <v>1169</v>
      </c>
      <c r="AM28" s="1172" t="s">
        <v>607</v>
      </c>
      <c r="AN28" s="1172" t="s">
        <v>608</v>
      </c>
      <c r="AO28" s="574"/>
      <c r="AP28" s="1180" t="s">
        <v>1360</v>
      </c>
      <c r="AQ28" s="1181" t="s">
        <v>1570</v>
      </c>
      <c r="AR28" s="1190" t="s">
        <v>2244</v>
      </c>
      <c r="AS28" s="511">
        <v>8.44</v>
      </c>
      <c r="AT28" s="1190" t="s">
        <v>2246</v>
      </c>
      <c r="AU28" s="1179" t="s">
        <v>607</v>
      </c>
      <c r="AV28" s="1179" t="s">
        <v>608</v>
      </c>
      <c r="AW28" s="517"/>
      <c r="AX28" s="1180" t="s">
        <v>1252</v>
      </c>
      <c r="AY28" s="1182" t="s">
        <v>1453</v>
      </c>
      <c r="AZ28" s="547" t="s">
        <v>1192</v>
      </c>
      <c r="BA28" s="551">
        <v>9.25</v>
      </c>
      <c r="BB28" s="547" t="s">
        <v>1193</v>
      </c>
      <c r="BC28" s="1179" t="s">
        <v>607</v>
      </c>
      <c r="BD28" s="1179" t="s">
        <v>608</v>
      </c>
      <c r="BE28" s="517"/>
      <c r="BF28" s="1180" t="s">
        <v>1419</v>
      </c>
      <c r="BG28" s="1182" t="s">
        <v>1571</v>
      </c>
      <c r="BH28" s="1183" t="s">
        <v>2229</v>
      </c>
      <c r="BI28" s="511">
        <v>10.36</v>
      </c>
      <c r="BJ28" s="1183" t="s">
        <v>2230</v>
      </c>
      <c r="BK28" s="1179" t="s">
        <v>607</v>
      </c>
      <c r="BL28" s="1179" t="s">
        <v>608</v>
      </c>
    </row>
    <row r="29" spans="1:64" s="298" customFormat="1" ht="10.5" customHeight="1">
      <c r="A29" s="447"/>
      <c r="B29" s="448" t="s">
        <v>1225</v>
      </c>
      <c r="C29" s="633" t="s">
        <v>1450</v>
      </c>
      <c r="D29" s="636" t="s">
        <v>1712</v>
      </c>
      <c r="E29" s="460">
        <v>11.82</v>
      </c>
      <c r="F29" s="636" t="s">
        <v>1713</v>
      </c>
      <c r="G29" s="630" t="s">
        <v>607</v>
      </c>
      <c r="H29" s="630" t="s">
        <v>608</v>
      </c>
      <c r="I29" s="447"/>
      <c r="J29" s="464" t="s">
        <v>1276</v>
      </c>
      <c r="K29" s="633" t="s">
        <v>1458</v>
      </c>
      <c r="L29" s="40" t="s">
        <v>1159</v>
      </c>
      <c r="M29" s="41" t="s">
        <v>1293</v>
      </c>
      <c r="N29" s="40" t="s">
        <v>1208</v>
      </c>
      <c r="O29" s="630" t="s">
        <v>607</v>
      </c>
      <c r="P29" s="630" t="s">
        <v>103</v>
      </c>
      <c r="Q29" s="461"/>
      <c r="R29" s="448" t="s">
        <v>1260</v>
      </c>
      <c r="S29" s="631" t="s">
        <v>1451</v>
      </c>
      <c r="T29" s="428" t="s">
        <v>1157</v>
      </c>
      <c r="U29" s="20">
        <v>9.4499999999999993</v>
      </c>
      <c r="V29" s="428" t="s">
        <v>1158</v>
      </c>
      <c r="W29" s="486" t="s">
        <v>607</v>
      </c>
      <c r="X29" s="630" t="s">
        <v>608</v>
      </c>
      <c r="Z29" s="463" t="s">
        <v>1608</v>
      </c>
      <c r="AA29" s="631" t="s">
        <v>1451</v>
      </c>
      <c r="AB29" s="636" t="s">
        <v>2493</v>
      </c>
      <c r="AC29" s="454">
        <v>6.77</v>
      </c>
      <c r="AD29" s="636" t="s">
        <v>1812</v>
      </c>
      <c r="AE29" s="630" t="s">
        <v>607</v>
      </c>
      <c r="AF29" s="630" t="s">
        <v>608</v>
      </c>
      <c r="AG29" s="457"/>
      <c r="AH29" s="458" t="s">
        <v>1253</v>
      </c>
      <c r="AI29" s="632" t="s">
        <v>1452</v>
      </c>
      <c r="AJ29" s="459" t="s">
        <v>1170</v>
      </c>
      <c r="AK29" s="460">
        <v>8.92</v>
      </c>
      <c r="AL29" s="459" t="s">
        <v>1171</v>
      </c>
      <c r="AM29" s="630" t="s">
        <v>607</v>
      </c>
      <c r="AN29" s="630" t="s">
        <v>608</v>
      </c>
      <c r="AO29" s="457"/>
      <c r="AP29" s="458" t="s">
        <v>1361</v>
      </c>
      <c r="AQ29" s="632" t="s">
        <v>1570</v>
      </c>
      <c r="AR29" s="395" t="s">
        <v>2258</v>
      </c>
      <c r="AS29" s="41">
        <v>7.8</v>
      </c>
      <c r="AT29" s="395" t="s">
        <v>2260</v>
      </c>
      <c r="AU29" s="486" t="s">
        <v>607</v>
      </c>
      <c r="AV29" s="486" t="s">
        <v>608</v>
      </c>
      <c r="AW29" s="457"/>
      <c r="AX29" s="458" t="s">
        <v>1253</v>
      </c>
      <c r="AY29" s="633" t="s">
        <v>1453</v>
      </c>
      <c r="AZ29" s="390" t="s">
        <v>1194</v>
      </c>
      <c r="BA29" s="454">
        <v>9.25</v>
      </c>
      <c r="BB29" s="390" t="s">
        <v>1195</v>
      </c>
      <c r="BC29" s="630" t="s">
        <v>607</v>
      </c>
      <c r="BD29" s="486" t="s">
        <v>608</v>
      </c>
      <c r="BF29" s="458" t="s">
        <v>1420</v>
      </c>
      <c r="BG29" s="633" t="s">
        <v>1571</v>
      </c>
      <c r="BH29" s="396" t="s">
        <v>2238</v>
      </c>
      <c r="BI29" s="41">
        <v>8.93</v>
      </c>
      <c r="BJ29" s="396" t="s">
        <v>2242</v>
      </c>
      <c r="BK29" s="486" t="s">
        <v>607</v>
      </c>
      <c r="BL29" s="486" t="s">
        <v>608</v>
      </c>
    </row>
    <row r="30" spans="1:64" s="298" customFormat="1" ht="10.5" customHeight="1">
      <c r="A30" s="552"/>
      <c r="B30" s="1170" t="s">
        <v>1226</v>
      </c>
      <c r="C30" s="1182" t="s">
        <v>1450</v>
      </c>
      <c r="D30" s="1173" t="s">
        <v>1820</v>
      </c>
      <c r="E30" s="505">
        <v>11.7</v>
      </c>
      <c r="F30" s="1173" t="s">
        <v>1821</v>
      </c>
      <c r="G30" s="1172" t="s">
        <v>607</v>
      </c>
      <c r="H30" s="1172" t="s">
        <v>608</v>
      </c>
      <c r="I30" s="1196"/>
      <c r="J30" s="1174" t="s">
        <v>1277</v>
      </c>
      <c r="K30" s="1197" t="s">
        <v>1870</v>
      </c>
      <c r="L30" s="1198" t="s">
        <v>1866</v>
      </c>
      <c r="M30" s="505">
        <v>7</v>
      </c>
      <c r="N30" s="1198" t="s">
        <v>1871</v>
      </c>
      <c r="O30" s="1172" t="s">
        <v>607</v>
      </c>
      <c r="P30" s="1172" t="s">
        <v>608</v>
      </c>
      <c r="Q30" s="552"/>
      <c r="R30" s="1170" t="s">
        <v>1261</v>
      </c>
      <c r="S30" s="1177" t="s">
        <v>1451</v>
      </c>
      <c r="T30" s="547" t="s">
        <v>1206</v>
      </c>
      <c r="U30" s="551">
        <v>9.4499999999999993</v>
      </c>
      <c r="V30" s="547" t="s">
        <v>1207</v>
      </c>
      <c r="W30" s="1179" t="s">
        <v>607</v>
      </c>
      <c r="X30" s="1172" t="s">
        <v>608</v>
      </c>
      <c r="Y30" s="517"/>
      <c r="Z30" s="1186" t="s">
        <v>1609</v>
      </c>
      <c r="AA30" s="1177" t="s">
        <v>1451</v>
      </c>
      <c r="AB30" s="1190" t="s">
        <v>2542</v>
      </c>
      <c r="AC30" s="550">
        <v>6.3</v>
      </c>
      <c r="AD30" s="1190" t="s">
        <v>1814</v>
      </c>
      <c r="AE30" s="1172" t="s">
        <v>607</v>
      </c>
      <c r="AF30" s="1172" t="s">
        <v>608</v>
      </c>
      <c r="AG30" s="574"/>
      <c r="AH30" s="1180" t="s">
        <v>1254</v>
      </c>
      <c r="AI30" s="1181" t="s">
        <v>1452</v>
      </c>
      <c r="AJ30" s="504" t="s">
        <v>1172</v>
      </c>
      <c r="AK30" s="505">
        <v>8.9499999999999993</v>
      </c>
      <c r="AL30" s="504" t="s">
        <v>1173</v>
      </c>
      <c r="AM30" s="1172" t="s">
        <v>607</v>
      </c>
      <c r="AN30" s="1172" t="s">
        <v>608</v>
      </c>
      <c r="AO30" s="574"/>
      <c r="AP30" s="1180" t="s">
        <v>1991</v>
      </c>
      <c r="AQ30" s="1181" t="s">
        <v>1570</v>
      </c>
      <c r="AR30" s="1190" t="s">
        <v>2269</v>
      </c>
      <c r="AS30" s="511">
        <v>8.3000000000000007</v>
      </c>
      <c r="AT30" s="1190" t="s">
        <v>2274</v>
      </c>
      <c r="AU30" s="1179" t="s">
        <v>607</v>
      </c>
      <c r="AV30" s="1179" t="s">
        <v>608</v>
      </c>
      <c r="AW30" s="574"/>
      <c r="AX30" s="1180" t="s">
        <v>1254</v>
      </c>
      <c r="AY30" s="1182" t="s">
        <v>1453</v>
      </c>
      <c r="AZ30" s="1305" t="s">
        <v>1196</v>
      </c>
      <c r="BA30" s="550">
        <v>9.4499999999999993</v>
      </c>
      <c r="BB30" s="1305" t="s">
        <v>1197</v>
      </c>
      <c r="BC30" s="1172" t="s">
        <v>607</v>
      </c>
      <c r="BD30" s="1179" t="s">
        <v>608</v>
      </c>
      <c r="BE30" s="517"/>
      <c r="BF30" s="1180" t="s">
        <v>1421</v>
      </c>
      <c r="BG30" s="1182" t="s">
        <v>1571</v>
      </c>
      <c r="BH30" s="1183" t="s">
        <v>2244</v>
      </c>
      <c r="BI30" s="511">
        <v>8.99</v>
      </c>
      <c r="BJ30" s="1183" t="s">
        <v>2245</v>
      </c>
      <c r="BK30" s="1179" t="s">
        <v>607</v>
      </c>
      <c r="BL30" s="1179" t="s">
        <v>608</v>
      </c>
    </row>
    <row r="31" spans="1:64" s="426" customFormat="1" ht="11.25" customHeight="1">
      <c r="A31" s="447"/>
      <c r="B31" s="448" t="s">
        <v>1227</v>
      </c>
      <c r="C31" s="633" t="s">
        <v>1450</v>
      </c>
      <c r="D31" s="636" t="s">
        <v>1829</v>
      </c>
      <c r="E31" s="460">
        <v>11.7</v>
      </c>
      <c r="F31" s="636" t="s">
        <v>1830</v>
      </c>
      <c r="G31" s="630" t="s">
        <v>607</v>
      </c>
      <c r="H31" s="630" t="s">
        <v>608</v>
      </c>
      <c r="I31" s="465"/>
      <c r="J31" s="475" t="s">
        <v>1278</v>
      </c>
      <c r="K31" s="482" t="s">
        <v>1876</v>
      </c>
      <c r="L31" s="821" t="s">
        <v>1866</v>
      </c>
      <c r="M31" s="460">
        <v>7</v>
      </c>
      <c r="N31" s="821" t="s">
        <v>1871</v>
      </c>
      <c r="O31" s="630" t="s">
        <v>607</v>
      </c>
      <c r="P31" s="630" t="s">
        <v>608</v>
      </c>
      <c r="Q31" s="447"/>
      <c r="R31" s="448" t="s">
        <v>1262</v>
      </c>
      <c r="S31" s="631" t="s">
        <v>1451</v>
      </c>
      <c r="T31" s="390" t="s">
        <v>1409</v>
      </c>
      <c r="U31" s="454">
        <v>9.4499999999999993</v>
      </c>
      <c r="V31" s="390" t="s">
        <v>1413</v>
      </c>
      <c r="W31" s="630" t="s">
        <v>607</v>
      </c>
      <c r="X31" s="630" t="s">
        <v>608</v>
      </c>
      <c r="Y31" s="298"/>
      <c r="Z31" s="463" t="s">
        <v>1610</v>
      </c>
      <c r="AA31" s="631" t="s">
        <v>1451</v>
      </c>
      <c r="AB31" s="395" t="s">
        <v>2735</v>
      </c>
      <c r="AC31" s="454">
        <v>6.86</v>
      </c>
      <c r="AD31" s="395" t="s">
        <v>2736</v>
      </c>
      <c r="AE31" s="630" t="s">
        <v>607</v>
      </c>
      <c r="AF31" s="630" t="s">
        <v>608</v>
      </c>
      <c r="AG31" s="457"/>
      <c r="AH31" s="458" t="s">
        <v>1255</v>
      </c>
      <c r="AI31" s="632" t="s">
        <v>1452</v>
      </c>
      <c r="AJ31" s="459" t="s">
        <v>1174</v>
      </c>
      <c r="AK31" s="460">
        <v>9.0500000000000007</v>
      </c>
      <c r="AL31" s="459" t="s">
        <v>1175</v>
      </c>
      <c r="AM31" s="630" t="s">
        <v>607</v>
      </c>
      <c r="AN31" s="630" t="s">
        <v>608</v>
      </c>
      <c r="AO31" s="457"/>
      <c r="AP31" s="458" t="s">
        <v>1417</v>
      </c>
      <c r="AQ31" s="632" t="s">
        <v>1570</v>
      </c>
      <c r="AR31" s="395" t="s">
        <v>2297</v>
      </c>
      <c r="AS31" s="41">
        <v>7.44</v>
      </c>
      <c r="AT31" s="395" t="s">
        <v>2298</v>
      </c>
      <c r="AU31" s="486" t="s">
        <v>607</v>
      </c>
      <c r="AV31" s="486" t="s">
        <v>608</v>
      </c>
      <c r="AW31" s="457"/>
      <c r="AX31" s="458" t="s">
        <v>1255</v>
      </c>
      <c r="AY31" s="633" t="s">
        <v>1453</v>
      </c>
      <c r="AZ31" s="390" t="s">
        <v>1198</v>
      </c>
      <c r="BA31" s="454">
        <v>9.57</v>
      </c>
      <c r="BB31" s="390" t="s">
        <v>2061</v>
      </c>
      <c r="BC31" s="630" t="s">
        <v>607</v>
      </c>
      <c r="BD31" s="486" t="s">
        <v>608</v>
      </c>
      <c r="BE31" s="298"/>
      <c r="BF31" s="458" t="s">
        <v>1422</v>
      </c>
      <c r="BG31" s="633" t="s">
        <v>1571</v>
      </c>
      <c r="BH31" s="396" t="s">
        <v>2258</v>
      </c>
      <c r="BI31" s="41">
        <v>8.1999999999999993</v>
      </c>
      <c r="BJ31" s="396" t="s">
        <v>2259</v>
      </c>
      <c r="BK31" s="486" t="s">
        <v>607</v>
      </c>
      <c r="BL31" s="486" t="s">
        <v>608</v>
      </c>
    </row>
    <row r="32" spans="1:64" s="426" customFormat="1" ht="11.25" customHeight="1">
      <c r="A32" s="552"/>
      <c r="B32" s="1170" t="s">
        <v>1228</v>
      </c>
      <c r="C32" s="1182" t="s">
        <v>1450</v>
      </c>
      <c r="D32" s="1173" t="s">
        <v>1839</v>
      </c>
      <c r="E32" s="505">
        <v>11.7</v>
      </c>
      <c r="F32" s="1173" t="s">
        <v>1840</v>
      </c>
      <c r="G32" s="1172" t="s">
        <v>607</v>
      </c>
      <c r="H32" s="1172" t="s">
        <v>608</v>
      </c>
      <c r="I32" s="1187"/>
      <c r="J32" s="1366" t="s">
        <v>1279</v>
      </c>
      <c r="K32" s="1214" t="s">
        <v>1877</v>
      </c>
      <c r="L32" s="1190" t="s">
        <v>1866</v>
      </c>
      <c r="M32" s="505">
        <v>7</v>
      </c>
      <c r="N32" s="1190" t="s">
        <v>1871</v>
      </c>
      <c r="O32" s="1172" t="s">
        <v>607</v>
      </c>
      <c r="P32" s="1172" t="s">
        <v>608</v>
      </c>
      <c r="Q32" s="517"/>
      <c r="R32" s="1170" t="s">
        <v>1263</v>
      </c>
      <c r="S32" s="1177" t="s">
        <v>1451</v>
      </c>
      <c r="T32" s="547" t="s">
        <v>1410</v>
      </c>
      <c r="U32" s="551">
        <v>9.4499999999999993</v>
      </c>
      <c r="V32" s="547" t="s">
        <v>1414</v>
      </c>
      <c r="W32" s="1179" t="s">
        <v>607</v>
      </c>
      <c r="X32" s="1172" t="s">
        <v>608</v>
      </c>
      <c r="Y32" s="517"/>
      <c r="Z32" s="1186" t="s">
        <v>1611</v>
      </c>
      <c r="AA32" s="1177" t="s">
        <v>1451</v>
      </c>
      <c r="AB32" s="1190" t="s">
        <v>2750</v>
      </c>
      <c r="AC32" s="550">
        <v>6.96</v>
      </c>
      <c r="AD32" s="1190" t="s">
        <v>2751</v>
      </c>
      <c r="AE32" s="1172" t="s">
        <v>607</v>
      </c>
      <c r="AF32" s="1172" t="s">
        <v>608</v>
      </c>
      <c r="AG32" s="574"/>
      <c r="AH32" s="1180" t="s">
        <v>1256</v>
      </c>
      <c r="AI32" s="1181" t="s">
        <v>1452</v>
      </c>
      <c r="AJ32" s="504" t="s">
        <v>1176</v>
      </c>
      <c r="AK32" s="505">
        <v>9.1199999999999992</v>
      </c>
      <c r="AL32" s="504" t="s">
        <v>1177</v>
      </c>
      <c r="AM32" s="1172" t="s">
        <v>607</v>
      </c>
      <c r="AN32" s="1172" t="s">
        <v>608</v>
      </c>
      <c r="AO32" s="574"/>
      <c r="AP32" s="1180" t="s">
        <v>1418</v>
      </c>
      <c r="AQ32" s="1181" t="s">
        <v>1570</v>
      </c>
      <c r="AR32" s="1190" t="s">
        <v>2305</v>
      </c>
      <c r="AS32" s="511">
        <v>7.4</v>
      </c>
      <c r="AT32" s="1190" t="s">
        <v>2306</v>
      </c>
      <c r="AU32" s="1179" t="s">
        <v>607</v>
      </c>
      <c r="AV32" s="1179" t="s">
        <v>608</v>
      </c>
      <c r="AW32" s="1187"/>
      <c r="AX32" s="1180" t="s">
        <v>1256</v>
      </c>
      <c r="AY32" s="1182" t="s">
        <v>1453</v>
      </c>
      <c r="AZ32" s="1305" t="s">
        <v>1199</v>
      </c>
      <c r="BA32" s="550">
        <v>9.6</v>
      </c>
      <c r="BB32" s="1305" t="s">
        <v>1200</v>
      </c>
      <c r="BC32" s="1172" t="s">
        <v>607</v>
      </c>
      <c r="BD32" s="1179" t="s">
        <v>608</v>
      </c>
      <c r="BE32" s="517"/>
      <c r="BF32" s="1180" t="s">
        <v>1423</v>
      </c>
      <c r="BG32" s="1182" t="s">
        <v>1571</v>
      </c>
      <c r="BH32" s="1183" t="s">
        <v>2269</v>
      </c>
      <c r="BI32" s="511">
        <v>8.6999999999999993</v>
      </c>
      <c r="BJ32" s="1183" t="s">
        <v>2273</v>
      </c>
      <c r="BK32" s="1179" t="s">
        <v>607</v>
      </c>
      <c r="BL32" s="1179" t="s">
        <v>608</v>
      </c>
    </row>
    <row r="33" spans="1:64" s="298" customFormat="1" ht="11.25" customHeight="1">
      <c r="A33" s="447"/>
      <c r="B33" s="448" t="s">
        <v>1229</v>
      </c>
      <c r="C33" s="633" t="s">
        <v>1450</v>
      </c>
      <c r="D33" s="636" t="s">
        <v>1858</v>
      </c>
      <c r="E33" s="460">
        <v>11.75</v>
      </c>
      <c r="F33" s="636" t="s">
        <v>1859</v>
      </c>
      <c r="G33" s="630" t="s">
        <v>607</v>
      </c>
      <c r="H33" s="630" t="s">
        <v>608</v>
      </c>
      <c r="I33" s="465"/>
      <c r="J33" s="475" t="s">
        <v>1280</v>
      </c>
      <c r="K33" s="824" t="s">
        <v>1873</v>
      </c>
      <c r="L33" s="390" t="s">
        <v>1866</v>
      </c>
      <c r="M33" s="41">
        <v>7</v>
      </c>
      <c r="N33" s="416" t="s">
        <v>1872</v>
      </c>
      <c r="O33" s="630" t="s">
        <v>607</v>
      </c>
      <c r="P33" s="630" t="s">
        <v>608</v>
      </c>
      <c r="R33" s="448" t="s">
        <v>1263</v>
      </c>
      <c r="S33" s="631" t="s">
        <v>1451</v>
      </c>
      <c r="T33" s="428" t="s">
        <v>1411</v>
      </c>
      <c r="U33" s="20">
        <v>9.4499999999999993</v>
      </c>
      <c r="V33" s="398" t="s">
        <v>1415</v>
      </c>
      <c r="W33" s="486" t="s">
        <v>607</v>
      </c>
      <c r="X33" s="630" t="s">
        <v>608</v>
      </c>
      <c r="Z33" s="463" t="s">
        <v>1612</v>
      </c>
      <c r="AA33" s="631" t="s">
        <v>1454</v>
      </c>
      <c r="AB33" s="395" t="s">
        <v>840</v>
      </c>
      <c r="AC33" s="454">
        <v>5</v>
      </c>
      <c r="AD33" s="395" t="s">
        <v>283</v>
      </c>
      <c r="AE33" s="630" t="s">
        <v>607</v>
      </c>
      <c r="AF33" s="630" t="s">
        <v>608</v>
      </c>
      <c r="AG33" s="457"/>
      <c r="AH33" s="458" t="s">
        <v>1257</v>
      </c>
      <c r="AI33" s="632" t="s">
        <v>1452</v>
      </c>
      <c r="AJ33" s="459" t="s">
        <v>1178</v>
      </c>
      <c r="AK33" s="460">
        <v>9.1199999999999992</v>
      </c>
      <c r="AL33" s="459" t="s">
        <v>1179</v>
      </c>
      <c r="AM33" s="630" t="s">
        <v>607</v>
      </c>
      <c r="AN33" s="630" t="s">
        <v>608</v>
      </c>
      <c r="AO33" s="457"/>
      <c r="AP33" s="458" t="s">
        <v>1419</v>
      </c>
      <c r="AQ33" s="632" t="s">
        <v>1570</v>
      </c>
      <c r="AR33" s="395" t="s">
        <v>2330</v>
      </c>
      <c r="AS33" s="41">
        <v>7.59</v>
      </c>
      <c r="AT33" s="395" t="s">
        <v>1204</v>
      </c>
      <c r="AU33" s="486" t="s">
        <v>607</v>
      </c>
      <c r="AV33" s="486" t="s">
        <v>608</v>
      </c>
      <c r="AW33" s="461"/>
      <c r="AX33" s="458" t="s">
        <v>1257</v>
      </c>
      <c r="AY33" s="633" t="s">
        <v>1453</v>
      </c>
      <c r="AZ33" s="390" t="s">
        <v>1201</v>
      </c>
      <c r="BA33" s="454">
        <v>9.6</v>
      </c>
      <c r="BB33" s="390" t="s">
        <v>1202</v>
      </c>
      <c r="BC33" s="630" t="s">
        <v>607</v>
      </c>
      <c r="BD33" s="486" t="s">
        <v>608</v>
      </c>
      <c r="BF33" s="458" t="s">
        <v>1424</v>
      </c>
      <c r="BG33" s="633" t="s">
        <v>1571</v>
      </c>
      <c r="BH33" s="396" t="s">
        <v>2297</v>
      </c>
      <c r="BI33" s="41">
        <v>7.64</v>
      </c>
      <c r="BJ33" s="396" t="s">
        <v>2299</v>
      </c>
      <c r="BK33" s="486" t="s">
        <v>607</v>
      </c>
      <c r="BL33" s="486" t="s">
        <v>608</v>
      </c>
    </row>
    <row r="34" spans="1:64" s="298" customFormat="1" ht="11.25" customHeight="1">
      <c r="A34" s="552"/>
      <c r="B34" s="1170" t="s">
        <v>1230</v>
      </c>
      <c r="C34" s="1182" t="s">
        <v>1450</v>
      </c>
      <c r="D34" s="1173" t="s">
        <v>1898</v>
      </c>
      <c r="E34" s="505">
        <v>11.78</v>
      </c>
      <c r="F34" s="1173" t="s">
        <v>2700</v>
      </c>
      <c r="G34" s="1172" t="s">
        <v>607</v>
      </c>
      <c r="H34" s="1172" t="s">
        <v>608</v>
      </c>
      <c r="I34" s="1196"/>
      <c r="J34" s="1366" t="s">
        <v>1281</v>
      </c>
      <c r="K34" s="1197" t="s">
        <v>1878</v>
      </c>
      <c r="L34" s="1198" t="s">
        <v>1866</v>
      </c>
      <c r="M34" s="505">
        <v>7</v>
      </c>
      <c r="N34" s="1198" t="s">
        <v>1872</v>
      </c>
      <c r="O34" s="1172" t="s">
        <v>607</v>
      </c>
      <c r="P34" s="1172" t="s">
        <v>608</v>
      </c>
      <c r="Q34" s="527"/>
      <c r="R34" s="1170" t="s">
        <v>1264</v>
      </c>
      <c r="S34" s="1177" t="s">
        <v>1451</v>
      </c>
      <c r="T34" s="1392" t="s">
        <v>1412</v>
      </c>
      <c r="U34" s="550">
        <v>9.5</v>
      </c>
      <c r="V34" s="501" t="s">
        <v>1416</v>
      </c>
      <c r="W34" s="1172" t="s">
        <v>607</v>
      </c>
      <c r="X34" s="1172" t="s">
        <v>608</v>
      </c>
      <c r="Y34" s="517"/>
      <c r="Z34" s="1186" t="s">
        <v>2433</v>
      </c>
      <c r="AA34" s="1177" t="s">
        <v>1865</v>
      </c>
      <c r="AB34" s="508" t="s">
        <v>1866</v>
      </c>
      <c r="AC34" s="511">
        <v>7</v>
      </c>
      <c r="AD34" s="508" t="s">
        <v>1867</v>
      </c>
      <c r="AE34" s="1172" t="s">
        <v>607</v>
      </c>
      <c r="AF34" s="1172" t="s">
        <v>608</v>
      </c>
      <c r="AG34" s="574"/>
      <c r="AH34" s="1180" t="s">
        <v>1255</v>
      </c>
      <c r="AI34" s="1181" t="s">
        <v>1452</v>
      </c>
      <c r="AJ34" s="504" t="s">
        <v>1180</v>
      </c>
      <c r="AK34" s="505">
        <v>9.1999999999999993</v>
      </c>
      <c r="AL34" s="504" t="s">
        <v>1181</v>
      </c>
      <c r="AM34" s="1172" t="s">
        <v>607</v>
      </c>
      <c r="AN34" s="1172" t="s">
        <v>608</v>
      </c>
      <c r="AO34" s="574"/>
      <c r="AP34" s="1180" t="s">
        <v>1420</v>
      </c>
      <c r="AQ34" s="1181" t="s">
        <v>1570</v>
      </c>
      <c r="AR34" s="1190" t="s">
        <v>2364</v>
      </c>
      <c r="AS34" s="511">
        <v>7.79</v>
      </c>
      <c r="AT34" s="1190" t="s">
        <v>1213</v>
      </c>
      <c r="AU34" s="1179" t="s">
        <v>607</v>
      </c>
      <c r="AV34" s="1179" t="s">
        <v>608</v>
      </c>
      <c r="AW34" s="1187"/>
      <c r="AX34" s="1180" t="s">
        <v>1258</v>
      </c>
      <c r="AY34" s="1182" t="s">
        <v>1453</v>
      </c>
      <c r="AZ34" s="1305" t="s">
        <v>1203</v>
      </c>
      <c r="BA34" s="550">
        <v>9.6300000000000008</v>
      </c>
      <c r="BB34" s="1305" t="s">
        <v>1204</v>
      </c>
      <c r="BC34" s="1172" t="s">
        <v>607</v>
      </c>
      <c r="BD34" s="1179" t="s">
        <v>608</v>
      </c>
      <c r="BE34" s="517"/>
      <c r="BF34" s="1180" t="s">
        <v>1605</v>
      </c>
      <c r="BG34" s="1182" t="s">
        <v>1571</v>
      </c>
      <c r="BH34" s="1183" t="s">
        <v>2305</v>
      </c>
      <c r="BI34" s="511">
        <v>7.75</v>
      </c>
      <c r="BJ34" s="1183" t="s">
        <v>2307</v>
      </c>
      <c r="BK34" s="1179" t="s">
        <v>607</v>
      </c>
      <c r="BL34" s="1179" t="s">
        <v>608</v>
      </c>
    </row>
    <row r="35" spans="1:64" s="298" customFormat="1" ht="11.25" customHeight="1">
      <c r="A35" s="447"/>
      <c r="B35" s="448" t="s">
        <v>1231</v>
      </c>
      <c r="C35" s="633" t="s">
        <v>1450</v>
      </c>
      <c r="D35" s="636" t="s">
        <v>1899</v>
      </c>
      <c r="E35" s="460">
        <v>11.78</v>
      </c>
      <c r="F35" s="636" t="s">
        <v>1900</v>
      </c>
      <c r="G35" s="630" t="s">
        <v>607</v>
      </c>
      <c r="H35" s="630" t="s">
        <v>608</v>
      </c>
      <c r="J35" s="475" t="s">
        <v>1282</v>
      </c>
      <c r="K35" s="482" t="s">
        <v>1879</v>
      </c>
      <c r="L35" s="821" t="s">
        <v>1866</v>
      </c>
      <c r="M35" s="460">
        <v>7</v>
      </c>
      <c r="N35" s="821" t="s">
        <v>1872</v>
      </c>
      <c r="O35" s="630" t="s">
        <v>607</v>
      </c>
      <c r="P35" s="630" t="s">
        <v>608</v>
      </c>
      <c r="Q35" s="462"/>
      <c r="R35" s="448" t="s">
        <v>1265</v>
      </c>
      <c r="S35" s="631" t="s">
        <v>1451</v>
      </c>
      <c r="T35" s="390" t="s">
        <v>1783</v>
      </c>
      <c r="U35" s="454">
        <v>9.5299999999999994</v>
      </c>
      <c r="V35" s="416" t="s">
        <v>1784</v>
      </c>
      <c r="W35" s="630" t="s">
        <v>607</v>
      </c>
      <c r="X35" s="630" t="s">
        <v>608</v>
      </c>
      <c r="Z35" s="463" t="s">
        <v>1613</v>
      </c>
      <c r="AA35" s="631" t="s">
        <v>1868</v>
      </c>
      <c r="AB35" s="40" t="s">
        <v>1866</v>
      </c>
      <c r="AC35" s="41">
        <v>7</v>
      </c>
      <c r="AD35" s="40" t="s">
        <v>1867</v>
      </c>
      <c r="AE35" s="630" t="s">
        <v>607</v>
      </c>
      <c r="AF35" s="630" t="s">
        <v>608</v>
      </c>
      <c r="AG35" s="457"/>
      <c r="AH35" s="458" t="s">
        <v>1256</v>
      </c>
      <c r="AI35" s="632" t="s">
        <v>1452</v>
      </c>
      <c r="AJ35" s="459" t="s">
        <v>1210</v>
      </c>
      <c r="AK35" s="460">
        <v>9.3000000000000007</v>
      </c>
      <c r="AL35" s="459" t="s">
        <v>1211</v>
      </c>
      <c r="AM35" s="630" t="s">
        <v>607</v>
      </c>
      <c r="AN35" s="630" t="s">
        <v>608</v>
      </c>
      <c r="AO35" s="457"/>
      <c r="AP35" s="895" t="s">
        <v>1421</v>
      </c>
      <c r="AQ35" s="632" t="s">
        <v>1570</v>
      </c>
      <c r="AR35" s="636" t="s">
        <v>2377</v>
      </c>
      <c r="AS35" s="460">
        <v>7.84</v>
      </c>
      <c r="AT35" s="636" t="s">
        <v>2378</v>
      </c>
      <c r="AU35" s="630" t="s">
        <v>607</v>
      </c>
      <c r="AV35" s="630" t="s">
        <v>608</v>
      </c>
      <c r="AW35" s="461"/>
      <c r="AX35" s="458" t="s">
        <v>1259</v>
      </c>
      <c r="AY35" s="633" t="s">
        <v>1453</v>
      </c>
      <c r="AZ35" s="390" t="s">
        <v>1212</v>
      </c>
      <c r="BA35" s="454">
        <v>9.65</v>
      </c>
      <c r="BB35" s="390" t="s">
        <v>1213</v>
      </c>
      <c r="BC35" s="630" t="s">
        <v>607</v>
      </c>
      <c r="BD35" s="486" t="s">
        <v>608</v>
      </c>
      <c r="BF35" s="458" t="s">
        <v>2272</v>
      </c>
      <c r="BG35" s="633" t="s">
        <v>1571</v>
      </c>
      <c r="BH35" s="396" t="s">
        <v>2330</v>
      </c>
      <c r="BI35" s="41">
        <v>7.75</v>
      </c>
      <c r="BJ35" s="396" t="s">
        <v>2331</v>
      </c>
      <c r="BK35" s="486" t="s">
        <v>607</v>
      </c>
      <c r="BL35" s="486" t="s">
        <v>608</v>
      </c>
    </row>
    <row r="36" spans="1:64" s="298" customFormat="1" ht="11.25" customHeight="1">
      <c r="A36" s="552"/>
      <c r="B36" s="1170" t="s">
        <v>1232</v>
      </c>
      <c r="C36" s="1182" t="s">
        <v>1450</v>
      </c>
      <c r="D36" s="1173" t="s">
        <v>1930</v>
      </c>
      <c r="E36" s="505">
        <v>11.78</v>
      </c>
      <c r="F36" s="1173" t="s">
        <v>1931</v>
      </c>
      <c r="G36" s="1172" t="s">
        <v>607</v>
      </c>
      <c r="H36" s="1172" t="s">
        <v>608</v>
      </c>
      <c r="I36" s="1063"/>
      <c r="J36" s="1366" t="s">
        <v>1283</v>
      </c>
      <c r="K36" s="1197" t="s">
        <v>1468</v>
      </c>
      <c r="L36" s="1198" t="s">
        <v>1714</v>
      </c>
      <c r="M36" s="505">
        <v>5</v>
      </c>
      <c r="N36" s="1198" t="s">
        <v>1715</v>
      </c>
      <c r="O36" s="1172" t="s">
        <v>607</v>
      </c>
      <c r="P36" s="1172" t="s">
        <v>608</v>
      </c>
      <c r="Q36" s="573"/>
      <c r="R36" s="1170" t="s">
        <v>1266</v>
      </c>
      <c r="S36" s="1177" t="s">
        <v>1451</v>
      </c>
      <c r="T36" s="547" t="s">
        <v>1785</v>
      </c>
      <c r="U36" s="551">
        <v>9.5500000000000007</v>
      </c>
      <c r="V36" s="513" t="s">
        <v>1786</v>
      </c>
      <c r="W36" s="1179" t="s">
        <v>607</v>
      </c>
      <c r="X36" s="1172" t="s">
        <v>608</v>
      </c>
      <c r="Y36" s="517"/>
      <c r="Z36" s="1186" t="s">
        <v>1614</v>
      </c>
      <c r="AA36" s="1177" t="s">
        <v>1869</v>
      </c>
      <c r="AB36" s="504" t="s">
        <v>1866</v>
      </c>
      <c r="AC36" s="505">
        <v>7</v>
      </c>
      <c r="AD36" s="504" t="s">
        <v>1867</v>
      </c>
      <c r="AE36" s="1172" t="s">
        <v>607</v>
      </c>
      <c r="AF36" s="1172" t="s">
        <v>608</v>
      </c>
      <c r="AG36" s="574"/>
      <c r="AH36" s="1176" t="s">
        <v>1257</v>
      </c>
      <c r="AI36" s="1181" t="s">
        <v>1452</v>
      </c>
      <c r="AJ36" s="504" t="s">
        <v>1797</v>
      </c>
      <c r="AK36" s="505">
        <v>9.35</v>
      </c>
      <c r="AL36" s="504" t="s">
        <v>1798</v>
      </c>
      <c r="AM36" s="1172" t="s">
        <v>607</v>
      </c>
      <c r="AN36" s="1172" t="s">
        <v>608</v>
      </c>
      <c r="AO36" s="574"/>
      <c r="AP36" s="1180" t="s">
        <v>2270</v>
      </c>
      <c r="AQ36" s="1181" t="s">
        <v>1570</v>
      </c>
      <c r="AR36" s="1190" t="s">
        <v>2396</v>
      </c>
      <c r="AS36" s="511">
        <v>8</v>
      </c>
      <c r="AT36" s="1190" t="s">
        <v>2397</v>
      </c>
      <c r="AU36" s="1179" t="s">
        <v>607</v>
      </c>
      <c r="AV36" s="1179" t="s">
        <v>608</v>
      </c>
      <c r="AW36" s="1187"/>
      <c r="AX36" s="1180" t="s">
        <v>1260</v>
      </c>
      <c r="AY36" s="1182" t="s">
        <v>1453</v>
      </c>
      <c r="AZ36" s="1305" t="s">
        <v>2400</v>
      </c>
      <c r="BA36" s="550">
        <v>9.65</v>
      </c>
      <c r="BB36" s="1305" t="s">
        <v>2378</v>
      </c>
      <c r="BC36" s="1172" t="s">
        <v>607</v>
      </c>
      <c r="BD36" s="1179" t="s">
        <v>608</v>
      </c>
      <c r="BE36" s="517"/>
      <c r="BF36" s="1180" t="s">
        <v>1607</v>
      </c>
      <c r="BG36" s="1182" t="s">
        <v>1571</v>
      </c>
      <c r="BH36" s="1183" t="s">
        <v>2364</v>
      </c>
      <c r="BI36" s="511">
        <v>8.24</v>
      </c>
      <c r="BJ36" s="1183" t="s">
        <v>2365</v>
      </c>
      <c r="BK36" s="1179" t="s">
        <v>607</v>
      </c>
      <c r="BL36" s="1179" t="s">
        <v>608</v>
      </c>
    </row>
    <row r="37" spans="1:64" s="298" customFormat="1" ht="11.25" customHeight="1">
      <c r="A37" s="447"/>
      <c r="B37" s="448" t="s">
        <v>1233</v>
      </c>
      <c r="C37" s="633" t="s">
        <v>1450</v>
      </c>
      <c r="D37" s="821" t="s">
        <v>1945</v>
      </c>
      <c r="E37" s="41">
        <v>11.73</v>
      </c>
      <c r="F37" s="1485" t="s">
        <v>1946</v>
      </c>
      <c r="G37" s="630" t="s">
        <v>607</v>
      </c>
      <c r="H37" s="630" t="s">
        <v>608</v>
      </c>
      <c r="J37" s="475" t="s">
        <v>1284</v>
      </c>
      <c r="K37" s="482" t="s">
        <v>1470</v>
      </c>
      <c r="L37" s="821" t="s">
        <v>1714</v>
      </c>
      <c r="M37" s="460">
        <v>5</v>
      </c>
      <c r="N37" s="821" t="s">
        <v>1715</v>
      </c>
      <c r="O37" s="630" t="s">
        <v>607</v>
      </c>
      <c r="P37" s="630" t="s">
        <v>608</v>
      </c>
      <c r="Q37" s="462"/>
      <c r="R37" s="448" t="s">
        <v>1267</v>
      </c>
      <c r="S37" s="631" t="s">
        <v>1451</v>
      </c>
      <c r="T37" s="428" t="s">
        <v>1787</v>
      </c>
      <c r="U37" s="20">
        <v>9.5500000000000007</v>
      </c>
      <c r="V37" s="398" t="s">
        <v>1788</v>
      </c>
      <c r="W37" s="486" t="s">
        <v>607</v>
      </c>
      <c r="X37" s="630" t="s">
        <v>608</v>
      </c>
      <c r="Z37" s="463" t="s">
        <v>1621</v>
      </c>
      <c r="AA37" s="631" t="s">
        <v>1459</v>
      </c>
      <c r="AB37" s="40" t="s">
        <v>1714</v>
      </c>
      <c r="AC37" s="41">
        <v>5</v>
      </c>
      <c r="AD37" s="40" t="s">
        <v>1734</v>
      </c>
      <c r="AE37" s="630" t="s">
        <v>607</v>
      </c>
      <c r="AF37" s="630" t="s">
        <v>608</v>
      </c>
      <c r="AG37" s="457"/>
      <c r="AH37" s="458" t="s">
        <v>1255</v>
      </c>
      <c r="AI37" s="632" t="s">
        <v>1452</v>
      </c>
      <c r="AJ37" s="40" t="s">
        <v>1799</v>
      </c>
      <c r="AK37" s="41">
        <v>9.35</v>
      </c>
      <c r="AL37" s="40" t="s">
        <v>1800</v>
      </c>
      <c r="AM37" s="486" t="s">
        <v>607</v>
      </c>
      <c r="AN37" s="630" t="s">
        <v>608</v>
      </c>
      <c r="AO37" s="457"/>
      <c r="AP37" s="458" t="s">
        <v>2271</v>
      </c>
      <c r="AQ37" s="632" t="s">
        <v>1570</v>
      </c>
      <c r="AR37" s="395" t="s">
        <v>2398</v>
      </c>
      <c r="AS37" s="41">
        <v>8</v>
      </c>
      <c r="AT37" s="395" t="s">
        <v>2399</v>
      </c>
      <c r="AU37" s="486" t="s">
        <v>607</v>
      </c>
      <c r="AV37" s="486" t="s">
        <v>608</v>
      </c>
      <c r="AW37" s="461"/>
      <c r="AX37" s="458" t="s">
        <v>1261</v>
      </c>
      <c r="AY37" s="633" t="s">
        <v>1453</v>
      </c>
      <c r="AZ37" s="390" t="s">
        <v>2401</v>
      </c>
      <c r="BA37" s="454">
        <v>9.65</v>
      </c>
      <c r="BB37" s="390" t="s">
        <v>2397</v>
      </c>
      <c r="BC37" s="630" t="s">
        <v>607</v>
      </c>
      <c r="BD37" s="486" t="s">
        <v>608</v>
      </c>
      <c r="BF37" s="458" t="s">
        <v>1608</v>
      </c>
      <c r="BG37" s="633" t="s">
        <v>1571</v>
      </c>
      <c r="BH37" s="396" t="s">
        <v>2377</v>
      </c>
      <c r="BI37" s="41">
        <v>8.2899999999999991</v>
      </c>
      <c r="BJ37" s="396" t="s">
        <v>2380</v>
      </c>
      <c r="BK37" s="486" t="s">
        <v>607</v>
      </c>
      <c r="BL37" s="486" t="s">
        <v>608</v>
      </c>
    </row>
    <row r="38" spans="1:64" s="298" customFormat="1" ht="11.25" customHeight="1">
      <c r="A38" s="552"/>
      <c r="B38" s="1170" t="s">
        <v>1234</v>
      </c>
      <c r="C38" s="1182" t="s">
        <v>1450</v>
      </c>
      <c r="D38" s="1173" t="s">
        <v>1953</v>
      </c>
      <c r="E38" s="505">
        <v>11.45</v>
      </c>
      <c r="F38" s="1173" t="s">
        <v>1954</v>
      </c>
      <c r="G38" s="1172" t="s">
        <v>607</v>
      </c>
      <c r="H38" s="1172" t="s">
        <v>608</v>
      </c>
      <c r="I38" s="517"/>
      <c r="J38" s="1366" t="s">
        <v>1285</v>
      </c>
      <c r="K38" s="1197" t="s">
        <v>1471</v>
      </c>
      <c r="L38" s="1198" t="s">
        <v>1714</v>
      </c>
      <c r="M38" s="505">
        <v>5</v>
      </c>
      <c r="N38" s="1198" t="s">
        <v>1715</v>
      </c>
      <c r="O38" s="1172" t="s">
        <v>607</v>
      </c>
      <c r="P38" s="1172" t="s">
        <v>608</v>
      </c>
      <c r="Q38" s="573"/>
      <c r="R38" s="1170" t="s">
        <v>1268</v>
      </c>
      <c r="S38" s="1177" t="s">
        <v>1451</v>
      </c>
      <c r="T38" s="1392" t="s">
        <v>1789</v>
      </c>
      <c r="U38" s="550">
        <v>9.5500000000000007</v>
      </c>
      <c r="V38" s="501" t="s">
        <v>1790</v>
      </c>
      <c r="W38" s="1179" t="s">
        <v>607</v>
      </c>
      <c r="X38" s="1172" t="s">
        <v>608</v>
      </c>
      <c r="Y38" s="517"/>
      <c r="Z38" s="1186" t="s">
        <v>1641</v>
      </c>
      <c r="AA38" s="1177" t="s">
        <v>1460</v>
      </c>
      <c r="AB38" s="504" t="s">
        <v>1714</v>
      </c>
      <c r="AC38" s="505">
        <v>5</v>
      </c>
      <c r="AD38" s="504" t="s">
        <v>1734</v>
      </c>
      <c r="AE38" s="1172" t="s">
        <v>607</v>
      </c>
      <c r="AF38" s="1172" t="s">
        <v>608</v>
      </c>
      <c r="AG38" s="574"/>
      <c r="AH38" s="1180" t="s">
        <v>1256</v>
      </c>
      <c r="AI38" s="1181" t="s">
        <v>1452</v>
      </c>
      <c r="AJ38" s="508" t="s">
        <v>1801</v>
      </c>
      <c r="AK38" s="511">
        <v>9.65</v>
      </c>
      <c r="AL38" s="508" t="s">
        <v>1802</v>
      </c>
      <c r="AM38" s="1179" t="s">
        <v>607</v>
      </c>
      <c r="AN38" s="1172" t="s">
        <v>608</v>
      </c>
      <c r="AO38" s="574"/>
      <c r="AP38" s="1180" t="s">
        <v>1424</v>
      </c>
      <c r="AQ38" s="1181" t="s">
        <v>1570</v>
      </c>
      <c r="AR38" s="1190" t="s">
        <v>2410</v>
      </c>
      <c r="AS38" s="511">
        <v>8</v>
      </c>
      <c r="AT38" s="1190" t="s">
        <v>2411</v>
      </c>
      <c r="AU38" s="1179" t="s">
        <v>607</v>
      </c>
      <c r="AV38" s="1179" t="s">
        <v>608</v>
      </c>
      <c r="AW38" s="1187"/>
      <c r="AX38" s="1180" t="s">
        <v>1262</v>
      </c>
      <c r="AY38" s="1182" t="s">
        <v>1453</v>
      </c>
      <c r="AZ38" s="1305" t="s">
        <v>2402</v>
      </c>
      <c r="BA38" s="550">
        <v>10</v>
      </c>
      <c r="BB38" s="1305" t="s">
        <v>2399</v>
      </c>
      <c r="BC38" s="1172" t="s">
        <v>607</v>
      </c>
      <c r="BD38" s="1179" t="s">
        <v>608</v>
      </c>
      <c r="BE38" s="517"/>
      <c r="BF38" s="1180" t="s">
        <v>1609</v>
      </c>
      <c r="BG38" s="1182" t="s">
        <v>1571</v>
      </c>
      <c r="BH38" s="1183" t="s">
        <v>2396</v>
      </c>
      <c r="BI38" s="511">
        <v>8.5</v>
      </c>
      <c r="BJ38" s="1183" t="s">
        <v>2404</v>
      </c>
      <c r="BK38" s="1179" t="s">
        <v>607</v>
      </c>
      <c r="BL38" s="1179" t="s">
        <v>608</v>
      </c>
    </row>
    <row r="39" spans="1:64" s="298" customFormat="1" ht="11.25" customHeight="1">
      <c r="A39" s="447"/>
      <c r="B39" s="448" t="s">
        <v>1235</v>
      </c>
      <c r="C39" s="634" t="s">
        <v>1450</v>
      </c>
      <c r="D39" s="636" t="s">
        <v>1956</v>
      </c>
      <c r="E39" s="460">
        <v>11.23</v>
      </c>
      <c r="F39" s="636" t="s">
        <v>1957</v>
      </c>
      <c r="G39" s="630" t="s">
        <v>607</v>
      </c>
      <c r="H39" s="630" t="s">
        <v>608</v>
      </c>
      <c r="I39" s="298" t="s">
        <v>1043</v>
      </c>
      <c r="J39" s="475" t="s">
        <v>1219</v>
      </c>
      <c r="K39" s="482" t="s">
        <v>1451</v>
      </c>
      <c r="L39" s="821" t="s">
        <v>1053</v>
      </c>
      <c r="M39" s="460">
        <v>11.95</v>
      </c>
      <c r="N39" s="821" t="s">
        <v>834</v>
      </c>
      <c r="O39" s="630" t="s">
        <v>607</v>
      </c>
      <c r="P39" s="630" t="s">
        <v>608</v>
      </c>
      <c r="R39" s="448" t="s">
        <v>1269</v>
      </c>
      <c r="S39" s="1391" t="s">
        <v>1451</v>
      </c>
      <c r="T39" s="40" t="s">
        <v>1791</v>
      </c>
      <c r="U39" s="40">
        <v>11.25</v>
      </c>
      <c r="V39" s="40" t="s">
        <v>1792</v>
      </c>
      <c r="W39" s="825" t="s">
        <v>607</v>
      </c>
      <c r="X39" s="825" t="s">
        <v>608</v>
      </c>
      <c r="Y39" s="457"/>
      <c r="Z39" s="629" t="s">
        <v>1643</v>
      </c>
      <c r="AA39" s="631" t="s">
        <v>1461</v>
      </c>
      <c r="AB39" s="459" t="s">
        <v>1714</v>
      </c>
      <c r="AC39" s="460">
        <v>5</v>
      </c>
      <c r="AD39" s="459" t="s">
        <v>1734</v>
      </c>
      <c r="AE39" s="630" t="s">
        <v>607</v>
      </c>
      <c r="AF39" s="630" t="s">
        <v>608</v>
      </c>
      <c r="AG39" s="457"/>
      <c r="AH39" s="895" t="s">
        <v>1257</v>
      </c>
      <c r="AI39" s="632" t="s">
        <v>1452</v>
      </c>
      <c r="AJ39" s="459" t="s">
        <v>1803</v>
      </c>
      <c r="AK39" s="460">
        <v>10.3</v>
      </c>
      <c r="AL39" s="459" t="s">
        <v>1804</v>
      </c>
      <c r="AM39" s="630" t="s">
        <v>607</v>
      </c>
      <c r="AN39" s="630" t="s">
        <v>608</v>
      </c>
      <c r="AO39" s="457"/>
      <c r="AP39" s="458" t="s">
        <v>2379</v>
      </c>
      <c r="AQ39" s="632" t="s">
        <v>1570</v>
      </c>
      <c r="AR39" s="395" t="s">
        <v>2436</v>
      </c>
      <c r="AS39" s="41">
        <v>7.69</v>
      </c>
      <c r="AT39" s="395" t="s">
        <v>2437</v>
      </c>
      <c r="AU39" s="486" t="s">
        <v>607</v>
      </c>
      <c r="AV39" s="486" t="s">
        <v>608</v>
      </c>
      <c r="AW39" s="461"/>
      <c r="AX39" s="458" t="s">
        <v>1263</v>
      </c>
      <c r="AY39" s="633" t="s">
        <v>1453</v>
      </c>
      <c r="AZ39" s="390" t="s">
        <v>2440</v>
      </c>
      <c r="BA39" s="454">
        <v>10.25</v>
      </c>
      <c r="BB39" s="390" t="s">
        <v>1756</v>
      </c>
      <c r="BC39" s="630" t="s">
        <v>607</v>
      </c>
      <c r="BD39" s="486" t="s">
        <v>608</v>
      </c>
      <c r="BF39" s="458" t="s">
        <v>1610</v>
      </c>
      <c r="BG39" s="633" t="s">
        <v>1571</v>
      </c>
      <c r="BH39" s="396" t="s">
        <v>2398</v>
      </c>
      <c r="BI39" s="41">
        <v>8.48</v>
      </c>
      <c r="BJ39" s="396" t="s">
        <v>2405</v>
      </c>
      <c r="BK39" s="486" t="s">
        <v>607</v>
      </c>
      <c r="BL39" s="486" t="s">
        <v>608</v>
      </c>
    </row>
    <row r="40" spans="1:64" s="298" customFormat="1" ht="11.25" customHeight="1">
      <c r="A40" s="552"/>
      <c r="B40" s="1170" t="s">
        <v>1236</v>
      </c>
      <c r="C40" s="983" t="s">
        <v>1450</v>
      </c>
      <c r="D40" s="1173" t="s">
        <v>1958</v>
      </c>
      <c r="E40" s="505">
        <v>11.23</v>
      </c>
      <c r="F40" s="1173" t="s">
        <v>1959</v>
      </c>
      <c r="G40" s="1172" t="s">
        <v>607</v>
      </c>
      <c r="H40" s="1172" t="s">
        <v>608</v>
      </c>
      <c r="I40" s="508"/>
      <c r="J40" s="1366" t="s">
        <v>1220</v>
      </c>
      <c r="K40" s="1197" t="s">
        <v>1451</v>
      </c>
      <c r="L40" s="1198" t="s">
        <v>1054</v>
      </c>
      <c r="M40" s="505">
        <v>11.85</v>
      </c>
      <c r="N40" s="1198" t="s">
        <v>835</v>
      </c>
      <c r="O40" s="1172" t="s">
        <v>607</v>
      </c>
      <c r="P40" s="1172" t="s">
        <v>608</v>
      </c>
      <c r="Q40" s="573"/>
      <c r="R40" s="1184" t="s">
        <v>1270</v>
      </c>
      <c r="S40" s="1189" t="s">
        <v>1451</v>
      </c>
      <c r="T40" s="1392" t="s">
        <v>1793</v>
      </c>
      <c r="U40" s="505">
        <v>11.25</v>
      </c>
      <c r="V40" s="501" t="s">
        <v>1794</v>
      </c>
      <c r="W40" s="1172" t="s">
        <v>607</v>
      </c>
      <c r="X40" s="1296" t="s">
        <v>608</v>
      </c>
      <c r="Y40" s="574"/>
      <c r="Z40" s="1175" t="s">
        <v>1696</v>
      </c>
      <c r="AA40" s="1177" t="s">
        <v>1455</v>
      </c>
      <c r="AB40" s="504" t="s">
        <v>840</v>
      </c>
      <c r="AC40" s="505">
        <v>5</v>
      </c>
      <c r="AD40" s="504" t="s">
        <v>683</v>
      </c>
      <c r="AE40" s="1172" t="s">
        <v>607</v>
      </c>
      <c r="AF40" s="1172" t="s">
        <v>608</v>
      </c>
      <c r="AG40" s="517"/>
      <c r="AH40" s="1176" t="s">
        <v>1258</v>
      </c>
      <c r="AI40" s="1181" t="s">
        <v>1452</v>
      </c>
      <c r="AJ40" s="504" t="s">
        <v>1805</v>
      </c>
      <c r="AK40" s="505">
        <v>10.99</v>
      </c>
      <c r="AL40" s="504" t="s">
        <v>1806</v>
      </c>
      <c r="AM40" s="1172" t="s">
        <v>607</v>
      </c>
      <c r="AN40" s="1172" t="s">
        <v>608</v>
      </c>
      <c r="AO40" s="574"/>
      <c r="AP40" s="1180" t="s">
        <v>2304</v>
      </c>
      <c r="AQ40" s="1181" t="s">
        <v>1570</v>
      </c>
      <c r="AR40" s="1190" t="s">
        <v>2451</v>
      </c>
      <c r="AS40" s="511">
        <v>7.54</v>
      </c>
      <c r="AT40" s="1190" t="s">
        <v>2452</v>
      </c>
      <c r="AU40" s="1179" t="s">
        <v>607</v>
      </c>
      <c r="AV40" s="1179" t="s">
        <v>608</v>
      </c>
      <c r="AW40" s="1187"/>
      <c r="AX40" s="1180" t="s">
        <v>1264</v>
      </c>
      <c r="AY40" s="1182" t="s">
        <v>1453</v>
      </c>
      <c r="AZ40" s="1305" t="s">
        <v>2441</v>
      </c>
      <c r="BA40" s="550">
        <v>10.85</v>
      </c>
      <c r="BB40" s="1305" t="s">
        <v>2403</v>
      </c>
      <c r="BC40" s="1172" t="s">
        <v>607</v>
      </c>
      <c r="BD40" s="1179" t="s">
        <v>608</v>
      </c>
      <c r="BE40" s="517"/>
      <c r="BF40" s="1201" t="s">
        <v>1611</v>
      </c>
      <c r="BG40" s="1182" t="s">
        <v>1571</v>
      </c>
      <c r="BH40" s="508" t="s">
        <v>2436</v>
      </c>
      <c r="BI40" s="511">
        <v>8.19</v>
      </c>
      <c r="BJ40" s="508" t="s">
        <v>2438</v>
      </c>
      <c r="BK40" s="1179" t="s">
        <v>607</v>
      </c>
      <c r="BL40" s="1179" t="s">
        <v>608</v>
      </c>
    </row>
    <row r="41" spans="1:64" s="298" customFormat="1" ht="11.25" customHeight="1">
      <c r="A41" s="447"/>
      <c r="B41" s="448" t="s">
        <v>1237</v>
      </c>
      <c r="C41" s="633" t="s">
        <v>1450</v>
      </c>
      <c r="D41" s="636" t="s">
        <v>1964</v>
      </c>
      <c r="E41" s="460">
        <v>11.11</v>
      </c>
      <c r="F41" s="636" t="s">
        <v>1965</v>
      </c>
      <c r="G41" s="630" t="s">
        <v>607</v>
      </c>
      <c r="H41" s="630" t="s">
        <v>608</v>
      </c>
      <c r="J41" s="475" t="s">
        <v>1221</v>
      </c>
      <c r="K41" s="629" t="s">
        <v>1451</v>
      </c>
      <c r="L41" s="636" t="s">
        <v>1055</v>
      </c>
      <c r="M41" s="460">
        <v>11.74</v>
      </c>
      <c r="N41" s="636" t="s">
        <v>836</v>
      </c>
      <c r="O41" s="630" t="s">
        <v>607</v>
      </c>
      <c r="P41" s="630" t="s">
        <v>608</v>
      </c>
      <c r="Q41" s="462"/>
      <c r="R41" s="1369" t="s">
        <v>1271</v>
      </c>
      <c r="S41" s="824" t="s">
        <v>1451</v>
      </c>
      <c r="T41" s="390" t="s">
        <v>1795</v>
      </c>
      <c r="U41" s="459">
        <v>11.35</v>
      </c>
      <c r="V41" s="416" t="s">
        <v>1796</v>
      </c>
      <c r="W41" s="630" t="s">
        <v>607</v>
      </c>
      <c r="X41" s="1295" t="s">
        <v>608</v>
      </c>
      <c r="Y41" s="457"/>
      <c r="Z41" s="629" t="s">
        <v>1822</v>
      </c>
      <c r="AA41" s="631" t="s">
        <v>1456</v>
      </c>
      <c r="AB41" s="459" t="s">
        <v>840</v>
      </c>
      <c r="AC41" s="460">
        <v>5</v>
      </c>
      <c r="AD41" s="459" t="s">
        <v>684</v>
      </c>
      <c r="AE41" s="630" t="s">
        <v>607</v>
      </c>
      <c r="AF41" s="630" t="s">
        <v>608</v>
      </c>
      <c r="AG41" s="457"/>
      <c r="AH41" s="458" t="s">
        <v>1259</v>
      </c>
      <c r="AI41" s="632" t="s">
        <v>1452</v>
      </c>
      <c r="AJ41" s="40" t="s">
        <v>1807</v>
      </c>
      <c r="AK41" s="41">
        <v>11</v>
      </c>
      <c r="AL41" s="40" t="s">
        <v>1808</v>
      </c>
      <c r="AM41" s="486" t="s">
        <v>607</v>
      </c>
      <c r="AN41" s="630" t="s">
        <v>608</v>
      </c>
      <c r="AO41" s="457"/>
      <c r="AP41" s="458" t="s">
        <v>2461</v>
      </c>
      <c r="AQ41" s="632" t="s">
        <v>1570</v>
      </c>
      <c r="AR41" s="395" t="s">
        <v>2462</v>
      </c>
      <c r="AS41" s="41">
        <v>7.75</v>
      </c>
      <c r="AT41" s="395" t="s">
        <v>1758</v>
      </c>
      <c r="AU41" s="486" t="s">
        <v>607</v>
      </c>
      <c r="AV41" s="486" t="s">
        <v>608</v>
      </c>
      <c r="AW41" s="461"/>
      <c r="AX41" s="458" t="s">
        <v>1265</v>
      </c>
      <c r="AY41" s="633" t="s">
        <v>1453</v>
      </c>
      <c r="AZ41" s="390" t="s">
        <v>2439</v>
      </c>
      <c r="BA41" s="454">
        <v>11.5</v>
      </c>
      <c r="BB41" s="390" t="s">
        <v>1430</v>
      </c>
      <c r="BC41" s="630" t="s">
        <v>607</v>
      </c>
      <c r="BD41" s="486" t="s">
        <v>608</v>
      </c>
      <c r="BF41" s="1200" t="s">
        <v>1612</v>
      </c>
      <c r="BG41" s="633" t="s">
        <v>1571</v>
      </c>
      <c r="BH41" s="40" t="s">
        <v>2451</v>
      </c>
      <c r="BI41" s="41">
        <v>8</v>
      </c>
      <c r="BJ41" s="40" t="s">
        <v>2454</v>
      </c>
      <c r="BK41" s="486" t="s">
        <v>607</v>
      </c>
      <c r="BL41" s="486" t="s">
        <v>608</v>
      </c>
    </row>
    <row r="42" spans="1:64" s="298" customFormat="1" ht="11.25" customHeight="1">
      <c r="A42" s="552"/>
      <c r="B42" s="1170" t="s">
        <v>1238</v>
      </c>
      <c r="C42" s="1182" t="s">
        <v>1450</v>
      </c>
      <c r="D42" s="1173" t="s">
        <v>1974</v>
      </c>
      <c r="E42" s="505">
        <v>10.66</v>
      </c>
      <c r="F42" s="1173" t="s">
        <v>1975</v>
      </c>
      <c r="G42" s="1172" t="s">
        <v>607</v>
      </c>
      <c r="H42" s="1172" t="s">
        <v>608</v>
      </c>
      <c r="I42" s="517"/>
      <c r="J42" s="1366" t="s">
        <v>1222</v>
      </c>
      <c r="K42" s="1175" t="s">
        <v>1451</v>
      </c>
      <c r="L42" s="1173" t="s">
        <v>1056</v>
      </c>
      <c r="M42" s="505">
        <v>11.74</v>
      </c>
      <c r="N42" s="1173" t="s">
        <v>837</v>
      </c>
      <c r="O42" s="1172" t="s">
        <v>607</v>
      </c>
      <c r="P42" s="1172" t="s">
        <v>608</v>
      </c>
      <c r="Q42" s="573"/>
      <c r="R42" s="1184" t="s">
        <v>1272</v>
      </c>
      <c r="S42" s="1177" t="s">
        <v>1451</v>
      </c>
      <c r="T42" s="547" t="s">
        <v>1716</v>
      </c>
      <c r="U42" s="551">
        <v>11.5</v>
      </c>
      <c r="V42" s="513" t="s">
        <v>1718</v>
      </c>
      <c r="W42" s="1172" t="s">
        <v>607</v>
      </c>
      <c r="X42" s="1172" t="s">
        <v>608</v>
      </c>
      <c r="Y42" s="574"/>
      <c r="Z42" s="1186" t="s">
        <v>1831</v>
      </c>
      <c r="AA42" s="1177" t="s">
        <v>1462</v>
      </c>
      <c r="AB42" s="504" t="s">
        <v>1714</v>
      </c>
      <c r="AC42" s="505">
        <v>5</v>
      </c>
      <c r="AD42" s="504" t="s">
        <v>1735</v>
      </c>
      <c r="AE42" s="1172" t="s">
        <v>607</v>
      </c>
      <c r="AF42" s="1172" t="s">
        <v>608</v>
      </c>
      <c r="AG42" s="574"/>
      <c r="AH42" s="1180" t="s">
        <v>1260</v>
      </c>
      <c r="AI42" s="1181" t="s">
        <v>1452</v>
      </c>
      <c r="AJ42" s="508" t="s">
        <v>1809</v>
      </c>
      <c r="AK42" s="511">
        <v>11</v>
      </c>
      <c r="AL42" s="508" t="s">
        <v>1810</v>
      </c>
      <c r="AM42" s="1179" t="s">
        <v>607</v>
      </c>
      <c r="AN42" s="1172" t="s">
        <v>608</v>
      </c>
      <c r="AO42" s="517"/>
      <c r="AP42" s="1180" t="s">
        <v>2479</v>
      </c>
      <c r="AQ42" s="1181" t="s">
        <v>1570</v>
      </c>
      <c r="AR42" s="1190" t="s">
        <v>2480</v>
      </c>
      <c r="AS42" s="511">
        <v>7.64</v>
      </c>
      <c r="AT42" s="1190" t="s">
        <v>2481</v>
      </c>
      <c r="AU42" s="1179" t="s">
        <v>607</v>
      </c>
      <c r="AV42" s="1179" t="s">
        <v>608</v>
      </c>
      <c r="AW42" s="1187"/>
      <c r="AX42" s="1180" t="s">
        <v>1266</v>
      </c>
      <c r="AY42" s="1182" t="s">
        <v>1453</v>
      </c>
      <c r="AZ42" s="1305" t="s">
        <v>1757</v>
      </c>
      <c r="BA42" s="550">
        <v>11.5</v>
      </c>
      <c r="BB42" s="1305" t="s">
        <v>1758</v>
      </c>
      <c r="BC42" s="1172" t="s">
        <v>607</v>
      </c>
      <c r="BD42" s="1179" t="s">
        <v>608</v>
      </c>
      <c r="BE42" s="517"/>
      <c r="BF42" s="1202" t="s">
        <v>2433</v>
      </c>
      <c r="BG42" s="1182" t="s">
        <v>1571</v>
      </c>
      <c r="BH42" s="508" t="s">
        <v>2462</v>
      </c>
      <c r="BI42" s="511">
        <v>7.94</v>
      </c>
      <c r="BJ42" s="508" t="s">
        <v>2463</v>
      </c>
      <c r="BK42" s="1179" t="s">
        <v>607</v>
      </c>
      <c r="BL42" s="1179" t="s">
        <v>608</v>
      </c>
    </row>
    <row r="43" spans="1:64" s="298" customFormat="1" ht="11.25" customHeight="1">
      <c r="A43" s="447"/>
      <c r="B43" s="448" t="s">
        <v>1239</v>
      </c>
      <c r="C43" s="634" t="s">
        <v>1450</v>
      </c>
      <c r="D43" s="636" t="s">
        <v>1978</v>
      </c>
      <c r="E43" s="460">
        <v>10.25</v>
      </c>
      <c r="F43" s="636" t="s">
        <v>1979</v>
      </c>
      <c r="G43" s="630" t="s">
        <v>607</v>
      </c>
      <c r="H43" s="630" t="s">
        <v>608</v>
      </c>
      <c r="J43" s="464" t="s">
        <v>1223</v>
      </c>
      <c r="K43" s="629" t="s">
        <v>1451</v>
      </c>
      <c r="L43" s="636" t="s">
        <v>52</v>
      </c>
      <c r="M43" s="460">
        <v>11.74</v>
      </c>
      <c r="N43" s="636" t="s">
        <v>64</v>
      </c>
      <c r="O43" s="630" t="s">
        <v>607</v>
      </c>
      <c r="P43" s="630" t="s">
        <v>608</v>
      </c>
      <c r="Q43" s="429"/>
      <c r="R43" s="895" t="s">
        <v>1273</v>
      </c>
      <c r="S43" s="631" t="s">
        <v>1451</v>
      </c>
      <c r="T43" s="428" t="s">
        <v>1717</v>
      </c>
      <c r="U43" s="20">
        <v>11.56</v>
      </c>
      <c r="V43" s="398" t="s">
        <v>1719</v>
      </c>
      <c r="W43" s="486" t="s">
        <v>607</v>
      </c>
      <c r="X43" s="630" t="s">
        <v>608</v>
      </c>
      <c r="Z43" s="629" t="s">
        <v>1843</v>
      </c>
      <c r="AA43" s="823" t="s">
        <v>1463</v>
      </c>
      <c r="AB43" s="428" t="s">
        <v>1714</v>
      </c>
      <c r="AC43" s="20">
        <v>5</v>
      </c>
      <c r="AD43" s="398" t="s">
        <v>1735</v>
      </c>
      <c r="AE43" s="486" t="s">
        <v>607</v>
      </c>
      <c r="AF43" s="630" t="s">
        <v>608</v>
      </c>
      <c r="AH43" s="482" t="s">
        <v>1261</v>
      </c>
      <c r="AI43" s="482" t="s">
        <v>1452</v>
      </c>
      <c r="AJ43" s="40" t="s">
        <v>1811</v>
      </c>
      <c r="AK43" s="41">
        <v>11.5</v>
      </c>
      <c r="AL43" s="40" t="s">
        <v>1812</v>
      </c>
      <c r="AM43" s="486" t="s">
        <v>607</v>
      </c>
      <c r="AN43" s="825" t="s">
        <v>608</v>
      </c>
      <c r="AO43" s="457"/>
      <c r="AP43" s="895" t="s">
        <v>2494</v>
      </c>
      <c r="AQ43" s="632" t="s">
        <v>1570</v>
      </c>
      <c r="AR43" s="636" t="s">
        <v>2495</v>
      </c>
      <c r="AS43" s="460">
        <v>7.48</v>
      </c>
      <c r="AT43" s="636" t="s">
        <v>2496</v>
      </c>
      <c r="AU43" s="630" t="s">
        <v>607</v>
      </c>
      <c r="AV43" s="630" t="s">
        <v>608</v>
      </c>
      <c r="AX43" s="458" t="s">
        <v>1265</v>
      </c>
      <c r="AY43" s="633" t="s">
        <v>1453</v>
      </c>
      <c r="AZ43" s="390" t="s">
        <v>2453</v>
      </c>
      <c r="BA43" s="454">
        <v>11.5</v>
      </c>
      <c r="BB43" s="390" t="s">
        <v>1429</v>
      </c>
      <c r="BC43" s="630" t="s">
        <v>607</v>
      </c>
      <c r="BD43" s="486" t="s">
        <v>608</v>
      </c>
      <c r="BF43" s="1213" t="s">
        <v>1613</v>
      </c>
      <c r="BG43" s="633" t="s">
        <v>1571</v>
      </c>
      <c r="BH43" s="40" t="s">
        <v>2480</v>
      </c>
      <c r="BI43" s="41">
        <v>7.89</v>
      </c>
      <c r="BJ43" s="40" t="s">
        <v>2482</v>
      </c>
      <c r="BK43" s="486" t="s">
        <v>607</v>
      </c>
      <c r="BL43" s="486" t="s">
        <v>608</v>
      </c>
    </row>
    <row r="44" spans="1:64" s="298" customFormat="1" ht="11.25" customHeight="1">
      <c r="A44" s="552"/>
      <c r="B44" s="1170" t="s">
        <v>1240</v>
      </c>
      <c r="C44" s="1182" t="s">
        <v>1450</v>
      </c>
      <c r="D44" s="1173" t="s">
        <v>1988</v>
      </c>
      <c r="E44" s="505">
        <v>10.1</v>
      </c>
      <c r="F44" s="1173" t="s">
        <v>1989</v>
      </c>
      <c r="G44" s="1172" t="s">
        <v>607</v>
      </c>
      <c r="H44" s="1172" t="s">
        <v>608</v>
      </c>
      <c r="I44" s="517"/>
      <c r="J44" s="1174" t="s">
        <v>1224</v>
      </c>
      <c r="K44" s="1175" t="s">
        <v>1451</v>
      </c>
      <c r="L44" s="1173" t="s">
        <v>53</v>
      </c>
      <c r="M44" s="505">
        <v>11.72</v>
      </c>
      <c r="N44" s="1173" t="s">
        <v>65</v>
      </c>
      <c r="O44" s="1172" t="s">
        <v>607</v>
      </c>
      <c r="P44" s="1172" t="s">
        <v>608</v>
      </c>
      <c r="Q44" s="527"/>
      <c r="R44" s="1176" t="s">
        <v>1274</v>
      </c>
      <c r="S44" s="1177" t="s">
        <v>1451</v>
      </c>
      <c r="T44" s="547" t="s">
        <v>1720</v>
      </c>
      <c r="U44" s="551">
        <v>11.6</v>
      </c>
      <c r="V44" s="513" t="s">
        <v>1721</v>
      </c>
      <c r="W44" s="1179" t="s">
        <v>607</v>
      </c>
      <c r="X44" s="1172" t="s">
        <v>608</v>
      </c>
      <c r="Y44" s="574"/>
      <c r="Z44" s="1186" t="s">
        <v>1888</v>
      </c>
      <c r="AA44" s="1178" t="s">
        <v>1464</v>
      </c>
      <c r="AB44" s="504" t="s">
        <v>1714</v>
      </c>
      <c r="AC44" s="550">
        <v>5</v>
      </c>
      <c r="AD44" s="501" t="s">
        <v>1735</v>
      </c>
      <c r="AE44" s="1172" t="s">
        <v>607</v>
      </c>
      <c r="AF44" s="1172" t="s">
        <v>608</v>
      </c>
      <c r="AG44" s="517"/>
      <c r="AH44" s="1180" t="s">
        <v>1262</v>
      </c>
      <c r="AI44" s="1181" t="s">
        <v>1452</v>
      </c>
      <c r="AJ44" s="508" t="s">
        <v>1813</v>
      </c>
      <c r="AK44" s="511">
        <v>11.5</v>
      </c>
      <c r="AL44" s="508" t="s">
        <v>1814</v>
      </c>
      <c r="AM44" s="1179" t="s">
        <v>607</v>
      </c>
      <c r="AN44" s="1172" t="s">
        <v>608</v>
      </c>
      <c r="AO44" s="574"/>
      <c r="AP44" s="1176" t="s">
        <v>2543</v>
      </c>
      <c r="AQ44" s="1181" t="s">
        <v>1570</v>
      </c>
      <c r="AR44" s="1173" t="s">
        <v>2544</v>
      </c>
      <c r="AS44" s="505">
        <v>7.25</v>
      </c>
      <c r="AT44" s="1173" t="s">
        <v>2545</v>
      </c>
      <c r="AU44" s="1172" t="s">
        <v>607</v>
      </c>
      <c r="AV44" s="1172" t="s">
        <v>608</v>
      </c>
      <c r="AW44" s="547"/>
      <c r="AX44" s="1176" t="s">
        <v>1267</v>
      </c>
      <c r="AY44" s="983" t="s">
        <v>1453</v>
      </c>
      <c r="AZ44" s="1185" t="s">
        <v>1427</v>
      </c>
      <c r="BA44" s="505">
        <v>11.95</v>
      </c>
      <c r="BB44" s="1185" t="s">
        <v>1428</v>
      </c>
      <c r="BC44" s="1172" t="s">
        <v>607</v>
      </c>
      <c r="BD44" s="1172" t="s">
        <v>608</v>
      </c>
      <c r="BE44" s="517"/>
      <c r="BF44" s="1202" t="s">
        <v>2497</v>
      </c>
      <c r="BG44" s="1182" t="s">
        <v>1571</v>
      </c>
      <c r="BH44" s="508" t="s">
        <v>2495</v>
      </c>
      <c r="BI44" s="511">
        <v>7.78</v>
      </c>
      <c r="BJ44" s="508" t="s">
        <v>2498</v>
      </c>
      <c r="BK44" s="1179" t="s">
        <v>607</v>
      </c>
      <c r="BL44" s="1179" t="s">
        <v>608</v>
      </c>
    </row>
    <row r="45" spans="1:64" s="298" customFormat="1" ht="11.25" customHeight="1">
      <c r="A45" s="447"/>
      <c r="B45" s="448" t="s">
        <v>1241</v>
      </c>
      <c r="C45" s="633" t="s">
        <v>1450</v>
      </c>
      <c r="D45" s="636" t="s">
        <v>1998</v>
      </c>
      <c r="E45" s="460">
        <v>10.1</v>
      </c>
      <c r="F45" s="636" t="s">
        <v>1999</v>
      </c>
      <c r="G45" s="630" t="s">
        <v>607</v>
      </c>
      <c r="H45" s="630" t="s">
        <v>608</v>
      </c>
      <c r="I45" s="457"/>
      <c r="J45" s="1367" t="s">
        <v>1225</v>
      </c>
      <c r="K45" s="629" t="s">
        <v>1451</v>
      </c>
      <c r="L45" s="390" t="s">
        <v>1095</v>
      </c>
      <c r="M45" s="454">
        <v>11.72</v>
      </c>
      <c r="N45" s="390" t="s">
        <v>1096</v>
      </c>
      <c r="O45" s="630" t="s">
        <v>607</v>
      </c>
      <c r="P45" s="630" t="s">
        <v>608</v>
      </c>
      <c r="Q45" s="429"/>
      <c r="R45" s="458" t="s">
        <v>1275</v>
      </c>
      <c r="S45" s="631" t="s">
        <v>1451</v>
      </c>
      <c r="T45" s="390" t="s">
        <v>1722</v>
      </c>
      <c r="U45" s="454">
        <v>11.6</v>
      </c>
      <c r="V45" s="826" t="s">
        <v>838</v>
      </c>
      <c r="W45" s="486" t="s">
        <v>607</v>
      </c>
      <c r="X45" s="630" t="s">
        <v>608</v>
      </c>
      <c r="Y45" s="457"/>
      <c r="Z45" s="463" t="s">
        <v>2752</v>
      </c>
      <c r="AA45" s="823" t="s">
        <v>1457</v>
      </c>
      <c r="AB45" s="40" t="s">
        <v>840</v>
      </c>
      <c r="AC45" s="20">
        <v>5</v>
      </c>
      <c r="AD45" s="398" t="s">
        <v>685</v>
      </c>
      <c r="AE45" s="486" t="s">
        <v>607</v>
      </c>
      <c r="AF45" s="630" t="s">
        <v>608</v>
      </c>
      <c r="AH45" s="895" t="s">
        <v>1263</v>
      </c>
      <c r="AI45" s="632" t="s">
        <v>1452</v>
      </c>
      <c r="AJ45" s="459" t="s">
        <v>1815</v>
      </c>
      <c r="AK45" s="460">
        <v>11.6</v>
      </c>
      <c r="AL45" s="459" t="s">
        <v>1816</v>
      </c>
      <c r="AM45" s="630" t="s">
        <v>607</v>
      </c>
      <c r="AN45" s="630" t="s">
        <v>608</v>
      </c>
      <c r="AP45" s="895" t="s">
        <v>2737</v>
      </c>
      <c r="AQ45" s="632" t="s">
        <v>1570</v>
      </c>
      <c r="AR45" s="636" t="s">
        <v>2738</v>
      </c>
      <c r="AS45" s="460">
        <v>7.7</v>
      </c>
      <c r="AT45" s="636" t="s">
        <v>2739</v>
      </c>
      <c r="AU45" s="630" t="s">
        <v>607</v>
      </c>
      <c r="AV45" s="630" t="s">
        <v>608</v>
      </c>
      <c r="AX45" s="895" t="s">
        <v>1268</v>
      </c>
      <c r="AY45" s="634" t="s">
        <v>1453</v>
      </c>
      <c r="AZ45" s="396" t="s">
        <v>1472</v>
      </c>
      <c r="BA45" s="41">
        <v>11.95</v>
      </c>
      <c r="BB45" s="396" t="s">
        <v>1484</v>
      </c>
      <c r="BC45" s="630" t="s">
        <v>607</v>
      </c>
      <c r="BD45" s="630" t="s">
        <v>608</v>
      </c>
      <c r="BF45" s="458" t="s">
        <v>2546</v>
      </c>
      <c r="BG45" s="633" t="s">
        <v>1571</v>
      </c>
      <c r="BH45" s="40" t="s">
        <v>2544</v>
      </c>
      <c r="BI45" s="41">
        <v>7.6</v>
      </c>
      <c r="BJ45" s="40" t="s">
        <v>2547</v>
      </c>
      <c r="BK45" s="486" t="s">
        <v>607</v>
      </c>
      <c r="BL45" s="486" t="s">
        <v>608</v>
      </c>
    </row>
    <row r="46" spans="1:64" s="298" customFormat="1" ht="11.25" customHeight="1">
      <c r="A46" s="552"/>
      <c r="B46" s="1170" t="s">
        <v>1242</v>
      </c>
      <c r="C46" s="983" t="s">
        <v>1450</v>
      </c>
      <c r="D46" s="1173" t="s">
        <v>2012</v>
      </c>
      <c r="E46" s="505">
        <v>10</v>
      </c>
      <c r="F46" s="1173" t="s">
        <v>2013</v>
      </c>
      <c r="G46" s="1172" t="s">
        <v>607</v>
      </c>
      <c r="H46" s="1172" t="s">
        <v>608</v>
      </c>
      <c r="I46" s="574"/>
      <c r="J46" s="1174" t="s">
        <v>1226</v>
      </c>
      <c r="K46" s="1177" t="s">
        <v>1451</v>
      </c>
      <c r="L46" s="501" t="s">
        <v>54</v>
      </c>
      <c r="M46" s="499">
        <v>11.72</v>
      </c>
      <c r="N46" s="501" t="s">
        <v>66</v>
      </c>
      <c r="O46" s="1274" t="s">
        <v>607</v>
      </c>
      <c r="P46" s="1172" t="s">
        <v>608</v>
      </c>
      <c r="Q46" s="527"/>
      <c r="R46" s="1180" t="s">
        <v>1276</v>
      </c>
      <c r="S46" s="1177" t="s">
        <v>1451</v>
      </c>
      <c r="T46" s="1392" t="s">
        <v>1723</v>
      </c>
      <c r="U46" s="550">
        <v>11.75</v>
      </c>
      <c r="V46" s="501" t="s">
        <v>1724</v>
      </c>
      <c r="W46" s="1172" t="s">
        <v>607</v>
      </c>
      <c r="X46" s="1172" t="s">
        <v>608</v>
      </c>
      <c r="Y46" s="574" t="s">
        <v>1044</v>
      </c>
      <c r="Z46" s="1175" t="s">
        <v>1219</v>
      </c>
      <c r="AA46" s="1178" t="s">
        <v>1452</v>
      </c>
      <c r="AB46" s="504" t="s">
        <v>839</v>
      </c>
      <c r="AC46" s="550">
        <v>13.48</v>
      </c>
      <c r="AD46" s="501" t="s">
        <v>851</v>
      </c>
      <c r="AE46" s="1172" t="s">
        <v>607</v>
      </c>
      <c r="AF46" s="1172" t="s">
        <v>608</v>
      </c>
      <c r="AG46" s="517"/>
      <c r="AH46" s="1180" t="s">
        <v>1264</v>
      </c>
      <c r="AI46" s="1181" t="s">
        <v>1452</v>
      </c>
      <c r="AJ46" s="508" t="s">
        <v>1736</v>
      </c>
      <c r="AK46" s="511">
        <v>11.7</v>
      </c>
      <c r="AL46" s="508" t="s">
        <v>1737</v>
      </c>
      <c r="AM46" s="1179" t="s">
        <v>607</v>
      </c>
      <c r="AN46" s="1172" t="s">
        <v>608</v>
      </c>
      <c r="AO46" s="508" t="s">
        <v>1046</v>
      </c>
      <c r="AP46" s="1176" t="s">
        <v>1219</v>
      </c>
      <c r="AQ46" s="1181" t="s">
        <v>1453</v>
      </c>
      <c r="AR46" s="1173" t="s">
        <v>856</v>
      </c>
      <c r="AS46" s="505">
        <v>14.23</v>
      </c>
      <c r="AT46" s="1173" t="s">
        <v>860</v>
      </c>
      <c r="AU46" s="1172" t="s">
        <v>607</v>
      </c>
      <c r="AV46" s="1172" t="s">
        <v>608</v>
      </c>
      <c r="AW46" s="547"/>
      <c r="AX46" s="1176" t="s">
        <v>1269</v>
      </c>
      <c r="AY46" s="983" t="s">
        <v>1453</v>
      </c>
      <c r="AZ46" s="1183" t="s">
        <v>1485</v>
      </c>
      <c r="BA46" s="511">
        <v>12.03</v>
      </c>
      <c r="BB46" s="1183" t="s">
        <v>1486</v>
      </c>
      <c r="BC46" s="1172" t="s">
        <v>607</v>
      </c>
      <c r="BD46" s="1172" t="s">
        <v>608</v>
      </c>
      <c r="BE46" s="508"/>
      <c r="BF46" s="1180" t="s">
        <v>2740</v>
      </c>
      <c r="BG46" s="1182" t="s">
        <v>1571</v>
      </c>
      <c r="BH46" s="508" t="s">
        <v>2738</v>
      </c>
      <c r="BI46" s="511">
        <v>8.0500000000000007</v>
      </c>
      <c r="BJ46" s="508" t="s">
        <v>2741</v>
      </c>
      <c r="BK46" s="1179" t="s">
        <v>607</v>
      </c>
      <c r="BL46" s="1179" t="s">
        <v>608</v>
      </c>
    </row>
    <row r="47" spans="1:64" s="298" customFormat="1" ht="11.25" customHeight="1">
      <c r="A47" s="447"/>
      <c r="B47" s="448" t="s">
        <v>1243</v>
      </c>
      <c r="C47" s="634" t="s">
        <v>1450</v>
      </c>
      <c r="D47" s="636" t="s">
        <v>2018</v>
      </c>
      <c r="E47" s="460">
        <v>9.82</v>
      </c>
      <c r="F47" s="636" t="s">
        <v>2019</v>
      </c>
      <c r="G47" s="630" t="s">
        <v>607</v>
      </c>
      <c r="H47" s="630" t="s">
        <v>608</v>
      </c>
      <c r="I47" s="428"/>
      <c r="J47" s="448" t="s">
        <v>1227</v>
      </c>
      <c r="K47" s="631" t="s">
        <v>1451</v>
      </c>
      <c r="L47" s="390" t="s">
        <v>55</v>
      </c>
      <c r="M47" s="454">
        <v>11.7</v>
      </c>
      <c r="N47" s="390" t="s">
        <v>67</v>
      </c>
      <c r="O47" s="1231" t="s">
        <v>607</v>
      </c>
      <c r="P47" s="630" t="s">
        <v>608</v>
      </c>
      <c r="Q47" s="429"/>
      <c r="R47" s="456" t="s">
        <v>1277</v>
      </c>
      <c r="S47" s="631" t="s">
        <v>1451</v>
      </c>
      <c r="T47" s="390" t="s">
        <v>1725</v>
      </c>
      <c r="U47" s="454">
        <v>11.75</v>
      </c>
      <c r="V47" s="416" t="s">
        <v>851</v>
      </c>
      <c r="W47" s="630" t="s">
        <v>607</v>
      </c>
      <c r="X47" s="630" t="s">
        <v>608</v>
      </c>
      <c r="Y47" s="459"/>
      <c r="Z47" s="629" t="s">
        <v>1220</v>
      </c>
      <c r="AA47" s="823" t="s">
        <v>1452</v>
      </c>
      <c r="AB47" s="459" t="s">
        <v>840</v>
      </c>
      <c r="AC47" s="454">
        <v>5</v>
      </c>
      <c r="AD47" s="416" t="s">
        <v>852</v>
      </c>
      <c r="AE47" s="630" t="s">
        <v>607</v>
      </c>
      <c r="AF47" s="630" t="s">
        <v>608</v>
      </c>
      <c r="AH47" s="458" t="s">
        <v>1265</v>
      </c>
      <c r="AI47" s="632" t="s">
        <v>1452</v>
      </c>
      <c r="AJ47" s="40" t="s">
        <v>1738</v>
      </c>
      <c r="AK47" s="41">
        <v>11.75</v>
      </c>
      <c r="AL47" s="40" t="s">
        <v>1739</v>
      </c>
      <c r="AM47" s="486" t="s">
        <v>607</v>
      </c>
      <c r="AN47" s="630" t="s">
        <v>608</v>
      </c>
      <c r="AP47" s="895" t="s">
        <v>1220</v>
      </c>
      <c r="AQ47" s="632" t="s">
        <v>1453</v>
      </c>
      <c r="AR47" s="459" t="s">
        <v>857</v>
      </c>
      <c r="AS47" s="460">
        <v>13.88</v>
      </c>
      <c r="AT47" s="459" t="s">
        <v>861</v>
      </c>
      <c r="AU47" s="630" t="s">
        <v>607</v>
      </c>
      <c r="AV47" s="630" t="s">
        <v>608</v>
      </c>
      <c r="AX47" s="895" t="s">
        <v>1270</v>
      </c>
      <c r="AY47" s="634" t="s">
        <v>1453</v>
      </c>
      <c r="AZ47" s="396" t="s">
        <v>1487</v>
      </c>
      <c r="BA47" s="41">
        <v>12.07</v>
      </c>
      <c r="BB47" s="396" t="s">
        <v>1488</v>
      </c>
      <c r="BC47" s="630" t="s">
        <v>607</v>
      </c>
      <c r="BD47" s="630" t="s">
        <v>608</v>
      </c>
      <c r="BE47" s="428" t="s">
        <v>639</v>
      </c>
      <c r="BF47" s="458" t="s">
        <v>1219</v>
      </c>
      <c r="BG47" s="633" t="s">
        <v>1473</v>
      </c>
      <c r="BH47" s="40" t="s">
        <v>1431</v>
      </c>
      <c r="BI47" s="41">
        <v>5</v>
      </c>
      <c r="BJ47" s="40" t="s">
        <v>633</v>
      </c>
      <c r="BK47" s="486" t="s">
        <v>607</v>
      </c>
      <c r="BL47" s="486" t="s">
        <v>634</v>
      </c>
    </row>
    <row r="48" spans="1:64" s="298" customFormat="1" ht="11.25" customHeight="1">
      <c r="A48" s="552"/>
      <c r="B48" s="1170" t="s">
        <v>2186</v>
      </c>
      <c r="C48" s="983" t="s">
        <v>1450</v>
      </c>
      <c r="D48" s="1173" t="s">
        <v>2026</v>
      </c>
      <c r="E48" s="505">
        <v>9.49</v>
      </c>
      <c r="F48" s="1173" t="s">
        <v>2027</v>
      </c>
      <c r="G48" s="1172" t="s">
        <v>607</v>
      </c>
      <c r="H48" s="1172" t="s">
        <v>608</v>
      </c>
      <c r="I48" s="574"/>
      <c r="J48" s="1170" t="s">
        <v>1228</v>
      </c>
      <c r="K48" s="1177" t="s">
        <v>1451</v>
      </c>
      <c r="L48" s="1390" t="s">
        <v>56</v>
      </c>
      <c r="M48" s="550">
        <v>11.72</v>
      </c>
      <c r="N48" s="1390" t="s">
        <v>68</v>
      </c>
      <c r="O48" s="1172" t="s">
        <v>607</v>
      </c>
      <c r="P48" s="1172" t="s">
        <v>608</v>
      </c>
      <c r="Q48" s="527"/>
      <c r="R48" s="575" t="s">
        <v>1278</v>
      </c>
      <c r="S48" s="1177" t="s">
        <v>1451</v>
      </c>
      <c r="T48" s="547" t="s">
        <v>1726</v>
      </c>
      <c r="U48" s="551">
        <v>11.8</v>
      </c>
      <c r="V48" s="513" t="s">
        <v>1727</v>
      </c>
      <c r="W48" s="1172" t="s">
        <v>607</v>
      </c>
      <c r="X48" s="1172" t="s">
        <v>608</v>
      </c>
      <c r="Y48" s="574"/>
      <c r="Z48" s="1186" t="s">
        <v>1221</v>
      </c>
      <c r="AA48" s="1178" t="s">
        <v>1452</v>
      </c>
      <c r="AB48" s="547" t="s">
        <v>841</v>
      </c>
      <c r="AC48" s="551">
        <v>13.2</v>
      </c>
      <c r="AD48" s="513" t="s">
        <v>853</v>
      </c>
      <c r="AE48" s="1179" t="s">
        <v>607</v>
      </c>
      <c r="AF48" s="1172" t="s">
        <v>608</v>
      </c>
      <c r="AG48" s="517"/>
      <c r="AH48" s="1180" t="s">
        <v>1266</v>
      </c>
      <c r="AI48" s="1181" t="s">
        <v>1452</v>
      </c>
      <c r="AJ48" s="508" t="s">
        <v>1740</v>
      </c>
      <c r="AK48" s="511">
        <v>11.8</v>
      </c>
      <c r="AL48" s="508" t="s">
        <v>1741</v>
      </c>
      <c r="AM48" s="1179" t="s">
        <v>607</v>
      </c>
      <c r="AN48" s="1172" t="s">
        <v>608</v>
      </c>
      <c r="AO48" s="517"/>
      <c r="AP48" s="1176" t="s">
        <v>1221</v>
      </c>
      <c r="AQ48" s="1181" t="s">
        <v>1453</v>
      </c>
      <c r="AR48" s="504" t="s">
        <v>858</v>
      </c>
      <c r="AS48" s="505">
        <v>13.49</v>
      </c>
      <c r="AT48" s="504" t="s">
        <v>862</v>
      </c>
      <c r="AU48" s="1172" t="s">
        <v>607</v>
      </c>
      <c r="AV48" s="1172" t="s">
        <v>608</v>
      </c>
      <c r="AW48" s="547"/>
      <c r="AX48" s="1180" t="s">
        <v>1271</v>
      </c>
      <c r="AY48" s="1182" t="s">
        <v>1453</v>
      </c>
      <c r="AZ48" s="1341" t="s">
        <v>1533</v>
      </c>
      <c r="BA48" s="1165">
        <v>12.1</v>
      </c>
      <c r="BB48" s="1341" t="s">
        <v>1536</v>
      </c>
      <c r="BC48" s="1179" t="s">
        <v>607</v>
      </c>
      <c r="BD48" s="1179" t="s">
        <v>608</v>
      </c>
      <c r="BE48" s="547"/>
      <c r="BF48" s="1180" t="s">
        <v>1220</v>
      </c>
      <c r="BG48" s="1182" t="s">
        <v>1473</v>
      </c>
      <c r="BH48" s="508" t="s">
        <v>1432</v>
      </c>
      <c r="BI48" s="511">
        <v>5</v>
      </c>
      <c r="BJ48" s="508" t="s">
        <v>635</v>
      </c>
      <c r="BK48" s="1179" t="s">
        <v>607</v>
      </c>
      <c r="BL48" s="1179" t="s">
        <v>634</v>
      </c>
    </row>
    <row r="49" spans="1:64" s="298" customFormat="1" ht="11.25" customHeight="1" thickBot="1">
      <c r="A49" s="461"/>
      <c r="B49" s="937" t="s">
        <v>1245</v>
      </c>
      <c r="C49" s="633" t="s">
        <v>1450</v>
      </c>
      <c r="D49" s="636" t="s">
        <v>2043</v>
      </c>
      <c r="E49" s="460">
        <v>9.59</v>
      </c>
      <c r="F49" s="636" t="s">
        <v>2044</v>
      </c>
      <c r="G49" s="630" t="s">
        <v>607</v>
      </c>
      <c r="H49" s="630" t="s">
        <v>608</v>
      </c>
      <c r="I49" s="447"/>
      <c r="J49" s="448" t="s">
        <v>1229</v>
      </c>
      <c r="K49" s="631" t="s">
        <v>1451</v>
      </c>
      <c r="L49" s="390" t="s">
        <v>57</v>
      </c>
      <c r="M49" s="454">
        <v>11.72</v>
      </c>
      <c r="N49" s="390" t="s">
        <v>69</v>
      </c>
      <c r="O49" s="630" t="s">
        <v>607</v>
      </c>
      <c r="P49" s="630" t="s">
        <v>608</v>
      </c>
      <c r="Q49" s="429"/>
      <c r="R49" s="456" t="s">
        <v>1279</v>
      </c>
      <c r="S49" s="631" t="s">
        <v>1451</v>
      </c>
      <c r="T49" s="428" t="s">
        <v>1728</v>
      </c>
      <c r="U49" s="20">
        <v>11.75</v>
      </c>
      <c r="V49" s="398" t="s">
        <v>854</v>
      </c>
      <c r="W49" s="486" t="s">
        <v>607</v>
      </c>
      <c r="X49" s="630" t="s">
        <v>608</v>
      </c>
      <c r="Y49" s="457"/>
      <c r="Z49" s="463" t="s">
        <v>1222</v>
      </c>
      <c r="AA49" s="823" t="s">
        <v>1469</v>
      </c>
      <c r="AB49" s="428" t="s">
        <v>849</v>
      </c>
      <c r="AC49" s="20">
        <v>12.94</v>
      </c>
      <c r="AD49" s="398" t="s">
        <v>854</v>
      </c>
      <c r="AE49" s="486" t="s">
        <v>607</v>
      </c>
      <c r="AF49" s="630" t="s">
        <v>608</v>
      </c>
      <c r="AG49" s="457"/>
      <c r="AH49" s="458" t="s">
        <v>1267</v>
      </c>
      <c r="AI49" s="632" t="s">
        <v>1452</v>
      </c>
      <c r="AJ49" s="40" t="s">
        <v>1742</v>
      </c>
      <c r="AK49" s="41">
        <v>11.8</v>
      </c>
      <c r="AL49" s="40" t="s">
        <v>1743</v>
      </c>
      <c r="AM49" s="486" t="s">
        <v>607</v>
      </c>
      <c r="AN49" s="630" t="s">
        <v>608</v>
      </c>
      <c r="AO49" s="457"/>
      <c r="AP49" s="895" t="s">
        <v>1222</v>
      </c>
      <c r="AQ49" s="632" t="s">
        <v>1453</v>
      </c>
      <c r="AR49" s="459" t="s">
        <v>859</v>
      </c>
      <c r="AS49" s="459">
        <v>13.29</v>
      </c>
      <c r="AT49" s="459" t="s">
        <v>863</v>
      </c>
      <c r="AU49" s="630" t="s">
        <v>607</v>
      </c>
      <c r="AV49" s="630" t="s">
        <v>608</v>
      </c>
      <c r="AX49" s="458" t="s">
        <v>1272</v>
      </c>
      <c r="AY49" s="633" t="s">
        <v>1453</v>
      </c>
      <c r="AZ49" s="40" t="s">
        <v>1534</v>
      </c>
      <c r="BA49" s="41">
        <v>11.45</v>
      </c>
      <c r="BB49" s="40" t="s">
        <v>1537</v>
      </c>
      <c r="BC49" s="630" t="s">
        <v>607</v>
      </c>
      <c r="BD49" s="630" t="s">
        <v>608</v>
      </c>
      <c r="BE49" s="1126"/>
      <c r="BF49" s="1126" t="s">
        <v>1221</v>
      </c>
      <c r="BG49" s="1572" t="s">
        <v>1473</v>
      </c>
      <c r="BH49" s="610" t="s">
        <v>1433</v>
      </c>
      <c r="BI49" s="1536">
        <v>5</v>
      </c>
      <c r="BJ49" s="610" t="s">
        <v>636</v>
      </c>
      <c r="BK49" s="1573" t="s">
        <v>607</v>
      </c>
      <c r="BL49" s="1573" t="s">
        <v>634</v>
      </c>
    </row>
    <row r="50" spans="1:64" s="298" customFormat="1" ht="11.25" customHeight="1">
      <c r="A50" s="517"/>
      <c r="B50" s="1170" t="s">
        <v>1246</v>
      </c>
      <c r="C50" s="983" t="s">
        <v>1450</v>
      </c>
      <c r="D50" s="1173" t="s">
        <v>2051</v>
      </c>
      <c r="E50" s="505">
        <v>9.66</v>
      </c>
      <c r="F50" s="1173" t="s">
        <v>2052</v>
      </c>
      <c r="G50" s="1172" t="s">
        <v>607</v>
      </c>
      <c r="H50" s="1172" t="s">
        <v>608</v>
      </c>
      <c r="I50" s="517"/>
      <c r="J50" s="1170" t="s">
        <v>1230</v>
      </c>
      <c r="K50" s="1177" t="s">
        <v>1451</v>
      </c>
      <c r="L50" s="1390" t="s">
        <v>58</v>
      </c>
      <c r="M50" s="550">
        <v>11.72</v>
      </c>
      <c r="N50" s="1390" t="s">
        <v>70</v>
      </c>
      <c r="O50" s="1172" t="s">
        <v>607</v>
      </c>
      <c r="P50" s="1172" t="s">
        <v>608</v>
      </c>
      <c r="Q50" s="527"/>
      <c r="R50" s="575" t="s">
        <v>1280</v>
      </c>
      <c r="S50" s="1177" t="s">
        <v>1451</v>
      </c>
      <c r="T50" s="1392" t="s">
        <v>1729</v>
      </c>
      <c r="U50" s="550">
        <v>11.8</v>
      </c>
      <c r="V50" s="501" t="s">
        <v>855</v>
      </c>
      <c r="W50" s="1179" t="s">
        <v>607</v>
      </c>
      <c r="X50" s="1172" t="s">
        <v>608</v>
      </c>
      <c r="Y50" s="574"/>
      <c r="Z50" s="1186" t="s">
        <v>1223</v>
      </c>
      <c r="AA50" s="1398" t="s">
        <v>1452</v>
      </c>
      <c r="AB50" s="1171" t="s">
        <v>850</v>
      </c>
      <c r="AC50" s="550">
        <v>12.89</v>
      </c>
      <c r="AD50" s="1188" t="s">
        <v>855</v>
      </c>
      <c r="AE50" s="1172" t="s">
        <v>607</v>
      </c>
      <c r="AF50" s="1172" t="s">
        <v>608</v>
      </c>
      <c r="AG50" s="517"/>
      <c r="AH50" s="1176" t="s">
        <v>1268</v>
      </c>
      <c r="AI50" s="1181" t="s">
        <v>1452</v>
      </c>
      <c r="AJ50" s="504" t="s">
        <v>1744</v>
      </c>
      <c r="AK50" s="505">
        <v>11.88</v>
      </c>
      <c r="AL50" s="504" t="s">
        <v>1745</v>
      </c>
      <c r="AM50" s="1172" t="s">
        <v>607</v>
      </c>
      <c r="AN50" s="1172" t="s">
        <v>608</v>
      </c>
      <c r="AO50" s="517"/>
      <c r="AP50" s="517" t="s">
        <v>1223</v>
      </c>
      <c r="AQ50" s="1181" t="s">
        <v>1453</v>
      </c>
      <c r="AR50" s="508" t="s">
        <v>76</v>
      </c>
      <c r="AS50" s="508">
        <v>13.19</v>
      </c>
      <c r="AT50" s="508" t="s">
        <v>90</v>
      </c>
      <c r="AU50" s="1172" t="s">
        <v>607</v>
      </c>
      <c r="AV50" s="1172" t="s">
        <v>608</v>
      </c>
      <c r="AW50" s="547"/>
      <c r="AX50" s="1180" t="s">
        <v>1273</v>
      </c>
      <c r="AY50" s="1182" t="s">
        <v>1453</v>
      </c>
      <c r="AZ50" s="1199" t="s">
        <v>1535</v>
      </c>
      <c r="BA50" s="551">
        <v>12.12</v>
      </c>
      <c r="BB50" s="1199" t="s">
        <v>1538</v>
      </c>
      <c r="BC50" s="1179" t="s">
        <v>607</v>
      </c>
      <c r="BD50" s="1179" t="s">
        <v>608</v>
      </c>
      <c r="BG50" s="633"/>
      <c r="BH50" s="40"/>
      <c r="BI50" s="41"/>
      <c r="BJ50" s="40"/>
      <c r="BK50" s="486"/>
      <c r="BL50" s="486"/>
    </row>
    <row r="51" spans="1:64" s="298" customFormat="1" ht="11.25" customHeight="1">
      <c r="B51" s="448" t="s">
        <v>1247</v>
      </c>
      <c r="C51" s="634" t="s">
        <v>1450</v>
      </c>
      <c r="D51" s="636" t="s">
        <v>2064</v>
      </c>
      <c r="E51" s="460">
        <v>9.6</v>
      </c>
      <c r="F51" s="636" t="s">
        <v>2065</v>
      </c>
      <c r="G51" s="630" t="s">
        <v>607</v>
      </c>
      <c r="H51" s="630" t="s">
        <v>608</v>
      </c>
      <c r="I51" s="429"/>
      <c r="J51" s="448" t="s">
        <v>1231</v>
      </c>
      <c r="K51" s="631" t="s">
        <v>1451</v>
      </c>
      <c r="L51" s="428" t="s">
        <v>59</v>
      </c>
      <c r="M51" s="20">
        <v>11.72</v>
      </c>
      <c r="N51" s="428" t="s">
        <v>71</v>
      </c>
      <c r="O51" s="486" t="s">
        <v>607</v>
      </c>
      <c r="P51" s="630" t="s">
        <v>608</v>
      </c>
      <c r="R51" s="456" t="s">
        <v>1281</v>
      </c>
      <c r="S51" s="631" t="s">
        <v>1451</v>
      </c>
      <c r="T51" s="390" t="s">
        <v>1730</v>
      </c>
      <c r="U51" s="454">
        <v>11.9</v>
      </c>
      <c r="V51" s="416" t="s">
        <v>622</v>
      </c>
      <c r="W51" s="630" t="s">
        <v>607</v>
      </c>
      <c r="X51" s="630" t="s">
        <v>608</v>
      </c>
      <c r="Y51" s="457"/>
      <c r="Z51" s="463" t="s">
        <v>1224</v>
      </c>
      <c r="AA51" s="1399" t="s">
        <v>1452</v>
      </c>
      <c r="AB51" s="466" t="s">
        <v>614</v>
      </c>
      <c r="AC51" s="454">
        <v>12.22</v>
      </c>
      <c r="AD51" s="826" t="s">
        <v>622</v>
      </c>
      <c r="AE51" s="630" t="s">
        <v>607</v>
      </c>
      <c r="AF51" s="630" t="s">
        <v>608</v>
      </c>
      <c r="AH51" s="895" t="s">
        <v>1269</v>
      </c>
      <c r="AI51" s="632" t="s">
        <v>1452</v>
      </c>
      <c r="AJ51" s="459" t="s">
        <v>1746</v>
      </c>
      <c r="AK51" s="460">
        <v>11.93</v>
      </c>
      <c r="AL51" s="459" t="s">
        <v>1747</v>
      </c>
      <c r="AM51" s="630" t="s">
        <v>607</v>
      </c>
      <c r="AN51" s="630" t="s">
        <v>608</v>
      </c>
      <c r="AO51" s="457"/>
      <c r="AP51" s="895" t="s">
        <v>1224</v>
      </c>
      <c r="AQ51" s="632" t="s">
        <v>1453</v>
      </c>
      <c r="AR51" s="459" t="s">
        <v>77</v>
      </c>
      <c r="AS51" s="460">
        <v>13.14</v>
      </c>
      <c r="AT51" s="459" t="s">
        <v>91</v>
      </c>
      <c r="AU51" s="630" t="s">
        <v>607</v>
      </c>
      <c r="AV51" s="630" t="s">
        <v>608</v>
      </c>
      <c r="AW51" s="390"/>
      <c r="AX51" s="458" t="s">
        <v>1274</v>
      </c>
      <c r="AY51" s="633" t="s">
        <v>1453</v>
      </c>
      <c r="AZ51" s="1212" t="s">
        <v>1543</v>
      </c>
      <c r="BA51" s="20">
        <v>12.16</v>
      </c>
      <c r="BB51" s="467" t="s">
        <v>1544</v>
      </c>
      <c r="BC51" s="486" t="s">
        <v>607</v>
      </c>
      <c r="BD51" s="486" t="s">
        <v>608</v>
      </c>
      <c r="BE51" s="462"/>
      <c r="BF51" s="458"/>
      <c r="BG51" s="634"/>
      <c r="BH51" s="390"/>
      <c r="BI51" s="454"/>
      <c r="BJ51" s="390"/>
      <c r="BK51" s="630"/>
      <c r="BL51" s="486"/>
    </row>
    <row r="52" spans="1:64" s="457" customFormat="1" ht="11.25" customHeight="1">
      <c r="A52" s="1393"/>
      <c r="B52" s="1170" t="s">
        <v>1248</v>
      </c>
      <c r="C52" s="983" t="s">
        <v>1450</v>
      </c>
      <c r="D52" s="1173" t="s">
        <v>2157</v>
      </c>
      <c r="E52" s="505">
        <v>9.5</v>
      </c>
      <c r="F52" s="1173" t="s">
        <v>2158</v>
      </c>
      <c r="G52" s="1172" t="s">
        <v>607</v>
      </c>
      <c r="H52" s="1172" t="s">
        <v>608</v>
      </c>
      <c r="I52" s="517"/>
      <c r="J52" s="1170" t="s">
        <v>1232</v>
      </c>
      <c r="K52" s="1177" t="s">
        <v>1451</v>
      </c>
      <c r="L52" s="1362" t="s">
        <v>60</v>
      </c>
      <c r="M52" s="550">
        <v>11.72</v>
      </c>
      <c r="N52" s="1362" t="s">
        <v>72</v>
      </c>
      <c r="O52" s="1172" t="s">
        <v>607</v>
      </c>
      <c r="P52" s="1172" t="s">
        <v>608</v>
      </c>
      <c r="Q52" s="574"/>
      <c r="R52" s="1177" t="s">
        <v>1282</v>
      </c>
      <c r="S52" s="1177" t="s">
        <v>1451</v>
      </c>
      <c r="T52" s="1193" t="s">
        <v>1731</v>
      </c>
      <c r="U52" s="550">
        <v>12</v>
      </c>
      <c r="V52" s="1193" t="s">
        <v>623</v>
      </c>
      <c r="W52" s="1172" t="s">
        <v>607</v>
      </c>
      <c r="X52" s="1172" t="s">
        <v>608</v>
      </c>
      <c r="Y52" s="517"/>
      <c r="Z52" s="1175" t="s">
        <v>1225</v>
      </c>
      <c r="AA52" s="1191" t="s">
        <v>1452</v>
      </c>
      <c r="AB52" s="1171" t="s">
        <v>615</v>
      </c>
      <c r="AC52" s="550">
        <v>12.22</v>
      </c>
      <c r="AD52" s="1188" t="s">
        <v>623</v>
      </c>
      <c r="AE52" s="1172" t="s">
        <v>607</v>
      </c>
      <c r="AF52" s="1172" t="s">
        <v>608</v>
      </c>
      <c r="AG52" s="573"/>
      <c r="AH52" s="1176" t="s">
        <v>1270</v>
      </c>
      <c r="AI52" s="1181" t="s">
        <v>1452</v>
      </c>
      <c r="AJ52" s="504" t="s">
        <v>1748</v>
      </c>
      <c r="AK52" s="505">
        <v>12</v>
      </c>
      <c r="AL52" s="504" t="s">
        <v>1749</v>
      </c>
      <c r="AM52" s="1172" t="s">
        <v>607</v>
      </c>
      <c r="AN52" s="1172" t="s">
        <v>608</v>
      </c>
      <c r="AO52" s="1392"/>
      <c r="AP52" s="1176" t="s">
        <v>1225</v>
      </c>
      <c r="AQ52" s="983" t="s">
        <v>1453</v>
      </c>
      <c r="AR52" s="1392" t="s">
        <v>78</v>
      </c>
      <c r="AS52" s="550">
        <v>13.04</v>
      </c>
      <c r="AT52" s="1392" t="s">
        <v>92</v>
      </c>
      <c r="AU52" s="1172" t="s">
        <v>607</v>
      </c>
      <c r="AV52" s="1172" t="s">
        <v>608</v>
      </c>
      <c r="AW52" s="1392"/>
      <c r="AX52" s="1180" t="s">
        <v>1275</v>
      </c>
      <c r="AY52" s="1182" t="s">
        <v>1453</v>
      </c>
      <c r="AZ52" s="1183" t="s">
        <v>1572</v>
      </c>
      <c r="BA52" s="508">
        <v>12.16</v>
      </c>
      <c r="BB52" s="1183" t="s">
        <v>1573</v>
      </c>
      <c r="BC52" s="1179" t="s">
        <v>607</v>
      </c>
      <c r="BD52" s="1179" t="s">
        <v>608</v>
      </c>
      <c r="BE52" s="462"/>
      <c r="BF52" s="895"/>
      <c r="BG52" s="634"/>
      <c r="BH52" s="390"/>
      <c r="BI52" s="454"/>
      <c r="BJ52" s="390"/>
      <c r="BK52" s="630"/>
      <c r="BL52" s="630"/>
    </row>
    <row r="53" spans="1:64" s="298" customFormat="1" ht="12.6" customHeight="1">
      <c r="B53" s="448" t="s">
        <v>1249</v>
      </c>
      <c r="C53" s="633" t="s">
        <v>1450</v>
      </c>
      <c r="D53" s="636" t="s">
        <v>2161</v>
      </c>
      <c r="E53" s="460">
        <v>9.48</v>
      </c>
      <c r="F53" s="636" t="s">
        <v>2162</v>
      </c>
      <c r="G53" s="630" t="s">
        <v>607</v>
      </c>
      <c r="H53" s="630" t="s">
        <v>608</v>
      </c>
      <c r="J53" s="448" t="s">
        <v>1233</v>
      </c>
      <c r="K53" s="631" t="s">
        <v>1451</v>
      </c>
      <c r="L53" s="390" t="s">
        <v>61</v>
      </c>
      <c r="M53" s="454">
        <v>11.72</v>
      </c>
      <c r="N53" s="390" t="s">
        <v>73</v>
      </c>
      <c r="O53" s="630" t="s">
        <v>607</v>
      </c>
      <c r="P53" s="630" t="s">
        <v>608</v>
      </c>
      <c r="R53" s="631" t="s">
        <v>1283</v>
      </c>
      <c r="S53" s="631" t="s">
        <v>1451</v>
      </c>
      <c r="T53" s="997" t="s">
        <v>1732</v>
      </c>
      <c r="U53" s="454">
        <v>12.1</v>
      </c>
      <c r="V53" s="997" t="s">
        <v>1733</v>
      </c>
      <c r="W53" s="630" t="s">
        <v>607</v>
      </c>
      <c r="X53" s="630" t="s">
        <v>608</v>
      </c>
      <c r="Y53" s="457"/>
      <c r="Z53" s="629" t="s">
        <v>1226</v>
      </c>
      <c r="AA53" s="629" t="s">
        <v>1452</v>
      </c>
      <c r="AB53" s="466" t="s">
        <v>616</v>
      </c>
      <c r="AC53" s="454">
        <v>12.22</v>
      </c>
      <c r="AD53" s="826" t="s">
        <v>624</v>
      </c>
      <c r="AE53" s="630" t="s">
        <v>607</v>
      </c>
      <c r="AF53" s="630" t="s">
        <v>608</v>
      </c>
      <c r="AG53" s="429"/>
      <c r="AH53" s="458" t="s">
        <v>1271</v>
      </c>
      <c r="AI53" s="632" t="s">
        <v>1452</v>
      </c>
      <c r="AJ53" s="40" t="s">
        <v>1750</v>
      </c>
      <c r="AK53" s="41">
        <v>12.1</v>
      </c>
      <c r="AL53" s="40" t="s">
        <v>1751</v>
      </c>
      <c r="AM53" s="486" t="s">
        <v>607</v>
      </c>
      <c r="AN53" s="630" t="s">
        <v>608</v>
      </c>
      <c r="AO53" s="429"/>
      <c r="AP53" s="458" t="s">
        <v>1226</v>
      </c>
      <c r="AQ53" s="633" t="s">
        <v>1453</v>
      </c>
      <c r="AR53" s="428" t="s">
        <v>79</v>
      </c>
      <c r="AS53" s="20">
        <v>13.14</v>
      </c>
      <c r="AT53" s="428" t="s">
        <v>93</v>
      </c>
      <c r="AU53" s="486" t="s">
        <v>607</v>
      </c>
      <c r="AV53" s="486" t="s">
        <v>608</v>
      </c>
      <c r="AX53" s="895" t="s">
        <v>1276</v>
      </c>
      <c r="AY53" s="634" t="s">
        <v>1453</v>
      </c>
      <c r="AZ53" s="893" t="s">
        <v>1615</v>
      </c>
      <c r="BA53" s="460">
        <v>12.16</v>
      </c>
      <c r="BB53" s="893" t="s">
        <v>1616</v>
      </c>
      <c r="BC53" s="630" t="s">
        <v>607</v>
      </c>
      <c r="BD53" s="630" t="s">
        <v>608</v>
      </c>
      <c r="BF53" s="482"/>
      <c r="BG53" s="634"/>
      <c r="BH53" s="459"/>
      <c r="BI53" s="460"/>
      <c r="BJ53" s="459"/>
      <c r="BK53" s="1425"/>
      <c r="BL53" s="1370"/>
    </row>
    <row r="54" spans="1:64" s="298" customFormat="1" ht="12.6" customHeight="1" thickBot="1">
      <c r="A54" s="611"/>
      <c r="B54" s="1364" t="s">
        <v>1250</v>
      </c>
      <c r="C54" s="1365" t="s">
        <v>1450</v>
      </c>
      <c r="D54" s="1307" t="s">
        <v>2167</v>
      </c>
      <c r="E54" s="837">
        <v>9.4499999999999993</v>
      </c>
      <c r="F54" s="1307" t="s">
        <v>2168</v>
      </c>
      <c r="G54" s="1215" t="s">
        <v>607</v>
      </c>
      <c r="H54" s="1215" t="s">
        <v>608</v>
      </c>
      <c r="I54" s="611"/>
      <c r="J54" s="1364" t="s">
        <v>1234</v>
      </c>
      <c r="K54" s="1280" t="s">
        <v>1451</v>
      </c>
      <c r="L54" s="1318" t="s">
        <v>62</v>
      </c>
      <c r="M54" s="614">
        <v>11.72</v>
      </c>
      <c r="N54" s="1318" t="s">
        <v>74</v>
      </c>
      <c r="O54" s="1215" t="s">
        <v>607</v>
      </c>
      <c r="P54" s="1215" t="s">
        <v>608</v>
      </c>
      <c r="Q54" s="611"/>
      <c r="R54" s="1394" t="s">
        <v>1284</v>
      </c>
      <c r="S54" s="1280" t="s">
        <v>1451</v>
      </c>
      <c r="T54" s="1395" t="s">
        <v>1823</v>
      </c>
      <c r="U54" s="614">
        <v>12.1</v>
      </c>
      <c r="V54" s="1395" t="s">
        <v>1824</v>
      </c>
      <c r="W54" s="1215" t="s">
        <v>607</v>
      </c>
      <c r="X54" s="1215" t="s">
        <v>608</v>
      </c>
      <c r="Y54" s="1377"/>
      <c r="Z54" s="1400" t="s">
        <v>1227</v>
      </c>
      <c r="AA54" s="1401" t="s">
        <v>1452</v>
      </c>
      <c r="AB54" s="1396" t="s">
        <v>617</v>
      </c>
      <c r="AC54" s="614">
        <v>12.22</v>
      </c>
      <c r="AD54" s="1397" t="s">
        <v>625</v>
      </c>
      <c r="AE54" s="1368" t="s">
        <v>607</v>
      </c>
      <c r="AF54" s="1215" t="s">
        <v>608</v>
      </c>
      <c r="AG54" s="1403"/>
      <c r="AH54" s="1372" t="s">
        <v>1272</v>
      </c>
      <c r="AI54" s="1371" t="s">
        <v>1452</v>
      </c>
      <c r="AJ54" s="1404" t="s">
        <v>1752</v>
      </c>
      <c r="AK54" s="1380">
        <v>12.2</v>
      </c>
      <c r="AL54" s="1404" t="s">
        <v>1753</v>
      </c>
      <c r="AM54" s="1368" t="s">
        <v>607</v>
      </c>
      <c r="AN54" s="1215" t="s">
        <v>608</v>
      </c>
      <c r="AO54" s="1389"/>
      <c r="AP54" s="1372" t="s">
        <v>1227</v>
      </c>
      <c r="AQ54" s="1365" t="s">
        <v>1453</v>
      </c>
      <c r="AR54" s="1405" t="s">
        <v>80</v>
      </c>
      <c r="AS54" s="1406">
        <v>13.13</v>
      </c>
      <c r="AT54" s="1405" t="s">
        <v>94</v>
      </c>
      <c r="AU54" s="1368" t="s">
        <v>607</v>
      </c>
      <c r="AV54" s="1368" t="s">
        <v>608</v>
      </c>
      <c r="AW54" s="611"/>
      <c r="AX54" s="1317" t="s">
        <v>1277</v>
      </c>
      <c r="AY54" s="1342" t="s">
        <v>1453</v>
      </c>
      <c r="AZ54" s="1407" t="s">
        <v>1619</v>
      </c>
      <c r="BA54" s="837">
        <v>12.18</v>
      </c>
      <c r="BB54" s="1407" t="s">
        <v>1620</v>
      </c>
      <c r="BC54" s="1215" t="s">
        <v>607</v>
      </c>
      <c r="BD54" s="1215" t="s">
        <v>608</v>
      </c>
    </row>
    <row r="55" spans="1:64" s="298" customFormat="1" ht="14.1" customHeight="1">
      <c r="J55" s="468"/>
      <c r="O55" s="484"/>
      <c r="Z55" s="315"/>
      <c r="AA55" s="315"/>
      <c r="AB55" s="40"/>
      <c r="AC55" s="40"/>
      <c r="AD55" s="40"/>
      <c r="AE55" s="315"/>
    </row>
    <row r="56" spans="1:64" s="300" customFormat="1" ht="13.5" customHeight="1">
      <c r="A56" s="1991" t="s">
        <v>32</v>
      </c>
      <c r="B56" s="1991"/>
      <c r="C56" s="863" t="s">
        <v>1539</v>
      </c>
    </row>
    <row r="57" spans="1:64" ht="14.1" customHeight="1">
      <c r="C57" s="468" t="s">
        <v>1474</v>
      </c>
      <c r="BE57" s="298"/>
      <c r="BF57" s="298"/>
      <c r="BG57" s="298"/>
      <c r="BH57" s="298"/>
      <c r="BI57" s="298"/>
      <c r="BJ57" s="298"/>
      <c r="BK57" s="298"/>
      <c r="BL57" s="298"/>
    </row>
    <row r="58" spans="1:64" ht="14.1" customHeight="1">
      <c r="BE58" s="298"/>
      <c r="BF58" s="426"/>
      <c r="BG58" s="298"/>
      <c r="BH58" s="298"/>
      <c r="BI58" s="298"/>
      <c r="BJ58" s="298"/>
      <c r="BK58" s="298"/>
      <c r="BL58" s="298"/>
    </row>
    <row r="59" spans="1:64" ht="12.6" customHeight="1">
      <c r="AW59" s="11"/>
      <c r="AX59" s="298"/>
      <c r="AY59" s="298"/>
      <c r="AZ59" s="298"/>
      <c r="BA59" s="298"/>
      <c r="BB59" s="298"/>
      <c r="BC59" s="298"/>
      <c r="BD59" s="298"/>
    </row>
    <row r="60" spans="1:64" s="298" customFormat="1" ht="12.6" customHeight="1">
      <c r="I60" s="300"/>
      <c r="J60" s="300"/>
      <c r="K60" s="400"/>
      <c r="L60" s="300"/>
      <c r="M60" s="300"/>
      <c r="N60" s="300"/>
      <c r="O60" s="400"/>
      <c r="P60" s="300"/>
      <c r="AO60" s="300"/>
      <c r="AP60" s="300"/>
      <c r="AQ60" s="300"/>
      <c r="AR60" s="300"/>
      <c r="AS60" s="300"/>
      <c r="AT60" s="300"/>
      <c r="AU60" s="300"/>
      <c r="AV60" s="300"/>
      <c r="AW60" s="11"/>
      <c r="AX60" s="11"/>
      <c r="AY60" s="11"/>
      <c r="AZ60" s="11"/>
      <c r="BA60" s="11"/>
      <c r="BB60" s="11"/>
      <c r="BC60" s="11"/>
      <c r="BD60" s="11"/>
      <c r="BE60" s="300"/>
      <c r="BF60" s="471"/>
      <c r="BG60" s="300"/>
      <c r="BH60" s="300"/>
      <c r="BI60" s="300"/>
      <c r="BJ60" s="300"/>
      <c r="BK60" s="300"/>
      <c r="BL60" s="300"/>
    </row>
    <row r="61" spans="1:64" s="11" customFormat="1" ht="12.6" customHeight="1">
      <c r="J61" s="298"/>
      <c r="AO61" s="300"/>
      <c r="AP61" s="471"/>
      <c r="AQ61" s="300"/>
      <c r="AR61" s="300"/>
      <c r="AS61" s="300"/>
      <c r="AT61" s="300"/>
      <c r="AU61" s="300"/>
      <c r="AV61" s="300"/>
      <c r="AW61" s="103"/>
      <c r="BE61" s="300"/>
      <c r="BF61" s="471"/>
      <c r="BG61" s="300"/>
      <c r="BH61" s="300"/>
      <c r="BI61" s="300"/>
      <c r="BJ61" s="300"/>
      <c r="BK61" s="300"/>
      <c r="BL61" s="300"/>
    </row>
    <row r="62" spans="1:64" s="11" customFormat="1" ht="12.6" customHeight="1">
      <c r="J62" s="298"/>
      <c r="AO62" s="300"/>
      <c r="AP62" s="471"/>
      <c r="AQ62" s="300"/>
      <c r="AR62" s="300"/>
      <c r="AS62" s="300"/>
      <c r="AT62" s="300"/>
      <c r="AU62" s="300"/>
      <c r="AV62" s="300"/>
      <c r="AW62" s="103"/>
      <c r="AX62" s="103"/>
      <c r="AY62" s="103"/>
      <c r="AZ62" s="103"/>
      <c r="BA62" s="103"/>
      <c r="BB62" s="103"/>
      <c r="BC62" s="103"/>
      <c r="BD62" s="103"/>
      <c r="BE62" s="300"/>
      <c r="BF62" s="471"/>
      <c r="BG62" s="300"/>
      <c r="BH62" s="300"/>
      <c r="BI62" s="300"/>
      <c r="BJ62" s="300"/>
      <c r="BK62" s="300"/>
      <c r="BL62" s="300"/>
    </row>
    <row r="63" spans="1:64" s="103" customFormat="1" ht="12.6" customHeight="1">
      <c r="J63" s="315"/>
      <c r="AO63" s="300"/>
      <c r="AP63" s="471"/>
      <c r="AQ63" s="300"/>
      <c r="AR63" s="300"/>
      <c r="AS63" s="300"/>
      <c r="AT63" s="300"/>
      <c r="AU63" s="300"/>
      <c r="AV63" s="300"/>
      <c r="AW63" s="300"/>
      <c r="BE63" s="300"/>
      <c r="BF63" s="471"/>
      <c r="BG63" s="300"/>
      <c r="BH63" s="300"/>
      <c r="BI63" s="300"/>
      <c r="BJ63" s="300"/>
      <c r="BK63" s="300"/>
      <c r="BL63" s="300"/>
    </row>
    <row r="64" spans="1:64" s="103" customFormat="1" ht="9.75" customHeight="1">
      <c r="I64" s="315"/>
      <c r="J64" s="468"/>
      <c r="K64" s="315"/>
      <c r="L64" s="315"/>
      <c r="M64" s="315"/>
      <c r="N64" s="315"/>
      <c r="O64" s="315"/>
      <c r="P64" s="315"/>
      <c r="AO64" s="300"/>
      <c r="AP64" s="471"/>
      <c r="AQ64" s="300"/>
      <c r="AR64" s="300"/>
      <c r="AS64" s="300"/>
      <c r="AT64" s="300"/>
      <c r="AU64" s="300"/>
      <c r="AV64" s="300"/>
      <c r="AW64" s="300"/>
      <c r="AX64" s="471"/>
      <c r="AY64" s="300"/>
      <c r="AZ64" s="300"/>
      <c r="BA64" s="300"/>
      <c r="BB64" s="300"/>
      <c r="BC64" s="300"/>
      <c r="BD64" s="300"/>
      <c r="BE64" s="298"/>
      <c r="BF64" s="298"/>
      <c r="BG64" s="298"/>
      <c r="BH64" s="298"/>
      <c r="BI64" s="298"/>
      <c r="BJ64" s="298"/>
      <c r="BK64" s="298"/>
      <c r="BL64" s="298"/>
    </row>
    <row r="65" spans="2:64" ht="12" customHeight="1">
      <c r="BE65" s="461"/>
      <c r="BF65" s="458"/>
      <c r="BG65" s="442"/>
      <c r="BH65" s="390"/>
      <c r="BI65" s="390"/>
      <c r="BJ65" s="390"/>
      <c r="BK65" s="455"/>
      <c r="BL65" s="428"/>
    </row>
    <row r="66" spans="2:64" ht="12" customHeight="1">
      <c r="BE66" s="461"/>
      <c r="BF66" s="458"/>
      <c r="BG66" s="442"/>
      <c r="BH66" s="396"/>
      <c r="BI66" s="40"/>
      <c r="BJ66" s="396"/>
      <c r="BK66" s="449"/>
      <c r="BL66" s="428"/>
    </row>
    <row r="67" spans="2:64" ht="12" customHeight="1">
      <c r="BE67" s="461"/>
      <c r="BF67" s="458"/>
      <c r="BG67" s="442"/>
      <c r="BH67" s="467"/>
      <c r="BI67" s="428"/>
      <c r="BJ67" s="467"/>
      <c r="BK67" s="449"/>
      <c r="BL67" s="428"/>
    </row>
    <row r="68" spans="2:64" ht="12" customHeight="1">
      <c r="BE68" s="461"/>
      <c r="BF68" s="458"/>
      <c r="BG68" s="442"/>
      <c r="BH68" s="467"/>
      <c r="BI68" s="20"/>
      <c r="BJ68" s="467"/>
      <c r="BK68" s="449"/>
      <c r="BL68" s="428"/>
    </row>
    <row r="69" spans="2:64" ht="12" customHeight="1">
      <c r="BE69" s="461"/>
      <c r="BF69" s="458"/>
      <c r="BG69" s="442"/>
      <c r="BH69" s="467"/>
      <c r="BI69" s="428"/>
      <c r="BJ69" s="467"/>
      <c r="BK69" s="449"/>
      <c r="BL69" s="428"/>
    </row>
    <row r="70" spans="2:64" s="300" customFormat="1" ht="12" customHeight="1">
      <c r="B70" s="470"/>
      <c r="G70" s="470"/>
      <c r="J70" s="469"/>
      <c r="O70" s="470"/>
      <c r="R70" s="469"/>
      <c r="W70" s="470"/>
      <c r="Z70" s="471"/>
      <c r="AH70" s="471"/>
      <c r="AP70" s="471"/>
      <c r="AX70" s="471"/>
      <c r="BE70" s="428"/>
      <c r="BF70" s="458"/>
      <c r="BG70" s="442"/>
      <c r="BH70" s="396"/>
      <c r="BI70" s="40"/>
      <c r="BJ70" s="396"/>
      <c r="BK70" s="449"/>
      <c r="BL70" s="428"/>
    </row>
    <row r="71" spans="2:64" s="300" customFormat="1" ht="12" customHeight="1">
      <c r="B71" s="470"/>
      <c r="G71" s="470"/>
      <c r="J71" s="469"/>
      <c r="O71" s="470"/>
      <c r="R71" s="469"/>
      <c r="W71" s="470"/>
      <c r="Z71" s="471"/>
      <c r="AH71" s="471"/>
      <c r="AP71" s="471"/>
      <c r="AX71" s="471"/>
      <c r="BE71" s="428"/>
      <c r="BF71" s="458"/>
      <c r="BG71" s="442"/>
      <c r="BH71" s="396"/>
      <c r="BI71" s="41"/>
      <c r="BJ71" s="396"/>
      <c r="BK71" s="449"/>
      <c r="BL71" s="428"/>
    </row>
    <row r="72" spans="2:64" s="300" customFormat="1" ht="12" customHeight="1">
      <c r="B72" s="470"/>
      <c r="G72" s="470"/>
      <c r="J72" s="469"/>
      <c r="O72" s="470"/>
      <c r="R72" s="469"/>
      <c r="W72" s="470"/>
      <c r="Z72" s="471"/>
      <c r="AH72" s="471"/>
      <c r="AP72" s="471"/>
      <c r="AX72" s="471"/>
      <c r="BE72" s="428"/>
      <c r="BF72" s="458"/>
      <c r="BG72" s="442"/>
      <c r="BH72" s="396"/>
      <c r="BI72" s="41"/>
      <c r="BJ72" s="396"/>
      <c r="BK72" s="449"/>
      <c r="BL72" s="428"/>
    </row>
    <row r="73" spans="2:64" s="300" customFormat="1" ht="12" customHeight="1">
      <c r="B73" s="470"/>
      <c r="G73" s="470"/>
      <c r="J73" s="469"/>
      <c r="O73" s="470"/>
      <c r="R73" s="469"/>
      <c r="W73" s="470"/>
      <c r="Z73" s="471"/>
      <c r="AH73" s="471"/>
      <c r="AP73" s="471"/>
      <c r="AX73" s="471"/>
      <c r="BE73" s="428"/>
      <c r="BF73" s="458"/>
      <c r="BG73" s="442"/>
      <c r="BH73" s="396"/>
      <c r="BI73" s="41"/>
      <c r="BJ73" s="396"/>
      <c r="BK73" s="449"/>
      <c r="BL73" s="428"/>
    </row>
    <row r="74" spans="2:64" s="300" customFormat="1" ht="12" customHeight="1">
      <c r="B74" s="470"/>
      <c r="G74" s="470"/>
      <c r="J74" s="469"/>
      <c r="O74" s="470"/>
      <c r="R74" s="469"/>
      <c r="W74" s="470"/>
      <c r="Z74" s="471"/>
      <c r="AH74" s="471"/>
      <c r="AP74" s="471"/>
      <c r="BE74" s="428"/>
      <c r="BF74" s="458"/>
      <c r="BG74" s="442"/>
      <c r="BH74" s="396"/>
      <c r="BI74" s="41"/>
      <c r="BJ74" s="396"/>
      <c r="BK74" s="449"/>
      <c r="BL74" s="428"/>
    </row>
    <row r="75" spans="2:64" s="300" customFormat="1" ht="12" customHeight="1">
      <c r="B75" s="470"/>
      <c r="G75" s="470"/>
      <c r="J75" s="469"/>
      <c r="O75" s="470"/>
      <c r="R75" s="469"/>
      <c r="W75" s="470"/>
      <c r="Z75" s="471"/>
      <c r="AH75" s="471"/>
      <c r="AX75" s="471"/>
      <c r="BE75" s="428"/>
      <c r="BF75" s="458"/>
      <c r="BG75" s="442"/>
      <c r="BH75" s="396"/>
      <c r="BI75" s="41"/>
      <c r="BJ75" s="396"/>
      <c r="BK75" s="449"/>
      <c r="BL75" s="428"/>
    </row>
    <row r="76" spans="2:64" s="300" customFormat="1" ht="12" customHeight="1">
      <c r="B76" s="470"/>
      <c r="G76" s="470"/>
      <c r="J76" s="469"/>
      <c r="O76" s="470"/>
      <c r="R76" s="469"/>
      <c r="W76" s="470"/>
      <c r="Z76" s="471"/>
      <c r="AH76" s="471"/>
      <c r="AP76" s="471"/>
      <c r="AX76" s="471"/>
      <c r="BF76" s="458"/>
      <c r="BG76" s="442"/>
      <c r="BH76" s="396"/>
      <c r="BI76" s="41"/>
      <c r="BJ76" s="396"/>
      <c r="BK76" s="449"/>
      <c r="BL76" s="428"/>
    </row>
    <row r="77" spans="2:64" s="300" customFormat="1" ht="12" customHeight="1">
      <c r="B77" s="470"/>
      <c r="G77" s="470"/>
      <c r="J77" s="469"/>
      <c r="O77" s="470"/>
      <c r="R77" s="469"/>
      <c r="W77" s="470"/>
      <c r="Z77" s="471"/>
      <c r="AH77" s="471"/>
      <c r="AP77" s="471"/>
      <c r="AX77" s="471"/>
      <c r="BF77" s="458"/>
      <c r="BG77" s="442"/>
      <c r="BH77" s="396"/>
      <c r="BI77" s="41"/>
      <c r="BJ77" s="396"/>
      <c r="BK77" s="449"/>
      <c r="BL77" s="428"/>
    </row>
    <row r="78" spans="2:64" s="300" customFormat="1" ht="12" customHeight="1">
      <c r="B78" s="470"/>
      <c r="G78" s="470"/>
      <c r="J78" s="469"/>
      <c r="O78" s="470"/>
      <c r="R78" s="469"/>
      <c r="W78" s="470"/>
      <c r="Z78" s="471"/>
      <c r="AH78" s="471"/>
      <c r="AP78" s="471"/>
      <c r="AW78" s="453"/>
      <c r="AX78" s="471"/>
      <c r="BF78" s="458"/>
      <c r="BG78" s="442"/>
      <c r="BH78" s="396"/>
      <c r="BI78" s="41"/>
      <c r="BJ78" s="396"/>
      <c r="BK78" s="449"/>
      <c r="BL78" s="428"/>
    </row>
    <row r="79" spans="2:64" ht="12" customHeight="1">
      <c r="AW79" s="453"/>
      <c r="AY79" s="453"/>
      <c r="AZ79" s="453"/>
      <c r="BA79" s="453"/>
      <c r="BB79" s="453"/>
      <c r="BC79" s="453"/>
      <c r="BD79" s="453"/>
      <c r="BF79" s="458"/>
      <c r="BG79" s="442"/>
      <c r="BH79" s="396"/>
      <c r="BI79" s="41"/>
      <c r="BJ79" s="396"/>
      <c r="BK79" s="449"/>
      <c r="BL79" s="428"/>
    </row>
    <row r="80" spans="2:64" s="155" customFormat="1" ht="12" customHeight="1">
      <c r="I80" s="453"/>
      <c r="J80" s="471"/>
      <c r="K80" s="453"/>
      <c r="L80" s="453"/>
      <c r="M80" s="453"/>
      <c r="N80" s="453"/>
      <c r="O80" s="453"/>
      <c r="P80" s="453"/>
      <c r="Q80" s="453"/>
      <c r="R80" s="471"/>
      <c r="S80" s="453"/>
      <c r="T80" s="453"/>
      <c r="U80" s="453"/>
      <c r="V80" s="453"/>
      <c r="W80" s="453"/>
      <c r="X80" s="453"/>
      <c r="AO80" s="453"/>
      <c r="AP80" s="471"/>
      <c r="AQ80" s="453"/>
      <c r="AR80" s="453"/>
      <c r="AS80" s="453"/>
      <c r="AT80" s="453"/>
      <c r="AU80" s="453"/>
      <c r="AV80" s="453"/>
      <c r="AW80" s="453"/>
      <c r="AX80" s="471"/>
      <c r="AY80" s="453"/>
      <c r="AZ80" s="453"/>
      <c r="BA80" s="453"/>
      <c r="BB80" s="453"/>
      <c r="BC80" s="453"/>
      <c r="BD80" s="453"/>
      <c r="BE80" s="300"/>
      <c r="BF80" s="471"/>
      <c r="BG80" s="300"/>
      <c r="BH80" s="300"/>
      <c r="BI80" s="300"/>
      <c r="BJ80" s="300"/>
      <c r="BK80" s="300"/>
      <c r="BL80" s="300"/>
    </row>
    <row r="81" spans="9:64" s="155" customFormat="1" ht="12" customHeight="1">
      <c r="I81" s="453"/>
      <c r="J81" s="471"/>
      <c r="K81" s="453"/>
      <c r="L81" s="453"/>
      <c r="M81" s="453"/>
      <c r="N81" s="453"/>
      <c r="O81" s="453"/>
      <c r="P81" s="453"/>
      <c r="Q81" s="453"/>
      <c r="R81" s="471"/>
      <c r="S81" s="453"/>
      <c r="T81" s="453"/>
      <c r="U81" s="453"/>
      <c r="V81" s="453"/>
      <c r="W81" s="453"/>
      <c r="X81" s="453"/>
      <c r="Y81" s="453"/>
      <c r="Z81" s="471"/>
      <c r="AA81" s="453"/>
      <c r="AB81" s="453"/>
      <c r="AC81" s="453"/>
      <c r="AD81" s="453"/>
      <c r="AE81" s="453"/>
      <c r="AF81" s="453"/>
      <c r="AO81" s="453"/>
      <c r="AP81" s="471"/>
      <c r="AQ81" s="453"/>
      <c r="AR81" s="453"/>
      <c r="AS81" s="453"/>
      <c r="AT81" s="453"/>
      <c r="AU81" s="453"/>
      <c r="AV81" s="453"/>
      <c r="AW81" s="453"/>
      <c r="AX81" s="471"/>
      <c r="AY81" s="453"/>
      <c r="AZ81" s="453"/>
      <c r="BA81" s="453"/>
      <c r="BB81" s="453"/>
      <c r="BC81" s="453"/>
      <c r="BD81" s="453"/>
      <c r="BE81" s="300"/>
      <c r="BF81" s="471"/>
      <c r="BG81" s="300"/>
      <c r="BH81" s="300"/>
      <c r="BI81" s="300"/>
      <c r="BJ81" s="300"/>
      <c r="BK81" s="300"/>
      <c r="BL81" s="300"/>
    </row>
    <row r="82" spans="9:64" s="155" customFormat="1" ht="12" customHeight="1">
      <c r="I82" s="453"/>
      <c r="J82" s="471"/>
      <c r="K82" s="453"/>
      <c r="L82" s="453"/>
      <c r="M82" s="453"/>
      <c r="N82" s="453"/>
      <c r="O82" s="453"/>
      <c r="P82" s="453"/>
      <c r="Q82" s="453"/>
      <c r="R82" s="471"/>
      <c r="S82" s="453"/>
      <c r="T82" s="453"/>
      <c r="U82" s="453"/>
      <c r="V82" s="453"/>
      <c r="W82" s="453"/>
      <c r="X82" s="453"/>
      <c r="Y82" s="453"/>
      <c r="Z82" s="471"/>
      <c r="AA82" s="453"/>
      <c r="AB82" s="453"/>
      <c r="AC82" s="453"/>
      <c r="AD82" s="453"/>
      <c r="AE82" s="453"/>
      <c r="AF82" s="453"/>
      <c r="AO82" s="453"/>
      <c r="AP82" s="471"/>
      <c r="AQ82" s="453"/>
      <c r="AR82" s="453"/>
      <c r="AS82" s="453"/>
      <c r="AT82" s="453"/>
      <c r="AU82" s="453"/>
      <c r="AV82" s="453"/>
      <c r="AW82" s="453"/>
      <c r="AX82" s="471"/>
      <c r="AY82" s="453"/>
      <c r="AZ82" s="453"/>
      <c r="BA82" s="453"/>
      <c r="BB82" s="453"/>
      <c r="BC82" s="453"/>
      <c r="BD82" s="453"/>
      <c r="BE82" s="300"/>
      <c r="BF82" s="471"/>
      <c r="BG82" s="300"/>
      <c r="BH82" s="300"/>
      <c r="BI82" s="300"/>
      <c r="BJ82" s="300"/>
      <c r="BK82" s="300"/>
      <c r="BL82" s="300"/>
    </row>
    <row r="83" spans="9:64" s="155" customFormat="1" ht="12" customHeight="1">
      <c r="I83" s="453"/>
      <c r="J83" s="471"/>
      <c r="K83" s="453"/>
      <c r="L83" s="453"/>
      <c r="M83" s="453"/>
      <c r="N83" s="453"/>
      <c r="O83" s="453"/>
      <c r="P83" s="453"/>
      <c r="Q83" s="453"/>
      <c r="R83" s="471"/>
      <c r="S83" s="453"/>
      <c r="T83" s="453"/>
      <c r="U83" s="453"/>
      <c r="V83" s="453"/>
      <c r="W83" s="453"/>
      <c r="X83" s="453"/>
      <c r="Y83" s="453"/>
      <c r="Z83" s="471"/>
      <c r="AA83" s="453"/>
      <c r="AB83" s="453"/>
      <c r="AC83" s="453"/>
      <c r="AD83" s="453"/>
      <c r="AE83" s="453"/>
      <c r="AF83" s="453"/>
      <c r="AG83" s="453"/>
      <c r="AH83" s="471"/>
      <c r="AI83" s="453"/>
      <c r="AJ83" s="453"/>
      <c r="AK83" s="453"/>
      <c r="AL83" s="453"/>
      <c r="AM83" s="453"/>
      <c r="AN83" s="453"/>
      <c r="AO83" s="428"/>
      <c r="AP83" s="471"/>
      <c r="AQ83" s="453"/>
      <c r="AR83" s="453"/>
      <c r="AS83" s="453"/>
      <c r="AT83" s="453"/>
      <c r="AU83" s="472"/>
      <c r="AV83" s="453"/>
      <c r="AW83" s="453"/>
      <c r="AX83" s="471"/>
      <c r="AY83" s="453"/>
      <c r="AZ83" s="453"/>
      <c r="BA83" s="453"/>
      <c r="BB83" s="453"/>
      <c r="BC83" s="453"/>
      <c r="BD83" s="453"/>
      <c r="BE83" s="300"/>
      <c r="BF83" s="471"/>
      <c r="BG83" s="300"/>
      <c r="BH83" s="300"/>
      <c r="BI83" s="300"/>
      <c r="BJ83" s="300"/>
      <c r="BK83" s="300"/>
      <c r="BL83" s="300"/>
    </row>
    <row r="84" spans="9:64" s="155" customFormat="1" ht="12" customHeight="1">
      <c r="I84" s="453"/>
      <c r="J84" s="471"/>
      <c r="K84" s="453"/>
      <c r="L84" s="453"/>
      <c r="M84" s="453"/>
      <c r="N84" s="453"/>
      <c r="O84" s="453"/>
      <c r="P84" s="453"/>
      <c r="Q84" s="453"/>
      <c r="R84" s="471"/>
      <c r="S84" s="453"/>
      <c r="T84" s="453"/>
      <c r="U84" s="453"/>
      <c r="V84" s="453"/>
      <c r="W84" s="453"/>
      <c r="X84" s="453"/>
      <c r="Y84" s="453"/>
      <c r="Z84" s="471"/>
      <c r="AA84" s="453"/>
      <c r="AB84" s="453"/>
      <c r="AC84" s="453"/>
      <c r="AD84" s="453"/>
      <c r="AE84" s="453"/>
      <c r="AF84" s="453"/>
      <c r="AO84" s="428"/>
      <c r="AP84" s="471"/>
      <c r="AQ84" s="453"/>
      <c r="AR84" s="453"/>
      <c r="AS84" s="453"/>
      <c r="AT84" s="453"/>
      <c r="AU84" s="472"/>
      <c r="AV84" s="453"/>
      <c r="AW84" s="453"/>
      <c r="AX84" s="471"/>
      <c r="AY84" s="453"/>
      <c r="AZ84" s="453"/>
      <c r="BA84" s="453"/>
      <c r="BB84" s="453"/>
      <c r="BC84" s="453"/>
      <c r="BD84" s="453"/>
      <c r="BE84" s="453"/>
      <c r="BF84" s="471"/>
      <c r="BG84" s="453"/>
      <c r="BH84" s="453"/>
      <c r="BI84" s="453"/>
      <c r="BJ84" s="453"/>
      <c r="BK84" s="453"/>
      <c r="BL84" s="453"/>
    </row>
    <row r="85" spans="9:64" s="155" customFormat="1" ht="12" customHeight="1">
      <c r="I85" s="453"/>
      <c r="J85" s="471"/>
      <c r="K85" s="453"/>
      <c r="L85" s="453"/>
      <c r="M85" s="453"/>
      <c r="N85" s="453"/>
      <c r="O85" s="453"/>
      <c r="P85" s="453"/>
      <c r="Q85" s="453"/>
      <c r="R85" s="471"/>
      <c r="S85" s="453"/>
      <c r="T85" s="453"/>
      <c r="U85" s="453"/>
      <c r="V85" s="453"/>
      <c r="W85" s="453"/>
      <c r="X85" s="453"/>
      <c r="Y85" s="453"/>
      <c r="Z85" s="471"/>
      <c r="AA85" s="453"/>
      <c r="AB85" s="453"/>
      <c r="AC85" s="453"/>
      <c r="AD85" s="453"/>
      <c r="AE85" s="453"/>
      <c r="AF85" s="453"/>
      <c r="AO85" s="428"/>
      <c r="AP85" s="471"/>
      <c r="AQ85" s="453"/>
      <c r="AR85" s="453"/>
      <c r="AS85" s="453"/>
      <c r="AT85" s="453"/>
      <c r="AU85" s="472"/>
      <c r="AV85" s="453"/>
      <c r="AW85" s="453"/>
      <c r="AX85" s="471"/>
      <c r="AY85" s="453"/>
      <c r="AZ85" s="453"/>
      <c r="BA85" s="453"/>
      <c r="BB85" s="453"/>
      <c r="BC85" s="453"/>
      <c r="BD85" s="453"/>
      <c r="BE85" s="453"/>
      <c r="BF85" s="471"/>
      <c r="BG85" s="453"/>
      <c r="BH85" s="453"/>
      <c r="BI85" s="453"/>
      <c r="BJ85" s="453"/>
      <c r="BK85" s="453"/>
      <c r="BL85" s="453"/>
    </row>
    <row r="86" spans="9:64" s="155" customFormat="1" ht="12" customHeight="1">
      <c r="I86" s="453"/>
      <c r="J86" s="471"/>
      <c r="K86" s="453"/>
      <c r="L86" s="453"/>
      <c r="M86" s="453"/>
      <c r="N86" s="453"/>
      <c r="O86" s="453"/>
      <c r="P86" s="453"/>
      <c r="Q86" s="453"/>
      <c r="R86" s="471"/>
      <c r="S86" s="453"/>
      <c r="T86" s="453"/>
      <c r="U86" s="453"/>
      <c r="V86" s="453"/>
      <c r="W86" s="453"/>
      <c r="X86" s="453"/>
      <c r="Y86" s="453"/>
      <c r="Z86" s="471"/>
      <c r="AA86" s="453"/>
      <c r="AB86" s="453"/>
      <c r="AC86" s="453"/>
      <c r="AD86" s="453"/>
      <c r="AE86" s="453"/>
      <c r="AF86" s="453"/>
      <c r="AO86" s="453"/>
      <c r="AP86" s="471"/>
      <c r="AQ86" s="453"/>
      <c r="AR86" s="453"/>
      <c r="AS86" s="453"/>
      <c r="AT86" s="453"/>
      <c r="AU86" s="453"/>
      <c r="AV86" s="453"/>
      <c r="AW86" s="453"/>
      <c r="AX86" s="471"/>
      <c r="AY86" s="453"/>
      <c r="AZ86" s="453"/>
      <c r="BA86" s="453"/>
      <c r="BB86" s="453"/>
      <c r="BC86" s="453"/>
      <c r="BD86" s="453"/>
      <c r="BE86" s="453"/>
      <c r="BF86" s="471"/>
      <c r="BG86" s="453"/>
      <c r="BH86" s="453"/>
      <c r="BI86" s="453"/>
      <c r="BJ86" s="453"/>
      <c r="BK86" s="453"/>
      <c r="BL86" s="453"/>
    </row>
    <row r="87" spans="9:64" s="155" customFormat="1" ht="12" customHeight="1">
      <c r="I87" s="453"/>
      <c r="J87" s="471"/>
      <c r="K87" s="453"/>
      <c r="L87" s="453"/>
      <c r="M87" s="453"/>
      <c r="N87" s="453"/>
      <c r="O87" s="453"/>
      <c r="P87" s="453"/>
      <c r="Q87" s="453"/>
      <c r="R87" s="471"/>
      <c r="S87" s="453"/>
      <c r="T87" s="453"/>
      <c r="U87" s="453"/>
      <c r="V87" s="453"/>
      <c r="W87" s="453"/>
      <c r="X87" s="453"/>
      <c r="Y87" s="453"/>
      <c r="Z87" s="471"/>
      <c r="AA87" s="453"/>
      <c r="AB87" s="453"/>
      <c r="AC87" s="453"/>
      <c r="AD87" s="453"/>
      <c r="AE87" s="453"/>
      <c r="AF87" s="453"/>
      <c r="AO87" s="453"/>
      <c r="AP87" s="471"/>
      <c r="AQ87" s="453"/>
      <c r="AR87" s="453"/>
      <c r="AS87" s="453"/>
      <c r="AT87" s="453"/>
      <c r="AU87" s="453"/>
      <c r="AV87" s="453"/>
      <c r="AW87" s="453"/>
      <c r="AX87" s="471"/>
      <c r="AY87" s="453"/>
      <c r="AZ87" s="453"/>
      <c r="BA87" s="453"/>
      <c r="BB87" s="453"/>
      <c r="BC87" s="453"/>
      <c r="BD87" s="453"/>
      <c r="BE87" s="428"/>
      <c r="BF87" s="471"/>
      <c r="BG87" s="453"/>
      <c r="BH87" s="453"/>
      <c r="BI87" s="453"/>
      <c r="BJ87" s="453"/>
      <c r="BK87" s="472"/>
      <c r="BL87" s="453"/>
    </row>
    <row r="88" spans="9:64" s="155" customFormat="1" ht="12" customHeight="1">
      <c r="I88" s="453"/>
      <c r="J88" s="471"/>
      <c r="K88" s="453"/>
      <c r="L88" s="453"/>
      <c r="M88" s="453"/>
      <c r="N88" s="453"/>
      <c r="O88" s="453"/>
      <c r="P88" s="453"/>
      <c r="Q88" s="453"/>
      <c r="R88" s="471"/>
      <c r="S88" s="453"/>
      <c r="T88" s="453"/>
      <c r="U88" s="453"/>
      <c r="V88" s="453"/>
      <c r="W88" s="453"/>
      <c r="X88" s="453"/>
      <c r="Y88" s="453"/>
      <c r="Z88" s="471"/>
      <c r="AA88" s="453"/>
      <c r="AB88" s="453"/>
      <c r="AC88" s="453"/>
      <c r="AD88" s="453"/>
      <c r="AE88" s="453"/>
      <c r="AF88" s="453"/>
      <c r="AO88" s="453"/>
      <c r="AP88" s="471"/>
      <c r="AQ88" s="453"/>
      <c r="AR88" s="453"/>
      <c r="AS88" s="453"/>
      <c r="AT88" s="453"/>
      <c r="AU88" s="453"/>
      <c r="AV88" s="453"/>
      <c r="AW88" s="453"/>
      <c r="AX88" s="471"/>
      <c r="AY88" s="453"/>
      <c r="AZ88" s="453"/>
      <c r="BA88" s="453"/>
      <c r="BB88" s="453"/>
      <c r="BC88" s="453"/>
      <c r="BD88" s="453"/>
      <c r="BE88" s="428"/>
      <c r="BF88" s="471"/>
      <c r="BG88" s="453"/>
      <c r="BH88" s="453"/>
      <c r="BI88" s="453"/>
      <c r="BJ88" s="453"/>
      <c r="BK88" s="472"/>
      <c r="BL88" s="453"/>
    </row>
    <row r="89" spans="9:64" s="155" customFormat="1" ht="12" customHeight="1">
      <c r="I89" s="453"/>
      <c r="J89" s="471"/>
      <c r="K89" s="453"/>
      <c r="L89" s="453"/>
      <c r="M89" s="453"/>
      <c r="N89" s="453"/>
      <c r="O89" s="453"/>
      <c r="P89" s="453"/>
      <c r="Q89" s="453"/>
      <c r="R89" s="471"/>
      <c r="S89" s="453"/>
      <c r="T89" s="453"/>
      <c r="U89" s="453"/>
      <c r="V89" s="453"/>
      <c r="W89" s="453"/>
      <c r="X89" s="453"/>
      <c r="Y89" s="453"/>
      <c r="Z89" s="471"/>
      <c r="AA89" s="453"/>
      <c r="AB89" s="453"/>
      <c r="AC89" s="453"/>
      <c r="AD89" s="453"/>
      <c r="AE89" s="453"/>
      <c r="AF89" s="453"/>
      <c r="AO89" s="453"/>
      <c r="AP89" s="471"/>
      <c r="AQ89" s="453"/>
      <c r="AR89" s="453"/>
      <c r="AS89" s="453"/>
      <c r="AT89" s="453"/>
      <c r="AU89" s="453"/>
      <c r="AV89" s="453"/>
      <c r="AW89" s="453"/>
      <c r="AX89" s="471"/>
      <c r="AY89" s="453"/>
      <c r="AZ89" s="453"/>
      <c r="BA89" s="453"/>
      <c r="BB89" s="453"/>
      <c r="BC89" s="453"/>
      <c r="BD89" s="453"/>
      <c r="BE89" s="428"/>
      <c r="BF89" s="471"/>
      <c r="BG89" s="453"/>
      <c r="BH89" s="453"/>
      <c r="BI89" s="453"/>
      <c r="BJ89" s="453"/>
      <c r="BK89" s="472"/>
      <c r="BL89" s="453"/>
    </row>
    <row r="90" spans="9:64" s="155" customFormat="1" ht="12" customHeight="1">
      <c r="I90" s="453"/>
      <c r="J90" s="471"/>
      <c r="K90" s="453"/>
      <c r="L90" s="453"/>
      <c r="M90" s="453"/>
      <c r="N90" s="453"/>
      <c r="O90" s="453"/>
      <c r="P90" s="453"/>
      <c r="Q90" s="453"/>
      <c r="R90" s="471"/>
      <c r="S90" s="453"/>
      <c r="T90" s="453"/>
      <c r="U90" s="453"/>
      <c r="V90" s="453"/>
      <c r="W90" s="453"/>
      <c r="X90" s="453"/>
      <c r="Y90" s="453"/>
      <c r="Z90" s="471"/>
      <c r="AA90" s="453"/>
      <c r="AB90" s="453"/>
      <c r="AC90" s="453"/>
      <c r="AD90" s="453"/>
      <c r="AE90" s="453"/>
      <c r="AF90" s="453"/>
      <c r="AO90" s="453"/>
      <c r="AP90" s="471"/>
      <c r="AQ90" s="453"/>
      <c r="AR90" s="453"/>
      <c r="AS90" s="453"/>
      <c r="AT90" s="453"/>
      <c r="AU90" s="453"/>
      <c r="AV90" s="453"/>
      <c r="AW90" s="453"/>
      <c r="AX90" s="471"/>
      <c r="AY90" s="453"/>
      <c r="AZ90" s="453"/>
      <c r="BA90" s="453"/>
      <c r="BB90" s="453"/>
      <c r="BC90" s="453"/>
      <c r="BD90" s="453"/>
      <c r="BE90" s="453"/>
      <c r="BF90" s="471"/>
      <c r="BG90" s="453"/>
      <c r="BH90" s="453"/>
      <c r="BI90" s="453"/>
      <c r="BJ90" s="453"/>
      <c r="BK90" s="453"/>
      <c r="BL90" s="453"/>
    </row>
    <row r="91" spans="9:64" s="155" customFormat="1" ht="12" customHeight="1">
      <c r="I91" s="453"/>
      <c r="J91" s="471"/>
      <c r="K91" s="453"/>
      <c r="L91" s="453"/>
      <c r="M91" s="453"/>
      <c r="N91" s="453"/>
      <c r="O91" s="453"/>
      <c r="P91" s="453"/>
      <c r="Q91" s="453"/>
      <c r="R91" s="471"/>
      <c r="S91" s="453"/>
      <c r="T91" s="453"/>
      <c r="U91" s="453"/>
      <c r="V91" s="453"/>
      <c r="W91" s="453"/>
      <c r="X91" s="453"/>
      <c r="Y91" s="453"/>
      <c r="Z91" s="471"/>
      <c r="AA91" s="453"/>
      <c r="AB91" s="453"/>
      <c r="AC91" s="453"/>
      <c r="AD91" s="453"/>
      <c r="AE91" s="453"/>
      <c r="AF91" s="453"/>
      <c r="AO91" s="453"/>
      <c r="AP91" s="471"/>
      <c r="AQ91" s="453"/>
      <c r="AR91" s="453"/>
      <c r="AS91" s="453"/>
      <c r="AT91" s="453"/>
      <c r="AU91" s="453"/>
      <c r="AV91" s="453"/>
      <c r="AW91" s="453"/>
      <c r="AX91" s="471"/>
      <c r="AY91" s="453"/>
      <c r="AZ91" s="453"/>
      <c r="BA91" s="453"/>
      <c r="BB91" s="453"/>
      <c r="BC91" s="453"/>
      <c r="BD91" s="453"/>
      <c r="BE91" s="453"/>
      <c r="BF91" s="471"/>
      <c r="BG91" s="453"/>
      <c r="BH91" s="453"/>
      <c r="BI91" s="453"/>
      <c r="BJ91" s="453"/>
      <c r="BK91" s="453"/>
      <c r="BL91" s="453"/>
    </row>
    <row r="92" spans="9:64" s="155" customFormat="1" ht="12" customHeight="1">
      <c r="I92" s="453"/>
      <c r="J92" s="471"/>
      <c r="K92" s="453"/>
      <c r="L92" s="453"/>
      <c r="M92" s="453"/>
      <c r="N92" s="453"/>
      <c r="O92" s="453"/>
      <c r="P92" s="453"/>
      <c r="Q92" s="453"/>
      <c r="R92" s="471"/>
      <c r="S92" s="453"/>
      <c r="T92" s="453"/>
      <c r="U92" s="453"/>
      <c r="V92" s="453"/>
      <c r="W92" s="453"/>
      <c r="X92" s="453"/>
      <c r="Y92" s="453"/>
      <c r="Z92" s="471"/>
      <c r="AA92" s="453"/>
      <c r="AB92" s="453"/>
      <c r="AC92" s="453"/>
      <c r="AD92" s="453"/>
      <c r="AE92" s="453"/>
      <c r="AF92" s="453"/>
      <c r="AG92" s="453"/>
      <c r="AH92" s="471"/>
      <c r="AI92" s="453"/>
      <c r="AJ92" s="453"/>
      <c r="AK92" s="453"/>
      <c r="AL92" s="453"/>
      <c r="AM92" s="453"/>
      <c r="AN92" s="453"/>
      <c r="AO92" s="453"/>
      <c r="AP92" s="471"/>
      <c r="AQ92" s="453"/>
      <c r="AR92" s="453"/>
      <c r="AS92" s="453"/>
      <c r="AT92" s="453"/>
      <c r="AU92" s="453"/>
      <c r="AV92" s="453"/>
      <c r="AW92" s="453"/>
      <c r="AX92" s="471"/>
      <c r="AY92" s="453"/>
      <c r="AZ92" s="453"/>
      <c r="BA92" s="453"/>
      <c r="BB92" s="453"/>
      <c r="BC92" s="453"/>
      <c r="BD92" s="453"/>
      <c r="BE92" s="453"/>
      <c r="BF92" s="471"/>
      <c r="BG92" s="453"/>
      <c r="BH92" s="453"/>
      <c r="BI92" s="453"/>
      <c r="BJ92" s="453"/>
      <c r="BK92" s="453"/>
      <c r="BL92" s="453"/>
    </row>
    <row r="93" spans="9:64" s="155" customFormat="1" ht="12" customHeight="1">
      <c r="I93" s="453"/>
      <c r="J93" s="471"/>
      <c r="K93" s="453"/>
      <c r="L93" s="453"/>
      <c r="M93" s="453"/>
      <c r="N93" s="453"/>
      <c r="O93" s="453"/>
      <c r="P93" s="453"/>
      <c r="Q93" s="453"/>
      <c r="R93" s="471"/>
      <c r="S93" s="453"/>
      <c r="T93" s="453"/>
      <c r="U93" s="453"/>
      <c r="V93" s="453"/>
      <c r="W93" s="453"/>
      <c r="X93" s="453"/>
      <c r="Y93" s="453"/>
      <c r="Z93" s="471"/>
      <c r="AA93" s="453"/>
      <c r="AB93" s="453"/>
      <c r="AC93" s="453"/>
      <c r="AD93" s="453"/>
      <c r="AE93" s="453"/>
      <c r="AF93" s="453"/>
      <c r="AG93" s="453"/>
      <c r="AH93" s="471"/>
      <c r="AI93" s="453"/>
      <c r="AJ93" s="453"/>
      <c r="AK93" s="453"/>
      <c r="AL93" s="453"/>
      <c r="AM93" s="453"/>
      <c r="AN93" s="453"/>
      <c r="AO93" s="453"/>
      <c r="AP93" s="471"/>
      <c r="AQ93" s="453"/>
      <c r="AR93" s="453"/>
      <c r="AS93" s="453"/>
      <c r="AT93" s="453"/>
      <c r="AU93" s="453"/>
      <c r="AV93" s="453"/>
      <c r="AW93" s="453"/>
      <c r="AX93" s="471"/>
      <c r="AY93" s="453"/>
      <c r="AZ93" s="453"/>
      <c r="BA93" s="453"/>
      <c r="BB93" s="453"/>
      <c r="BC93" s="453"/>
      <c r="BD93" s="453"/>
      <c r="BE93" s="453"/>
      <c r="BF93" s="471"/>
      <c r="BG93" s="453"/>
      <c r="BH93" s="453"/>
      <c r="BI93" s="453"/>
      <c r="BJ93" s="453"/>
      <c r="BK93" s="453"/>
      <c r="BL93" s="453"/>
    </row>
    <row r="94" spans="9:64" s="155" customFormat="1" ht="12" customHeight="1">
      <c r="I94" s="453"/>
      <c r="J94" s="471"/>
      <c r="K94" s="453"/>
      <c r="L94" s="453"/>
      <c r="M94" s="453"/>
      <c r="N94" s="453"/>
      <c r="O94" s="453"/>
      <c r="P94" s="453"/>
      <c r="Q94" s="453"/>
      <c r="R94" s="471"/>
      <c r="S94" s="453"/>
      <c r="T94" s="453"/>
      <c r="U94" s="453"/>
      <c r="V94" s="453"/>
      <c r="W94" s="453"/>
      <c r="X94" s="453"/>
      <c r="Y94" s="453"/>
      <c r="Z94" s="471"/>
      <c r="AA94" s="453"/>
      <c r="AB94" s="453"/>
      <c r="AC94" s="453"/>
      <c r="AD94" s="453"/>
      <c r="AE94" s="453"/>
      <c r="AF94" s="453"/>
      <c r="AG94" s="453"/>
      <c r="AH94" s="471"/>
      <c r="AI94" s="453"/>
      <c r="AJ94" s="453"/>
      <c r="AK94" s="453"/>
      <c r="AL94" s="453"/>
      <c r="AM94" s="453"/>
      <c r="AN94" s="453"/>
      <c r="AO94" s="453"/>
      <c r="AP94" s="471"/>
      <c r="AQ94" s="453"/>
      <c r="AR94" s="453"/>
      <c r="AS94" s="453"/>
      <c r="AT94" s="453"/>
      <c r="AU94" s="453"/>
      <c r="AV94" s="453"/>
      <c r="AW94" s="453"/>
      <c r="AX94" s="471"/>
      <c r="AY94" s="453"/>
      <c r="AZ94" s="453"/>
      <c r="BA94" s="453"/>
      <c r="BB94" s="453"/>
      <c r="BC94" s="453"/>
      <c r="BD94" s="453"/>
      <c r="BE94" s="453"/>
      <c r="BF94" s="471"/>
      <c r="BG94" s="453"/>
      <c r="BH94" s="453"/>
      <c r="BI94" s="453"/>
      <c r="BJ94" s="453"/>
      <c r="BK94" s="453"/>
      <c r="BL94" s="453"/>
    </row>
    <row r="95" spans="9:64" s="155" customFormat="1" ht="12" customHeight="1">
      <c r="I95" s="453"/>
      <c r="J95" s="471"/>
      <c r="K95" s="453"/>
      <c r="L95" s="453"/>
      <c r="M95" s="453"/>
      <c r="N95" s="453"/>
      <c r="O95" s="453"/>
      <c r="P95" s="453"/>
      <c r="Q95" s="453"/>
      <c r="R95" s="471"/>
      <c r="S95" s="453"/>
      <c r="T95" s="453"/>
      <c r="U95" s="453"/>
      <c r="V95" s="453"/>
      <c r="W95" s="453"/>
      <c r="X95" s="453"/>
      <c r="Y95" s="453"/>
      <c r="Z95" s="471"/>
      <c r="AA95" s="453"/>
      <c r="AB95" s="453"/>
      <c r="AC95" s="453"/>
      <c r="AD95" s="453"/>
      <c r="AE95" s="453"/>
      <c r="AF95" s="453"/>
      <c r="AG95" s="453"/>
      <c r="AH95" s="471"/>
      <c r="AI95" s="453"/>
      <c r="AJ95" s="453"/>
      <c r="AK95" s="453"/>
      <c r="AL95" s="453"/>
      <c r="AM95" s="453"/>
      <c r="AN95" s="453"/>
      <c r="AO95" s="453"/>
      <c r="AP95" s="471"/>
      <c r="AQ95" s="453"/>
      <c r="AR95" s="453"/>
      <c r="AS95" s="453"/>
      <c r="AT95" s="453"/>
      <c r="AU95" s="453"/>
      <c r="AV95" s="453"/>
      <c r="AW95" s="453"/>
      <c r="AX95" s="471"/>
      <c r="AY95" s="453"/>
      <c r="AZ95" s="453"/>
      <c r="BA95" s="453"/>
      <c r="BB95" s="453"/>
      <c r="BC95" s="453"/>
      <c r="BD95" s="453"/>
      <c r="BE95" s="453"/>
      <c r="BF95" s="471"/>
      <c r="BG95" s="453"/>
      <c r="BH95" s="453"/>
      <c r="BI95" s="453"/>
      <c r="BJ95" s="453"/>
      <c r="BK95" s="453"/>
      <c r="BL95" s="453"/>
    </row>
    <row r="96" spans="9:64" s="155" customFormat="1" ht="12" customHeight="1">
      <c r="I96" s="453"/>
      <c r="J96" s="471"/>
      <c r="K96" s="453"/>
      <c r="L96" s="453"/>
      <c r="M96" s="453"/>
      <c r="N96" s="453"/>
      <c r="O96" s="453"/>
      <c r="P96" s="453"/>
      <c r="Q96" s="453"/>
      <c r="R96" s="471"/>
      <c r="S96" s="453"/>
      <c r="T96" s="453"/>
      <c r="U96" s="453"/>
      <c r="V96" s="453"/>
      <c r="W96" s="453"/>
      <c r="X96" s="453"/>
      <c r="Y96" s="453"/>
      <c r="Z96" s="471"/>
      <c r="AA96" s="453"/>
      <c r="AB96" s="453"/>
      <c r="AC96" s="453"/>
      <c r="AD96" s="453"/>
      <c r="AE96" s="453"/>
      <c r="AF96" s="453"/>
      <c r="AG96" s="453"/>
      <c r="AH96" s="471"/>
      <c r="AI96" s="453"/>
      <c r="AJ96" s="453"/>
      <c r="AK96" s="453"/>
      <c r="AL96" s="453"/>
      <c r="AM96" s="453"/>
      <c r="AN96" s="453"/>
      <c r="AO96" s="453"/>
      <c r="AP96" s="471"/>
      <c r="AQ96" s="453"/>
      <c r="AR96" s="453"/>
      <c r="AS96" s="453"/>
      <c r="AT96" s="453"/>
      <c r="AU96" s="453"/>
      <c r="AV96" s="453"/>
      <c r="AW96" s="453"/>
      <c r="AX96" s="471"/>
      <c r="AY96" s="453"/>
      <c r="AZ96" s="453"/>
      <c r="BA96" s="453"/>
      <c r="BB96" s="453"/>
      <c r="BC96" s="453"/>
      <c r="BD96" s="453"/>
      <c r="BE96" s="453"/>
      <c r="BF96" s="471"/>
      <c r="BG96" s="453"/>
      <c r="BH96" s="453"/>
      <c r="BI96" s="453"/>
      <c r="BJ96" s="453"/>
      <c r="BK96" s="453"/>
      <c r="BL96" s="453"/>
    </row>
    <row r="97" spans="9:64" s="155" customFormat="1" ht="12" customHeight="1">
      <c r="I97" s="453"/>
      <c r="J97" s="471"/>
      <c r="K97" s="453"/>
      <c r="L97" s="453"/>
      <c r="M97" s="453"/>
      <c r="N97" s="453"/>
      <c r="O97" s="453"/>
      <c r="P97" s="453"/>
      <c r="Q97" s="453"/>
      <c r="R97" s="471"/>
      <c r="S97" s="453"/>
      <c r="T97" s="453"/>
      <c r="U97" s="453"/>
      <c r="V97" s="453"/>
      <c r="W97" s="453"/>
      <c r="X97" s="453"/>
      <c r="Y97" s="453"/>
      <c r="Z97" s="471"/>
      <c r="AA97" s="453"/>
      <c r="AB97" s="453"/>
      <c r="AC97" s="453"/>
      <c r="AD97" s="453"/>
      <c r="AE97" s="453"/>
      <c r="AF97" s="453"/>
      <c r="AG97" s="453"/>
      <c r="AH97" s="471"/>
      <c r="AI97" s="453"/>
      <c r="AJ97" s="453"/>
      <c r="AK97" s="453"/>
      <c r="AL97" s="453"/>
      <c r="AM97" s="453"/>
      <c r="AN97" s="453"/>
      <c r="AO97" s="453"/>
      <c r="AP97" s="471"/>
      <c r="AQ97" s="453"/>
      <c r="AR97" s="453"/>
      <c r="AS97" s="453"/>
      <c r="AT97" s="453"/>
      <c r="AU97" s="453"/>
      <c r="AV97" s="453"/>
      <c r="AW97" s="453"/>
      <c r="AX97" s="471"/>
      <c r="AY97" s="453"/>
      <c r="AZ97" s="453"/>
      <c r="BA97" s="453"/>
      <c r="BB97" s="453"/>
      <c r="BC97" s="453"/>
      <c r="BD97" s="453"/>
      <c r="BE97" s="453"/>
      <c r="BF97" s="471"/>
      <c r="BG97" s="453"/>
      <c r="BH97" s="453"/>
      <c r="BI97" s="453"/>
      <c r="BJ97" s="453"/>
      <c r="BK97" s="453"/>
      <c r="BL97" s="453"/>
    </row>
    <row r="98" spans="9:64" s="155" customFormat="1" ht="12" customHeight="1">
      <c r="I98" s="453"/>
      <c r="J98" s="471"/>
      <c r="K98" s="453"/>
      <c r="L98" s="453"/>
      <c r="M98" s="453"/>
      <c r="N98" s="453"/>
      <c r="O98" s="453"/>
      <c r="P98" s="453"/>
      <c r="Q98" s="453"/>
      <c r="R98" s="471"/>
      <c r="S98" s="453"/>
      <c r="T98" s="453"/>
      <c r="U98" s="453"/>
      <c r="V98" s="453"/>
      <c r="W98" s="453"/>
      <c r="X98" s="453"/>
      <c r="Y98" s="453"/>
      <c r="Z98" s="471"/>
      <c r="AA98" s="453"/>
      <c r="AB98" s="453"/>
      <c r="AC98" s="453"/>
      <c r="AD98" s="453"/>
      <c r="AE98" s="453"/>
      <c r="AF98" s="453"/>
      <c r="AG98" s="453"/>
      <c r="AH98" s="471"/>
      <c r="AI98" s="453"/>
      <c r="AJ98" s="453"/>
      <c r="AK98" s="453"/>
      <c r="AL98" s="453"/>
      <c r="AM98" s="453"/>
      <c r="AN98" s="453"/>
      <c r="AO98" s="453"/>
      <c r="AP98" s="471"/>
      <c r="AQ98" s="453"/>
      <c r="AR98" s="453"/>
      <c r="AS98" s="453"/>
      <c r="AT98" s="453"/>
      <c r="AU98" s="453"/>
      <c r="AV98" s="453"/>
      <c r="AW98" s="453"/>
      <c r="AX98" s="471"/>
      <c r="AY98" s="453"/>
      <c r="AZ98" s="453"/>
      <c r="BA98" s="453"/>
      <c r="BB98" s="453"/>
      <c r="BC98" s="453"/>
      <c r="BD98" s="453"/>
      <c r="BE98" s="453"/>
      <c r="BF98" s="471"/>
      <c r="BG98" s="453"/>
      <c r="BH98" s="453"/>
      <c r="BI98" s="453"/>
      <c r="BJ98" s="453"/>
      <c r="BK98" s="453"/>
      <c r="BL98" s="453"/>
    </row>
    <row r="99" spans="9:64" s="155" customFormat="1" ht="12" customHeight="1">
      <c r="I99" s="453"/>
      <c r="J99" s="471"/>
      <c r="K99" s="453"/>
      <c r="L99" s="453"/>
      <c r="M99" s="453"/>
      <c r="N99" s="453"/>
      <c r="O99" s="453"/>
      <c r="P99" s="453"/>
      <c r="Q99" s="453"/>
      <c r="R99" s="471"/>
      <c r="S99" s="453"/>
      <c r="T99" s="453"/>
      <c r="U99" s="453"/>
      <c r="V99" s="453"/>
      <c r="W99" s="453"/>
      <c r="X99" s="453"/>
      <c r="Y99" s="453"/>
      <c r="Z99" s="471"/>
      <c r="AA99" s="453"/>
      <c r="AB99" s="453"/>
      <c r="AC99" s="453"/>
      <c r="AD99" s="453"/>
      <c r="AE99" s="453"/>
      <c r="AF99" s="453"/>
      <c r="AG99" s="453"/>
      <c r="AH99" s="471"/>
      <c r="AI99" s="453"/>
      <c r="AJ99" s="453"/>
      <c r="AK99" s="453"/>
      <c r="AL99" s="453"/>
      <c r="AM99" s="453"/>
      <c r="AN99" s="453"/>
      <c r="AO99" s="453"/>
      <c r="AP99" s="471"/>
      <c r="AQ99" s="453"/>
      <c r="AR99" s="453"/>
      <c r="AS99" s="453"/>
      <c r="AT99" s="453"/>
      <c r="AU99" s="453"/>
      <c r="AV99" s="453"/>
      <c r="AW99" s="453"/>
      <c r="AX99" s="471"/>
      <c r="AY99" s="453"/>
      <c r="AZ99" s="453"/>
      <c r="BA99" s="453"/>
      <c r="BB99" s="453"/>
      <c r="BC99" s="453"/>
      <c r="BD99" s="453"/>
      <c r="BE99" s="453"/>
      <c r="BF99" s="471"/>
      <c r="BG99" s="453"/>
      <c r="BH99" s="453"/>
      <c r="BI99" s="453"/>
      <c r="BJ99" s="453"/>
      <c r="BK99" s="453"/>
      <c r="BL99" s="453"/>
    </row>
    <row r="100" spans="9:64" s="155" customFormat="1" ht="12" customHeight="1">
      <c r="I100" s="453"/>
      <c r="J100" s="471"/>
      <c r="K100" s="453"/>
      <c r="L100" s="453"/>
      <c r="M100" s="453"/>
      <c r="N100" s="453"/>
      <c r="O100" s="453"/>
      <c r="P100" s="453"/>
      <c r="Q100" s="453"/>
      <c r="R100" s="471"/>
      <c r="S100" s="453"/>
      <c r="T100" s="453"/>
      <c r="U100" s="453"/>
      <c r="V100" s="453"/>
      <c r="W100" s="453"/>
      <c r="X100" s="453"/>
      <c r="Y100" s="453"/>
      <c r="Z100" s="471"/>
      <c r="AA100" s="453"/>
      <c r="AB100" s="453"/>
      <c r="AC100" s="453"/>
      <c r="AD100" s="453"/>
      <c r="AE100" s="453"/>
      <c r="AF100" s="453"/>
      <c r="AG100" s="453"/>
      <c r="AH100" s="471"/>
      <c r="AI100" s="453"/>
      <c r="AJ100" s="453"/>
      <c r="AK100" s="453"/>
      <c r="AL100" s="453"/>
      <c r="AM100" s="453"/>
      <c r="AN100" s="453"/>
      <c r="AO100" s="453"/>
      <c r="AP100" s="471"/>
      <c r="AQ100" s="453"/>
      <c r="AR100" s="453"/>
      <c r="AS100" s="453"/>
      <c r="AT100" s="453"/>
      <c r="AU100" s="453"/>
      <c r="AV100" s="453"/>
      <c r="AW100" s="453"/>
      <c r="AX100" s="471"/>
      <c r="AY100" s="453"/>
      <c r="AZ100" s="453"/>
      <c r="BA100" s="453"/>
      <c r="BB100" s="453"/>
      <c r="BC100" s="453"/>
      <c r="BD100" s="453"/>
      <c r="BE100" s="453"/>
      <c r="BF100" s="471"/>
      <c r="BG100" s="453"/>
      <c r="BH100" s="453"/>
      <c r="BI100" s="453"/>
      <c r="BJ100" s="453"/>
      <c r="BK100" s="453"/>
      <c r="BL100" s="453"/>
    </row>
    <row r="101" spans="9:64" s="155" customFormat="1" ht="12" customHeight="1">
      <c r="I101" s="453"/>
      <c r="J101" s="471"/>
      <c r="K101" s="453"/>
      <c r="L101" s="453"/>
      <c r="M101" s="453"/>
      <c r="N101" s="453"/>
      <c r="O101" s="453"/>
      <c r="P101" s="453"/>
      <c r="Q101" s="453"/>
      <c r="R101" s="471"/>
      <c r="S101" s="453"/>
      <c r="T101" s="453"/>
      <c r="U101" s="453"/>
      <c r="V101" s="453"/>
      <c r="W101" s="453"/>
      <c r="X101" s="453"/>
      <c r="Y101" s="453"/>
      <c r="Z101" s="471"/>
      <c r="AA101" s="453"/>
      <c r="AB101" s="453"/>
      <c r="AC101" s="453"/>
      <c r="AD101" s="453"/>
      <c r="AE101" s="453"/>
      <c r="AF101" s="453"/>
      <c r="AG101" s="453"/>
      <c r="AH101" s="471"/>
      <c r="AI101" s="453"/>
      <c r="AJ101" s="453"/>
      <c r="AK101" s="453"/>
      <c r="AL101" s="453"/>
      <c r="AM101" s="453"/>
      <c r="AN101" s="453"/>
      <c r="AO101" s="453"/>
      <c r="AP101" s="471"/>
      <c r="AQ101" s="453"/>
      <c r="AR101" s="453"/>
      <c r="AS101" s="453"/>
      <c r="AT101" s="453"/>
      <c r="AU101" s="453"/>
      <c r="AV101" s="453"/>
      <c r="AW101" s="453"/>
      <c r="AX101" s="471"/>
      <c r="AY101" s="453"/>
      <c r="AZ101" s="453"/>
      <c r="BA101" s="453"/>
      <c r="BB101" s="453"/>
      <c r="BC101" s="453"/>
      <c r="BD101" s="453"/>
      <c r="BE101" s="453"/>
      <c r="BF101" s="471"/>
      <c r="BG101" s="453"/>
      <c r="BH101" s="453"/>
      <c r="BI101" s="453"/>
      <c r="BJ101" s="453"/>
      <c r="BK101" s="453"/>
      <c r="BL101" s="453"/>
    </row>
    <row r="102" spans="9:64" s="155" customFormat="1" ht="12" customHeight="1">
      <c r="I102" s="453"/>
      <c r="J102" s="471"/>
      <c r="K102" s="453"/>
      <c r="L102" s="453"/>
      <c r="M102" s="453"/>
      <c r="N102" s="453"/>
      <c r="O102" s="453"/>
      <c r="P102" s="453"/>
      <c r="Q102" s="453"/>
      <c r="R102" s="471"/>
      <c r="S102" s="453"/>
      <c r="T102" s="453"/>
      <c r="U102" s="453"/>
      <c r="V102" s="453"/>
      <c r="W102" s="453"/>
      <c r="X102" s="453"/>
      <c r="Y102" s="453"/>
      <c r="Z102" s="471"/>
      <c r="AA102" s="453"/>
      <c r="AB102" s="453"/>
      <c r="AC102" s="453"/>
      <c r="AD102" s="453"/>
      <c r="AE102" s="453"/>
      <c r="AF102" s="453"/>
      <c r="AG102" s="453"/>
      <c r="AH102" s="471"/>
      <c r="AI102" s="453"/>
      <c r="AJ102" s="453"/>
      <c r="AK102" s="453"/>
      <c r="AL102" s="453"/>
      <c r="AM102" s="453"/>
      <c r="AN102" s="453"/>
      <c r="AO102" s="453"/>
      <c r="AP102" s="471"/>
      <c r="AQ102" s="453"/>
      <c r="AR102" s="453"/>
      <c r="AS102" s="453"/>
      <c r="AT102" s="453"/>
      <c r="AU102" s="453"/>
      <c r="AV102" s="453"/>
      <c r="AW102" s="453"/>
      <c r="AX102" s="471"/>
      <c r="AY102" s="453"/>
      <c r="AZ102" s="453"/>
      <c r="BA102" s="453"/>
      <c r="BB102" s="453"/>
      <c r="BC102" s="453"/>
      <c r="BD102" s="453"/>
      <c r="BE102" s="453"/>
      <c r="BF102" s="471"/>
      <c r="BG102" s="453"/>
      <c r="BH102" s="453"/>
      <c r="BI102" s="453"/>
      <c r="BJ102" s="453"/>
      <c r="BK102" s="453"/>
      <c r="BL102" s="453"/>
    </row>
    <row r="103" spans="9:64" s="155" customFormat="1" ht="12" customHeight="1">
      <c r="I103" s="453"/>
      <c r="J103" s="471"/>
      <c r="K103" s="453"/>
      <c r="L103" s="453"/>
      <c r="M103" s="453"/>
      <c r="N103" s="453"/>
      <c r="O103" s="453"/>
      <c r="P103" s="453"/>
      <c r="Q103" s="453"/>
      <c r="R103" s="471"/>
      <c r="S103" s="453"/>
      <c r="T103" s="453"/>
      <c r="U103" s="453"/>
      <c r="V103" s="453"/>
      <c r="W103" s="453"/>
      <c r="X103" s="453"/>
      <c r="Y103" s="453"/>
      <c r="Z103" s="471"/>
      <c r="AA103" s="453"/>
      <c r="AB103" s="453"/>
      <c r="AC103" s="453"/>
      <c r="AD103" s="453"/>
      <c r="AE103" s="453"/>
      <c r="AF103" s="453"/>
      <c r="AG103" s="453"/>
      <c r="AH103" s="471"/>
      <c r="AI103" s="453"/>
      <c r="AJ103" s="453"/>
      <c r="AK103" s="453"/>
      <c r="AL103" s="453"/>
      <c r="AM103" s="453"/>
      <c r="AN103" s="453"/>
      <c r="AO103" s="453"/>
      <c r="AP103" s="471"/>
      <c r="AQ103" s="453"/>
      <c r="AR103" s="453"/>
      <c r="AS103" s="453"/>
      <c r="AT103" s="453"/>
      <c r="AU103" s="453"/>
      <c r="AV103" s="453"/>
      <c r="AW103" s="453"/>
      <c r="AX103" s="471"/>
      <c r="AY103" s="453"/>
      <c r="AZ103" s="453"/>
      <c r="BA103" s="453"/>
      <c r="BB103" s="453"/>
      <c r="BC103" s="453"/>
      <c r="BD103" s="453"/>
      <c r="BE103" s="453"/>
      <c r="BF103" s="471"/>
      <c r="BG103" s="453"/>
      <c r="BH103" s="453"/>
      <c r="BI103" s="453"/>
      <c r="BJ103" s="453"/>
      <c r="BK103" s="453"/>
      <c r="BL103" s="453"/>
    </row>
    <row r="104" spans="9:64" s="155" customFormat="1" ht="12" customHeight="1">
      <c r="I104" s="453"/>
      <c r="J104" s="471"/>
      <c r="K104" s="453"/>
      <c r="L104" s="453"/>
      <c r="M104" s="453"/>
      <c r="N104" s="453"/>
      <c r="O104" s="453"/>
      <c r="P104" s="453"/>
      <c r="Q104" s="453"/>
      <c r="R104" s="471"/>
      <c r="S104" s="453"/>
      <c r="T104" s="453"/>
      <c r="U104" s="453"/>
      <c r="V104" s="453"/>
      <c r="W104" s="453"/>
      <c r="X104" s="453"/>
      <c r="Y104" s="453"/>
      <c r="Z104" s="471"/>
      <c r="AA104" s="453"/>
      <c r="AB104" s="453"/>
      <c r="AC104" s="453"/>
      <c r="AD104" s="453"/>
      <c r="AE104" s="453"/>
      <c r="AF104" s="453"/>
      <c r="AG104" s="453"/>
      <c r="AH104" s="471"/>
      <c r="AI104" s="453"/>
      <c r="AJ104" s="453"/>
      <c r="AK104" s="453"/>
      <c r="AL104" s="453"/>
      <c r="AM104" s="453"/>
      <c r="AN104" s="453"/>
      <c r="AO104" s="453"/>
      <c r="AP104" s="471"/>
      <c r="AQ104" s="453"/>
      <c r="AR104" s="453"/>
      <c r="AS104" s="453"/>
      <c r="AT104" s="453"/>
      <c r="AU104" s="453"/>
      <c r="AV104" s="453"/>
      <c r="AW104" s="453"/>
      <c r="AX104" s="471"/>
      <c r="AY104" s="453"/>
      <c r="AZ104" s="453"/>
      <c r="BA104" s="453"/>
      <c r="BB104" s="453"/>
      <c r="BC104" s="453"/>
      <c r="BD104" s="453"/>
      <c r="BE104" s="453"/>
      <c r="BF104" s="471"/>
      <c r="BG104" s="453"/>
      <c r="BH104" s="453"/>
      <c r="BI104" s="453"/>
      <c r="BJ104" s="453"/>
      <c r="BK104" s="453"/>
      <c r="BL104" s="453"/>
    </row>
    <row r="105" spans="9:64" s="155" customFormat="1" ht="12" customHeight="1">
      <c r="I105" s="453"/>
      <c r="J105" s="471"/>
      <c r="K105" s="453"/>
      <c r="L105" s="453"/>
      <c r="M105" s="453"/>
      <c r="N105" s="453"/>
      <c r="O105" s="453"/>
      <c r="P105" s="453"/>
      <c r="Q105" s="453"/>
      <c r="R105" s="471"/>
      <c r="S105" s="453"/>
      <c r="T105" s="453"/>
      <c r="U105" s="453"/>
      <c r="V105" s="453"/>
      <c r="W105" s="453"/>
      <c r="X105" s="453"/>
      <c r="Y105" s="453"/>
      <c r="Z105" s="471"/>
      <c r="AA105" s="453"/>
      <c r="AB105" s="453"/>
      <c r="AC105" s="453"/>
      <c r="AD105" s="453"/>
      <c r="AE105" s="453"/>
      <c r="AF105" s="453"/>
      <c r="AG105" s="453"/>
      <c r="AH105" s="471"/>
      <c r="AI105" s="453"/>
      <c r="AJ105" s="453"/>
      <c r="AK105" s="453"/>
      <c r="AL105" s="453"/>
      <c r="AM105" s="453"/>
      <c r="AN105" s="453"/>
      <c r="AO105" s="453"/>
      <c r="AP105" s="471"/>
      <c r="AQ105" s="453"/>
      <c r="AR105" s="453"/>
      <c r="AS105" s="453"/>
      <c r="AT105" s="453"/>
      <c r="AU105" s="453"/>
      <c r="AV105" s="453"/>
      <c r="AW105" s="453"/>
      <c r="AX105" s="471"/>
      <c r="AY105" s="453"/>
      <c r="AZ105" s="453"/>
      <c r="BA105" s="453"/>
      <c r="BB105" s="453"/>
      <c r="BC105" s="453"/>
      <c r="BD105" s="453"/>
      <c r="BE105" s="453"/>
      <c r="BF105" s="471"/>
      <c r="BG105" s="453"/>
      <c r="BH105" s="453"/>
      <c r="BI105" s="453"/>
      <c r="BJ105" s="453"/>
      <c r="BK105" s="453"/>
      <c r="BL105" s="453"/>
    </row>
    <row r="106" spans="9:64" s="155" customFormat="1" ht="12" customHeight="1">
      <c r="I106" s="453"/>
      <c r="J106" s="471"/>
      <c r="K106" s="453"/>
      <c r="L106" s="453"/>
      <c r="M106" s="453"/>
      <c r="N106" s="453"/>
      <c r="O106" s="453"/>
      <c r="P106" s="453"/>
      <c r="Q106" s="453"/>
      <c r="R106" s="471"/>
      <c r="S106" s="453"/>
      <c r="T106" s="453"/>
      <c r="U106" s="453"/>
      <c r="V106" s="453"/>
      <c r="W106" s="453"/>
      <c r="X106" s="453"/>
      <c r="Y106" s="453"/>
      <c r="Z106" s="471"/>
      <c r="AA106" s="453"/>
      <c r="AB106" s="453"/>
      <c r="AC106" s="453"/>
      <c r="AD106" s="453"/>
      <c r="AE106" s="453"/>
      <c r="AF106" s="453"/>
      <c r="AG106" s="453"/>
      <c r="AH106" s="471"/>
      <c r="AI106" s="453"/>
      <c r="AJ106" s="453"/>
      <c r="AK106" s="453"/>
      <c r="AL106" s="453"/>
      <c r="AM106" s="453"/>
      <c r="AN106" s="453"/>
      <c r="AO106" s="453"/>
      <c r="AP106" s="471"/>
      <c r="AQ106" s="453"/>
      <c r="AR106" s="453"/>
      <c r="AS106" s="453"/>
      <c r="AT106" s="453"/>
      <c r="AU106" s="453"/>
      <c r="AV106" s="453"/>
      <c r="AW106" s="453"/>
      <c r="AX106" s="471"/>
      <c r="AY106" s="453"/>
      <c r="AZ106" s="453"/>
      <c r="BA106" s="453"/>
      <c r="BB106" s="453"/>
      <c r="BC106" s="453"/>
      <c r="BD106" s="453"/>
      <c r="BE106" s="453"/>
      <c r="BF106" s="471"/>
      <c r="BG106" s="453"/>
      <c r="BH106" s="453"/>
      <c r="BI106" s="453"/>
      <c r="BJ106" s="453"/>
      <c r="BK106" s="453"/>
      <c r="BL106" s="453"/>
    </row>
    <row r="107" spans="9:64" s="155" customFormat="1" ht="12" customHeight="1">
      <c r="I107" s="453"/>
      <c r="J107" s="471"/>
      <c r="K107" s="453"/>
      <c r="L107" s="453"/>
      <c r="M107" s="453"/>
      <c r="N107" s="453"/>
      <c r="O107" s="453"/>
      <c r="P107" s="453"/>
      <c r="Q107" s="453"/>
      <c r="R107" s="471"/>
      <c r="S107" s="453"/>
      <c r="T107" s="453"/>
      <c r="U107" s="453"/>
      <c r="V107" s="453"/>
      <c r="W107" s="453"/>
      <c r="X107" s="453"/>
      <c r="Y107" s="453"/>
      <c r="Z107" s="471"/>
      <c r="AA107" s="453"/>
      <c r="AB107" s="453"/>
      <c r="AC107" s="453"/>
      <c r="AD107" s="453"/>
      <c r="AE107" s="453"/>
      <c r="AF107" s="453"/>
      <c r="AG107" s="453"/>
      <c r="AH107" s="471"/>
      <c r="AI107" s="453"/>
      <c r="AJ107" s="453"/>
      <c r="AK107" s="453"/>
      <c r="AL107" s="453"/>
      <c r="AM107" s="453"/>
      <c r="AN107" s="453"/>
      <c r="AO107" s="453"/>
      <c r="AP107" s="471"/>
      <c r="AQ107" s="453"/>
      <c r="AR107" s="453"/>
      <c r="AS107" s="453"/>
      <c r="AT107" s="453"/>
      <c r="AU107" s="453"/>
      <c r="AV107" s="453"/>
      <c r="AW107" s="453"/>
      <c r="AX107" s="471"/>
      <c r="AY107" s="453"/>
      <c r="AZ107" s="453"/>
      <c r="BA107" s="453"/>
      <c r="BB107" s="453"/>
      <c r="BC107" s="453"/>
      <c r="BD107" s="453"/>
      <c r="BE107" s="453"/>
      <c r="BF107" s="471"/>
      <c r="BG107" s="453"/>
      <c r="BH107" s="453"/>
      <c r="BI107" s="453"/>
      <c r="BJ107" s="453"/>
      <c r="BK107" s="453"/>
      <c r="BL107" s="453"/>
    </row>
    <row r="108" spans="9:64" s="155" customFormat="1" ht="12" customHeight="1">
      <c r="I108" s="453"/>
      <c r="J108" s="471"/>
      <c r="K108" s="453"/>
      <c r="L108" s="453"/>
      <c r="M108" s="453"/>
      <c r="N108" s="453"/>
      <c r="O108" s="453"/>
      <c r="P108" s="453"/>
      <c r="Q108" s="453"/>
      <c r="R108" s="471"/>
      <c r="S108" s="453"/>
      <c r="T108" s="453"/>
      <c r="U108" s="453"/>
      <c r="V108" s="453"/>
      <c r="W108" s="453"/>
      <c r="X108" s="453"/>
      <c r="Y108" s="453"/>
      <c r="Z108" s="471"/>
      <c r="AA108" s="453"/>
      <c r="AB108" s="453"/>
      <c r="AC108" s="453"/>
      <c r="AD108" s="453"/>
      <c r="AE108" s="453"/>
      <c r="AF108" s="453"/>
      <c r="AG108" s="453"/>
      <c r="AH108" s="471"/>
      <c r="AI108" s="453"/>
      <c r="AJ108" s="453"/>
      <c r="AK108" s="453"/>
      <c r="AL108" s="453"/>
      <c r="AM108" s="453"/>
      <c r="AN108" s="453"/>
      <c r="AO108" s="453"/>
      <c r="AP108" s="471"/>
      <c r="AQ108" s="453"/>
      <c r="AR108" s="453"/>
      <c r="AS108" s="453"/>
      <c r="AT108" s="453"/>
      <c r="AU108" s="453"/>
      <c r="AV108" s="453"/>
      <c r="AW108" s="453"/>
      <c r="AX108" s="471"/>
      <c r="AY108" s="453"/>
      <c r="AZ108" s="453"/>
      <c r="BA108" s="453"/>
      <c r="BB108" s="453"/>
      <c r="BC108" s="453"/>
      <c r="BD108" s="453"/>
      <c r="BE108" s="453"/>
      <c r="BF108" s="471"/>
      <c r="BG108" s="453"/>
      <c r="BH108" s="453"/>
      <c r="BI108" s="453"/>
      <c r="BJ108" s="453"/>
      <c r="BK108" s="453"/>
      <c r="BL108" s="453"/>
    </row>
    <row r="109" spans="9:64" s="155" customFormat="1" ht="12" customHeight="1">
      <c r="I109" s="453"/>
      <c r="J109" s="471"/>
      <c r="K109" s="453"/>
      <c r="L109" s="453"/>
      <c r="M109" s="453"/>
      <c r="N109" s="453"/>
      <c r="O109" s="453"/>
      <c r="P109" s="453"/>
      <c r="Q109" s="453"/>
      <c r="R109" s="471"/>
      <c r="S109" s="453"/>
      <c r="T109" s="453"/>
      <c r="U109" s="453"/>
      <c r="V109" s="453"/>
      <c r="W109" s="453"/>
      <c r="X109" s="453"/>
      <c r="Y109" s="453"/>
      <c r="Z109" s="471"/>
      <c r="AA109" s="453"/>
      <c r="AB109" s="453"/>
      <c r="AC109" s="453"/>
      <c r="AD109" s="453"/>
      <c r="AE109" s="453"/>
      <c r="AF109" s="453"/>
      <c r="AG109" s="453"/>
      <c r="AH109" s="471"/>
      <c r="AI109" s="453"/>
      <c r="AJ109" s="453"/>
      <c r="AK109" s="453"/>
      <c r="AL109" s="453"/>
      <c r="AM109" s="453"/>
      <c r="AN109" s="453"/>
      <c r="AO109" s="453"/>
      <c r="AP109" s="471"/>
      <c r="AQ109" s="453"/>
      <c r="AR109" s="453"/>
      <c r="AS109" s="453"/>
      <c r="AT109" s="453"/>
      <c r="AU109" s="453"/>
      <c r="AV109" s="453"/>
      <c r="AW109" s="453"/>
      <c r="AX109" s="471"/>
      <c r="AY109" s="453"/>
      <c r="AZ109" s="453"/>
      <c r="BA109" s="453"/>
      <c r="BB109" s="453"/>
      <c r="BC109" s="453"/>
      <c r="BD109" s="453"/>
      <c r="BE109" s="453"/>
      <c r="BF109" s="471"/>
      <c r="BG109" s="453"/>
      <c r="BH109" s="453"/>
      <c r="BI109" s="453"/>
      <c r="BJ109" s="453"/>
      <c r="BK109" s="453"/>
      <c r="BL109" s="453"/>
    </row>
    <row r="110" spans="9:64" s="155" customFormat="1" ht="12" customHeight="1">
      <c r="I110" s="453"/>
      <c r="J110" s="471"/>
      <c r="K110" s="453"/>
      <c r="L110" s="453"/>
      <c r="M110" s="453"/>
      <c r="N110" s="453"/>
      <c r="O110" s="453"/>
      <c r="P110" s="453"/>
      <c r="Q110" s="453"/>
      <c r="R110" s="471"/>
      <c r="S110" s="453"/>
      <c r="T110" s="453"/>
      <c r="U110" s="453"/>
      <c r="V110" s="453"/>
      <c r="W110" s="453"/>
      <c r="X110" s="453"/>
      <c r="Y110" s="453"/>
      <c r="Z110" s="471"/>
      <c r="AA110" s="453"/>
      <c r="AB110" s="453"/>
      <c r="AC110" s="453"/>
      <c r="AD110" s="453"/>
      <c r="AE110" s="453"/>
      <c r="AF110" s="453"/>
      <c r="AG110" s="453"/>
      <c r="AH110" s="471"/>
      <c r="AI110" s="453"/>
      <c r="AJ110" s="453"/>
      <c r="AK110" s="453"/>
      <c r="AL110" s="453"/>
      <c r="AM110" s="453"/>
      <c r="AN110" s="453"/>
      <c r="AO110" s="453"/>
      <c r="AP110" s="471"/>
      <c r="AQ110" s="453"/>
      <c r="AR110" s="453"/>
      <c r="AS110" s="453"/>
      <c r="AT110" s="453"/>
      <c r="AU110" s="453"/>
      <c r="AV110" s="453"/>
      <c r="AW110" s="453"/>
      <c r="AX110" s="471"/>
      <c r="AY110" s="453"/>
      <c r="AZ110" s="453"/>
      <c r="BA110" s="453"/>
      <c r="BB110" s="453"/>
      <c r="BC110" s="453"/>
      <c r="BD110" s="453"/>
      <c r="BE110" s="453"/>
      <c r="BF110" s="471"/>
      <c r="BG110" s="453"/>
      <c r="BH110" s="453"/>
      <c r="BI110" s="453"/>
      <c r="BJ110" s="453"/>
      <c r="BK110" s="453"/>
      <c r="BL110" s="453"/>
    </row>
    <row r="111" spans="9:64" s="155" customFormat="1" ht="12" customHeight="1">
      <c r="I111" s="453"/>
      <c r="J111" s="471"/>
      <c r="K111" s="453"/>
      <c r="L111" s="453"/>
      <c r="M111" s="453"/>
      <c r="N111" s="453"/>
      <c r="O111" s="453"/>
      <c r="P111" s="453"/>
      <c r="Q111" s="453"/>
      <c r="R111" s="471"/>
      <c r="S111" s="453"/>
      <c r="T111" s="453"/>
      <c r="U111" s="453"/>
      <c r="V111" s="453"/>
      <c r="W111" s="453"/>
      <c r="X111" s="453"/>
      <c r="Y111" s="453"/>
      <c r="Z111" s="471"/>
      <c r="AA111" s="453"/>
      <c r="AB111" s="453"/>
      <c r="AC111" s="453"/>
      <c r="AD111" s="453"/>
      <c r="AE111" s="453"/>
      <c r="AF111" s="453"/>
      <c r="AG111" s="453"/>
      <c r="AH111" s="471"/>
      <c r="AI111" s="453"/>
      <c r="AJ111" s="453"/>
      <c r="AK111" s="453"/>
      <c r="AL111" s="453"/>
      <c r="AM111" s="453"/>
      <c r="AN111" s="453"/>
      <c r="AO111" s="453"/>
      <c r="AP111" s="471"/>
      <c r="AQ111" s="453"/>
      <c r="AR111" s="453"/>
      <c r="AS111" s="453"/>
      <c r="AT111" s="453"/>
      <c r="AU111" s="453"/>
      <c r="AV111" s="453"/>
      <c r="AW111" s="453"/>
      <c r="AX111" s="471"/>
      <c r="AY111" s="453"/>
      <c r="AZ111" s="453"/>
      <c r="BA111" s="453"/>
      <c r="BB111" s="453"/>
      <c r="BC111" s="453"/>
      <c r="BD111" s="453"/>
      <c r="BE111" s="453"/>
      <c r="BF111" s="471"/>
      <c r="BG111" s="453"/>
      <c r="BH111" s="453"/>
      <c r="BI111" s="453"/>
      <c r="BJ111" s="453"/>
      <c r="BK111" s="453"/>
      <c r="BL111" s="453"/>
    </row>
    <row r="112" spans="9:64" s="155" customFormat="1" ht="12" customHeight="1">
      <c r="I112" s="453"/>
      <c r="J112" s="471"/>
      <c r="K112" s="453"/>
      <c r="L112" s="453"/>
      <c r="M112" s="453"/>
      <c r="N112" s="453"/>
      <c r="O112" s="453"/>
      <c r="P112" s="453"/>
      <c r="Q112" s="453"/>
      <c r="R112" s="471"/>
      <c r="S112" s="453"/>
      <c r="T112" s="453"/>
      <c r="U112" s="453"/>
      <c r="V112" s="453"/>
      <c r="W112" s="453"/>
      <c r="X112" s="453"/>
      <c r="Y112" s="453"/>
      <c r="Z112" s="471"/>
      <c r="AA112" s="453"/>
      <c r="AB112" s="453"/>
      <c r="AC112" s="453"/>
      <c r="AD112" s="453"/>
      <c r="AE112" s="453"/>
      <c r="AF112" s="453"/>
      <c r="AG112" s="453"/>
      <c r="AH112" s="471"/>
      <c r="AI112" s="453"/>
      <c r="AJ112" s="453"/>
      <c r="AK112" s="453"/>
      <c r="AL112" s="453"/>
      <c r="AM112" s="453"/>
      <c r="AN112" s="453"/>
      <c r="AO112" s="453"/>
      <c r="AP112" s="471"/>
      <c r="AQ112" s="453"/>
      <c r="AR112" s="453"/>
      <c r="AS112" s="453"/>
      <c r="AT112" s="453"/>
      <c r="AU112" s="453"/>
      <c r="AV112" s="453"/>
      <c r="AW112" s="453"/>
      <c r="AX112" s="471"/>
      <c r="AY112" s="453"/>
      <c r="AZ112" s="453"/>
      <c r="BA112" s="453"/>
      <c r="BB112" s="453"/>
      <c r="BC112" s="453"/>
      <c r="BD112" s="453"/>
      <c r="BE112" s="453"/>
      <c r="BF112" s="471"/>
      <c r="BG112" s="453"/>
      <c r="BH112" s="453"/>
      <c r="BI112" s="453"/>
      <c r="BJ112" s="453"/>
      <c r="BK112" s="453"/>
      <c r="BL112" s="453"/>
    </row>
    <row r="113" spans="2:64" s="155" customFormat="1" ht="12" customHeight="1">
      <c r="I113" s="453"/>
      <c r="J113" s="471"/>
      <c r="K113" s="453"/>
      <c r="L113" s="453"/>
      <c r="M113" s="453"/>
      <c r="N113" s="453"/>
      <c r="O113" s="453"/>
      <c r="P113" s="453"/>
      <c r="Q113" s="453"/>
      <c r="R113" s="471"/>
      <c r="S113" s="453"/>
      <c r="T113" s="453"/>
      <c r="U113" s="453"/>
      <c r="V113" s="453"/>
      <c r="W113" s="453"/>
      <c r="X113" s="453"/>
      <c r="Y113" s="453"/>
      <c r="Z113" s="471"/>
      <c r="AA113" s="453"/>
      <c r="AB113" s="453"/>
      <c r="AC113" s="453"/>
      <c r="AD113" s="453"/>
      <c r="AE113" s="453"/>
      <c r="AF113" s="453"/>
      <c r="AG113" s="453"/>
      <c r="AH113" s="471"/>
      <c r="AI113" s="453"/>
      <c r="AJ113" s="453"/>
      <c r="AK113" s="453"/>
      <c r="AL113" s="453"/>
      <c r="AM113" s="453"/>
      <c r="AN113" s="453"/>
      <c r="AO113" s="453"/>
      <c r="AP113" s="471"/>
      <c r="AQ113" s="453"/>
      <c r="AR113" s="453"/>
      <c r="AS113" s="453"/>
      <c r="AT113" s="453"/>
      <c r="AU113" s="453"/>
      <c r="AV113" s="453"/>
      <c r="AW113" s="453"/>
      <c r="AX113" s="471"/>
      <c r="AY113" s="453"/>
      <c r="AZ113" s="453"/>
      <c r="BA113" s="453"/>
      <c r="BB113" s="453"/>
      <c r="BC113" s="453"/>
      <c r="BD113" s="453"/>
      <c r="BE113" s="453"/>
      <c r="BF113" s="471"/>
      <c r="BG113" s="453"/>
      <c r="BH113" s="453"/>
      <c r="BI113" s="453"/>
      <c r="BJ113" s="453"/>
      <c r="BK113" s="453"/>
      <c r="BL113" s="453"/>
    </row>
    <row r="114" spans="2:64" s="155" customFormat="1" ht="12" customHeight="1">
      <c r="E114" s="10"/>
      <c r="F114" s="10"/>
      <c r="G114" s="53"/>
      <c r="H114" s="10"/>
      <c r="I114" s="453"/>
      <c r="J114" s="471"/>
      <c r="K114" s="453"/>
      <c r="L114" s="453"/>
      <c r="M114" s="453"/>
      <c r="N114" s="453"/>
      <c r="O114" s="453"/>
      <c r="P114" s="453"/>
      <c r="Q114" s="453"/>
      <c r="R114" s="471"/>
      <c r="S114" s="453"/>
      <c r="T114" s="453"/>
      <c r="U114" s="453"/>
      <c r="V114" s="453"/>
      <c r="W114" s="453"/>
      <c r="X114" s="453"/>
      <c r="Y114" s="453"/>
      <c r="Z114" s="471"/>
      <c r="AA114" s="453"/>
      <c r="AB114" s="453"/>
      <c r="AC114" s="453"/>
      <c r="AD114" s="453"/>
      <c r="AE114" s="453"/>
      <c r="AF114" s="453"/>
      <c r="AG114" s="453"/>
      <c r="AH114" s="471"/>
      <c r="AI114" s="453"/>
      <c r="AJ114" s="453"/>
      <c r="AK114" s="453"/>
      <c r="AL114" s="453"/>
      <c r="AM114" s="453"/>
      <c r="AN114" s="453"/>
      <c r="AO114" s="453"/>
      <c r="AP114" s="471"/>
      <c r="AQ114" s="453"/>
      <c r="AR114" s="453"/>
      <c r="AS114" s="453"/>
      <c r="AT114" s="453"/>
      <c r="AU114" s="453"/>
      <c r="AV114" s="453"/>
      <c r="AW114" s="300"/>
      <c r="AX114" s="469"/>
      <c r="AY114" s="453"/>
      <c r="AZ114" s="453"/>
      <c r="BA114" s="453"/>
      <c r="BB114" s="453"/>
      <c r="BC114" s="472"/>
      <c r="BD114" s="453"/>
      <c r="BE114" s="453"/>
      <c r="BF114" s="471"/>
      <c r="BG114" s="453"/>
      <c r="BH114" s="453"/>
      <c r="BI114" s="453"/>
      <c r="BJ114" s="453"/>
      <c r="BK114" s="453"/>
      <c r="BL114" s="453"/>
    </row>
    <row r="115" spans="2:64" s="155" customFormat="1" ht="12" customHeight="1">
      <c r="B115" s="356"/>
      <c r="G115" s="356"/>
      <c r="I115" s="453"/>
      <c r="J115" s="471"/>
      <c r="K115" s="453"/>
      <c r="L115" s="453"/>
      <c r="M115" s="453"/>
      <c r="N115" s="453"/>
      <c r="O115" s="453"/>
      <c r="P115" s="453"/>
      <c r="Q115" s="453"/>
      <c r="R115" s="471"/>
      <c r="S115" s="453"/>
      <c r="T115" s="453"/>
      <c r="U115" s="453"/>
      <c r="V115" s="453"/>
      <c r="W115" s="453"/>
      <c r="X115" s="453"/>
      <c r="Y115" s="453"/>
      <c r="Z115" s="471"/>
      <c r="AA115" s="453"/>
      <c r="AB115" s="453"/>
      <c r="AC115" s="453"/>
      <c r="AD115" s="453"/>
      <c r="AE115" s="453"/>
      <c r="AF115" s="453"/>
      <c r="AG115" s="453"/>
      <c r="AH115" s="469"/>
      <c r="AI115" s="453"/>
      <c r="AJ115" s="453"/>
      <c r="AK115" s="453"/>
      <c r="AL115" s="453"/>
      <c r="AM115" s="472"/>
      <c r="AN115" s="453"/>
      <c r="AO115" s="453"/>
      <c r="AP115" s="471"/>
      <c r="AQ115" s="453"/>
      <c r="AR115" s="453"/>
      <c r="AS115" s="453"/>
      <c r="AT115" s="453"/>
      <c r="AU115" s="453"/>
      <c r="AV115" s="453"/>
      <c r="AW115" s="473"/>
      <c r="AX115" s="471"/>
      <c r="AY115" s="300"/>
      <c r="AZ115" s="300"/>
      <c r="BA115" s="300"/>
      <c r="BB115" s="300"/>
      <c r="BC115" s="300"/>
      <c r="BD115" s="300"/>
      <c r="BE115" s="453"/>
      <c r="BF115" s="471"/>
      <c r="BG115" s="453"/>
      <c r="BH115" s="453"/>
      <c r="BI115" s="453"/>
      <c r="BJ115" s="453"/>
      <c r="BK115" s="453"/>
      <c r="BL115" s="453"/>
    </row>
    <row r="116" spans="2:64" ht="12" customHeight="1">
      <c r="AW116" s="473"/>
      <c r="AX116" s="474"/>
      <c r="AY116" s="473"/>
      <c r="AZ116" s="473"/>
      <c r="BA116" s="473"/>
      <c r="BB116" s="473"/>
      <c r="BC116" s="473"/>
      <c r="BD116" s="473"/>
      <c r="BE116" s="453"/>
      <c r="BG116" s="453"/>
      <c r="BH116" s="453"/>
      <c r="BI116" s="453"/>
      <c r="BJ116" s="453"/>
      <c r="BK116" s="453"/>
      <c r="BL116" s="453"/>
    </row>
    <row r="117" spans="2:64" s="354" customFormat="1" ht="6.95" customHeight="1">
      <c r="B117" s="53"/>
      <c r="G117" s="53"/>
      <c r="I117" s="473"/>
      <c r="J117" s="474"/>
      <c r="K117" s="473"/>
      <c r="L117" s="473"/>
      <c r="M117" s="473"/>
      <c r="N117" s="473"/>
      <c r="O117" s="473"/>
      <c r="P117" s="473"/>
      <c r="Q117" s="473"/>
      <c r="R117" s="474"/>
      <c r="S117" s="473"/>
      <c r="T117" s="473"/>
      <c r="U117" s="473"/>
      <c r="V117" s="473"/>
      <c r="W117" s="473"/>
      <c r="X117" s="473"/>
      <c r="Y117" s="473"/>
      <c r="Z117" s="474"/>
      <c r="AA117" s="473"/>
      <c r="AB117" s="473"/>
      <c r="AC117" s="473"/>
      <c r="AD117" s="473"/>
      <c r="AE117" s="473"/>
      <c r="AF117" s="473"/>
      <c r="AG117" s="473"/>
      <c r="AH117" s="474"/>
      <c r="AI117" s="473"/>
      <c r="AJ117" s="473"/>
      <c r="AK117" s="473"/>
      <c r="AL117" s="473"/>
      <c r="AM117" s="473"/>
      <c r="AN117" s="473"/>
      <c r="AO117" s="473"/>
      <c r="AP117" s="474"/>
      <c r="AQ117" s="473"/>
      <c r="AR117" s="473"/>
      <c r="AS117" s="473"/>
      <c r="AT117" s="473"/>
      <c r="AU117" s="473"/>
      <c r="AV117" s="473"/>
      <c r="AW117" s="470"/>
      <c r="AX117" s="474"/>
      <c r="AY117" s="473"/>
      <c r="AZ117" s="473"/>
      <c r="BA117" s="473"/>
      <c r="BB117" s="473"/>
      <c r="BC117" s="473"/>
      <c r="BD117" s="473"/>
      <c r="BE117" s="453"/>
      <c r="BF117" s="471"/>
      <c r="BG117" s="453"/>
      <c r="BH117" s="453"/>
      <c r="BI117" s="453"/>
      <c r="BJ117" s="453"/>
      <c r="BK117" s="453"/>
      <c r="BL117" s="453"/>
    </row>
    <row r="118" spans="2:64" s="354" customFormat="1" ht="6.95" customHeight="1">
      <c r="B118" s="53"/>
      <c r="D118" s="365"/>
      <c r="E118" s="365"/>
      <c r="F118" s="365"/>
      <c r="G118" s="356"/>
      <c r="H118" s="365"/>
      <c r="I118" s="473"/>
      <c r="J118" s="474"/>
      <c r="K118" s="473"/>
      <c r="L118" s="473"/>
      <c r="M118" s="473"/>
      <c r="N118" s="473"/>
      <c r="O118" s="473"/>
      <c r="P118" s="473"/>
      <c r="Q118" s="473"/>
      <c r="R118" s="474"/>
      <c r="S118" s="473"/>
      <c r="T118" s="473"/>
      <c r="U118" s="473"/>
      <c r="V118" s="473"/>
      <c r="W118" s="473"/>
      <c r="X118" s="473"/>
      <c r="Y118" s="473"/>
      <c r="Z118" s="474"/>
      <c r="AA118" s="473"/>
      <c r="AB118" s="473"/>
      <c r="AC118" s="473"/>
      <c r="AD118" s="473"/>
      <c r="AE118" s="473"/>
      <c r="AF118" s="473"/>
      <c r="AG118" s="473"/>
      <c r="AH118" s="474"/>
      <c r="AI118" s="473"/>
      <c r="AJ118" s="473"/>
      <c r="AK118" s="473"/>
      <c r="AL118" s="473"/>
      <c r="AM118" s="473"/>
      <c r="AN118" s="473"/>
      <c r="AO118" s="473"/>
      <c r="AP118" s="474"/>
      <c r="AQ118" s="473"/>
      <c r="AR118" s="473"/>
      <c r="AS118" s="473"/>
      <c r="AT118" s="473"/>
      <c r="AU118" s="473"/>
      <c r="AV118" s="473"/>
      <c r="AW118" s="470"/>
      <c r="AX118" s="475"/>
      <c r="AY118" s="470"/>
      <c r="AZ118" s="470"/>
      <c r="BA118" s="470"/>
      <c r="BB118" s="470"/>
      <c r="BC118" s="470"/>
      <c r="BD118" s="470"/>
      <c r="BE118" s="453"/>
      <c r="BF118" s="471"/>
      <c r="BG118" s="453"/>
      <c r="BH118" s="453"/>
      <c r="BI118" s="453"/>
      <c r="BJ118" s="453"/>
      <c r="BK118" s="453"/>
      <c r="BL118" s="453"/>
    </row>
    <row r="119" spans="2:64" s="53" customFormat="1" ht="7.5" customHeight="1">
      <c r="I119" s="470"/>
      <c r="J119" s="475"/>
      <c r="K119" s="470"/>
      <c r="L119" s="470"/>
      <c r="M119" s="470"/>
      <c r="N119" s="470"/>
      <c r="O119" s="470"/>
      <c r="P119" s="470"/>
      <c r="Q119" s="470"/>
      <c r="R119" s="475"/>
      <c r="S119" s="470"/>
      <c r="T119" s="470"/>
      <c r="U119" s="470"/>
      <c r="V119" s="470"/>
      <c r="W119" s="470"/>
      <c r="X119" s="470"/>
      <c r="Y119" s="470"/>
      <c r="Z119" s="475"/>
      <c r="AA119" s="470"/>
      <c r="AB119" s="470"/>
      <c r="AC119" s="470"/>
      <c r="AD119" s="470"/>
      <c r="AE119" s="470"/>
      <c r="AF119" s="470"/>
      <c r="AG119" s="470"/>
      <c r="AH119" s="475"/>
      <c r="AI119" s="470"/>
      <c r="AJ119" s="470"/>
      <c r="AK119" s="470"/>
      <c r="AL119" s="470"/>
      <c r="AM119" s="470"/>
      <c r="AN119" s="470"/>
      <c r="AO119" s="470"/>
      <c r="AP119" s="475"/>
      <c r="AQ119" s="470"/>
      <c r="AR119" s="470"/>
      <c r="AS119" s="470"/>
      <c r="AT119" s="470"/>
      <c r="AU119" s="470"/>
      <c r="AV119" s="470"/>
      <c r="AW119" s="470"/>
      <c r="AX119" s="475"/>
      <c r="AY119" s="470"/>
      <c r="AZ119" s="470"/>
      <c r="BA119" s="470"/>
      <c r="BB119" s="470"/>
      <c r="BC119" s="470"/>
      <c r="BD119" s="470"/>
      <c r="BE119" s="453"/>
      <c r="BF119" s="471"/>
      <c r="BG119" s="453"/>
      <c r="BH119" s="453"/>
      <c r="BI119" s="453"/>
      <c r="BJ119" s="453"/>
      <c r="BK119" s="453"/>
      <c r="BL119" s="453"/>
    </row>
    <row r="120" spans="2:64" s="53" customFormat="1" ht="7.5" customHeight="1">
      <c r="I120" s="470"/>
      <c r="J120" s="475"/>
      <c r="K120" s="470"/>
      <c r="L120" s="470"/>
      <c r="M120" s="470"/>
      <c r="N120" s="470"/>
      <c r="O120" s="470"/>
      <c r="P120" s="470"/>
      <c r="Q120" s="470"/>
      <c r="R120" s="475"/>
      <c r="S120" s="470"/>
      <c r="T120" s="470"/>
      <c r="U120" s="470"/>
      <c r="V120" s="470"/>
      <c r="W120" s="470"/>
      <c r="X120" s="470"/>
      <c r="Y120" s="470"/>
      <c r="Z120" s="475"/>
      <c r="AA120" s="470"/>
      <c r="AB120" s="470"/>
      <c r="AC120" s="470"/>
      <c r="AD120" s="470"/>
      <c r="AE120" s="470"/>
      <c r="AF120" s="470"/>
      <c r="AG120" s="470"/>
      <c r="AH120" s="475"/>
      <c r="AI120" s="470"/>
      <c r="AJ120" s="470"/>
      <c r="AK120" s="470"/>
      <c r="AL120" s="470"/>
      <c r="AM120" s="470"/>
      <c r="AN120" s="470"/>
      <c r="AO120" s="470"/>
      <c r="AP120" s="475"/>
      <c r="AQ120" s="470"/>
      <c r="AR120" s="470"/>
      <c r="AS120" s="470"/>
      <c r="AT120" s="470"/>
      <c r="AU120" s="470"/>
      <c r="AV120" s="470"/>
      <c r="AW120" s="470"/>
      <c r="AX120" s="475"/>
      <c r="AY120" s="470"/>
      <c r="AZ120" s="470"/>
      <c r="BA120" s="470"/>
      <c r="BB120" s="470"/>
      <c r="BC120" s="470"/>
      <c r="BD120" s="470"/>
      <c r="BE120" s="300"/>
      <c r="BF120" s="471"/>
      <c r="BG120" s="300"/>
      <c r="BH120" s="300"/>
      <c r="BI120" s="300"/>
      <c r="BJ120" s="300"/>
      <c r="BK120" s="300"/>
      <c r="BL120" s="300"/>
    </row>
    <row r="121" spans="2:64" s="53" customFormat="1" ht="7.5" customHeight="1">
      <c r="I121" s="470"/>
      <c r="J121" s="475"/>
      <c r="K121" s="470"/>
      <c r="L121" s="470"/>
      <c r="M121" s="470"/>
      <c r="N121" s="470"/>
      <c r="O121" s="470"/>
      <c r="P121" s="470"/>
      <c r="Q121" s="470"/>
      <c r="R121" s="475"/>
      <c r="S121" s="470"/>
      <c r="T121" s="470"/>
      <c r="U121" s="470"/>
      <c r="V121" s="470"/>
      <c r="W121" s="470"/>
      <c r="X121" s="470"/>
      <c r="Y121" s="470"/>
      <c r="Z121" s="475"/>
      <c r="AA121" s="470"/>
      <c r="AB121" s="470"/>
      <c r="AC121" s="470"/>
      <c r="AD121" s="470"/>
      <c r="AE121" s="470"/>
      <c r="AF121" s="470"/>
      <c r="AG121" s="470"/>
      <c r="AH121" s="475"/>
      <c r="AI121" s="470"/>
      <c r="AJ121" s="470"/>
      <c r="AK121" s="470"/>
      <c r="AL121" s="470"/>
      <c r="AM121" s="470"/>
      <c r="AN121" s="470"/>
      <c r="AO121" s="470"/>
      <c r="AP121" s="475"/>
      <c r="AQ121" s="470"/>
      <c r="AR121" s="470"/>
      <c r="AS121" s="470"/>
      <c r="AT121" s="470"/>
      <c r="AU121" s="470"/>
      <c r="AV121" s="470"/>
      <c r="AW121" s="470"/>
      <c r="AX121" s="475"/>
      <c r="AY121" s="470"/>
      <c r="AZ121" s="470"/>
      <c r="BA121" s="470"/>
      <c r="BB121" s="470"/>
      <c r="BC121" s="470"/>
      <c r="BD121" s="470"/>
      <c r="BE121" s="473"/>
      <c r="BF121" s="474"/>
      <c r="BG121" s="473"/>
      <c r="BH121" s="473"/>
      <c r="BI121" s="473"/>
      <c r="BJ121" s="473"/>
      <c r="BK121" s="473"/>
      <c r="BL121" s="473"/>
    </row>
    <row r="122" spans="2:64" s="53" customFormat="1" ht="7.5" customHeight="1">
      <c r="I122" s="470"/>
      <c r="J122" s="475"/>
      <c r="K122" s="470"/>
      <c r="L122" s="470"/>
      <c r="M122" s="470"/>
      <c r="N122" s="470"/>
      <c r="O122" s="470"/>
      <c r="P122" s="470"/>
      <c r="Q122" s="470"/>
      <c r="R122" s="475"/>
      <c r="S122" s="470"/>
      <c r="T122" s="470"/>
      <c r="U122" s="470"/>
      <c r="V122" s="470"/>
      <c r="W122" s="470"/>
      <c r="X122" s="470"/>
      <c r="Y122" s="470"/>
      <c r="Z122" s="475"/>
      <c r="AA122" s="470"/>
      <c r="AB122" s="470"/>
      <c r="AC122" s="470"/>
      <c r="AD122" s="470"/>
      <c r="AE122" s="470"/>
      <c r="AF122" s="470"/>
      <c r="AG122" s="470"/>
      <c r="AH122" s="475"/>
      <c r="AI122" s="470"/>
      <c r="AJ122" s="470"/>
      <c r="AK122" s="470"/>
      <c r="AL122" s="470"/>
      <c r="AM122" s="470"/>
      <c r="AN122" s="470"/>
      <c r="AO122" s="470"/>
      <c r="AP122" s="475"/>
      <c r="AQ122" s="470"/>
      <c r="AR122" s="470"/>
      <c r="AS122" s="470"/>
      <c r="AT122" s="470"/>
      <c r="AU122" s="470"/>
      <c r="AV122" s="470"/>
      <c r="AW122" s="470"/>
      <c r="AX122" s="475"/>
      <c r="AY122" s="470"/>
      <c r="AZ122" s="470"/>
      <c r="BA122" s="470"/>
      <c r="BB122" s="470"/>
      <c r="BC122" s="470"/>
      <c r="BD122" s="470"/>
      <c r="BE122" s="473"/>
      <c r="BF122" s="474"/>
      <c r="BG122" s="473"/>
      <c r="BH122" s="473"/>
      <c r="BI122" s="473"/>
      <c r="BJ122" s="473"/>
      <c r="BK122" s="473"/>
      <c r="BL122" s="473"/>
    </row>
    <row r="123" spans="2:64" s="53" customFormat="1" ht="7.5" customHeight="1">
      <c r="I123" s="470"/>
      <c r="J123" s="475"/>
      <c r="K123" s="470"/>
      <c r="L123" s="470"/>
      <c r="M123" s="470"/>
      <c r="N123" s="470"/>
      <c r="O123" s="470"/>
      <c r="P123" s="470"/>
      <c r="Q123" s="470"/>
      <c r="R123" s="475"/>
      <c r="S123" s="470"/>
      <c r="T123" s="470"/>
      <c r="U123" s="470"/>
      <c r="V123" s="470"/>
      <c r="W123" s="470"/>
      <c r="X123" s="470"/>
      <c r="Y123" s="470"/>
      <c r="Z123" s="475"/>
      <c r="AA123" s="470"/>
      <c r="AB123" s="470"/>
      <c r="AC123" s="470"/>
      <c r="AD123" s="470"/>
      <c r="AE123" s="470"/>
      <c r="AF123" s="470"/>
      <c r="AG123" s="470"/>
      <c r="AH123" s="475"/>
      <c r="AI123" s="470"/>
      <c r="AJ123" s="470"/>
      <c r="AK123" s="470"/>
      <c r="AL123" s="470"/>
      <c r="AM123" s="470"/>
      <c r="AN123" s="470"/>
      <c r="AO123" s="470"/>
      <c r="AP123" s="475"/>
      <c r="AQ123" s="470"/>
      <c r="AR123" s="470"/>
      <c r="AS123" s="470"/>
      <c r="AT123" s="470"/>
      <c r="AU123" s="470"/>
      <c r="AV123" s="470"/>
      <c r="AW123" s="472"/>
      <c r="AX123" s="475"/>
      <c r="AY123" s="470"/>
      <c r="AZ123" s="470"/>
      <c r="BA123" s="470"/>
      <c r="BB123" s="470"/>
      <c r="BC123" s="470"/>
      <c r="BD123" s="470"/>
      <c r="BE123" s="470"/>
      <c r="BF123" s="475"/>
      <c r="BG123" s="470"/>
      <c r="BH123" s="470"/>
      <c r="BI123" s="470"/>
      <c r="BJ123" s="470"/>
      <c r="BK123" s="470"/>
      <c r="BL123" s="470"/>
    </row>
    <row r="124" spans="2:64" s="53" customFormat="1" ht="7.5" customHeight="1">
      <c r="I124" s="470"/>
      <c r="J124" s="475"/>
      <c r="K124" s="470"/>
      <c r="L124" s="470"/>
      <c r="M124" s="470"/>
      <c r="N124" s="470"/>
      <c r="O124" s="470"/>
      <c r="P124" s="470"/>
      <c r="Q124" s="470"/>
      <c r="R124" s="475"/>
      <c r="S124" s="470"/>
      <c r="T124" s="470"/>
      <c r="U124" s="470"/>
      <c r="V124" s="470"/>
      <c r="W124" s="470"/>
      <c r="X124" s="470"/>
      <c r="Y124" s="470"/>
      <c r="Z124" s="475"/>
      <c r="AA124" s="470"/>
      <c r="AB124" s="470"/>
      <c r="AC124" s="470"/>
      <c r="AD124" s="470"/>
      <c r="AE124" s="470"/>
      <c r="AF124" s="470"/>
      <c r="AG124" s="470"/>
      <c r="AH124" s="475"/>
      <c r="AI124" s="470"/>
      <c r="AJ124" s="470"/>
      <c r="AK124" s="470"/>
      <c r="AL124" s="470"/>
      <c r="AM124" s="470"/>
      <c r="AN124" s="470"/>
      <c r="AO124" s="470"/>
      <c r="AP124" s="475"/>
      <c r="AQ124" s="470"/>
      <c r="AR124" s="470"/>
      <c r="AS124" s="470"/>
      <c r="AT124" s="470"/>
      <c r="AU124" s="470"/>
      <c r="AV124" s="470"/>
      <c r="AW124" s="472"/>
      <c r="AX124" s="475"/>
      <c r="AY124" s="472"/>
      <c r="AZ124" s="472"/>
      <c r="BA124" s="472"/>
      <c r="BB124" s="472"/>
      <c r="BC124" s="472"/>
      <c r="BD124" s="472"/>
      <c r="BE124" s="470"/>
      <c r="BF124" s="475"/>
      <c r="BG124" s="470"/>
      <c r="BH124" s="470"/>
      <c r="BI124" s="470"/>
      <c r="BJ124" s="470"/>
      <c r="BK124" s="470"/>
      <c r="BL124" s="470"/>
    </row>
    <row r="125" spans="2:64" s="356" customFormat="1" ht="7.5" customHeight="1">
      <c r="I125" s="472"/>
      <c r="J125" s="475"/>
      <c r="K125" s="472"/>
      <c r="L125" s="472"/>
      <c r="M125" s="472"/>
      <c r="N125" s="472"/>
      <c r="O125" s="472"/>
      <c r="P125" s="472"/>
      <c r="Q125" s="472"/>
      <c r="R125" s="475"/>
      <c r="S125" s="472"/>
      <c r="T125" s="472"/>
      <c r="U125" s="472"/>
      <c r="V125" s="472"/>
      <c r="W125" s="472"/>
      <c r="X125" s="472"/>
      <c r="Y125" s="472"/>
      <c r="Z125" s="475"/>
      <c r="AA125" s="472"/>
      <c r="AB125" s="472"/>
      <c r="AC125" s="472"/>
      <c r="AD125" s="472"/>
      <c r="AE125" s="472"/>
      <c r="AF125" s="472"/>
      <c r="AG125" s="472"/>
      <c r="AH125" s="475"/>
      <c r="AI125" s="472"/>
      <c r="AJ125" s="472"/>
      <c r="AK125" s="472"/>
      <c r="AL125" s="472"/>
      <c r="AM125" s="472"/>
      <c r="AN125" s="472"/>
      <c r="AO125" s="472"/>
      <c r="AP125" s="475"/>
      <c r="AQ125" s="472"/>
      <c r="AR125" s="472"/>
      <c r="AS125" s="472"/>
      <c r="AT125" s="472"/>
      <c r="AU125" s="472"/>
      <c r="AV125" s="472"/>
      <c r="AW125" s="472"/>
      <c r="AX125" s="475"/>
      <c r="AY125" s="472"/>
      <c r="AZ125" s="472"/>
      <c r="BA125" s="472"/>
      <c r="BB125" s="472"/>
      <c r="BC125" s="472"/>
      <c r="BD125" s="472"/>
      <c r="BE125" s="470"/>
      <c r="BF125" s="475"/>
      <c r="BG125" s="470"/>
      <c r="BH125" s="470"/>
      <c r="BI125" s="470"/>
      <c r="BJ125" s="470"/>
      <c r="BK125" s="470"/>
      <c r="BL125" s="470"/>
    </row>
    <row r="126" spans="2:64" s="356" customFormat="1" ht="7.5" customHeight="1">
      <c r="I126" s="472"/>
      <c r="J126" s="475"/>
      <c r="K126" s="472"/>
      <c r="L126" s="472"/>
      <c r="M126" s="472"/>
      <c r="N126" s="472"/>
      <c r="O126" s="472"/>
      <c r="P126" s="472"/>
      <c r="Q126" s="472"/>
      <c r="R126" s="469"/>
      <c r="S126" s="472"/>
      <c r="T126" s="472"/>
      <c r="U126" s="472"/>
      <c r="V126" s="472"/>
      <c r="W126" s="472"/>
      <c r="X126" s="472"/>
      <c r="Y126" s="472"/>
      <c r="Z126" s="475"/>
      <c r="AA126" s="472"/>
      <c r="AB126" s="472"/>
      <c r="AC126" s="472"/>
      <c r="AD126" s="472"/>
      <c r="AE126" s="472"/>
      <c r="AF126" s="472"/>
      <c r="AG126" s="472"/>
      <c r="AH126" s="475"/>
      <c r="AI126" s="472"/>
      <c r="AJ126" s="472"/>
      <c r="AK126" s="472"/>
      <c r="AL126" s="472"/>
      <c r="AM126" s="472"/>
      <c r="AN126" s="472"/>
      <c r="AO126" s="472"/>
      <c r="AP126" s="475"/>
      <c r="AQ126" s="472"/>
      <c r="AR126" s="472"/>
      <c r="AS126" s="472"/>
      <c r="AT126" s="472"/>
      <c r="AU126" s="472"/>
      <c r="AV126" s="472"/>
      <c r="AW126" s="472"/>
      <c r="AX126" s="475"/>
      <c r="AY126" s="472"/>
      <c r="AZ126" s="472"/>
      <c r="BA126" s="472"/>
      <c r="BB126" s="472"/>
      <c r="BC126" s="472"/>
      <c r="BD126" s="472"/>
      <c r="BE126" s="470"/>
      <c r="BF126" s="475"/>
      <c r="BG126" s="470"/>
      <c r="BH126" s="470"/>
      <c r="BI126" s="470"/>
      <c r="BJ126" s="470"/>
      <c r="BK126" s="470"/>
      <c r="BL126" s="470"/>
    </row>
    <row r="127" spans="2:64" s="356" customFormat="1" ht="7.5" customHeight="1">
      <c r="I127" s="472"/>
      <c r="J127" s="475"/>
      <c r="K127" s="472"/>
      <c r="L127" s="472"/>
      <c r="M127" s="472"/>
      <c r="N127" s="472"/>
      <c r="O127" s="472"/>
      <c r="P127" s="472"/>
      <c r="Q127" s="472"/>
      <c r="R127" s="469"/>
      <c r="S127" s="472"/>
      <c r="T127" s="472"/>
      <c r="U127" s="472"/>
      <c r="V127" s="472"/>
      <c r="W127" s="472"/>
      <c r="X127" s="472"/>
      <c r="Y127" s="472"/>
      <c r="Z127" s="475"/>
      <c r="AA127" s="472"/>
      <c r="AB127" s="472"/>
      <c r="AC127" s="472"/>
      <c r="AD127" s="472"/>
      <c r="AE127" s="472"/>
      <c r="AF127" s="472"/>
      <c r="AG127" s="472"/>
      <c r="AH127" s="475"/>
      <c r="AI127" s="472"/>
      <c r="AJ127" s="472"/>
      <c r="AK127" s="472"/>
      <c r="AL127" s="472"/>
      <c r="AM127" s="472"/>
      <c r="AN127" s="472"/>
      <c r="AO127" s="472"/>
      <c r="AP127" s="475"/>
      <c r="AQ127" s="472"/>
      <c r="AR127" s="472"/>
      <c r="AS127" s="472"/>
      <c r="AT127" s="472"/>
      <c r="AU127" s="472"/>
      <c r="AV127" s="472"/>
      <c r="AW127" s="476"/>
      <c r="AX127" s="475"/>
      <c r="AY127" s="472"/>
      <c r="AZ127" s="472"/>
      <c r="BA127" s="472"/>
      <c r="BB127" s="472"/>
      <c r="BC127" s="472"/>
      <c r="BD127" s="472"/>
      <c r="BE127" s="470"/>
      <c r="BF127" s="475"/>
      <c r="BG127" s="470"/>
      <c r="BH127" s="470"/>
      <c r="BI127" s="470"/>
      <c r="BJ127" s="470"/>
      <c r="BK127" s="470"/>
      <c r="BL127" s="470"/>
    </row>
    <row r="128" spans="2:64" s="356" customFormat="1" ht="7.5" customHeight="1">
      <c r="I128" s="472"/>
      <c r="J128" s="475"/>
      <c r="K128" s="472"/>
      <c r="L128" s="472"/>
      <c r="M128" s="472"/>
      <c r="N128" s="472"/>
      <c r="O128" s="472"/>
      <c r="P128" s="472"/>
      <c r="Q128" s="472"/>
      <c r="R128" s="469"/>
      <c r="S128" s="472"/>
      <c r="T128" s="472"/>
      <c r="U128" s="472"/>
      <c r="V128" s="472"/>
      <c r="W128" s="472"/>
      <c r="X128" s="472"/>
      <c r="Y128" s="472"/>
      <c r="Z128" s="475"/>
      <c r="AA128" s="472"/>
      <c r="AB128" s="472"/>
      <c r="AC128" s="472"/>
      <c r="AD128" s="472"/>
      <c r="AE128" s="472"/>
      <c r="AF128" s="472"/>
      <c r="AG128" s="472"/>
      <c r="AH128" s="475"/>
      <c r="AI128" s="472"/>
      <c r="AJ128" s="472"/>
      <c r="AK128" s="472"/>
      <c r="AL128" s="472"/>
      <c r="AM128" s="472"/>
      <c r="AN128" s="472"/>
      <c r="AO128" s="472"/>
      <c r="AP128" s="475"/>
      <c r="AQ128" s="472"/>
      <c r="AR128" s="472"/>
      <c r="AS128" s="472"/>
      <c r="AT128" s="472"/>
      <c r="AU128" s="472"/>
      <c r="AV128" s="472"/>
      <c r="AW128" s="472"/>
      <c r="AX128" s="477"/>
      <c r="AY128" s="476"/>
      <c r="AZ128" s="476"/>
      <c r="BA128" s="476"/>
      <c r="BB128" s="476"/>
      <c r="BC128" s="476"/>
      <c r="BD128" s="476"/>
      <c r="BE128" s="470"/>
      <c r="BF128" s="475"/>
      <c r="BG128" s="470"/>
      <c r="BH128" s="470"/>
      <c r="BI128" s="470"/>
      <c r="BJ128" s="470"/>
      <c r="BK128" s="470"/>
      <c r="BL128" s="470"/>
    </row>
    <row r="129" spans="1:64" s="357" customFormat="1" ht="7.5" customHeight="1">
      <c r="I129" s="476"/>
      <c r="J129" s="477"/>
      <c r="K129" s="476"/>
      <c r="L129" s="476"/>
      <c r="M129" s="476"/>
      <c r="N129" s="476"/>
      <c r="O129" s="476"/>
      <c r="P129" s="476"/>
      <c r="Q129" s="476"/>
      <c r="R129" s="468"/>
      <c r="S129" s="476"/>
      <c r="T129" s="476"/>
      <c r="U129" s="476"/>
      <c r="V129" s="476"/>
      <c r="W129" s="476"/>
      <c r="X129" s="476"/>
      <c r="Y129" s="476"/>
      <c r="Z129" s="477"/>
      <c r="AA129" s="476"/>
      <c r="AB129" s="476"/>
      <c r="AC129" s="476"/>
      <c r="AD129" s="476"/>
      <c r="AE129" s="476"/>
      <c r="AF129" s="476"/>
      <c r="AG129" s="476"/>
      <c r="AH129" s="477"/>
      <c r="AI129" s="476"/>
      <c r="AJ129" s="476"/>
      <c r="AK129" s="476"/>
      <c r="AL129" s="476"/>
      <c r="AM129" s="476"/>
      <c r="AN129" s="476"/>
      <c r="AO129" s="476"/>
      <c r="AP129" s="477"/>
      <c r="AQ129" s="476"/>
      <c r="AR129" s="476"/>
      <c r="AS129" s="476"/>
      <c r="AT129" s="476"/>
      <c r="AU129" s="476"/>
      <c r="AV129" s="476"/>
      <c r="AW129" s="473"/>
      <c r="AX129" s="475"/>
      <c r="AY129" s="472"/>
      <c r="AZ129" s="472"/>
      <c r="BA129" s="472"/>
      <c r="BB129" s="472"/>
      <c r="BC129" s="472"/>
      <c r="BD129" s="472"/>
      <c r="BE129" s="472"/>
      <c r="BF129" s="475"/>
      <c r="BG129" s="472"/>
      <c r="BH129" s="472"/>
      <c r="BI129" s="472"/>
      <c r="BJ129" s="472"/>
      <c r="BK129" s="472"/>
      <c r="BL129" s="472"/>
    </row>
    <row r="130" spans="1:64" s="356" customFormat="1" ht="7.5" customHeight="1">
      <c r="I130" s="472"/>
      <c r="J130" s="475"/>
      <c r="K130" s="472"/>
      <c r="L130" s="472"/>
      <c r="M130" s="472"/>
      <c r="N130" s="472"/>
      <c r="O130" s="472"/>
      <c r="P130" s="472"/>
      <c r="Q130" s="472"/>
      <c r="R130" s="469"/>
      <c r="S130" s="472"/>
      <c r="T130" s="472"/>
      <c r="U130" s="472"/>
      <c r="V130" s="472"/>
      <c r="W130" s="472"/>
      <c r="X130" s="472"/>
      <c r="Y130" s="472"/>
      <c r="Z130" s="475"/>
      <c r="AA130" s="472"/>
      <c r="AB130" s="472"/>
      <c r="AC130" s="472"/>
      <c r="AD130" s="472"/>
      <c r="AE130" s="472"/>
      <c r="AF130" s="472"/>
      <c r="AG130" s="472"/>
      <c r="AH130" s="475"/>
      <c r="AI130" s="472"/>
      <c r="AJ130" s="472"/>
      <c r="AK130" s="472"/>
      <c r="AL130" s="472"/>
      <c r="AM130" s="472"/>
      <c r="AN130" s="472"/>
      <c r="AO130" s="472"/>
      <c r="AP130" s="475"/>
      <c r="AQ130" s="472"/>
      <c r="AR130" s="472"/>
      <c r="AS130" s="472"/>
      <c r="AT130" s="472"/>
      <c r="AU130" s="472"/>
      <c r="AV130" s="472"/>
      <c r="AW130" s="473"/>
      <c r="AX130" s="474"/>
      <c r="AY130" s="473"/>
      <c r="AZ130" s="473"/>
      <c r="BA130" s="473"/>
      <c r="BB130" s="473"/>
      <c r="BC130" s="473"/>
      <c r="BD130" s="473"/>
      <c r="BE130" s="472"/>
      <c r="BF130" s="475"/>
      <c r="BG130" s="472"/>
      <c r="BH130" s="472"/>
      <c r="BI130" s="472"/>
      <c r="BJ130" s="472"/>
      <c r="BK130" s="472"/>
      <c r="BL130" s="472"/>
    </row>
    <row r="131" spans="1:64" s="354" customFormat="1" ht="6.95" customHeight="1">
      <c r="B131" s="53"/>
      <c r="G131" s="53"/>
      <c r="I131" s="473"/>
      <c r="J131" s="474"/>
      <c r="K131" s="473"/>
      <c r="L131" s="473"/>
      <c r="M131" s="473"/>
      <c r="N131" s="473"/>
      <c r="O131" s="473"/>
      <c r="P131" s="473"/>
      <c r="Q131" s="473"/>
      <c r="R131" s="469"/>
      <c r="S131" s="473"/>
      <c r="T131" s="473"/>
      <c r="U131" s="473"/>
      <c r="V131" s="473"/>
      <c r="W131" s="470"/>
      <c r="X131" s="473"/>
      <c r="Y131" s="473"/>
      <c r="Z131" s="474"/>
      <c r="AA131" s="473"/>
      <c r="AB131" s="473"/>
      <c r="AC131" s="473"/>
      <c r="AD131" s="473"/>
      <c r="AE131" s="473"/>
      <c r="AF131" s="473"/>
      <c r="AG131" s="473"/>
      <c r="AH131" s="474"/>
      <c r="AI131" s="473"/>
      <c r="AJ131" s="473"/>
      <c r="AK131" s="473"/>
      <c r="AL131" s="473"/>
      <c r="AM131" s="473"/>
      <c r="AN131" s="473"/>
      <c r="AO131" s="473"/>
      <c r="AP131" s="474"/>
      <c r="AQ131" s="473"/>
      <c r="AR131" s="473"/>
      <c r="AS131" s="473"/>
      <c r="AT131" s="473"/>
      <c r="AU131" s="473"/>
      <c r="AV131" s="473"/>
      <c r="AW131" s="473"/>
      <c r="AX131" s="474"/>
      <c r="AY131" s="473"/>
      <c r="AZ131" s="473"/>
      <c r="BA131" s="473"/>
      <c r="BB131" s="473"/>
      <c r="BC131" s="473"/>
      <c r="BD131" s="473"/>
      <c r="BE131" s="472"/>
      <c r="BF131" s="475"/>
      <c r="BG131" s="472"/>
      <c r="BH131" s="472"/>
      <c r="BI131" s="472"/>
      <c r="BJ131" s="472"/>
      <c r="BK131" s="472"/>
      <c r="BL131" s="472"/>
    </row>
    <row r="132" spans="1:64" s="354" customFormat="1" ht="6.95" customHeight="1">
      <c r="B132" s="53"/>
      <c r="G132" s="53"/>
      <c r="I132" s="473"/>
      <c r="J132" s="474"/>
      <c r="K132" s="473"/>
      <c r="L132" s="473"/>
      <c r="M132" s="473"/>
      <c r="N132" s="473"/>
      <c r="O132" s="473"/>
      <c r="P132" s="473"/>
      <c r="Q132" s="478"/>
      <c r="R132" s="458"/>
      <c r="S132" s="479"/>
      <c r="T132" s="473"/>
      <c r="U132" s="473"/>
      <c r="V132" s="473"/>
      <c r="W132" s="470"/>
      <c r="X132" s="473"/>
      <c r="Y132" s="473"/>
      <c r="Z132" s="474"/>
      <c r="AA132" s="473"/>
      <c r="AB132" s="473"/>
      <c r="AC132" s="473"/>
      <c r="AD132" s="473"/>
      <c r="AE132" s="473"/>
      <c r="AF132" s="473"/>
      <c r="AG132" s="473"/>
      <c r="AH132" s="474"/>
      <c r="AI132" s="473"/>
      <c r="AJ132" s="473"/>
      <c r="AK132" s="473"/>
      <c r="AL132" s="473"/>
      <c r="AM132" s="473"/>
      <c r="AN132" s="473"/>
      <c r="AO132" s="473"/>
      <c r="AP132" s="474"/>
      <c r="AQ132" s="473"/>
      <c r="AR132" s="473"/>
      <c r="AS132" s="473"/>
      <c r="AT132" s="473"/>
      <c r="AU132" s="473"/>
      <c r="AV132" s="473"/>
      <c r="AW132" s="473"/>
      <c r="AX132" s="474"/>
      <c r="AY132" s="473"/>
      <c r="AZ132" s="473"/>
      <c r="BA132" s="473"/>
      <c r="BB132" s="473"/>
      <c r="BC132" s="473"/>
      <c r="BD132" s="473"/>
      <c r="BE132" s="472"/>
      <c r="BF132" s="475"/>
      <c r="BG132" s="472"/>
      <c r="BH132" s="472"/>
      <c r="BI132" s="472"/>
      <c r="BJ132" s="472"/>
      <c r="BK132" s="472"/>
      <c r="BL132" s="472"/>
    </row>
    <row r="133" spans="1:64" s="354" customFormat="1" ht="6.95" customHeight="1">
      <c r="B133" s="53"/>
      <c r="G133" s="53"/>
      <c r="I133" s="473"/>
      <c r="J133" s="474"/>
      <c r="K133" s="473"/>
      <c r="L133" s="473"/>
      <c r="M133" s="473"/>
      <c r="N133" s="473"/>
      <c r="O133" s="473"/>
      <c r="P133" s="473"/>
      <c r="Q133" s="478"/>
      <c r="R133" s="458"/>
      <c r="S133" s="479"/>
      <c r="T133" s="473"/>
      <c r="U133" s="473"/>
      <c r="V133" s="473"/>
      <c r="W133" s="470"/>
      <c r="X133" s="473"/>
      <c r="Y133" s="473"/>
      <c r="Z133" s="474"/>
      <c r="AA133" s="473"/>
      <c r="AB133" s="473"/>
      <c r="AC133" s="473"/>
      <c r="AD133" s="473"/>
      <c r="AE133" s="473"/>
      <c r="AF133" s="473"/>
      <c r="AG133" s="473"/>
      <c r="AH133" s="474"/>
      <c r="AI133" s="473"/>
      <c r="AJ133" s="473"/>
      <c r="AK133" s="473"/>
      <c r="AL133" s="473"/>
      <c r="AM133" s="473"/>
      <c r="AN133" s="473"/>
      <c r="AO133" s="473"/>
      <c r="AP133" s="474"/>
      <c r="AQ133" s="473"/>
      <c r="AR133" s="473"/>
      <c r="AS133" s="473"/>
      <c r="AT133" s="473"/>
      <c r="AU133" s="473"/>
      <c r="AV133" s="473"/>
      <c r="AW133" s="473"/>
      <c r="AX133" s="474"/>
      <c r="AY133" s="473"/>
      <c r="AZ133" s="473"/>
      <c r="BA133" s="473"/>
      <c r="BB133" s="473"/>
      <c r="BC133" s="473"/>
      <c r="BD133" s="473"/>
      <c r="BE133" s="476"/>
      <c r="BF133" s="477"/>
      <c r="BG133" s="476"/>
      <c r="BH133" s="476"/>
      <c r="BI133" s="476"/>
      <c r="BJ133" s="476"/>
      <c r="BK133" s="476"/>
      <c r="BL133" s="476"/>
    </row>
    <row r="134" spans="1:64" s="354" customFormat="1" ht="6.95" customHeight="1">
      <c r="B134" s="53"/>
      <c r="G134" s="53"/>
      <c r="I134" s="473"/>
      <c r="J134" s="474"/>
      <c r="K134" s="473"/>
      <c r="L134" s="473"/>
      <c r="M134" s="473"/>
      <c r="N134" s="473"/>
      <c r="O134" s="473"/>
      <c r="P134" s="473"/>
      <c r="Q134" s="478"/>
      <c r="R134" s="458"/>
      <c r="S134" s="479"/>
      <c r="T134" s="473"/>
      <c r="U134" s="473"/>
      <c r="V134" s="473"/>
      <c r="W134" s="470"/>
      <c r="X134" s="473"/>
      <c r="Y134" s="473"/>
      <c r="Z134" s="474"/>
      <c r="AA134" s="473"/>
      <c r="AB134" s="473"/>
      <c r="AC134" s="473"/>
      <c r="AD134" s="473"/>
      <c r="AE134" s="473"/>
      <c r="AF134" s="473"/>
      <c r="AG134" s="473"/>
      <c r="AH134" s="474"/>
      <c r="AI134" s="473"/>
      <c r="AJ134" s="473"/>
      <c r="AK134" s="473"/>
      <c r="AL134" s="473"/>
      <c r="AM134" s="473"/>
      <c r="AN134" s="473"/>
      <c r="AO134" s="473"/>
      <c r="AP134" s="474"/>
      <c r="AQ134" s="473"/>
      <c r="AR134" s="473"/>
      <c r="AS134" s="473"/>
      <c r="AT134" s="473"/>
      <c r="AU134" s="473"/>
      <c r="AV134" s="473"/>
      <c r="AW134" s="473"/>
      <c r="AX134" s="474"/>
      <c r="AY134" s="473"/>
      <c r="AZ134" s="473"/>
      <c r="BA134" s="473"/>
      <c r="BB134" s="473"/>
      <c r="BC134" s="473"/>
      <c r="BD134" s="473"/>
      <c r="BE134" s="472"/>
      <c r="BF134" s="475"/>
      <c r="BG134" s="472"/>
      <c r="BH134" s="472"/>
      <c r="BI134" s="472"/>
      <c r="BJ134" s="472"/>
      <c r="BK134" s="472"/>
      <c r="BL134" s="472"/>
    </row>
    <row r="135" spans="1:64" s="354" customFormat="1" ht="6.95" customHeight="1">
      <c r="B135" s="53"/>
      <c r="G135" s="53"/>
      <c r="I135" s="473"/>
      <c r="J135" s="474"/>
      <c r="K135" s="473"/>
      <c r="L135" s="473"/>
      <c r="M135" s="473"/>
      <c r="N135" s="473"/>
      <c r="O135" s="473"/>
      <c r="P135" s="473"/>
      <c r="Q135" s="478"/>
      <c r="R135" s="458"/>
      <c r="S135" s="479"/>
      <c r="T135" s="478"/>
      <c r="U135" s="478"/>
      <c r="V135" s="478"/>
      <c r="W135" s="449"/>
      <c r="X135" s="478"/>
      <c r="Y135" s="473"/>
      <c r="Z135" s="474"/>
      <c r="AA135" s="473"/>
      <c r="AB135" s="473"/>
      <c r="AC135" s="473"/>
      <c r="AD135" s="473"/>
      <c r="AE135" s="473"/>
      <c r="AF135" s="473"/>
      <c r="AG135" s="473"/>
      <c r="AH135" s="474"/>
      <c r="AI135" s="473"/>
      <c r="AJ135" s="473"/>
      <c r="AK135" s="473"/>
      <c r="AL135" s="473"/>
      <c r="AM135" s="473"/>
      <c r="AN135" s="473"/>
      <c r="AO135" s="473"/>
      <c r="AP135" s="474"/>
      <c r="AQ135" s="473"/>
      <c r="AR135" s="473"/>
      <c r="AS135" s="473"/>
      <c r="AT135" s="473"/>
      <c r="AU135" s="473"/>
      <c r="AV135" s="473"/>
      <c r="AW135" s="473"/>
      <c r="AX135" s="474"/>
      <c r="AY135" s="473"/>
      <c r="AZ135" s="473"/>
      <c r="BA135" s="473"/>
      <c r="BB135" s="473"/>
      <c r="BC135" s="473"/>
      <c r="BD135" s="473"/>
      <c r="BE135" s="473"/>
      <c r="BF135" s="474"/>
      <c r="BG135" s="473"/>
      <c r="BH135" s="473"/>
      <c r="BI135" s="473"/>
      <c r="BJ135" s="473"/>
      <c r="BK135" s="473"/>
      <c r="BL135" s="473"/>
    </row>
    <row r="136" spans="1:64" s="354" customFormat="1" ht="6.95" customHeight="1">
      <c r="B136" s="53"/>
      <c r="G136" s="53"/>
      <c r="I136" s="473"/>
      <c r="J136" s="474"/>
      <c r="K136" s="473"/>
      <c r="L136" s="473"/>
      <c r="M136" s="473"/>
      <c r="N136" s="473"/>
      <c r="O136" s="473"/>
      <c r="P136" s="473"/>
      <c r="Q136" s="473"/>
      <c r="R136" s="469"/>
      <c r="S136" s="473"/>
      <c r="T136" s="473"/>
      <c r="U136" s="473"/>
      <c r="V136" s="473"/>
      <c r="W136" s="470"/>
      <c r="X136" s="473"/>
      <c r="Y136" s="473"/>
      <c r="Z136" s="474"/>
      <c r="AA136" s="473"/>
      <c r="AB136" s="473"/>
      <c r="AC136" s="473"/>
      <c r="AD136" s="473"/>
      <c r="AE136" s="473"/>
      <c r="AF136" s="473"/>
      <c r="AG136" s="473"/>
      <c r="AH136" s="474"/>
      <c r="AI136" s="473"/>
      <c r="AJ136" s="473"/>
      <c r="AK136" s="473"/>
      <c r="AL136" s="473"/>
      <c r="AM136" s="473"/>
      <c r="AN136" s="473"/>
      <c r="AO136" s="473"/>
      <c r="AP136" s="474"/>
      <c r="AQ136" s="473"/>
      <c r="AR136" s="473"/>
      <c r="AS136" s="473"/>
      <c r="AT136" s="473"/>
      <c r="AU136" s="473"/>
      <c r="AV136" s="473"/>
      <c r="AW136" s="473"/>
      <c r="AX136" s="474"/>
      <c r="AY136" s="473"/>
      <c r="AZ136" s="473"/>
      <c r="BA136" s="473"/>
      <c r="BB136" s="473"/>
      <c r="BC136" s="473"/>
      <c r="BD136" s="473"/>
      <c r="BE136" s="473"/>
      <c r="BF136" s="474"/>
      <c r="BG136" s="473"/>
      <c r="BH136" s="473"/>
      <c r="BI136" s="473"/>
      <c r="BJ136" s="473"/>
      <c r="BK136" s="473"/>
      <c r="BL136" s="473"/>
    </row>
    <row r="137" spans="1:64" s="354" customFormat="1" ht="6.95" customHeight="1">
      <c r="A137" s="355"/>
      <c r="B137" s="53"/>
      <c r="G137" s="53"/>
      <c r="I137" s="473"/>
      <c r="J137" s="474"/>
      <c r="K137" s="473"/>
      <c r="L137" s="473"/>
      <c r="M137" s="473"/>
      <c r="N137" s="473"/>
      <c r="O137" s="473"/>
      <c r="P137" s="473"/>
      <c r="Q137" s="473"/>
      <c r="R137" s="469"/>
      <c r="S137" s="473"/>
      <c r="T137" s="473"/>
      <c r="U137" s="473"/>
      <c r="V137" s="473"/>
      <c r="W137" s="470"/>
      <c r="X137" s="473"/>
      <c r="Y137" s="473"/>
      <c r="Z137" s="474"/>
      <c r="AA137" s="473"/>
      <c r="AB137" s="473"/>
      <c r="AC137" s="473"/>
      <c r="AD137" s="473"/>
      <c r="AE137" s="473"/>
      <c r="AF137" s="473"/>
      <c r="AG137" s="473"/>
      <c r="AH137" s="474"/>
      <c r="AI137" s="473"/>
      <c r="AJ137" s="473"/>
      <c r="AK137" s="473"/>
      <c r="AL137" s="473"/>
      <c r="AM137" s="473"/>
      <c r="AN137" s="473"/>
      <c r="AO137" s="473"/>
      <c r="AP137" s="474"/>
      <c r="AQ137" s="473"/>
      <c r="AR137" s="473"/>
      <c r="AS137" s="473"/>
      <c r="AT137" s="473"/>
      <c r="AU137" s="473"/>
      <c r="AV137" s="473"/>
      <c r="AW137" s="473"/>
      <c r="AX137" s="474"/>
      <c r="AY137" s="473"/>
      <c r="AZ137" s="473"/>
      <c r="BA137" s="473"/>
      <c r="BB137" s="473"/>
      <c r="BC137" s="473"/>
      <c r="BD137" s="473"/>
      <c r="BE137" s="473"/>
      <c r="BF137" s="474"/>
      <c r="BG137" s="473"/>
      <c r="BH137" s="473"/>
      <c r="BI137" s="473"/>
      <c r="BJ137" s="473"/>
      <c r="BK137" s="473"/>
      <c r="BL137" s="473"/>
    </row>
    <row r="138" spans="1:64" s="354" customFormat="1" ht="6.95" customHeight="1">
      <c r="B138" s="53"/>
      <c r="G138" s="53"/>
      <c r="I138" s="473"/>
      <c r="J138" s="474"/>
      <c r="K138" s="473"/>
      <c r="L138" s="473"/>
      <c r="M138" s="473"/>
      <c r="N138" s="473"/>
      <c r="O138" s="473"/>
      <c r="P138" s="473"/>
      <c r="Q138" s="473"/>
      <c r="R138" s="469"/>
      <c r="S138" s="473"/>
      <c r="T138" s="473"/>
      <c r="U138" s="473"/>
      <c r="V138" s="473"/>
      <c r="W138" s="470"/>
      <c r="X138" s="473"/>
      <c r="Y138" s="473"/>
      <c r="Z138" s="474"/>
      <c r="AA138" s="473"/>
      <c r="AB138" s="473"/>
      <c r="AC138" s="473"/>
      <c r="AD138" s="473"/>
      <c r="AE138" s="473"/>
      <c r="AF138" s="473"/>
      <c r="AG138" s="473"/>
      <c r="AH138" s="474"/>
      <c r="AI138" s="473"/>
      <c r="AJ138" s="473"/>
      <c r="AK138" s="473"/>
      <c r="AL138" s="473"/>
      <c r="AM138" s="473"/>
      <c r="AN138" s="473"/>
      <c r="AO138" s="473"/>
      <c r="AP138" s="474"/>
      <c r="AQ138" s="473"/>
      <c r="AR138" s="473"/>
      <c r="AS138" s="473"/>
      <c r="AT138" s="473"/>
      <c r="AU138" s="473"/>
      <c r="AV138" s="473"/>
      <c r="AW138" s="470"/>
      <c r="AX138" s="474"/>
      <c r="AY138" s="473"/>
      <c r="AZ138" s="473"/>
      <c r="BA138" s="473"/>
      <c r="BB138" s="473"/>
      <c r="BC138" s="473"/>
      <c r="BD138" s="473"/>
      <c r="BE138" s="473"/>
      <c r="BF138" s="474"/>
      <c r="BG138" s="473"/>
      <c r="BH138" s="473"/>
      <c r="BI138" s="473"/>
      <c r="BJ138" s="473"/>
      <c r="BK138" s="473"/>
      <c r="BL138" s="473"/>
    </row>
    <row r="139" spans="1:64" s="354" customFormat="1" ht="9" customHeight="1">
      <c r="B139" s="53"/>
      <c r="G139" s="53"/>
      <c r="I139" s="473"/>
      <c r="J139" s="474"/>
      <c r="K139" s="473"/>
      <c r="L139" s="473"/>
      <c r="M139" s="473"/>
      <c r="N139" s="473"/>
      <c r="O139" s="473"/>
      <c r="P139" s="473"/>
      <c r="Q139" s="473"/>
      <c r="R139" s="469"/>
      <c r="S139" s="473"/>
      <c r="T139" s="473"/>
      <c r="U139" s="473"/>
      <c r="V139" s="473"/>
      <c r="W139" s="470"/>
      <c r="X139" s="473"/>
      <c r="Y139" s="473"/>
      <c r="Z139" s="474"/>
      <c r="AA139" s="473"/>
      <c r="AB139" s="473"/>
      <c r="AC139" s="473"/>
      <c r="AD139" s="473"/>
      <c r="AE139" s="473"/>
      <c r="AF139" s="473"/>
      <c r="AG139" s="473"/>
      <c r="AH139" s="474"/>
      <c r="AI139" s="473"/>
      <c r="AJ139" s="473"/>
      <c r="AK139" s="473"/>
      <c r="AL139" s="473"/>
      <c r="AM139" s="473"/>
      <c r="AN139" s="473"/>
      <c r="AO139" s="473"/>
      <c r="AP139" s="474"/>
      <c r="AQ139" s="473"/>
      <c r="AR139" s="473"/>
      <c r="AS139" s="473"/>
      <c r="AT139" s="473"/>
      <c r="AU139" s="473"/>
      <c r="AV139" s="473"/>
      <c r="AW139" s="470"/>
      <c r="AX139" s="475"/>
      <c r="AY139" s="470"/>
      <c r="AZ139" s="470"/>
      <c r="BA139" s="470"/>
      <c r="BB139" s="470"/>
      <c r="BC139" s="470"/>
      <c r="BD139" s="470"/>
      <c r="BE139" s="473"/>
      <c r="BF139" s="474"/>
      <c r="BG139" s="473"/>
      <c r="BH139" s="473"/>
      <c r="BI139" s="473"/>
      <c r="BJ139" s="473"/>
      <c r="BK139" s="473"/>
      <c r="BL139" s="473"/>
    </row>
    <row r="140" spans="1:64" s="53" customFormat="1" ht="8.1" customHeight="1">
      <c r="I140" s="470"/>
      <c r="J140" s="475"/>
      <c r="K140" s="470"/>
      <c r="L140" s="470"/>
      <c r="M140" s="470"/>
      <c r="N140" s="470"/>
      <c r="O140" s="470"/>
      <c r="P140" s="470"/>
      <c r="Q140" s="470"/>
      <c r="R140" s="469"/>
      <c r="S140" s="470"/>
      <c r="T140" s="470"/>
      <c r="U140" s="470"/>
      <c r="V140" s="470"/>
      <c r="W140" s="470"/>
      <c r="X140" s="470"/>
      <c r="Y140" s="470"/>
      <c r="Z140" s="475"/>
      <c r="AA140" s="470"/>
      <c r="AB140" s="470"/>
      <c r="AC140" s="470"/>
      <c r="AD140" s="470"/>
      <c r="AE140" s="470"/>
      <c r="AF140" s="470"/>
      <c r="AG140" s="470"/>
      <c r="AH140" s="475"/>
      <c r="AI140" s="470"/>
      <c r="AJ140" s="470"/>
      <c r="AK140" s="470"/>
      <c r="AL140" s="470"/>
      <c r="AM140" s="470"/>
      <c r="AN140" s="470"/>
      <c r="AO140" s="470"/>
      <c r="AP140" s="475"/>
      <c r="AQ140" s="470"/>
      <c r="AR140" s="470"/>
      <c r="AS140" s="470"/>
      <c r="AT140" s="470"/>
      <c r="AU140" s="470"/>
      <c r="AV140" s="470"/>
      <c r="AW140" s="470"/>
      <c r="AX140" s="475"/>
      <c r="AY140" s="470"/>
      <c r="AZ140" s="470"/>
      <c r="BA140" s="470"/>
      <c r="BB140" s="470"/>
      <c r="BC140" s="470"/>
      <c r="BD140" s="470"/>
      <c r="BE140" s="473"/>
      <c r="BF140" s="474"/>
      <c r="BG140" s="473"/>
      <c r="BH140" s="473"/>
      <c r="BI140" s="473"/>
      <c r="BJ140" s="473"/>
      <c r="BK140" s="473"/>
      <c r="BL140" s="473"/>
    </row>
    <row r="141" spans="1:64" s="53" customFormat="1" ht="8.1" customHeight="1">
      <c r="I141" s="470"/>
      <c r="J141" s="475"/>
      <c r="K141" s="470"/>
      <c r="L141" s="470"/>
      <c r="M141" s="470"/>
      <c r="N141" s="470"/>
      <c r="O141" s="470"/>
      <c r="P141" s="470"/>
      <c r="Q141" s="470"/>
      <c r="R141" s="469"/>
      <c r="S141" s="470"/>
      <c r="T141" s="470"/>
      <c r="U141" s="470"/>
      <c r="V141" s="470"/>
      <c r="W141" s="470"/>
      <c r="X141" s="470"/>
      <c r="Y141" s="470"/>
      <c r="Z141" s="475"/>
      <c r="AA141" s="470"/>
      <c r="AB141" s="470"/>
      <c r="AC141" s="470"/>
      <c r="AD141" s="470"/>
      <c r="AE141" s="470"/>
      <c r="AF141" s="470"/>
      <c r="AG141" s="470"/>
      <c r="AH141" s="475"/>
      <c r="AI141" s="470"/>
      <c r="AJ141" s="470"/>
      <c r="AK141" s="470"/>
      <c r="AL141" s="470"/>
      <c r="AM141" s="470"/>
      <c r="AN141" s="470"/>
      <c r="AO141" s="470"/>
      <c r="AP141" s="475"/>
      <c r="AQ141" s="470"/>
      <c r="AR141" s="470"/>
      <c r="AS141" s="470"/>
      <c r="AT141" s="470"/>
      <c r="AU141" s="470"/>
      <c r="AV141" s="470"/>
      <c r="AW141" s="470"/>
      <c r="AX141" s="475"/>
      <c r="AY141" s="470"/>
      <c r="AZ141" s="470"/>
      <c r="BA141" s="470"/>
      <c r="BB141" s="470"/>
      <c r="BC141" s="470"/>
      <c r="BD141" s="470"/>
      <c r="BE141" s="473"/>
      <c r="BF141" s="474"/>
      <c r="BG141" s="473"/>
      <c r="BH141" s="473"/>
      <c r="BI141" s="473"/>
      <c r="BJ141" s="473"/>
      <c r="BK141" s="473"/>
      <c r="BL141" s="473"/>
    </row>
    <row r="142" spans="1:64" s="53" customFormat="1" ht="8.1" customHeight="1">
      <c r="I142" s="470"/>
      <c r="J142" s="475"/>
      <c r="K142" s="470"/>
      <c r="L142" s="470"/>
      <c r="M142" s="470"/>
      <c r="N142" s="470"/>
      <c r="O142" s="470"/>
      <c r="P142" s="470"/>
      <c r="Q142" s="470"/>
      <c r="R142" s="469"/>
      <c r="S142" s="470"/>
      <c r="T142" s="470"/>
      <c r="U142" s="470"/>
      <c r="V142" s="470"/>
      <c r="W142" s="470"/>
      <c r="X142" s="470"/>
      <c r="Y142" s="470"/>
      <c r="Z142" s="475"/>
      <c r="AA142" s="470"/>
      <c r="AB142" s="470"/>
      <c r="AC142" s="470"/>
      <c r="AD142" s="470"/>
      <c r="AE142" s="470"/>
      <c r="AF142" s="470"/>
      <c r="AG142" s="470"/>
      <c r="AH142" s="475"/>
      <c r="AI142" s="470"/>
      <c r="AJ142" s="470"/>
      <c r="AK142" s="470"/>
      <c r="AL142" s="470"/>
      <c r="AM142" s="470"/>
      <c r="AN142" s="470"/>
      <c r="AO142" s="470"/>
      <c r="AP142" s="475"/>
      <c r="AQ142" s="470"/>
      <c r="AR142" s="470"/>
      <c r="AS142" s="470"/>
      <c r="AT142" s="470"/>
      <c r="AU142" s="470"/>
      <c r="AV142" s="470"/>
      <c r="AW142" s="470"/>
      <c r="AX142" s="475"/>
      <c r="AY142" s="470"/>
      <c r="AZ142" s="470"/>
      <c r="BA142" s="470"/>
      <c r="BB142" s="470"/>
      <c r="BC142" s="470"/>
      <c r="BD142" s="470"/>
      <c r="BE142" s="473"/>
      <c r="BF142" s="474"/>
      <c r="BG142" s="473"/>
      <c r="BH142" s="473"/>
      <c r="BI142" s="473"/>
      <c r="BJ142" s="473"/>
      <c r="BK142" s="473"/>
      <c r="BL142" s="473"/>
    </row>
    <row r="143" spans="1:64" s="53" customFormat="1" ht="8.1" customHeight="1">
      <c r="A143" s="353"/>
      <c r="I143" s="470"/>
      <c r="J143" s="475"/>
      <c r="K143" s="470"/>
      <c r="L143" s="470"/>
      <c r="M143" s="470"/>
      <c r="N143" s="470"/>
      <c r="O143" s="470"/>
      <c r="P143" s="470"/>
      <c r="Q143" s="470"/>
      <c r="R143" s="469"/>
      <c r="S143" s="470"/>
      <c r="T143" s="470"/>
      <c r="U143" s="470"/>
      <c r="V143" s="470"/>
      <c r="W143" s="470"/>
      <c r="X143" s="470"/>
      <c r="Y143" s="470"/>
      <c r="Z143" s="475"/>
      <c r="AA143" s="470"/>
      <c r="AB143" s="470"/>
      <c r="AC143" s="470"/>
      <c r="AD143" s="470"/>
      <c r="AE143" s="470"/>
      <c r="AF143" s="470"/>
      <c r="AG143" s="470"/>
      <c r="AH143" s="475"/>
      <c r="AI143" s="470"/>
      <c r="AJ143" s="470"/>
      <c r="AK143" s="470"/>
      <c r="AL143" s="470"/>
      <c r="AM143" s="470"/>
      <c r="AN143" s="470"/>
      <c r="AO143" s="470"/>
      <c r="AP143" s="475"/>
      <c r="AQ143" s="470"/>
      <c r="AR143" s="470"/>
      <c r="AS143" s="470"/>
      <c r="AT143" s="470"/>
      <c r="AU143" s="470"/>
      <c r="AV143" s="470"/>
      <c r="AW143" s="470"/>
      <c r="AX143" s="475"/>
      <c r="AY143" s="470"/>
      <c r="AZ143" s="470"/>
      <c r="BA143" s="470"/>
      <c r="BB143" s="470"/>
      <c r="BC143" s="470"/>
      <c r="BD143" s="470"/>
      <c r="BE143" s="473"/>
      <c r="BF143" s="474"/>
      <c r="BG143" s="473"/>
      <c r="BH143" s="473"/>
      <c r="BI143" s="473"/>
      <c r="BJ143" s="473"/>
      <c r="BK143" s="473"/>
      <c r="BL143" s="473"/>
    </row>
    <row r="144" spans="1:64" s="53" customFormat="1" ht="8.1" customHeight="1">
      <c r="I144" s="470"/>
      <c r="J144" s="475"/>
      <c r="K144" s="470"/>
      <c r="L144" s="470"/>
      <c r="M144" s="470"/>
      <c r="N144" s="470"/>
      <c r="O144" s="470"/>
      <c r="P144" s="470"/>
      <c r="Q144" s="470"/>
      <c r="R144" s="469"/>
      <c r="S144" s="470"/>
      <c r="T144" s="470"/>
      <c r="U144" s="470"/>
      <c r="V144" s="470"/>
      <c r="W144" s="470"/>
      <c r="X144" s="470"/>
      <c r="Y144" s="470"/>
      <c r="Z144" s="475"/>
      <c r="AA144" s="470"/>
      <c r="AB144" s="470"/>
      <c r="AC144" s="470"/>
      <c r="AD144" s="470"/>
      <c r="AE144" s="470"/>
      <c r="AF144" s="470"/>
      <c r="AG144" s="470"/>
      <c r="AH144" s="475"/>
      <c r="AI144" s="470"/>
      <c r="AJ144" s="470"/>
      <c r="AK144" s="470"/>
      <c r="AL144" s="470"/>
      <c r="AM144" s="470"/>
      <c r="AN144" s="470"/>
      <c r="AO144" s="470"/>
      <c r="AP144" s="475"/>
      <c r="AQ144" s="470"/>
      <c r="AR144" s="470"/>
      <c r="AS144" s="470"/>
      <c r="AT144" s="470"/>
      <c r="AU144" s="470"/>
      <c r="AV144" s="470"/>
      <c r="AW144" s="470"/>
      <c r="AX144" s="475"/>
      <c r="AY144" s="470"/>
      <c r="AZ144" s="470"/>
      <c r="BA144" s="470"/>
      <c r="BB144" s="470"/>
      <c r="BC144" s="470"/>
      <c r="BD144" s="470"/>
      <c r="BE144" s="470"/>
      <c r="BF144" s="475"/>
      <c r="BG144" s="470"/>
      <c r="BH144" s="470"/>
      <c r="BI144" s="470"/>
      <c r="BJ144" s="470"/>
      <c r="BK144" s="470"/>
      <c r="BL144" s="470"/>
    </row>
    <row r="145" spans="1:64" s="53" customFormat="1" ht="8.1" customHeight="1">
      <c r="I145" s="470"/>
      <c r="J145" s="475"/>
      <c r="K145" s="470"/>
      <c r="L145" s="470"/>
      <c r="M145" s="470"/>
      <c r="N145" s="470"/>
      <c r="O145" s="470"/>
      <c r="P145" s="470"/>
      <c r="Q145" s="470"/>
      <c r="R145" s="469"/>
      <c r="S145" s="470"/>
      <c r="T145" s="470"/>
      <c r="U145" s="470"/>
      <c r="V145" s="470"/>
      <c r="W145" s="470"/>
      <c r="X145" s="470"/>
      <c r="Y145" s="470"/>
      <c r="Z145" s="475"/>
      <c r="AA145" s="470"/>
      <c r="AB145" s="470"/>
      <c r="AC145" s="470"/>
      <c r="AD145" s="470"/>
      <c r="AE145" s="470"/>
      <c r="AF145" s="470"/>
      <c r="AG145" s="470"/>
      <c r="AH145" s="475"/>
      <c r="AI145" s="470"/>
      <c r="AJ145" s="470"/>
      <c r="AK145" s="470"/>
      <c r="AL145" s="470"/>
      <c r="AM145" s="470"/>
      <c r="AN145" s="470"/>
      <c r="AO145" s="470"/>
      <c r="AP145" s="475"/>
      <c r="AQ145" s="470"/>
      <c r="AR145" s="470"/>
      <c r="AS145" s="470"/>
      <c r="AT145" s="470"/>
      <c r="AU145" s="470"/>
      <c r="AV145" s="470"/>
      <c r="AW145" s="470"/>
      <c r="AX145" s="475"/>
      <c r="AY145" s="470"/>
      <c r="AZ145" s="470"/>
      <c r="BA145" s="470"/>
      <c r="BB145" s="470"/>
      <c r="BC145" s="470"/>
      <c r="BD145" s="470"/>
      <c r="BE145" s="470"/>
      <c r="BF145" s="475"/>
      <c r="BG145" s="470"/>
      <c r="BH145" s="470"/>
      <c r="BI145" s="470"/>
      <c r="BJ145" s="470"/>
      <c r="BK145" s="470"/>
      <c r="BL145" s="470"/>
    </row>
    <row r="146" spans="1:64" s="53" customFormat="1" ht="8.1" customHeight="1">
      <c r="I146" s="470"/>
      <c r="J146" s="475"/>
      <c r="K146" s="470"/>
      <c r="L146" s="470"/>
      <c r="M146" s="470"/>
      <c r="N146" s="470"/>
      <c r="O146" s="470"/>
      <c r="P146" s="470"/>
      <c r="Q146" s="470"/>
      <c r="R146" s="469"/>
      <c r="S146" s="470"/>
      <c r="T146" s="470"/>
      <c r="U146" s="470"/>
      <c r="V146" s="470"/>
      <c r="W146" s="470"/>
      <c r="X146" s="470"/>
      <c r="Y146" s="470"/>
      <c r="Z146" s="475"/>
      <c r="AA146" s="470"/>
      <c r="AB146" s="470"/>
      <c r="AC146" s="470"/>
      <c r="AD146" s="470"/>
      <c r="AE146" s="470"/>
      <c r="AF146" s="470"/>
      <c r="AG146" s="470"/>
      <c r="AH146" s="475"/>
      <c r="AI146" s="470"/>
      <c r="AJ146" s="470"/>
      <c r="AK146" s="470"/>
      <c r="AL146" s="470"/>
      <c r="AM146" s="470"/>
      <c r="AN146" s="470"/>
      <c r="AO146" s="470"/>
      <c r="AP146" s="475"/>
      <c r="AQ146" s="470"/>
      <c r="AR146" s="470"/>
      <c r="AS146" s="470"/>
      <c r="AT146" s="470"/>
      <c r="AU146" s="470"/>
      <c r="AV146" s="470"/>
      <c r="AW146" s="470"/>
      <c r="AX146" s="475"/>
      <c r="AY146" s="470"/>
      <c r="AZ146" s="470"/>
      <c r="BA146" s="470"/>
      <c r="BB146" s="470"/>
      <c r="BC146" s="470"/>
      <c r="BD146" s="470"/>
      <c r="BE146" s="470"/>
      <c r="BF146" s="475"/>
      <c r="BG146" s="470"/>
      <c r="BH146" s="470"/>
      <c r="BI146" s="470"/>
      <c r="BJ146" s="470"/>
      <c r="BK146" s="470"/>
      <c r="BL146" s="470"/>
    </row>
    <row r="147" spans="1:64" s="53" customFormat="1" ht="8.1" customHeight="1">
      <c r="I147" s="470"/>
      <c r="J147" s="475"/>
      <c r="K147" s="470"/>
      <c r="L147" s="470"/>
      <c r="M147" s="470"/>
      <c r="N147" s="470"/>
      <c r="O147" s="470"/>
      <c r="P147" s="470"/>
      <c r="Q147" s="470"/>
      <c r="R147" s="469"/>
      <c r="S147" s="470"/>
      <c r="T147" s="470"/>
      <c r="U147" s="470"/>
      <c r="V147" s="470"/>
      <c r="W147" s="470"/>
      <c r="X147" s="470"/>
      <c r="Y147" s="470"/>
      <c r="Z147" s="475"/>
      <c r="AA147" s="470"/>
      <c r="AB147" s="470"/>
      <c r="AC147" s="470"/>
      <c r="AD147" s="470"/>
      <c r="AE147" s="470"/>
      <c r="AF147" s="470"/>
      <c r="AG147" s="470"/>
      <c r="AH147" s="475"/>
      <c r="AI147" s="470"/>
      <c r="AJ147" s="470"/>
      <c r="AK147" s="470"/>
      <c r="AL147" s="470"/>
      <c r="AM147" s="470"/>
      <c r="AN147" s="470"/>
      <c r="AO147" s="470"/>
      <c r="AP147" s="475"/>
      <c r="AQ147" s="470"/>
      <c r="AR147" s="470"/>
      <c r="AS147" s="470"/>
      <c r="AT147" s="470"/>
      <c r="AU147" s="470"/>
      <c r="AV147" s="470"/>
      <c r="AW147" s="470"/>
      <c r="AX147" s="475"/>
      <c r="AY147" s="470"/>
      <c r="AZ147" s="470"/>
      <c r="BA147" s="470"/>
      <c r="BB147" s="470"/>
      <c r="BC147" s="470"/>
      <c r="BD147" s="470"/>
      <c r="BE147" s="470"/>
      <c r="BF147" s="475"/>
      <c r="BG147" s="470"/>
      <c r="BH147" s="470"/>
      <c r="BI147" s="470"/>
      <c r="BJ147" s="470"/>
      <c r="BK147" s="470"/>
      <c r="BL147" s="470"/>
    </row>
    <row r="148" spans="1:64" s="53" customFormat="1" ht="8.1" customHeight="1">
      <c r="A148" s="170"/>
      <c r="B148" s="13"/>
      <c r="C148" s="13"/>
      <c r="D148" s="169"/>
      <c r="E148" s="172"/>
      <c r="F148" s="169"/>
      <c r="G148" s="169"/>
      <c r="H148" s="169"/>
      <c r="I148" s="470"/>
      <c r="J148" s="475"/>
      <c r="K148" s="470"/>
      <c r="L148" s="470"/>
      <c r="M148" s="470"/>
      <c r="N148" s="470"/>
      <c r="O148" s="470"/>
      <c r="P148" s="470"/>
      <c r="Q148" s="470"/>
      <c r="R148" s="469"/>
      <c r="S148" s="470"/>
      <c r="T148" s="470"/>
      <c r="U148" s="470"/>
      <c r="V148" s="470"/>
      <c r="W148" s="470"/>
      <c r="X148" s="470"/>
      <c r="Y148" s="470"/>
      <c r="Z148" s="475"/>
      <c r="AA148" s="470"/>
      <c r="AB148" s="470"/>
      <c r="AC148" s="470"/>
      <c r="AD148" s="470"/>
      <c r="AE148" s="470"/>
      <c r="AF148" s="470"/>
      <c r="AG148" s="470"/>
      <c r="AH148" s="475"/>
      <c r="AI148" s="470"/>
      <c r="AJ148" s="470"/>
      <c r="AK148" s="470"/>
      <c r="AL148" s="470"/>
      <c r="AM148" s="470"/>
      <c r="AN148" s="470"/>
      <c r="AO148" s="470"/>
      <c r="AP148" s="475"/>
      <c r="AQ148" s="470"/>
      <c r="AR148" s="470"/>
      <c r="AS148" s="470"/>
      <c r="AT148" s="470"/>
      <c r="AU148" s="470"/>
      <c r="AV148" s="470"/>
      <c r="AW148" s="470"/>
      <c r="AX148" s="475"/>
      <c r="AY148" s="470"/>
      <c r="AZ148" s="470"/>
      <c r="BA148" s="470"/>
      <c r="BB148" s="470"/>
      <c r="BC148" s="470"/>
      <c r="BD148" s="470"/>
      <c r="BE148" s="470"/>
      <c r="BF148" s="475"/>
      <c r="BG148" s="470"/>
      <c r="BH148" s="470"/>
      <c r="BI148" s="470"/>
      <c r="BJ148" s="470"/>
      <c r="BK148" s="470"/>
      <c r="BL148" s="470"/>
    </row>
    <row r="149" spans="1:64" s="53" customFormat="1" ht="8.1" customHeight="1">
      <c r="A149" s="170"/>
      <c r="B149" s="13"/>
      <c r="C149" s="13"/>
      <c r="D149" s="169"/>
      <c r="E149" s="172"/>
      <c r="F149" s="169"/>
      <c r="G149" s="169"/>
      <c r="H149" s="169"/>
      <c r="I149" s="470"/>
      <c r="J149" s="475"/>
      <c r="K149" s="470"/>
      <c r="L149" s="470"/>
      <c r="M149" s="470"/>
      <c r="N149" s="470"/>
      <c r="O149" s="470"/>
      <c r="P149" s="470"/>
      <c r="Q149" s="470"/>
      <c r="R149" s="469"/>
      <c r="S149" s="470"/>
      <c r="T149" s="470"/>
      <c r="U149" s="470"/>
      <c r="V149" s="470"/>
      <c r="W149" s="470"/>
      <c r="X149" s="470"/>
      <c r="Y149" s="470"/>
      <c r="Z149" s="475"/>
      <c r="AA149" s="470"/>
      <c r="AB149" s="470"/>
      <c r="AC149" s="470"/>
      <c r="AD149" s="470"/>
      <c r="AE149" s="470"/>
      <c r="AF149" s="470"/>
      <c r="AG149" s="470"/>
      <c r="AH149" s="475"/>
      <c r="AI149" s="470"/>
      <c r="AJ149" s="470"/>
      <c r="AK149" s="470"/>
      <c r="AL149" s="470"/>
      <c r="AM149" s="470"/>
      <c r="AN149" s="470"/>
      <c r="AO149" s="470"/>
      <c r="AP149" s="475"/>
      <c r="AQ149" s="470"/>
      <c r="AR149" s="470"/>
      <c r="AS149" s="470"/>
      <c r="AT149" s="470"/>
      <c r="AU149" s="470"/>
      <c r="AV149" s="470"/>
      <c r="AW149" s="470"/>
      <c r="AX149" s="475"/>
      <c r="AY149" s="470"/>
      <c r="AZ149" s="470"/>
      <c r="BA149" s="470"/>
      <c r="BB149" s="470"/>
      <c r="BC149" s="470"/>
      <c r="BD149" s="470"/>
      <c r="BE149" s="470"/>
      <c r="BF149" s="475"/>
      <c r="BG149" s="470"/>
      <c r="BH149" s="470"/>
      <c r="BI149" s="470"/>
      <c r="BJ149" s="470"/>
      <c r="BK149" s="470"/>
      <c r="BL149" s="470"/>
    </row>
    <row r="150" spans="1:64" s="53" customFormat="1" ht="8.1" customHeight="1">
      <c r="A150" s="170"/>
      <c r="B150" s="13"/>
      <c r="C150" s="13"/>
      <c r="D150" s="169"/>
      <c r="E150" s="172"/>
      <c r="F150" s="169"/>
      <c r="G150" s="169"/>
      <c r="H150" s="169"/>
      <c r="I150" s="470"/>
      <c r="J150" s="475"/>
      <c r="K150" s="470"/>
      <c r="L150" s="470"/>
      <c r="M150" s="470"/>
      <c r="N150" s="470"/>
      <c r="O150" s="470"/>
      <c r="P150" s="470"/>
      <c r="Q150" s="470"/>
      <c r="R150" s="469"/>
      <c r="S150" s="470"/>
      <c r="T150" s="470"/>
      <c r="U150" s="470"/>
      <c r="V150" s="470"/>
      <c r="W150" s="470"/>
      <c r="X150" s="470"/>
      <c r="Y150" s="470"/>
      <c r="Z150" s="475"/>
      <c r="AA150" s="470"/>
      <c r="AB150" s="470"/>
      <c r="AC150" s="470"/>
      <c r="AD150" s="470"/>
      <c r="AE150" s="470"/>
      <c r="AF150" s="470"/>
      <c r="AG150" s="470"/>
      <c r="AH150" s="475"/>
      <c r="AI150" s="470"/>
      <c r="AJ150" s="470"/>
      <c r="AK150" s="470"/>
      <c r="AL150" s="470"/>
      <c r="AM150" s="470"/>
      <c r="AN150" s="470"/>
      <c r="AO150" s="470"/>
      <c r="AP150" s="475"/>
      <c r="AQ150" s="470"/>
      <c r="AR150" s="470"/>
      <c r="AS150" s="470"/>
      <c r="AT150" s="470"/>
      <c r="AU150" s="470"/>
      <c r="AV150" s="470"/>
      <c r="AW150" s="470"/>
      <c r="AX150" s="475"/>
      <c r="AY150" s="470"/>
      <c r="AZ150" s="470"/>
      <c r="BA150" s="470"/>
      <c r="BB150" s="470"/>
      <c r="BC150" s="470"/>
      <c r="BD150" s="470"/>
      <c r="BE150" s="470"/>
      <c r="BF150" s="475"/>
      <c r="BG150" s="470"/>
      <c r="BH150" s="470"/>
      <c r="BI150" s="470"/>
      <c r="BJ150" s="470"/>
      <c r="BK150" s="470"/>
      <c r="BL150" s="470"/>
    </row>
    <row r="151" spans="1:64" s="53" customFormat="1" ht="10.15" customHeight="1">
      <c r="A151" s="170"/>
      <c r="B151" s="13"/>
      <c r="C151" s="13"/>
      <c r="D151" s="169"/>
      <c r="E151" s="172"/>
      <c r="F151" s="169"/>
      <c r="G151" s="169"/>
      <c r="H151" s="169"/>
      <c r="I151" s="470"/>
      <c r="J151" s="475"/>
      <c r="K151" s="470"/>
      <c r="L151" s="470"/>
      <c r="M151" s="470"/>
      <c r="N151" s="470"/>
      <c r="O151" s="470"/>
      <c r="P151" s="470"/>
      <c r="Q151" s="470"/>
      <c r="R151" s="469"/>
      <c r="S151" s="470"/>
      <c r="T151" s="470"/>
      <c r="U151" s="470"/>
      <c r="V151" s="470"/>
      <c r="W151" s="470"/>
      <c r="X151" s="470"/>
      <c r="Y151" s="470"/>
      <c r="Z151" s="475"/>
      <c r="AA151" s="470"/>
      <c r="AB151" s="470"/>
      <c r="AC151" s="470"/>
      <c r="AD151" s="470"/>
      <c r="AE151" s="470"/>
      <c r="AF151" s="470"/>
      <c r="AG151" s="470"/>
      <c r="AH151" s="475"/>
      <c r="AI151" s="470"/>
      <c r="AJ151" s="470"/>
      <c r="AK151" s="470"/>
      <c r="AL151" s="470"/>
      <c r="AM151" s="470"/>
      <c r="AN151" s="470"/>
      <c r="AO151" s="470"/>
      <c r="AP151" s="475"/>
      <c r="AQ151" s="470"/>
      <c r="AR151" s="470"/>
      <c r="AS151" s="470"/>
      <c r="AT151" s="470"/>
      <c r="AU151" s="470"/>
      <c r="AV151" s="470"/>
      <c r="AW151" s="470"/>
      <c r="AX151" s="475"/>
      <c r="AY151" s="470"/>
      <c r="AZ151" s="470"/>
      <c r="BA151" s="470"/>
      <c r="BB151" s="470"/>
      <c r="BC151" s="470"/>
      <c r="BD151" s="470"/>
      <c r="BE151" s="470"/>
      <c r="BF151" s="475"/>
      <c r="BG151" s="470"/>
      <c r="BH151" s="470"/>
      <c r="BI151" s="470"/>
      <c r="BJ151" s="470"/>
      <c r="BK151" s="470"/>
      <c r="BL151" s="470"/>
    </row>
    <row r="152" spans="1:64" s="53" customFormat="1" ht="10.15" customHeight="1">
      <c r="A152" s="170"/>
      <c r="B152" s="13"/>
      <c r="C152" s="13"/>
      <c r="D152" s="169"/>
      <c r="E152" s="172"/>
      <c r="F152" s="169"/>
      <c r="G152" s="169"/>
      <c r="H152" s="169"/>
      <c r="I152" s="470"/>
      <c r="J152" s="475"/>
      <c r="K152" s="470"/>
      <c r="L152" s="470"/>
      <c r="M152" s="470"/>
      <c r="N152" s="470"/>
      <c r="O152" s="470"/>
      <c r="P152" s="470"/>
      <c r="Q152" s="470"/>
      <c r="R152" s="469"/>
      <c r="S152" s="470"/>
      <c r="T152" s="470"/>
      <c r="U152" s="470"/>
      <c r="V152" s="470"/>
      <c r="W152" s="470"/>
      <c r="X152" s="470"/>
      <c r="Y152" s="470"/>
      <c r="Z152" s="475"/>
      <c r="AA152" s="470"/>
      <c r="AB152" s="470"/>
      <c r="AC152" s="470"/>
      <c r="AD152" s="470"/>
      <c r="AE152" s="470"/>
      <c r="AF152" s="470"/>
      <c r="AG152" s="470"/>
      <c r="AH152" s="475"/>
      <c r="AI152" s="470"/>
      <c r="AJ152" s="470"/>
      <c r="AK152" s="470"/>
      <c r="AL152" s="470"/>
      <c r="AM152" s="470"/>
      <c r="AN152" s="470"/>
      <c r="AO152" s="470"/>
      <c r="AP152" s="475"/>
      <c r="AQ152" s="470"/>
      <c r="AR152" s="470"/>
      <c r="AS152" s="470"/>
      <c r="AT152" s="470"/>
      <c r="AU152" s="470"/>
      <c r="AV152" s="470"/>
      <c r="AW152" s="470"/>
      <c r="AX152" s="475"/>
      <c r="AY152" s="470"/>
      <c r="AZ152" s="470"/>
      <c r="BA152" s="470"/>
      <c r="BB152" s="470"/>
      <c r="BC152" s="470"/>
      <c r="BD152" s="470"/>
      <c r="BE152" s="470"/>
      <c r="BF152" s="475"/>
      <c r="BG152" s="470"/>
      <c r="BH152" s="470"/>
      <c r="BI152" s="470"/>
      <c r="BJ152" s="470"/>
      <c r="BK152" s="470"/>
      <c r="BL152" s="470"/>
    </row>
    <row r="153" spans="1:64" s="53" customFormat="1" ht="10.15" customHeight="1">
      <c r="A153" s="170"/>
      <c r="B153" s="13"/>
      <c r="C153" s="13"/>
      <c r="D153" s="169"/>
      <c r="E153" s="172"/>
      <c r="F153" s="169"/>
      <c r="G153" s="169"/>
      <c r="H153" s="169"/>
      <c r="I153" s="470"/>
      <c r="J153" s="475"/>
      <c r="K153" s="470"/>
      <c r="L153" s="470"/>
      <c r="M153" s="470"/>
      <c r="N153" s="470"/>
      <c r="O153" s="470"/>
      <c r="P153" s="470"/>
      <c r="Q153" s="470"/>
      <c r="R153" s="469"/>
      <c r="S153" s="470"/>
      <c r="T153" s="470"/>
      <c r="U153" s="470"/>
      <c r="V153" s="470"/>
      <c r="W153" s="470"/>
      <c r="X153" s="470"/>
      <c r="Y153" s="470"/>
      <c r="Z153" s="475"/>
      <c r="AA153" s="470"/>
      <c r="AB153" s="470"/>
      <c r="AC153" s="470"/>
      <c r="AD153" s="470"/>
      <c r="AE153" s="470"/>
      <c r="AF153" s="470"/>
      <c r="AG153" s="470"/>
      <c r="AH153" s="475"/>
      <c r="AI153" s="470"/>
      <c r="AJ153" s="470"/>
      <c r="AK153" s="470"/>
      <c r="AL153" s="470"/>
      <c r="AM153" s="470"/>
      <c r="AN153" s="470"/>
      <c r="AO153" s="470"/>
      <c r="AP153" s="475"/>
      <c r="AQ153" s="470"/>
      <c r="AR153" s="470"/>
      <c r="AS153" s="470"/>
      <c r="AT153" s="470"/>
      <c r="AU153" s="470"/>
      <c r="AV153" s="470"/>
      <c r="AW153" s="470"/>
      <c r="AX153" s="475"/>
      <c r="AY153" s="470"/>
      <c r="AZ153" s="470"/>
      <c r="BA153" s="470"/>
      <c r="BB153" s="470"/>
      <c r="BC153" s="470"/>
      <c r="BD153" s="470"/>
      <c r="BE153" s="470"/>
      <c r="BF153" s="475"/>
      <c r="BG153" s="470"/>
      <c r="BH153" s="470"/>
      <c r="BI153" s="470"/>
      <c r="BJ153" s="470"/>
      <c r="BK153" s="470"/>
      <c r="BL153" s="470"/>
    </row>
    <row r="154" spans="1:64" s="53" customFormat="1" ht="10.15" customHeight="1">
      <c r="A154" s="170"/>
      <c r="B154" s="13"/>
      <c r="C154" s="13"/>
      <c r="D154" s="169"/>
      <c r="E154" s="172"/>
      <c r="F154" s="169"/>
      <c r="G154" s="169"/>
      <c r="H154" s="169"/>
      <c r="I154" s="470"/>
      <c r="J154" s="475"/>
      <c r="K154" s="470"/>
      <c r="L154" s="470"/>
      <c r="M154" s="470"/>
      <c r="N154" s="470"/>
      <c r="O154" s="470"/>
      <c r="P154" s="470"/>
      <c r="Q154" s="470"/>
      <c r="R154" s="469"/>
      <c r="S154" s="470"/>
      <c r="T154" s="470"/>
      <c r="U154" s="470"/>
      <c r="V154" s="470"/>
      <c r="W154" s="470"/>
      <c r="X154" s="470"/>
      <c r="Y154" s="470"/>
      <c r="Z154" s="475"/>
      <c r="AA154" s="470"/>
      <c r="AB154" s="470"/>
      <c r="AC154" s="470"/>
      <c r="AD154" s="470"/>
      <c r="AE154" s="470"/>
      <c r="AF154" s="470"/>
      <c r="AG154" s="470"/>
      <c r="AH154" s="475"/>
      <c r="AI154" s="470"/>
      <c r="AJ154" s="470"/>
      <c r="AK154" s="470"/>
      <c r="AL154" s="470"/>
      <c r="AM154" s="470"/>
      <c r="AN154" s="470"/>
      <c r="AO154" s="470"/>
      <c r="AP154" s="475"/>
      <c r="AQ154" s="470"/>
      <c r="AR154" s="470"/>
      <c r="AS154" s="470"/>
      <c r="AT154" s="470"/>
      <c r="AU154" s="470"/>
      <c r="AV154" s="470"/>
      <c r="AW154" s="470"/>
      <c r="AX154" s="475"/>
      <c r="AY154" s="470"/>
      <c r="AZ154" s="470"/>
      <c r="BA154" s="470"/>
      <c r="BB154" s="470"/>
      <c r="BC154" s="470"/>
      <c r="BD154" s="470"/>
      <c r="BE154" s="470"/>
      <c r="BF154" s="475"/>
      <c r="BG154" s="470"/>
      <c r="BH154" s="470"/>
      <c r="BI154" s="470"/>
      <c r="BJ154" s="470"/>
      <c r="BK154" s="470"/>
      <c r="BL154" s="470"/>
    </row>
    <row r="155" spans="1:64" s="53" customFormat="1" ht="10.15" customHeight="1">
      <c r="A155" s="170"/>
      <c r="B155" s="13"/>
      <c r="C155" s="13"/>
      <c r="D155" s="169"/>
      <c r="E155" s="172"/>
      <c r="F155" s="169"/>
      <c r="G155" s="169"/>
      <c r="H155" s="169"/>
      <c r="I155" s="470"/>
      <c r="J155" s="475"/>
      <c r="K155" s="470"/>
      <c r="L155" s="470"/>
      <c r="M155" s="470"/>
      <c r="N155" s="470"/>
      <c r="O155" s="470"/>
      <c r="P155" s="470"/>
      <c r="Q155" s="470"/>
      <c r="R155" s="469"/>
      <c r="S155" s="470"/>
      <c r="T155" s="470"/>
      <c r="U155" s="470"/>
      <c r="V155" s="470"/>
      <c r="W155" s="470"/>
      <c r="X155" s="470"/>
      <c r="Y155" s="470"/>
      <c r="Z155" s="475"/>
      <c r="AA155" s="470"/>
      <c r="AB155" s="470"/>
      <c r="AC155" s="470"/>
      <c r="AD155" s="470"/>
      <c r="AE155" s="470"/>
      <c r="AF155" s="470"/>
      <c r="AG155" s="470"/>
      <c r="AH155" s="475"/>
      <c r="AI155" s="470"/>
      <c r="AJ155" s="470"/>
      <c r="AK155" s="470"/>
      <c r="AL155" s="470"/>
      <c r="AM155" s="470"/>
      <c r="AN155" s="470"/>
      <c r="AO155" s="470"/>
      <c r="AP155" s="475"/>
      <c r="AQ155" s="470"/>
      <c r="AR155" s="470"/>
      <c r="AS155" s="470"/>
      <c r="AT155" s="470"/>
      <c r="AU155" s="470"/>
      <c r="AV155" s="470"/>
      <c r="AW155" s="480"/>
      <c r="AX155" s="475"/>
      <c r="AY155" s="470"/>
      <c r="AZ155" s="470"/>
      <c r="BA155" s="470"/>
      <c r="BB155" s="470"/>
      <c r="BC155" s="470"/>
      <c r="BD155" s="470"/>
      <c r="BE155" s="470"/>
      <c r="BF155" s="475"/>
      <c r="BG155" s="470"/>
      <c r="BH155" s="470"/>
      <c r="BI155" s="470"/>
      <c r="BJ155" s="470"/>
      <c r="BK155" s="470"/>
      <c r="BL155" s="470"/>
    </row>
    <row r="156" spans="1:64" s="53" customFormat="1" ht="10.15" customHeight="1">
      <c r="A156" s="170"/>
      <c r="B156" s="13"/>
      <c r="C156" s="13"/>
      <c r="D156" s="169"/>
      <c r="E156" s="172"/>
      <c r="F156" s="169"/>
      <c r="G156" s="169"/>
      <c r="H156" s="169"/>
      <c r="I156" s="470"/>
      <c r="J156" s="475"/>
      <c r="K156" s="470"/>
      <c r="L156" s="470"/>
      <c r="M156" s="470"/>
      <c r="N156" s="470"/>
      <c r="O156" s="470"/>
      <c r="P156" s="470"/>
      <c r="Q156" s="470"/>
      <c r="R156" s="469"/>
      <c r="S156" s="470"/>
      <c r="T156" s="470"/>
      <c r="U156" s="470"/>
      <c r="V156" s="470"/>
      <c r="W156" s="470"/>
      <c r="X156" s="470"/>
      <c r="Y156" s="470"/>
      <c r="Z156" s="475"/>
      <c r="AA156" s="470"/>
      <c r="AB156" s="470"/>
      <c r="AC156" s="470"/>
      <c r="AD156" s="470"/>
      <c r="AE156" s="470"/>
      <c r="AF156" s="470"/>
      <c r="AG156" s="470"/>
      <c r="AH156" s="475"/>
      <c r="AI156" s="470"/>
      <c r="AJ156" s="470"/>
      <c r="AK156" s="470"/>
      <c r="AL156" s="470"/>
      <c r="AM156" s="470"/>
      <c r="AN156" s="470"/>
      <c r="AO156" s="470"/>
      <c r="AP156" s="475"/>
      <c r="AQ156" s="470"/>
      <c r="AR156" s="470"/>
      <c r="AS156" s="470"/>
      <c r="AT156" s="470"/>
      <c r="AU156" s="470"/>
      <c r="AV156" s="470"/>
      <c r="AW156" s="480"/>
      <c r="AX156" s="481"/>
      <c r="AY156" s="480"/>
      <c r="AZ156" s="480"/>
      <c r="BA156" s="480"/>
      <c r="BB156" s="480"/>
      <c r="BC156" s="480"/>
      <c r="BD156" s="480"/>
      <c r="BE156" s="470"/>
      <c r="BF156" s="475"/>
      <c r="BG156" s="470"/>
      <c r="BH156" s="470"/>
      <c r="BI156" s="470"/>
      <c r="BJ156" s="470"/>
      <c r="BK156" s="470"/>
      <c r="BL156" s="470"/>
    </row>
    <row r="157" spans="1:64" s="127" customFormat="1" ht="10.15" customHeight="1">
      <c r="A157" s="280"/>
      <c r="B157" s="13"/>
      <c r="C157" s="265"/>
      <c r="D157" s="278"/>
      <c r="E157" s="279"/>
      <c r="F157" s="278"/>
      <c r="G157" s="169"/>
      <c r="H157" s="278"/>
      <c r="I157" s="480"/>
      <c r="J157" s="481"/>
      <c r="K157" s="480"/>
      <c r="L157" s="480"/>
      <c r="M157" s="480"/>
      <c r="N157" s="480"/>
      <c r="O157" s="480"/>
      <c r="P157" s="480"/>
      <c r="Q157" s="480"/>
      <c r="R157" s="469"/>
      <c r="S157" s="480"/>
      <c r="T157" s="480"/>
      <c r="U157" s="480"/>
      <c r="V157" s="480"/>
      <c r="W157" s="470"/>
      <c r="X157" s="480"/>
      <c r="Y157" s="480"/>
      <c r="Z157" s="481"/>
      <c r="AA157" s="480"/>
      <c r="AB157" s="480"/>
      <c r="AC157" s="480"/>
      <c r="AD157" s="480"/>
      <c r="AE157" s="480"/>
      <c r="AF157" s="480"/>
      <c r="AG157" s="480"/>
      <c r="AH157" s="481"/>
      <c r="AI157" s="480"/>
      <c r="AJ157" s="480"/>
      <c r="AK157" s="480"/>
      <c r="AL157" s="480"/>
      <c r="AM157" s="480"/>
      <c r="AN157" s="480"/>
      <c r="AO157" s="480"/>
      <c r="AP157" s="481"/>
      <c r="AQ157" s="480"/>
      <c r="AR157" s="480"/>
      <c r="AS157" s="480"/>
      <c r="AT157" s="480"/>
      <c r="AU157" s="480"/>
      <c r="AV157" s="480"/>
      <c r="AW157" s="480"/>
      <c r="AX157" s="481"/>
      <c r="AY157" s="480"/>
      <c r="AZ157" s="480"/>
      <c r="BA157" s="480"/>
      <c r="BB157" s="480"/>
      <c r="BC157" s="480"/>
      <c r="BD157" s="480"/>
      <c r="BE157" s="470"/>
      <c r="BF157" s="475"/>
      <c r="BG157" s="470"/>
      <c r="BH157" s="470"/>
      <c r="BI157" s="470"/>
      <c r="BJ157" s="470"/>
      <c r="BK157" s="470"/>
      <c r="BL157" s="470"/>
    </row>
    <row r="158" spans="1:64" s="127" customFormat="1" ht="10.15" customHeight="1">
      <c r="A158" s="280"/>
      <c r="B158" s="13"/>
      <c r="C158" s="265"/>
      <c r="D158" s="278"/>
      <c r="E158" s="279"/>
      <c r="F158" s="278"/>
      <c r="G158" s="169"/>
      <c r="H158" s="278"/>
      <c r="I158" s="480"/>
      <c r="J158" s="481"/>
      <c r="K158" s="480"/>
      <c r="L158" s="480"/>
      <c r="M158" s="480"/>
      <c r="N158" s="480"/>
      <c r="O158" s="480"/>
      <c r="P158" s="480"/>
      <c r="Q158" s="480"/>
      <c r="R158" s="469"/>
      <c r="S158" s="480"/>
      <c r="T158" s="480"/>
      <c r="U158" s="480"/>
      <c r="V158" s="480"/>
      <c r="W158" s="470"/>
      <c r="X158" s="480"/>
      <c r="Y158" s="480"/>
      <c r="Z158" s="481"/>
      <c r="AA158" s="480"/>
      <c r="AB158" s="480"/>
      <c r="AC158" s="480"/>
      <c r="AD158" s="480"/>
      <c r="AE158" s="480"/>
      <c r="AF158" s="480"/>
      <c r="AG158" s="480"/>
      <c r="AH158" s="481"/>
      <c r="AI158" s="480"/>
      <c r="AJ158" s="480"/>
      <c r="AK158" s="480"/>
      <c r="AL158" s="480"/>
      <c r="AM158" s="480"/>
      <c r="AN158" s="480"/>
      <c r="AO158" s="480"/>
      <c r="AP158" s="481"/>
      <c r="AQ158" s="480"/>
      <c r="AR158" s="480"/>
      <c r="AS158" s="480"/>
      <c r="AT158" s="480"/>
      <c r="AU158" s="480"/>
      <c r="AV158" s="480"/>
      <c r="AW158" s="480"/>
      <c r="AX158" s="481"/>
      <c r="AY158" s="480"/>
      <c r="AZ158" s="480"/>
      <c r="BA158" s="480"/>
      <c r="BB158" s="480"/>
      <c r="BC158" s="480"/>
      <c r="BD158" s="480"/>
      <c r="BE158" s="470"/>
      <c r="BF158" s="475"/>
      <c r="BG158" s="470"/>
      <c r="BH158" s="470"/>
      <c r="BI158" s="470"/>
      <c r="BJ158" s="470"/>
      <c r="BK158" s="470"/>
      <c r="BL158" s="470"/>
    </row>
    <row r="159" spans="1:64" s="127" customFormat="1" ht="10.15" customHeight="1">
      <c r="A159" s="280"/>
      <c r="B159" s="13"/>
      <c r="C159" s="265"/>
      <c r="D159" s="278"/>
      <c r="E159" s="279"/>
      <c r="F159" s="278"/>
      <c r="G159" s="169"/>
      <c r="H159" s="278"/>
      <c r="I159" s="480"/>
      <c r="J159" s="481"/>
      <c r="K159" s="480"/>
      <c r="L159" s="480"/>
      <c r="M159" s="480"/>
      <c r="N159" s="480"/>
      <c r="O159" s="480"/>
      <c r="P159" s="480"/>
      <c r="Q159" s="480"/>
      <c r="R159" s="469"/>
      <c r="S159" s="480"/>
      <c r="T159" s="480"/>
      <c r="U159" s="480"/>
      <c r="V159" s="480"/>
      <c r="W159" s="470"/>
      <c r="X159" s="480"/>
      <c r="Y159" s="480"/>
      <c r="Z159" s="481"/>
      <c r="AA159" s="480"/>
      <c r="AB159" s="480"/>
      <c r="AC159" s="480"/>
      <c r="AD159" s="480"/>
      <c r="AE159" s="480"/>
      <c r="AF159" s="480"/>
      <c r="AG159" s="480"/>
      <c r="AH159" s="481"/>
      <c r="AI159" s="480"/>
      <c r="AJ159" s="480"/>
      <c r="AK159" s="480"/>
      <c r="AL159" s="480"/>
      <c r="AM159" s="480"/>
      <c r="AN159" s="480"/>
      <c r="AO159" s="480"/>
      <c r="AP159" s="481"/>
      <c r="AQ159" s="480"/>
      <c r="AR159" s="480"/>
      <c r="AS159" s="480"/>
      <c r="AT159" s="480"/>
      <c r="AU159" s="480"/>
      <c r="AV159" s="480"/>
      <c r="AW159" s="480"/>
      <c r="AX159" s="481"/>
      <c r="AY159" s="480"/>
      <c r="AZ159" s="480"/>
      <c r="BA159" s="480"/>
      <c r="BB159" s="480"/>
      <c r="BC159" s="480"/>
      <c r="BD159" s="480"/>
      <c r="BE159" s="470"/>
      <c r="BF159" s="475"/>
      <c r="BG159" s="470"/>
      <c r="BH159" s="470"/>
      <c r="BI159" s="470"/>
      <c r="BJ159" s="470"/>
      <c r="BK159" s="470"/>
      <c r="BL159" s="470"/>
    </row>
    <row r="160" spans="1:64" s="127" customFormat="1" ht="10.15" customHeight="1">
      <c r="A160" s="280"/>
      <c r="B160" s="13"/>
      <c r="C160" s="265"/>
      <c r="D160" s="278"/>
      <c r="E160" s="279"/>
      <c r="F160" s="278"/>
      <c r="G160" s="169"/>
      <c r="H160" s="278"/>
      <c r="I160" s="480"/>
      <c r="J160" s="481"/>
      <c r="K160" s="480"/>
      <c r="L160" s="480"/>
      <c r="M160" s="480"/>
      <c r="N160" s="480"/>
      <c r="O160" s="480"/>
      <c r="P160" s="480"/>
      <c r="Q160" s="480"/>
      <c r="R160" s="469"/>
      <c r="S160" s="480"/>
      <c r="T160" s="480"/>
      <c r="U160" s="480"/>
      <c r="V160" s="480"/>
      <c r="W160" s="470"/>
      <c r="X160" s="480"/>
      <c r="Y160" s="480"/>
      <c r="Z160" s="481"/>
      <c r="AA160" s="480"/>
      <c r="AB160" s="480"/>
      <c r="AC160" s="480"/>
      <c r="AD160" s="480"/>
      <c r="AE160" s="480"/>
      <c r="AF160" s="480"/>
      <c r="AG160" s="480"/>
      <c r="AH160" s="481"/>
      <c r="AI160" s="480"/>
      <c r="AJ160" s="480"/>
      <c r="AK160" s="480"/>
      <c r="AL160" s="480"/>
      <c r="AM160" s="480"/>
      <c r="AN160" s="480"/>
      <c r="AO160" s="480"/>
      <c r="AP160" s="481"/>
      <c r="AQ160" s="480"/>
      <c r="AR160" s="480"/>
      <c r="AS160" s="480"/>
      <c r="AT160" s="480"/>
      <c r="AU160" s="480"/>
      <c r="AV160" s="480"/>
      <c r="AW160" s="480"/>
      <c r="AX160" s="481"/>
      <c r="AY160" s="480"/>
      <c r="AZ160" s="480"/>
      <c r="BA160" s="480"/>
      <c r="BB160" s="480"/>
      <c r="BC160" s="480"/>
      <c r="BD160" s="480"/>
      <c r="BE160" s="470"/>
      <c r="BF160" s="475"/>
      <c r="BG160" s="470"/>
      <c r="BH160" s="470"/>
      <c r="BI160" s="470"/>
      <c r="BJ160" s="470"/>
      <c r="BK160" s="470"/>
      <c r="BL160" s="470"/>
    </row>
    <row r="161" spans="1:64" s="127" customFormat="1" ht="10.15" customHeight="1">
      <c r="A161" s="280"/>
      <c r="B161" s="13"/>
      <c r="C161" s="265"/>
      <c r="D161" s="278"/>
      <c r="E161" s="279"/>
      <c r="F161" s="278"/>
      <c r="G161" s="169"/>
      <c r="H161" s="278"/>
      <c r="I161" s="480"/>
      <c r="J161" s="481"/>
      <c r="K161" s="480"/>
      <c r="L161" s="480"/>
      <c r="M161" s="480"/>
      <c r="N161" s="480"/>
      <c r="O161" s="480"/>
      <c r="P161" s="480"/>
      <c r="Q161" s="480"/>
      <c r="R161" s="469"/>
      <c r="S161" s="480"/>
      <c r="T161" s="480"/>
      <c r="U161" s="480"/>
      <c r="V161" s="480"/>
      <c r="W161" s="470"/>
      <c r="X161" s="480"/>
      <c r="Y161" s="480"/>
      <c r="Z161" s="481"/>
      <c r="AA161" s="480"/>
      <c r="AB161" s="480"/>
      <c r="AC161" s="480"/>
      <c r="AD161" s="480"/>
      <c r="AE161" s="480"/>
      <c r="AF161" s="480"/>
      <c r="AG161" s="480"/>
      <c r="AH161" s="481"/>
      <c r="AI161" s="480"/>
      <c r="AJ161" s="480"/>
      <c r="AK161" s="480"/>
      <c r="AL161" s="480"/>
      <c r="AM161" s="480"/>
      <c r="AN161" s="480"/>
      <c r="AO161" s="480"/>
      <c r="AP161" s="481"/>
      <c r="AQ161" s="480"/>
      <c r="AR161" s="480"/>
      <c r="AS161" s="480"/>
      <c r="AT161" s="480"/>
      <c r="AU161" s="480"/>
      <c r="AV161" s="480"/>
      <c r="AW161" s="480"/>
      <c r="AX161" s="481"/>
      <c r="AY161" s="480"/>
      <c r="AZ161" s="480"/>
      <c r="BA161" s="480"/>
      <c r="BB161" s="480"/>
      <c r="BC161" s="480"/>
      <c r="BD161" s="480"/>
      <c r="BE161" s="480"/>
      <c r="BF161" s="481"/>
      <c r="BG161" s="480"/>
      <c r="BH161" s="480"/>
      <c r="BI161" s="480"/>
      <c r="BJ161" s="480"/>
      <c r="BK161" s="480"/>
      <c r="BL161" s="480"/>
    </row>
    <row r="162" spans="1:64" s="127" customFormat="1" ht="10.15" customHeight="1">
      <c r="A162" s="280"/>
      <c r="B162" s="53"/>
      <c r="G162" s="53"/>
      <c r="I162" s="480"/>
      <c r="J162" s="481"/>
      <c r="K162" s="480"/>
      <c r="L162" s="480"/>
      <c r="M162" s="480"/>
      <c r="N162" s="480"/>
      <c r="O162" s="480"/>
      <c r="P162" s="480"/>
      <c r="Q162" s="480"/>
      <c r="R162" s="469"/>
      <c r="S162" s="480"/>
      <c r="T162" s="480"/>
      <c r="U162" s="480"/>
      <c r="V162" s="480"/>
      <c r="W162" s="470"/>
      <c r="X162" s="480"/>
      <c r="Y162" s="480"/>
      <c r="Z162" s="481"/>
      <c r="AA162" s="480"/>
      <c r="AB162" s="480"/>
      <c r="AC162" s="480"/>
      <c r="AD162" s="480"/>
      <c r="AE162" s="480"/>
      <c r="AF162" s="480"/>
      <c r="AG162" s="480"/>
      <c r="AH162" s="481"/>
      <c r="AI162" s="480"/>
      <c r="AJ162" s="480"/>
      <c r="AK162" s="480"/>
      <c r="AL162" s="480"/>
      <c r="AM162" s="480"/>
      <c r="AN162" s="480"/>
      <c r="AO162" s="480"/>
      <c r="AP162" s="481"/>
      <c r="AQ162" s="480"/>
      <c r="AR162" s="480"/>
      <c r="AS162" s="480"/>
      <c r="AT162" s="480"/>
      <c r="AU162" s="480"/>
      <c r="AV162" s="480"/>
      <c r="AW162" s="480"/>
      <c r="AX162" s="481"/>
      <c r="AY162" s="480"/>
      <c r="AZ162" s="480"/>
      <c r="BA162" s="480"/>
      <c r="BB162" s="480"/>
      <c r="BC162" s="480"/>
      <c r="BD162" s="480"/>
      <c r="BE162" s="480"/>
      <c r="BF162" s="481"/>
      <c r="BG162" s="480"/>
      <c r="BH162" s="480"/>
      <c r="BI162" s="480"/>
      <c r="BJ162" s="480"/>
      <c r="BK162" s="480"/>
      <c r="BL162" s="480"/>
    </row>
    <row r="163" spans="1:64" s="127" customFormat="1" ht="10.15" customHeight="1">
      <c r="B163" s="53"/>
      <c r="G163" s="53"/>
      <c r="I163" s="480"/>
      <c r="J163" s="481"/>
      <c r="K163" s="480"/>
      <c r="L163" s="480"/>
      <c r="M163" s="480"/>
      <c r="N163" s="480"/>
      <c r="O163" s="480"/>
      <c r="P163" s="480"/>
      <c r="Q163" s="480"/>
      <c r="R163" s="469"/>
      <c r="S163" s="480"/>
      <c r="T163" s="480"/>
      <c r="U163" s="480"/>
      <c r="V163" s="480"/>
      <c r="W163" s="470"/>
      <c r="X163" s="480"/>
      <c r="Y163" s="480"/>
      <c r="Z163" s="481"/>
      <c r="AA163" s="480"/>
      <c r="AB163" s="480"/>
      <c r="AC163" s="480"/>
      <c r="AD163" s="480"/>
      <c r="AE163" s="480"/>
      <c r="AF163" s="480"/>
      <c r="AG163" s="480"/>
      <c r="AH163" s="481"/>
      <c r="AI163" s="480"/>
      <c r="AJ163" s="480"/>
      <c r="AK163" s="480"/>
      <c r="AL163" s="480"/>
      <c r="AM163" s="480"/>
      <c r="AN163" s="480"/>
      <c r="AO163" s="480"/>
      <c r="AP163" s="481"/>
      <c r="AQ163" s="480"/>
      <c r="AR163" s="480"/>
      <c r="AS163" s="480"/>
      <c r="AT163" s="480"/>
      <c r="AU163" s="480"/>
      <c r="AV163" s="480"/>
      <c r="AW163" s="480"/>
      <c r="AX163" s="481"/>
      <c r="AY163" s="480"/>
      <c r="AZ163" s="480"/>
      <c r="BA163" s="480"/>
      <c r="BB163" s="480"/>
      <c r="BC163" s="480"/>
      <c r="BD163" s="480"/>
      <c r="BE163" s="480"/>
      <c r="BF163" s="481"/>
      <c r="BG163" s="480"/>
      <c r="BH163" s="480"/>
      <c r="BI163" s="480"/>
      <c r="BJ163" s="480"/>
      <c r="BK163" s="480"/>
      <c r="BL163" s="480"/>
    </row>
    <row r="164" spans="1:64" s="127" customFormat="1" ht="10.15" customHeight="1">
      <c r="A164" s="280"/>
      <c r="B164" s="53"/>
      <c r="G164" s="53"/>
      <c r="I164" s="480"/>
      <c r="J164" s="481"/>
      <c r="K164" s="480"/>
      <c r="L164" s="480"/>
      <c r="M164" s="480"/>
      <c r="N164" s="480"/>
      <c r="O164" s="480"/>
      <c r="P164" s="480"/>
      <c r="Q164" s="480"/>
      <c r="R164" s="469"/>
      <c r="S164" s="480"/>
      <c r="T164" s="480"/>
      <c r="U164" s="480"/>
      <c r="V164" s="480"/>
      <c r="W164" s="470"/>
      <c r="X164" s="480"/>
      <c r="Y164" s="480"/>
      <c r="Z164" s="481"/>
      <c r="AA164" s="480"/>
      <c r="AB164" s="480"/>
      <c r="AC164" s="480"/>
      <c r="AD164" s="480"/>
      <c r="AE164" s="480"/>
      <c r="AF164" s="480"/>
      <c r="AG164" s="480"/>
      <c r="AH164" s="481"/>
      <c r="AI164" s="480"/>
      <c r="AJ164" s="480"/>
      <c r="AK164" s="480"/>
      <c r="AL164" s="480"/>
      <c r="AM164" s="480"/>
      <c r="AN164" s="480"/>
      <c r="AO164" s="480"/>
      <c r="AP164" s="481"/>
      <c r="AQ164" s="480"/>
      <c r="AR164" s="480"/>
      <c r="AS164" s="480"/>
      <c r="AT164" s="480"/>
      <c r="AU164" s="480"/>
      <c r="AV164" s="480"/>
      <c r="AW164" s="480"/>
      <c r="AX164" s="481"/>
      <c r="AY164" s="480"/>
      <c r="AZ164" s="480"/>
      <c r="BA164" s="480"/>
      <c r="BB164" s="480"/>
      <c r="BC164" s="480"/>
      <c r="BD164" s="480"/>
      <c r="BE164" s="480"/>
      <c r="BF164" s="481"/>
      <c r="BG164" s="480"/>
      <c r="BH164" s="480"/>
      <c r="BI164" s="480"/>
      <c r="BJ164" s="480"/>
      <c r="BK164" s="480"/>
      <c r="BL164" s="480"/>
    </row>
    <row r="165" spans="1:64" s="127" customFormat="1" ht="10.15" customHeight="1">
      <c r="A165" s="280"/>
      <c r="B165" s="53"/>
      <c r="G165" s="53"/>
      <c r="I165" s="480"/>
      <c r="J165" s="481"/>
      <c r="K165" s="480"/>
      <c r="L165" s="480"/>
      <c r="M165" s="480"/>
      <c r="N165" s="480"/>
      <c r="O165" s="480"/>
      <c r="P165" s="480"/>
      <c r="Q165" s="480"/>
      <c r="R165" s="469"/>
      <c r="S165" s="480"/>
      <c r="T165" s="480"/>
      <c r="U165" s="480"/>
      <c r="V165" s="480"/>
      <c r="W165" s="470"/>
      <c r="X165" s="480"/>
      <c r="Y165" s="480"/>
      <c r="Z165" s="481"/>
      <c r="AA165" s="480"/>
      <c r="AB165" s="480"/>
      <c r="AC165" s="480"/>
      <c r="AD165" s="480"/>
      <c r="AE165" s="480"/>
      <c r="AF165" s="480"/>
      <c r="AG165" s="480"/>
      <c r="AH165" s="481"/>
      <c r="AI165" s="480"/>
      <c r="AJ165" s="480"/>
      <c r="AK165" s="480"/>
      <c r="AL165" s="480"/>
      <c r="AM165" s="480"/>
      <c r="AN165" s="480"/>
      <c r="AO165" s="480"/>
      <c r="AP165" s="481"/>
      <c r="AQ165" s="480"/>
      <c r="AR165" s="480"/>
      <c r="AS165" s="480"/>
      <c r="AT165" s="480"/>
      <c r="AU165" s="480"/>
      <c r="AV165" s="480"/>
      <c r="AW165" s="480"/>
      <c r="AX165" s="481"/>
      <c r="AY165" s="480"/>
      <c r="AZ165" s="480"/>
      <c r="BA165" s="480"/>
      <c r="BB165" s="480"/>
      <c r="BC165" s="480"/>
      <c r="BD165" s="480"/>
      <c r="BE165" s="480"/>
      <c r="BF165" s="481"/>
      <c r="BG165" s="480"/>
      <c r="BH165" s="480"/>
      <c r="BI165" s="480"/>
      <c r="BJ165" s="480"/>
      <c r="BK165" s="480"/>
      <c r="BL165" s="480"/>
    </row>
    <row r="166" spans="1:64" s="127" customFormat="1" ht="10.15" customHeight="1">
      <c r="A166" s="281"/>
      <c r="B166" s="53"/>
      <c r="G166" s="53"/>
      <c r="I166" s="480"/>
      <c r="J166" s="481"/>
      <c r="K166" s="480"/>
      <c r="L166" s="480"/>
      <c r="M166" s="480"/>
      <c r="N166" s="480"/>
      <c r="O166" s="480"/>
      <c r="P166" s="480"/>
      <c r="Q166" s="480"/>
      <c r="R166" s="469"/>
      <c r="S166" s="480"/>
      <c r="T166" s="480"/>
      <c r="U166" s="480"/>
      <c r="V166" s="480"/>
      <c r="W166" s="470"/>
      <c r="X166" s="480"/>
      <c r="Y166" s="480"/>
      <c r="Z166" s="481"/>
      <c r="AA166" s="480"/>
      <c r="AB166" s="480"/>
      <c r="AC166" s="480"/>
      <c r="AD166" s="480"/>
      <c r="AE166" s="480"/>
      <c r="AF166" s="480"/>
      <c r="AG166" s="480"/>
      <c r="AH166" s="481"/>
      <c r="AI166" s="480"/>
      <c r="AJ166" s="480"/>
      <c r="AK166" s="480"/>
      <c r="AL166" s="480"/>
      <c r="AM166" s="480"/>
      <c r="AN166" s="480"/>
      <c r="AO166" s="480"/>
      <c r="AP166" s="481"/>
      <c r="AQ166" s="480"/>
      <c r="AR166" s="480"/>
      <c r="AS166" s="480"/>
      <c r="AT166" s="480"/>
      <c r="AU166" s="480"/>
      <c r="AV166" s="480"/>
      <c r="AW166" s="482"/>
      <c r="AX166" s="481"/>
      <c r="AY166" s="480"/>
      <c r="AZ166" s="480"/>
      <c r="BA166" s="480"/>
      <c r="BB166" s="480"/>
      <c r="BC166" s="480"/>
      <c r="BD166" s="480"/>
      <c r="BE166" s="480"/>
      <c r="BF166" s="481"/>
      <c r="BG166" s="480"/>
      <c r="BH166" s="480"/>
      <c r="BI166" s="480"/>
      <c r="BJ166" s="480"/>
      <c r="BK166" s="480"/>
      <c r="BL166" s="480"/>
    </row>
    <row r="167" spans="1:64" s="127" customFormat="1" ht="10.15" customHeight="1">
      <c r="A167" s="281"/>
      <c r="B167" s="53"/>
      <c r="G167" s="53"/>
      <c r="I167" s="480"/>
      <c r="J167" s="481"/>
      <c r="K167" s="480"/>
      <c r="L167" s="480"/>
      <c r="M167" s="480"/>
      <c r="N167" s="480"/>
      <c r="O167" s="480"/>
      <c r="P167" s="480"/>
      <c r="Q167" s="480"/>
      <c r="R167" s="469"/>
      <c r="S167" s="480"/>
      <c r="T167" s="480"/>
      <c r="U167" s="480"/>
      <c r="V167" s="480"/>
      <c r="W167" s="470"/>
      <c r="X167" s="480"/>
      <c r="Y167" s="480"/>
      <c r="Z167" s="481"/>
      <c r="AA167" s="480"/>
      <c r="AB167" s="480"/>
      <c r="AC167" s="480"/>
      <c r="AD167" s="480"/>
      <c r="AE167" s="480"/>
      <c r="AF167" s="480"/>
      <c r="AG167" s="480"/>
      <c r="AH167" s="481"/>
      <c r="AI167" s="480"/>
      <c r="AJ167" s="480"/>
      <c r="AK167" s="480"/>
      <c r="AL167" s="480"/>
      <c r="AM167" s="480"/>
      <c r="AN167" s="480"/>
      <c r="AO167" s="480"/>
      <c r="AP167" s="481"/>
      <c r="AQ167" s="480"/>
      <c r="AR167" s="480"/>
      <c r="AS167" s="480"/>
      <c r="AT167" s="480"/>
      <c r="AU167" s="480"/>
      <c r="AV167" s="480"/>
      <c r="AW167" s="480"/>
      <c r="AX167" s="483"/>
      <c r="AY167" s="482"/>
      <c r="AZ167" s="482"/>
      <c r="BA167" s="482"/>
      <c r="BB167" s="482"/>
      <c r="BC167" s="482"/>
      <c r="BD167" s="482"/>
      <c r="BE167" s="480"/>
      <c r="BF167" s="481"/>
      <c r="BG167" s="480"/>
      <c r="BH167" s="480"/>
      <c r="BI167" s="480"/>
      <c r="BJ167" s="480"/>
      <c r="BK167" s="480"/>
      <c r="BL167" s="480"/>
    </row>
    <row r="168" spans="1:64" s="281" customFormat="1" ht="10.15" customHeight="1">
      <c r="B168" s="61"/>
      <c r="G168" s="61"/>
      <c r="I168" s="482"/>
      <c r="J168" s="483"/>
      <c r="K168" s="482"/>
      <c r="L168" s="482"/>
      <c r="M168" s="482"/>
      <c r="N168" s="482"/>
      <c r="O168" s="482"/>
      <c r="P168" s="482"/>
      <c r="Q168" s="482"/>
      <c r="R168" s="468"/>
      <c r="S168" s="482"/>
      <c r="T168" s="482"/>
      <c r="U168" s="482"/>
      <c r="V168" s="482"/>
      <c r="W168" s="484"/>
      <c r="X168" s="482"/>
      <c r="Y168" s="482"/>
      <c r="Z168" s="483"/>
      <c r="AA168" s="482"/>
      <c r="AB168" s="482"/>
      <c r="AC168" s="482"/>
      <c r="AD168" s="482"/>
      <c r="AE168" s="482"/>
      <c r="AF168" s="482"/>
      <c r="AG168" s="482"/>
      <c r="AH168" s="483"/>
      <c r="AI168" s="482"/>
      <c r="AJ168" s="482"/>
      <c r="AK168" s="482"/>
      <c r="AL168" s="482"/>
      <c r="AM168" s="482"/>
      <c r="AN168" s="482"/>
      <c r="AO168" s="482"/>
      <c r="AP168" s="483"/>
      <c r="AQ168" s="482"/>
      <c r="AR168" s="482"/>
      <c r="AS168" s="482"/>
      <c r="AT168" s="482"/>
      <c r="AU168" s="482"/>
      <c r="AV168" s="482"/>
      <c r="AW168" s="482"/>
      <c r="AX168" s="481"/>
      <c r="AY168" s="480"/>
      <c r="AZ168" s="480"/>
      <c r="BA168" s="480"/>
      <c r="BB168" s="480"/>
      <c r="BC168" s="480"/>
      <c r="BD168" s="480"/>
      <c r="BE168" s="480"/>
      <c r="BF168" s="481"/>
      <c r="BG168" s="480"/>
      <c r="BH168" s="480"/>
      <c r="BI168" s="480"/>
      <c r="BJ168" s="480"/>
      <c r="BK168" s="480"/>
      <c r="BL168" s="480"/>
    </row>
    <row r="169" spans="1:64" s="127" customFormat="1" ht="10.15" customHeight="1">
      <c r="B169" s="53"/>
      <c r="G169" s="53"/>
      <c r="I169" s="480"/>
      <c r="J169" s="481"/>
      <c r="K169" s="480"/>
      <c r="L169" s="480"/>
      <c r="M169" s="480"/>
      <c r="N169" s="480"/>
      <c r="O169" s="480"/>
      <c r="P169" s="480"/>
      <c r="Q169" s="480"/>
      <c r="R169" s="469"/>
      <c r="S169" s="480"/>
      <c r="T169" s="480"/>
      <c r="U169" s="480"/>
      <c r="V169" s="480"/>
      <c r="W169" s="470"/>
      <c r="X169" s="480"/>
      <c r="Y169" s="480"/>
      <c r="Z169" s="481"/>
      <c r="AA169" s="480"/>
      <c r="AB169" s="480"/>
      <c r="AC169" s="480"/>
      <c r="AD169" s="480"/>
      <c r="AE169" s="480"/>
      <c r="AF169" s="480"/>
      <c r="AG169" s="480"/>
      <c r="AH169" s="481"/>
      <c r="AI169" s="480"/>
      <c r="AJ169" s="480"/>
      <c r="AK169" s="480"/>
      <c r="AL169" s="480"/>
      <c r="AM169" s="480"/>
      <c r="AN169" s="480"/>
      <c r="AO169" s="480"/>
      <c r="AP169" s="481"/>
      <c r="AQ169" s="480"/>
      <c r="AR169" s="480"/>
      <c r="AS169" s="480"/>
      <c r="AT169" s="480"/>
      <c r="AU169" s="480"/>
      <c r="AV169" s="480"/>
      <c r="AW169" s="480"/>
      <c r="AX169" s="483"/>
      <c r="AY169" s="482"/>
      <c r="AZ169" s="482"/>
      <c r="BA169" s="482"/>
      <c r="BB169" s="482"/>
      <c r="BC169" s="482"/>
      <c r="BD169" s="482"/>
      <c r="BE169" s="480"/>
      <c r="BF169" s="481"/>
      <c r="BG169" s="480"/>
      <c r="BH169" s="480"/>
      <c r="BI169" s="480"/>
      <c r="BJ169" s="480"/>
      <c r="BK169" s="480"/>
      <c r="BL169" s="480"/>
    </row>
    <row r="170" spans="1:64" s="281" customFormat="1" ht="10.15" customHeight="1">
      <c r="B170" s="61"/>
      <c r="G170" s="61"/>
      <c r="I170" s="482"/>
      <c r="J170" s="483"/>
      <c r="K170" s="482"/>
      <c r="L170" s="482"/>
      <c r="M170" s="482"/>
      <c r="N170" s="482"/>
      <c r="O170" s="482"/>
      <c r="P170" s="482"/>
      <c r="Q170" s="482"/>
      <c r="R170" s="468"/>
      <c r="S170" s="482"/>
      <c r="T170" s="482"/>
      <c r="U170" s="482"/>
      <c r="V170" s="482"/>
      <c r="W170" s="484"/>
      <c r="X170" s="482"/>
      <c r="Y170" s="482"/>
      <c r="Z170" s="483"/>
      <c r="AA170" s="482"/>
      <c r="AB170" s="482"/>
      <c r="AC170" s="482"/>
      <c r="AD170" s="482"/>
      <c r="AE170" s="482"/>
      <c r="AF170" s="482"/>
      <c r="AG170" s="482"/>
      <c r="AH170" s="483"/>
      <c r="AI170" s="482"/>
      <c r="AJ170" s="482"/>
      <c r="AK170" s="482"/>
      <c r="AL170" s="482"/>
      <c r="AM170" s="482"/>
      <c r="AN170" s="482"/>
      <c r="AO170" s="482"/>
      <c r="AP170" s="483"/>
      <c r="AQ170" s="482"/>
      <c r="AR170" s="482"/>
      <c r="AS170" s="482"/>
      <c r="AT170" s="482"/>
      <c r="AU170" s="482"/>
      <c r="AV170" s="482"/>
      <c r="AW170" s="480"/>
      <c r="AX170" s="481"/>
      <c r="AY170" s="480"/>
      <c r="AZ170" s="480"/>
      <c r="BA170" s="480"/>
      <c r="BB170" s="480"/>
      <c r="BC170" s="480"/>
      <c r="BD170" s="480"/>
      <c r="BE170" s="480"/>
      <c r="BF170" s="481"/>
      <c r="BG170" s="480"/>
      <c r="BH170" s="480"/>
      <c r="BI170" s="480"/>
      <c r="BJ170" s="480"/>
      <c r="BK170" s="480"/>
      <c r="BL170" s="480"/>
    </row>
    <row r="171" spans="1:64" s="127" customFormat="1" ht="10.15" customHeight="1">
      <c r="B171" s="53"/>
      <c r="G171" s="53"/>
      <c r="I171" s="480"/>
      <c r="J171" s="481"/>
      <c r="K171" s="480"/>
      <c r="L171" s="480"/>
      <c r="M171" s="480"/>
      <c r="N171" s="480"/>
      <c r="O171" s="480"/>
      <c r="P171" s="480"/>
      <c r="Q171" s="480"/>
      <c r="R171" s="469"/>
      <c r="S171" s="480"/>
      <c r="T171" s="480"/>
      <c r="U171" s="480"/>
      <c r="V171" s="480"/>
      <c r="W171" s="470"/>
      <c r="X171" s="480"/>
      <c r="Y171" s="480"/>
      <c r="Z171" s="481"/>
      <c r="AA171" s="480"/>
      <c r="AB171" s="480"/>
      <c r="AC171" s="480"/>
      <c r="AD171" s="480"/>
      <c r="AE171" s="480"/>
      <c r="AF171" s="480"/>
      <c r="AG171" s="480"/>
      <c r="AH171" s="481"/>
      <c r="AI171" s="480"/>
      <c r="AJ171" s="480"/>
      <c r="AK171" s="480"/>
      <c r="AL171" s="480"/>
      <c r="AM171" s="480"/>
      <c r="AN171" s="480"/>
      <c r="AO171" s="480"/>
      <c r="AP171" s="481"/>
      <c r="AQ171" s="480"/>
      <c r="AR171" s="480"/>
      <c r="AS171" s="480"/>
      <c r="AT171" s="480"/>
      <c r="AU171" s="480"/>
      <c r="AV171" s="480"/>
      <c r="AW171" s="480"/>
      <c r="AX171" s="481"/>
      <c r="AY171" s="480"/>
      <c r="AZ171" s="480"/>
      <c r="BA171" s="480"/>
      <c r="BB171" s="480"/>
      <c r="BC171" s="480"/>
      <c r="BD171" s="480"/>
      <c r="BE171" s="480"/>
      <c r="BF171" s="481"/>
      <c r="BG171" s="480"/>
      <c r="BH171" s="480"/>
      <c r="BI171" s="480"/>
      <c r="BJ171" s="480"/>
      <c r="BK171" s="480"/>
      <c r="BL171" s="480"/>
    </row>
    <row r="172" spans="1:64" s="127" customFormat="1" ht="10.15" customHeight="1">
      <c r="B172" s="53"/>
      <c r="D172" s="52"/>
      <c r="E172" s="52"/>
      <c r="G172" s="53"/>
      <c r="I172" s="480"/>
      <c r="J172" s="481"/>
      <c r="K172" s="480"/>
      <c r="L172" s="480"/>
      <c r="M172" s="480"/>
      <c r="N172" s="480"/>
      <c r="O172" s="480"/>
      <c r="P172" s="480"/>
      <c r="Q172" s="480"/>
      <c r="R172" s="469"/>
      <c r="S172" s="480"/>
      <c r="T172" s="480"/>
      <c r="U172" s="480"/>
      <c r="V172" s="480"/>
      <c r="W172" s="470"/>
      <c r="X172" s="480"/>
      <c r="Y172" s="480"/>
      <c r="Z172" s="481"/>
      <c r="AA172" s="480"/>
      <c r="AB172" s="480"/>
      <c r="AC172" s="480"/>
      <c r="AD172" s="480"/>
      <c r="AE172" s="480"/>
      <c r="AF172" s="480"/>
      <c r="AG172" s="480"/>
      <c r="AH172" s="481"/>
      <c r="AI172" s="480"/>
      <c r="AJ172" s="480"/>
      <c r="AK172" s="480"/>
      <c r="AL172" s="480"/>
      <c r="AM172" s="480"/>
      <c r="AN172" s="480"/>
      <c r="AO172" s="480"/>
      <c r="AP172" s="481"/>
      <c r="AQ172" s="480"/>
      <c r="AR172" s="480"/>
      <c r="AS172" s="480"/>
      <c r="AT172" s="480"/>
      <c r="AU172" s="480"/>
      <c r="AV172" s="480"/>
      <c r="AW172" s="480"/>
      <c r="AX172" s="481"/>
      <c r="AY172" s="480"/>
      <c r="AZ172" s="480"/>
      <c r="BA172" s="480"/>
      <c r="BB172" s="480"/>
      <c r="BC172" s="480"/>
      <c r="BD172" s="480"/>
      <c r="BE172" s="482"/>
      <c r="BF172" s="483"/>
      <c r="BG172" s="482"/>
      <c r="BH172" s="482"/>
      <c r="BI172" s="482"/>
      <c r="BJ172" s="482"/>
      <c r="BK172" s="482"/>
      <c r="BL172" s="482"/>
    </row>
    <row r="173" spans="1:64" s="127" customFormat="1" ht="10.15" customHeight="1">
      <c r="A173" s="281"/>
      <c r="B173" s="53"/>
      <c r="G173" s="53"/>
      <c r="I173" s="480"/>
      <c r="J173" s="481"/>
      <c r="K173" s="480"/>
      <c r="L173" s="480"/>
      <c r="M173" s="480"/>
      <c r="N173" s="480"/>
      <c r="O173" s="480"/>
      <c r="P173" s="480"/>
      <c r="Q173" s="480"/>
      <c r="R173" s="469"/>
      <c r="S173" s="480"/>
      <c r="T173" s="480"/>
      <c r="U173" s="480"/>
      <c r="V173" s="480"/>
      <c r="W173" s="470"/>
      <c r="X173" s="480"/>
      <c r="Y173" s="480"/>
      <c r="Z173" s="481"/>
      <c r="AA173" s="480"/>
      <c r="AB173" s="480"/>
      <c r="AC173" s="480"/>
      <c r="AD173" s="480"/>
      <c r="AE173" s="480"/>
      <c r="AF173" s="480"/>
      <c r="AG173" s="480"/>
      <c r="AH173" s="481"/>
      <c r="AI173" s="480"/>
      <c r="AJ173" s="480"/>
      <c r="AK173" s="480"/>
      <c r="AL173" s="480"/>
      <c r="AM173" s="480"/>
      <c r="AN173" s="480"/>
      <c r="AO173" s="480"/>
      <c r="AP173" s="481"/>
      <c r="AQ173" s="480"/>
      <c r="AR173" s="480"/>
      <c r="AS173" s="480"/>
      <c r="AT173" s="480"/>
      <c r="AU173" s="480"/>
      <c r="AV173" s="480"/>
      <c r="AW173" s="300"/>
      <c r="AX173" s="481"/>
      <c r="AY173" s="480"/>
      <c r="AZ173" s="480"/>
      <c r="BA173" s="480"/>
      <c r="BB173" s="480"/>
      <c r="BC173" s="480"/>
      <c r="BD173" s="480"/>
      <c r="BE173" s="480"/>
      <c r="BF173" s="481"/>
      <c r="BG173" s="480"/>
      <c r="BH173" s="480"/>
      <c r="BI173" s="480"/>
      <c r="BJ173" s="480"/>
      <c r="BK173" s="480"/>
      <c r="BL173" s="480"/>
    </row>
    <row r="174" spans="1:64" s="127" customFormat="1" ht="10.15" customHeight="1">
      <c r="B174" s="53"/>
      <c r="G174" s="53"/>
      <c r="I174" s="480"/>
      <c r="J174" s="481"/>
      <c r="K174" s="480"/>
      <c r="L174" s="480"/>
      <c r="M174" s="480"/>
      <c r="N174" s="480"/>
      <c r="O174" s="480"/>
      <c r="P174" s="480"/>
      <c r="Q174" s="480"/>
      <c r="R174" s="469"/>
      <c r="S174" s="480"/>
      <c r="T174" s="480"/>
      <c r="U174" s="480"/>
      <c r="V174" s="480"/>
      <c r="W174" s="470"/>
      <c r="X174" s="480"/>
      <c r="Y174" s="480"/>
      <c r="Z174" s="481"/>
      <c r="AA174" s="480"/>
      <c r="AB174" s="480"/>
      <c r="AC174" s="480"/>
      <c r="AD174" s="480"/>
      <c r="AE174" s="480"/>
      <c r="AF174" s="480"/>
      <c r="AG174" s="480"/>
      <c r="AH174" s="481"/>
      <c r="AI174" s="480"/>
      <c r="AJ174" s="480"/>
      <c r="AK174" s="480"/>
      <c r="AL174" s="480"/>
      <c r="AM174" s="480"/>
      <c r="AN174" s="480"/>
      <c r="AO174" s="480"/>
      <c r="AP174" s="481"/>
      <c r="AQ174" s="480"/>
      <c r="AR174" s="480"/>
      <c r="AS174" s="480"/>
      <c r="AT174" s="480"/>
      <c r="AU174" s="480"/>
      <c r="AV174" s="480"/>
      <c r="AW174" s="300"/>
      <c r="AX174" s="471"/>
      <c r="AY174" s="300"/>
      <c r="AZ174" s="300"/>
      <c r="BA174" s="300"/>
      <c r="BB174" s="300"/>
      <c r="BC174" s="300"/>
      <c r="BD174" s="300"/>
      <c r="BE174" s="482"/>
      <c r="BF174" s="483"/>
      <c r="BG174" s="482"/>
      <c r="BH174" s="482"/>
      <c r="BI174" s="482"/>
      <c r="BJ174" s="482"/>
      <c r="BK174" s="482"/>
      <c r="BL174" s="482"/>
    </row>
    <row r="175" spans="1:64" ht="10.15" customHeight="1">
      <c r="BE175" s="480"/>
      <c r="BF175" s="481"/>
      <c r="BG175" s="480"/>
      <c r="BH175" s="480"/>
      <c r="BI175" s="480"/>
      <c r="BJ175" s="480"/>
      <c r="BK175" s="480"/>
      <c r="BL175" s="480"/>
    </row>
    <row r="176" spans="1:64" ht="10.15" customHeight="1">
      <c r="BE176" s="480"/>
      <c r="BF176" s="481"/>
      <c r="BG176" s="480"/>
      <c r="BH176" s="480"/>
      <c r="BI176" s="480"/>
      <c r="BJ176" s="480"/>
      <c r="BK176" s="480"/>
      <c r="BL176" s="480"/>
    </row>
    <row r="177" spans="2:64" ht="10.15" customHeight="1">
      <c r="AW177" s="400"/>
      <c r="BE177" s="480"/>
      <c r="BF177" s="481"/>
      <c r="BG177" s="480"/>
      <c r="BH177" s="480"/>
      <c r="BI177" s="480"/>
      <c r="BJ177" s="480"/>
      <c r="BK177" s="480"/>
      <c r="BL177" s="480"/>
    </row>
    <row r="178" spans="2:64" ht="10.15" customHeight="1">
      <c r="Q178" s="447"/>
      <c r="R178" s="485"/>
      <c r="S178" s="427"/>
      <c r="AW178" s="400"/>
      <c r="AX178" s="469"/>
      <c r="AY178" s="400"/>
      <c r="AZ178" s="400"/>
      <c r="BA178" s="400"/>
      <c r="BB178" s="400"/>
      <c r="BC178" s="400"/>
      <c r="BD178" s="400"/>
      <c r="BE178" s="480"/>
      <c r="BF178" s="481"/>
      <c r="BG178" s="480"/>
      <c r="BH178" s="480"/>
      <c r="BI178" s="480"/>
      <c r="BJ178" s="480"/>
      <c r="BK178" s="480"/>
      <c r="BL178" s="480"/>
    </row>
    <row r="179" spans="2:64" s="45" customFormat="1" ht="10.15" customHeight="1">
      <c r="B179" s="53"/>
      <c r="G179" s="53"/>
      <c r="I179" s="400"/>
      <c r="J179" s="469"/>
      <c r="K179" s="400"/>
      <c r="L179" s="400"/>
      <c r="M179" s="400"/>
      <c r="N179" s="400"/>
      <c r="O179" s="400"/>
      <c r="P179" s="400"/>
      <c r="Q179" s="463"/>
      <c r="R179" s="469"/>
      <c r="S179" s="400"/>
      <c r="T179" s="400"/>
      <c r="U179" s="400"/>
      <c r="V179" s="400"/>
      <c r="W179" s="470"/>
      <c r="X179" s="400"/>
      <c r="Y179" s="400"/>
      <c r="Z179" s="469"/>
      <c r="AA179" s="400"/>
      <c r="AB179" s="400"/>
      <c r="AC179" s="400"/>
      <c r="AD179" s="400"/>
      <c r="AE179" s="400"/>
      <c r="AF179" s="400"/>
      <c r="AG179" s="400"/>
      <c r="AH179" s="469"/>
      <c r="AI179" s="400"/>
      <c r="AJ179" s="400"/>
      <c r="AK179" s="400"/>
      <c r="AL179" s="400"/>
      <c r="AM179" s="400"/>
      <c r="AN179" s="400"/>
      <c r="AO179" s="400"/>
      <c r="AP179" s="469"/>
      <c r="AQ179" s="400"/>
      <c r="AR179" s="400"/>
      <c r="AS179" s="400"/>
      <c r="AT179" s="400"/>
      <c r="AU179" s="400"/>
      <c r="AV179" s="400"/>
      <c r="AW179" s="400"/>
      <c r="AX179" s="469"/>
      <c r="AY179" s="400"/>
      <c r="AZ179" s="400"/>
      <c r="BA179" s="400"/>
      <c r="BB179" s="400"/>
      <c r="BC179" s="400"/>
      <c r="BD179" s="400"/>
      <c r="BE179" s="300"/>
      <c r="BF179" s="471"/>
      <c r="BG179" s="300"/>
      <c r="BH179" s="300"/>
      <c r="BI179" s="300"/>
      <c r="BJ179" s="300"/>
      <c r="BK179" s="300"/>
      <c r="BL179" s="300"/>
    </row>
    <row r="180" spans="2:64" s="45" customFormat="1" ht="9.9499999999999993" customHeight="1">
      <c r="B180" s="53"/>
      <c r="G180" s="53"/>
      <c r="I180" s="400"/>
      <c r="J180" s="469"/>
      <c r="K180" s="400"/>
      <c r="L180" s="400"/>
      <c r="M180" s="400"/>
      <c r="N180" s="400"/>
      <c r="O180" s="400"/>
      <c r="P180" s="400"/>
      <c r="Q180" s="463"/>
      <c r="R180" s="485"/>
      <c r="S180" s="456"/>
      <c r="T180" s="486"/>
      <c r="U180" s="487"/>
      <c r="V180" s="486"/>
      <c r="W180" s="449"/>
      <c r="X180" s="486"/>
      <c r="Y180" s="315"/>
      <c r="Z180" s="468"/>
      <c r="AA180" s="315"/>
      <c r="AB180" s="400"/>
      <c r="AC180" s="400"/>
      <c r="AD180" s="400"/>
      <c r="AE180" s="400"/>
      <c r="AF180" s="400"/>
      <c r="AG180" s="400"/>
      <c r="AH180" s="469"/>
      <c r="AI180" s="400"/>
      <c r="AJ180" s="400"/>
      <c r="AK180" s="400"/>
      <c r="AL180" s="400"/>
      <c r="AM180" s="400"/>
      <c r="AN180" s="400"/>
      <c r="AO180" s="400"/>
      <c r="AP180" s="469"/>
      <c r="AQ180" s="400"/>
      <c r="AR180" s="400"/>
      <c r="AS180" s="400"/>
      <c r="AT180" s="400"/>
      <c r="AU180" s="400"/>
      <c r="AV180" s="400"/>
      <c r="AW180" s="400"/>
      <c r="AX180" s="469"/>
      <c r="AY180" s="400"/>
      <c r="AZ180" s="400"/>
      <c r="BA180" s="400"/>
      <c r="BB180" s="400"/>
      <c r="BC180" s="400"/>
      <c r="BD180" s="400"/>
      <c r="BE180" s="300"/>
      <c r="BF180" s="471"/>
      <c r="BG180" s="300"/>
      <c r="BH180" s="300"/>
      <c r="BI180" s="300"/>
      <c r="BJ180" s="300"/>
      <c r="BK180" s="300"/>
      <c r="BL180" s="300"/>
    </row>
    <row r="181" spans="2:64" s="45" customFormat="1" ht="9.9499999999999993" customHeight="1">
      <c r="B181" s="53"/>
      <c r="G181" s="53"/>
      <c r="I181" s="400"/>
      <c r="J181" s="469"/>
      <c r="K181" s="400"/>
      <c r="L181" s="400"/>
      <c r="M181" s="400"/>
      <c r="N181" s="400"/>
      <c r="O181" s="400"/>
      <c r="P181" s="400"/>
      <c r="Q181" s="463"/>
      <c r="R181" s="488"/>
      <c r="S181" s="456"/>
      <c r="T181" s="315"/>
      <c r="U181" s="315"/>
      <c r="V181" s="315"/>
      <c r="W181" s="484"/>
      <c r="X181" s="315"/>
      <c r="Y181" s="315"/>
      <c r="Z181" s="468"/>
      <c r="AA181" s="315"/>
      <c r="AB181" s="400"/>
      <c r="AC181" s="400"/>
      <c r="AD181" s="400"/>
      <c r="AE181" s="400"/>
      <c r="AF181" s="400"/>
      <c r="AG181" s="400"/>
      <c r="AH181" s="469"/>
      <c r="AI181" s="400"/>
      <c r="AJ181" s="400"/>
      <c r="AK181" s="400"/>
      <c r="AL181" s="400"/>
      <c r="AM181" s="400"/>
      <c r="AN181" s="400"/>
      <c r="AO181" s="400"/>
      <c r="AP181" s="469"/>
      <c r="AQ181" s="400"/>
      <c r="AR181" s="400"/>
      <c r="AS181" s="400"/>
      <c r="AT181" s="400"/>
      <c r="AU181" s="400"/>
      <c r="AV181" s="400"/>
      <c r="AW181" s="400"/>
      <c r="AX181" s="469"/>
      <c r="AY181" s="400"/>
      <c r="AZ181" s="400"/>
      <c r="BA181" s="400"/>
      <c r="BB181" s="400"/>
      <c r="BC181" s="400"/>
      <c r="BD181" s="400"/>
      <c r="BE181" s="300"/>
      <c r="BF181" s="471"/>
      <c r="BG181" s="300"/>
      <c r="BH181" s="300"/>
      <c r="BI181" s="300"/>
      <c r="BJ181" s="300"/>
      <c r="BK181" s="300"/>
      <c r="BL181" s="300"/>
    </row>
    <row r="182" spans="2:64" s="45" customFormat="1" ht="9.9499999999999993" customHeight="1">
      <c r="B182" s="53"/>
      <c r="G182" s="53"/>
      <c r="I182" s="400"/>
      <c r="J182" s="469"/>
      <c r="K182" s="400"/>
      <c r="L182" s="400"/>
      <c r="M182" s="400"/>
      <c r="N182" s="400"/>
      <c r="O182" s="400"/>
      <c r="P182" s="400"/>
      <c r="Q182" s="463"/>
      <c r="R182" s="485"/>
      <c r="S182" s="456"/>
      <c r="T182" s="486"/>
      <c r="U182" s="487"/>
      <c r="V182" s="486"/>
      <c r="W182" s="449"/>
      <c r="X182" s="486"/>
      <c r="Y182" s="315"/>
      <c r="Z182" s="468"/>
      <c r="AA182" s="315"/>
      <c r="AB182" s="400"/>
      <c r="AC182" s="400"/>
      <c r="AD182" s="400"/>
      <c r="AE182" s="400"/>
      <c r="AF182" s="400"/>
      <c r="AG182" s="400"/>
      <c r="AH182" s="469"/>
      <c r="AI182" s="400"/>
      <c r="AJ182" s="400"/>
      <c r="AK182" s="400"/>
      <c r="AL182" s="400"/>
      <c r="AM182" s="400"/>
      <c r="AN182" s="400"/>
      <c r="AO182" s="400"/>
      <c r="AP182" s="469"/>
      <c r="AQ182" s="400"/>
      <c r="AR182" s="400"/>
      <c r="AS182" s="400"/>
      <c r="AT182" s="400"/>
      <c r="AU182" s="400"/>
      <c r="AV182" s="400"/>
      <c r="AW182" s="400"/>
      <c r="AX182" s="469"/>
      <c r="AY182" s="400"/>
      <c r="AZ182" s="400"/>
      <c r="BA182" s="400"/>
      <c r="BB182" s="400"/>
      <c r="BC182" s="400"/>
      <c r="BD182" s="400"/>
      <c r="BE182" s="300"/>
      <c r="BF182" s="471"/>
      <c r="BG182" s="300"/>
      <c r="BH182" s="300"/>
      <c r="BI182" s="300"/>
      <c r="BJ182" s="300"/>
      <c r="BK182" s="300"/>
      <c r="BL182" s="300"/>
    </row>
    <row r="183" spans="2:64" s="45" customFormat="1" ht="10.5" customHeight="1">
      <c r="B183" s="53"/>
      <c r="G183" s="53"/>
      <c r="I183" s="400"/>
      <c r="J183" s="469"/>
      <c r="K183" s="400"/>
      <c r="L183" s="400"/>
      <c r="M183" s="400"/>
      <c r="N183" s="400"/>
      <c r="O183" s="400"/>
      <c r="P183" s="400"/>
      <c r="Q183" s="315"/>
      <c r="R183" s="468"/>
      <c r="S183" s="315"/>
      <c r="T183" s="315"/>
      <c r="U183" s="315"/>
      <c r="V183" s="315"/>
      <c r="W183" s="484"/>
      <c r="X183" s="315"/>
      <c r="Y183" s="315"/>
      <c r="Z183" s="468"/>
      <c r="AA183" s="315"/>
      <c r="AB183" s="400"/>
      <c r="AC183" s="400"/>
      <c r="AD183" s="400"/>
      <c r="AE183" s="400"/>
      <c r="AF183" s="400"/>
      <c r="AG183" s="400"/>
      <c r="AH183" s="469"/>
      <c r="AI183" s="400"/>
      <c r="AJ183" s="400"/>
      <c r="AK183" s="400"/>
      <c r="AL183" s="400"/>
      <c r="AM183" s="400"/>
      <c r="AN183" s="400"/>
      <c r="AO183" s="400"/>
      <c r="AP183" s="469"/>
      <c r="AQ183" s="400"/>
      <c r="AR183" s="400"/>
      <c r="AS183" s="400"/>
      <c r="AT183" s="400"/>
      <c r="AU183" s="400"/>
      <c r="AV183" s="400"/>
      <c r="AW183" s="400"/>
      <c r="AX183" s="469"/>
      <c r="AY183" s="400"/>
      <c r="AZ183" s="400"/>
      <c r="BA183" s="400"/>
      <c r="BB183" s="400"/>
      <c r="BC183" s="400"/>
      <c r="BD183" s="400"/>
      <c r="BE183" s="400"/>
      <c r="BF183" s="469"/>
      <c r="BG183" s="400"/>
      <c r="BH183" s="400"/>
      <c r="BI183" s="400"/>
      <c r="BJ183" s="400"/>
      <c r="BK183" s="400"/>
      <c r="BL183" s="400"/>
    </row>
    <row r="184" spans="2:64" s="45" customFormat="1" ht="10.5" customHeight="1">
      <c r="B184" s="53"/>
      <c r="G184" s="53"/>
      <c r="I184" s="400"/>
      <c r="J184" s="469"/>
      <c r="K184" s="400"/>
      <c r="L184" s="400"/>
      <c r="M184" s="400"/>
      <c r="N184" s="400"/>
      <c r="O184" s="400"/>
      <c r="P184" s="400"/>
      <c r="Q184" s="400"/>
      <c r="R184" s="469"/>
      <c r="S184" s="400"/>
      <c r="T184" s="400"/>
      <c r="U184" s="400"/>
      <c r="V184" s="400"/>
      <c r="W184" s="470"/>
      <c r="X184" s="400"/>
      <c r="Y184" s="400"/>
      <c r="Z184" s="469"/>
      <c r="AA184" s="400"/>
      <c r="AB184" s="400"/>
      <c r="AC184" s="400"/>
      <c r="AD184" s="400"/>
      <c r="AE184" s="400"/>
      <c r="AF184" s="400"/>
      <c r="AG184" s="400"/>
      <c r="AH184" s="469"/>
      <c r="AI184" s="400"/>
      <c r="AJ184" s="400"/>
      <c r="AK184" s="400"/>
      <c r="AL184" s="400"/>
      <c r="AM184" s="400"/>
      <c r="AN184" s="400"/>
      <c r="AO184" s="400"/>
      <c r="AP184" s="469"/>
      <c r="AQ184" s="400"/>
      <c r="AR184" s="400"/>
      <c r="AS184" s="400"/>
      <c r="AT184" s="400"/>
      <c r="AU184" s="400"/>
      <c r="AV184" s="400"/>
      <c r="AW184" s="400"/>
      <c r="AX184" s="469"/>
      <c r="AY184" s="400"/>
      <c r="AZ184" s="400"/>
      <c r="BA184" s="400"/>
      <c r="BB184" s="400"/>
      <c r="BC184" s="400"/>
      <c r="BD184" s="400"/>
      <c r="BE184" s="400"/>
      <c r="BF184" s="469"/>
      <c r="BG184" s="400"/>
      <c r="BH184" s="400"/>
      <c r="BI184" s="400"/>
      <c r="BJ184" s="400"/>
      <c r="BK184" s="400"/>
      <c r="BL184" s="400"/>
    </row>
    <row r="185" spans="2:64" s="45" customFormat="1" ht="10.5" customHeight="1">
      <c r="B185" s="53"/>
      <c r="G185" s="53"/>
      <c r="I185" s="400"/>
      <c r="J185" s="469"/>
      <c r="K185" s="400"/>
      <c r="L185" s="400"/>
      <c r="M185" s="400"/>
      <c r="N185" s="400"/>
      <c r="O185" s="400"/>
      <c r="P185" s="400"/>
      <c r="Q185" s="400"/>
      <c r="R185" s="469"/>
      <c r="S185" s="400"/>
      <c r="T185" s="400"/>
      <c r="U185" s="400"/>
      <c r="V185" s="400"/>
      <c r="W185" s="470"/>
      <c r="X185" s="400"/>
      <c r="Y185" s="400"/>
      <c r="Z185" s="469"/>
      <c r="AA185" s="400"/>
      <c r="AB185" s="400"/>
      <c r="AC185" s="400"/>
      <c r="AD185" s="400"/>
      <c r="AE185" s="400"/>
      <c r="AF185" s="400"/>
      <c r="AG185" s="400"/>
      <c r="AH185" s="469"/>
      <c r="AI185" s="400"/>
      <c r="AJ185" s="400"/>
      <c r="AK185" s="400"/>
      <c r="AL185" s="400"/>
      <c r="AM185" s="400"/>
      <c r="AN185" s="400"/>
      <c r="AO185" s="400"/>
      <c r="AP185" s="469"/>
      <c r="AQ185" s="400"/>
      <c r="AR185" s="400"/>
      <c r="AS185" s="400"/>
      <c r="AT185" s="400"/>
      <c r="AU185" s="400"/>
      <c r="AV185" s="400"/>
      <c r="AW185" s="400"/>
      <c r="AX185" s="469"/>
      <c r="AY185" s="400"/>
      <c r="AZ185" s="400"/>
      <c r="BA185" s="400"/>
      <c r="BB185" s="400"/>
      <c r="BC185" s="400"/>
      <c r="BD185" s="400"/>
      <c r="BE185" s="400"/>
      <c r="BF185" s="469"/>
      <c r="BG185" s="400"/>
      <c r="BH185" s="400"/>
      <c r="BI185" s="400"/>
      <c r="BJ185" s="400"/>
      <c r="BK185" s="400"/>
      <c r="BL185" s="400"/>
    </row>
    <row r="186" spans="2:64" s="45" customFormat="1" ht="10.5" customHeight="1">
      <c r="B186" s="53"/>
      <c r="G186" s="53"/>
      <c r="I186" s="400"/>
      <c r="J186" s="469"/>
      <c r="K186" s="400"/>
      <c r="L186" s="400"/>
      <c r="M186" s="400"/>
      <c r="N186" s="400"/>
      <c r="O186" s="400"/>
      <c r="P186" s="400"/>
      <c r="Q186" s="400"/>
      <c r="R186" s="469"/>
      <c r="S186" s="400"/>
      <c r="T186" s="400"/>
      <c r="U186" s="400"/>
      <c r="V186" s="400"/>
      <c r="W186" s="470"/>
      <c r="X186" s="400"/>
      <c r="Y186" s="400"/>
      <c r="Z186" s="469"/>
      <c r="AA186" s="400"/>
      <c r="AB186" s="400"/>
      <c r="AC186" s="400"/>
      <c r="AD186" s="400"/>
      <c r="AE186" s="400"/>
      <c r="AF186" s="400"/>
      <c r="AG186" s="400"/>
      <c r="AH186" s="469"/>
      <c r="AI186" s="400"/>
      <c r="AJ186" s="400"/>
      <c r="AK186" s="400"/>
      <c r="AL186" s="400"/>
      <c r="AM186" s="400"/>
      <c r="AN186" s="400"/>
      <c r="AO186" s="400"/>
      <c r="AP186" s="469"/>
      <c r="AQ186" s="400"/>
      <c r="AR186" s="400"/>
      <c r="AS186" s="400"/>
      <c r="AT186" s="400"/>
      <c r="AU186" s="400"/>
      <c r="AV186" s="400"/>
      <c r="AW186" s="400"/>
      <c r="AX186" s="469"/>
      <c r="AY186" s="400"/>
      <c r="AZ186" s="400"/>
      <c r="BA186" s="400"/>
      <c r="BB186" s="400"/>
      <c r="BC186" s="400"/>
      <c r="BD186" s="400"/>
      <c r="BE186" s="400"/>
      <c r="BF186" s="469"/>
      <c r="BG186" s="400"/>
      <c r="BH186" s="400"/>
      <c r="BI186" s="400"/>
      <c r="BJ186" s="400"/>
      <c r="BK186" s="400"/>
      <c r="BL186" s="400"/>
    </row>
    <row r="187" spans="2:64" s="45" customFormat="1" ht="10.5" customHeight="1">
      <c r="B187" s="53"/>
      <c r="G187" s="53"/>
      <c r="I187" s="400"/>
      <c r="J187" s="469"/>
      <c r="K187" s="400"/>
      <c r="L187" s="400"/>
      <c r="M187" s="400"/>
      <c r="N187" s="400"/>
      <c r="O187" s="400"/>
      <c r="P187" s="400"/>
      <c r="Q187" s="400"/>
      <c r="R187" s="469"/>
      <c r="S187" s="400"/>
      <c r="T187" s="400"/>
      <c r="U187" s="400"/>
      <c r="V187" s="400"/>
      <c r="W187" s="470"/>
      <c r="X187" s="400"/>
      <c r="Y187" s="400"/>
      <c r="Z187" s="469"/>
      <c r="AA187" s="400"/>
      <c r="AB187" s="400"/>
      <c r="AC187" s="400"/>
      <c r="AD187" s="400"/>
      <c r="AE187" s="400"/>
      <c r="AF187" s="400"/>
      <c r="AG187" s="400"/>
      <c r="AH187" s="469"/>
      <c r="AI187" s="400"/>
      <c r="AJ187" s="400"/>
      <c r="AK187" s="400"/>
      <c r="AL187" s="400"/>
      <c r="AM187" s="400"/>
      <c r="AN187" s="400"/>
      <c r="AO187" s="400"/>
      <c r="AP187" s="469"/>
      <c r="AQ187" s="400"/>
      <c r="AR187" s="400"/>
      <c r="AS187" s="400"/>
      <c r="AT187" s="400"/>
      <c r="AU187" s="400"/>
      <c r="AV187" s="400"/>
      <c r="AW187" s="400"/>
      <c r="AX187" s="469"/>
      <c r="AY187" s="400"/>
      <c r="AZ187" s="400"/>
      <c r="BA187" s="400"/>
      <c r="BB187" s="400"/>
      <c r="BC187" s="400"/>
      <c r="BD187" s="400"/>
      <c r="BE187" s="400"/>
      <c r="BF187" s="469"/>
      <c r="BG187" s="400"/>
      <c r="BH187" s="400"/>
      <c r="BI187" s="400"/>
      <c r="BJ187" s="400"/>
      <c r="BK187" s="400"/>
      <c r="BL187" s="400"/>
    </row>
    <row r="188" spans="2:64" s="45" customFormat="1" ht="10.5" customHeight="1">
      <c r="B188" s="53"/>
      <c r="G188" s="53"/>
      <c r="I188" s="400"/>
      <c r="J188" s="469"/>
      <c r="K188" s="400"/>
      <c r="L188" s="400"/>
      <c r="M188" s="400"/>
      <c r="N188" s="400"/>
      <c r="O188" s="400"/>
      <c r="P188" s="400"/>
      <c r="Q188" s="400"/>
      <c r="R188" s="469"/>
      <c r="S188" s="400"/>
      <c r="T188" s="400"/>
      <c r="U188" s="400"/>
      <c r="V188" s="400"/>
      <c r="W188" s="470"/>
      <c r="X188" s="400"/>
      <c r="Y188" s="400"/>
      <c r="Z188" s="469"/>
      <c r="AA188" s="400"/>
      <c r="AB188" s="400"/>
      <c r="AC188" s="400"/>
      <c r="AD188" s="400"/>
      <c r="AE188" s="400"/>
      <c r="AF188" s="400"/>
      <c r="AG188" s="400"/>
      <c r="AH188" s="469"/>
      <c r="AI188" s="400"/>
      <c r="AJ188" s="400"/>
      <c r="AK188" s="400"/>
      <c r="AL188" s="400"/>
      <c r="AM188" s="400"/>
      <c r="AN188" s="400"/>
      <c r="AO188" s="400"/>
      <c r="AP188" s="469"/>
      <c r="AQ188" s="400"/>
      <c r="AR188" s="400"/>
      <c r="AS188" s="400"/>
      <c r="AT188" s="400"/>
      <c r="AU188" s="400"/>
      <c r="AV188" s="400"/>
      <c r="AW188" s="491"/>
      <c r="AX188" s="469"/>
      <c r="AY188" s="400"/>
      <c r="AZ188" s="400"/>
      <c r="BA188" s="400"/>
      <c r="BB188" s="400"/>
      <c r="BC188" s="400"/>
      <c r="BD188" s="400"/>
      <c r="BE188" s="400"/>
      <c r="BF188" s="469"/>
      <c r="BG188" s="400"/>
      <c r="BH188" s="400"/>
      <c r="BI188" s="400"/>
      <c r="BJ188" s="400"/>
      <c r="BK188" s="400"/>
      <c r="BL188" s="400"/>
    </row>
    <row r="189" spans="2:64" s="45" customFormat="1" ht="9.1999999999999993" customHeight="1">
      <c r="B189" s="53"/>
      <c r="G189" s="53"/>
      <c r="I189" s="400"/>
      <c r="J189" s="469"/>
      <c r="K189" s="400"/>
      <c r="L189" s="400"/>
      <c r="M189" s="400"/>
      <c r="N189" s="400"/>
      <c r="O189" s="400"/>
      <c r="P189" s="400"/>
      <c r="Q189" s="315"/>
      <c r="R189" s="469"/>
      <c r="S189" s="456"/>
      <c r="T189" s="489"/>
      <c r="U189" s="490"/>
      <c r="V189" s="489"/>
      <c r="W189" s="449"/>
      <c r="X189" s="486"/>
      <c r="Y189" s="400"/>
      <c r="Z189" s="469"/>
      <c r="AA189" s="400"/>
      <c r="AB189" s="400"/>
      <c r="AC189" s="400"/>
      <c r="AD189" s="400"/>
      <c r="AE189" s="400"/>
      <c r="AF189" s="400"/>
      <c r="AG189" s="400"/>
      <c r="AH189" s="469"/>
      <c r="AI189" s="400"/>
      <c r="AJ189" s="400"/>
      <c r="AK189" s="400"/>
      <c r="AL189" s="400"/>
      <c r="AM189" s="400"/>
      <c r="AN189" s="400"/>
      <c r="AO189" s="400"/>
      <c r="AP189" s="469"/>
      <c r="AQ189" s="400"/>
      <c r="AR189" s="400"/>
      <c r="AS189" s="400"/>
      <c r="AT189" s="400"/>
      <c r="AU189" s="400"/>
      <c r="AV189" s="400"/>
      <c r="AW189" s="491"/>
      <c r="AX189" s="492"/>
      <c r="AY189" s="491"/>
      <c r="AZ189" s="491"/>
      <c r="BA189" s="491"/>
      <c r="BB189" s="491"/>
      <c r="BC189" s="491"/>
      <c r="BD189" s="491"/>
      <c r="BE189" s="400"/>
      <c r="BF189" s="469"/>
      <c r="BG189" s="400"/>
      <c r="BH189" s="400"/>
      <c r="BI189" s="400"/>
      <c r="BJ189" s="400"/>
      <c r="BK189" s="400"/>
      <c r="BL189" s="400"/>
    </row>
    <row r="190" spans="2:64" s="18" customFormat="1" ht="9.1999999999999993" customHeight="1">
      <c r="B190" s="53"/>
      <c r="G190" s="53"/>
      <c r="I190" s="491"/>
      <c r="J190" s="492"/>
      <c r="K190" s="491"/>
      <c r="L190" s="491"/>
      <c r="M190" s="491"/>
      <c r="N190" s="491"/>
      <c r="O190" s="491"/>
      <c r="P190" s="491"/>
      <c r="Q190" s="491"/>
      <c r="R190" s="469"/>
      <c r="S190" s="491"/>
      <c r="T190" s="491"/>
      <c r="U190" s="491"/>
      <c r="V190" s="491"/>
      <c r="W190" s="470"/>
      <c r="X190" s="491"/>
      <c r="Y190" s="491"/>
      <c r="Z190" s="492"/>
      <c r="AA190" s="491"/>
      <c r="AB190" s="491"/>
      <c r="AC190" s="491"/>
      <c r="AD190" s="491"/>
      <c r="AE190" s="491"/>
      <c r="AF190" s="491"/>
      <c r="AG190" s="491"/>
      <c r="AH190" s="492"/>
      <c r="AI190" s="491"/>
      <c r="AJ190" s="491"/>
      <c r="AK190" s="491"/>
      <c r="AL190" s="491"/>
      <c r="AM190" s="491"/>
      <c r="AN190" s="491"/>
      <c r="AO190" s="491"/>
      <c r="AP190" s="492"/>
      <c r="AQ190" s="491"/>
      <c r="AR190" s="491"/>
      <c r="AS190" s="491"/>
      <c r="AT190" s="491"/>
      <c r="AU190" s="491"/>
      <c r="AV190" s="491"/>
      <c r="AW190" s="491"/>
      <c r="AX190" s="492"/>
      <c r="AY190" s="491"/>
      <c r="AZ190" s="491"/>
      <c r="BA190" s="491"/>
      <c r="BB190" s="491"/>
      <c r="BC190" s="491"/>
      <c r="BD190" s="491"/>
      <c r="BE190" s="400"/>
      <c r="BF190" s="469"/>
      <c r="BG190" s="400"/>
      <c r="BH190" s="400"/>
      <c r="BI190" s="400"/>
      <c r="BJ190" s="400"/>
      <c r="BK190" s="400"/>
      <c r="BL190" s="400"/>
    </row>
    <row r="191" spans="2:64" s="18" customFormat="1" ht="9.1999999999999993" customHeight="1">
      <c r="B191" s="53"/>
      <c r="G191" s="53"/>
      <c r="I191" s="491"/>
      <c r="J191" s="492"/>
      <c r="K191" s="491"/>
      <c r="L191" s="491"/>
      <c r="M191" s="491"/>
      <c r="N191" s="491"/>
      <c r="O191" s="491"/>
      <c r="P191" s="491"/>
      <c r="Q191" s="491"/>
      <c r="R191" s="469"/>
      <c r="S191" s="491"/>
      <c r="T191" s="491"/>
      <c r="U191" s="491"/>
      <c r="V191" s="491"/>
      <c r="W191" s="470"/>
      <c r="X191" s="491"/>
      <c r="Y191" s="491"/>
      <c r="Z191" s="492"/>
      <c r="AA191" s="491"/>
      <c r="AB191" s="491"/>
      <c r="AC191" s="491"/>
      <c r="AD191" s="491"/>
      <c r="AE191" s="491"/>
      <c r="AF191" s="491"/>
      <c r="AG191" s="491"/>
      <c r="AH191" s="492"/>
      <c r="AI191" s="491"/>
      <c r="AJ191" s="491"/>
      <c r="AK191" s="491"/>
      <c r="AL191" s="491"/>
      <c r="AM191" s="491"/>
      <c r="AN191" s="491"/>
      <c r="AO191" s="491"/>
      <c r="AP191" s="492"/>
      <c r="AQ191" s="491"/>
      <c r="AR191" s="491"/>
      <c r="AS191" s="491"/>
      <c r="AT191" s="491"/>
      <c r="AU191" s="491"/>
      <c r="AV191" s="491"/>
      <c r="AW191" s="470"/>
      <c r="AX191" s="492"/>
      <c r="AY191" s="491"/>
      <c r="AZ191" s="491"/>
      <c r="BA191" s="491"/>
      <c r="BB191" s="491"/>
      <c r="BC191" s="491"/>
      <c r="BD191" s="491"/>
      <c r="BE191" s="400"/>
      <c r="BF191" s="469"/>
      <c r="BG191" s="400"/>
      <c r="BH191" s="400"/>
      <c r="BI191" s="400"/>
      <c r="BJ191" s="400"/>
      <c r="BK191" s="400"/>
      <c r="BL191" s="400"/>
    </row>
    <row r="192" spans="2:64" s="18" customFormat="1" ht="8.4499999999999993" customHeight="1">
      <c r="B192" s="53"/>
      <c r="G192" s="53"/>
      <c r="I192" s="491"/>
      <c r="J192" s="492"/>
      <c r="K192" s="491"/>
      <c r="L192" s="491"/>
      <c r="M192" s="491"/>
      <c r="N192" s="491"/>
      <c r="O192" s="491"/>
      <c r="P192" s="491"/>
      <c r="Q192" s="491"/>
      <c r="R192" s="469"/>
      <c r="S192" s="491"/>
      <c r="T192" s="491"/>
      <c r="U192" s="491"/>
      <c r="V192" s="491"/>
      <c r="W192" s="470"/>
      <c r="X192" s="491"/>
      <c r="Y192" s="491"/>
      <c r="Z192" s="492"/>
      <c r="AA192" s="491"/>
      <c r="AB192" s="491"/>
      <c r="AC192" s="491"/>
      <c r="AD192" s="491"/>
      <c r="AE192" s="491"/>
      <c r="AF192" s="491"/>
      <c r="AG192" s="491"/>
      <c r="AH192" s="492"/>
      <c r="AI192" s="491"/>
      <c r="AJ192" s="491"/>
      <c r="AK192" s="491"/>
      <c r="AL192" s="491"/>
      <c r="AM192" s="491"/>
      <c r="AN192" s="491"/>
      <c r="AO192" s="491"/>
      <c r="AP192" s="492"/>
      <c r="AQ192" s="491"/>
      <c r="AR192" s="491"/>
      <c r="AS192" s="491"/>
      <c r="AT192" s="491"/>
      <c r="AU192" s="491"/>
      <c r="AV192" s="491"/>
      <c r="AW192" s="470"/>
      <c r="AX192" s="475"/>
      <c r="AY192" s="470"/>
      <c r="AZ192" s="470"/>
      <c r="BA192" s="470"/>
      <c r="BB192" s="470"/>
      <c r="BC192" s="470"/>
      <c r="BD192" s="470"/>
      <c r="BE192" s="400"/>
      <c r="BF192" s="469"/>
      <c r="BG192" s="400"/>
      <c r="BH192" s="400"/>
      <c r="BI192" s="400"/>
      <c r="BJ192" s="400"/>
      <c r="BK192" s="400"/>
      <c r="BL192" s="400"/>
    </row>
    <row r="193" spans="1:64" s="53" customFormat="1" ht="8.4499999999999993" customHeight="1">
      <c r="I193" s="470"/>
      <c r="J193" s="475"/>
      <c r="K193" s="470"/>
      <c r="L193" s="470"/>
      <c r="M193" s="470"/>
      <c r="N193" s="470"/>
      <c r="O193" s="470"/>
      <c r="P193" s="470"/>
      <c r="Q193" s="470"/>
      <c r="R193" s="469"/>
      <c r="S193" s="470"/>
      <c r="T193" s="470"/>
      <c r="U193" s="470"/>
      <c r="V193" s="470"/>
      <c r="W193" s="470"/>
      <c r="X193" s="470"/>
      <c r="Y193" s="470"/>
      <c r="Z193" s="475"/>
      <c r="AA193" s="470"/>
      <c r="AB193" s="470"/>
      <c r="AC193" s="470"/>
      <c r="AD193" s="470"/>
      <c r="AE193" s="470"/>
      <c r="AF193" s="470"/>
      <c r="AG193" s="470"/>
      <c r="AH193" s="475"/>
      <c r="AI193" s="470"/>
      <c r="AJ193" s="470"/>
      <c r="AK193" s="470"/>
      <c r="AL193" s="470"/>
      <c r="AM193" s="470"/>
      <c r="AN193" s="470"/>
      <c r="AO193" s="470"/>
      <c r="AP193" s="475"/>
      <c r="AQ193" s="470"/>
      <c r="AR193" s="470"/>
      <c r="AS193" s="470"/>
      <c r="AT193" s="470"/>
      <c r="AU193" s="470"/>
      <c r="AV193" s="470"/>
      <c r="AW193" s="470"/>
      <c r="AX193" s="475"/>
      <c r="AY193" s="470"/>
      <c r="AZ193" s="470"/>
      <c r="BA193" s="470"/>
      <c r="BB193" s="470"/>
      <c r="BC193" s="470"/>
      <c r="BD193" s="470"/>
      <c r="BE193" s="400"/>
      <c r="BF193" s="469"/>
      <c r="BG193" s="400"/>
      <c r="BH193" s="400"/>
      <c r="BI193" s="400"/>
      <c r="BJ193" s="400"/>
      <c r="BK193" s="400"/>
      <c r="BL193" s="400"/>
    </row>
    <row r="194" spans="1:64" s="53" customFormat="1" ht="8.4499999999999993" customHeight="1">
      <c r="I194" s="470"/>
      <c r="J194" s="475"/>
      <c r="K194" s="470"/>
      <c r="L194" s="470"/>
      <c r="M194" s="470"/>
      <c r="N194" s="470"/>
      <c r="O194" s="470"/>
      <c r="P194" s="470"/>
      <c r="Q194" s="470"/>
      <c r="R194" s="469"/>
      <c r="S194" s="470"/>
      <c r="T194" s="470"/>
      <c r="U194" s="470"/>
      <c r="V194" s="470"/>
      <c r="W194" s="470"/>
      <c r="X194" s="470"/>
      <c r="Y194" s="470"/>
      <c r="Z194" s="475"/>
      <c r="AA194" s="470"/>
      <c r="AB194" s="470"/>
      <c r="AC194" s="470"/>
      <c r="AD194" s="470"/>
      <c r="AE194" s="470"/>
      <c r="AF194" s="470"/>
      <c r="AG194" s="470"/>
      <c r="AH194" s="475"/>
      <c r="AI194" s="470"/>
      <c r="AJ194" s="470"/>
      <c r="AK194" s="470"/>
      <c r="AL194" s="470"/>
      <c r="AM194" s="470"/>
      <c r="AN194" s="470"/>
      <c r="AO194" s="470"/>
      <c r="AP194" s="475"/>
      <c r="AQ194" s="470"/>
      <c r="AR194" s="470"/>
      <c r="AS194" s="470"/>
      <c r="AT194" s="470"/>
      <c r="AU194" s="470"/>
      <c r="AV194" s="470"/>
      <c r="AW194" s="470"/>
      <c r="AX194" s="475"/>
      <c r="AY194" s="470"/>
      <c r="AZ194" s="470"/>
      <c r="BA194" s="470"/>
      <c r="BB194" s="470"/>
      <c r="BC194" s="470"/>
      <c r="BD194" s="470"/>
      <c r="BE194" s="491"/>
      <c r="BF194" s="492"/>
      <c r="BG194" s="491"/>
      <c r="BH194" s="491"/>
      <c r="BI194" s="491"/>
      <c r="BJ194" s="491"/>
      <c r="BK194" s="491"/>
      <c r="BL194" s="491"/>
    </row>
    <row r="195" spans="1:64" s="53" customFormat="1" ht="8.4499999999999993" customHeight="1">
      <c r="I195" s="470"/>
      <c r="J195" s="475"/>
      <c r="K195" s="470"/>
      <c r="L195" s="470"/>
      <c r="M195" s="470"/>
      <c r="N195" s="470"/>
      <c r="O195" s="470"/>
      <c r="P195" s="470"/>
      <c r="Q195" s="470"/>
      <c r="R195" s="469"/>
      <c r="S195" s="470"/>
      <c r="T195" s="470"/>
      <c r="U195" s="470"/>
      <c r="V195" s="470"/>
      <c r="W195" s="470"/>
      <c r="X195" s="470"/>
      <c r="Y195" s="470"/>
      <c r="Z195" s="475"/>
      <c r="AA195" s="470"/>
      <c r="AB195" s="470"/>
      <c r="AC195" s="470"/>
      <c r="AD195" s="470"/>
      <c r="AE195" s="470"/>
      <c r="AF195" s="470"/>
      <c r="AG195" s="470"/>
      <c r="AH195" s="475"/>
      <c r="AI195" s="470"/>
      <c r="AJ195" s="470"/>
      <c r="AK195" s="470"/>
      <c r="AL195" s="470"/>
      <c r="AM195" s="470"/>
      <c r="AN195" s="470"/>
      <c r="AO195" s="470"/>
      <c r="AP195" s="475"/>
      <c r="AQ195" s="470"/>
      <c r="AR195" s="470"/>
      <c r="AS195" s="470"/>
      <c r="AT195" s="470"/>
      <c r="AU195" s="470"/>
      <c r="AV195" s="470"/>
      <c r="AW195" s="470"/>
      <c r="AX195" s="475"/>
      <c r="AY195" s="470"/>
      <c r="AZ195" s="470"/>
      <c r="BA195" s="470"/>
      <c r="BB195" s="470"/>
      <c r="BC195" s="470"/>
      <c r="BD195" s="470"/>
      <c r="BE195" s="491"/>
      <c r="BF195" s="492"/>
      <c r="BG195" s="491"/>
      <c r="BH195" s="491"/>
      <c r="BI195" s="491"/>
      <c r="BJ195" s="491"/>
      <c r="BK195" s="491"/>
      <c r="BL195" s="491"/>
    </row>
    <row r="196" spans="1:64" s="53" customFormat="1" ht="8.4499999999999993" customHeight="1">
      <c r="I196" s="470"/>
      <c r="J196" s="475"/>
      <c r="K196" s="470"/>
      <c r="L196" s="470"/>
      <c r="M196" s="470"/>
      <c r="N196" s="470"/>
      <c r="O196" s="470"/>
      <c r="P196" s="470"/>
      <c r="Q196" s="470"/>
      <c r="R196" s="469"/>
      <c r="S196" s="470"/>
      <c r="T196" s="470"/>
      <c r="U196" s="470"/>
      <c r="V196" s="470"/>
      <c r="W196" s="470"/>
      <c r="X196" s="470"/>
      <c r="Y196" s="470"/>
      <c r="Z196" s="475"/>
      <c r="AA196" s="470"/>
      <c r="AB196" s="470"/>
      <c r="AC196" s="470"/>
      <c r="AD196" s="470"/>
      <c r="AE196" s="470"/>
      <c r="AF196" s="470"/>
      <c r="AG196" s="470"/>
      <c r="AH196" s="475"/>
      <c r="AI196" s="470"/>
      <c r="AJ196" s="470"/>
      <c r="AK196" s="470"/>
      <c r="AL196" s="470"/>
      <c r="AM196" s="470"/>
      <c r="AN196" s="470"/>
      <c r="AO196" s="470"/>
      <c r="AP196" s="475"/>
      <c r="AQ196" s="470"/>
      <c r="AR196" s="470"/>
      <c r="AS196" s="470"/>
      <c r="AT196" s="470"/>
      <c r="AU196" s="470"/>
      <c r="AV196" s="470"/>
      <c r="AW196" s="470"/>
      <c r="AX196" s="475"/>
      <c r="AY196" s="470"/>
      <c r="AZ196" s="470"/>
      <c r="BA196" s="470"/>
      <c r="BB196" s="470"/>
      <c r="BC196" s="470"/>
      <c r="BD196" s="470"/>
      <c r="BE196" s="491"/>
      <c r="BF196" s="492"/>
      <c r="BG196" s="491"/>
      <c r="BH196" s="491"/>
      <c r="BI196" s="491"/>
      <c r="BJ196" s="491"/>
      <c r="BK196" s="491"/>
      <c r="BL196" s="491"/>
    </row>
    <row r="197" spans="1:64" s="53" customFormat="1" ht="8.4499999999999993" customHeight="1">
      <c r="I197" s="470"/>
      <c r="J197" s="475"/>
      <c r="K197" s="470"/>
      <c r="L197" s="470"/>
      <c r="M197" s="470"/>
      <c r="N197" s="470"/>
      <c r="O197" s="470"/>
      <c r="P197" s="470"/>
      <c r="Q197" s="470"/>
      <c r="R197" s="469"/>
      <c r="S197" s="470"/>
      <c r="T197" s="470"/>
      <c r="U197" s="470"/>
      <c r="V197" s="470"/>
      <c r="W197" s="470"/>
      <c r="X197" s="470"/>
      <c r="Y197" s="470"/>
      <c r="Z197" s="475"/>
      <c r="AA197" s="470"/>
      <c r="AB197" s="470"/>
      <c r="AC197" s="470"/>
      <c r="AD197" s="470"/>
      <c r="AE197" s="470"/>
      <c r="AF197" s="470"/>
      <c r="AG197" s="470"/>
      <c r="AH197" s="475"/>
      <c r="AI197" s="470"/>
      <c r="AJ197" s="470"/>
      <c r="AK197" s="470"/>
      <c r="AL197" s="470"/>
      <c r="AM197" s="470"/>
      <c r="AN197" s="470"/>
      <c r="AO197" s="470"/>
      <c r="AP197" s="475"/>
      <c r="AQ197" s="470"/>
      <c r="AR197" s="470"/>
      <c r="AS197" s="470"/>
      <c r="AT197" s="470"/>
      <c r="AU197" s="470"/>
      <c r="AV197" s="470"/>
      <c r="AW197" s="470"/>
      <c r="AX197" s="475"/>
      <c r="AY197" s="470"/>
      <c r="AZ197" s="470"/>
      <c r="BA197" s="470"/>
      <c r="BB197" s="470"/>
      <c r="BC197" s="470"/>
      <c r="BD197" s="470"/>
      <c r="BE197" s="470"/>
      <c r="BF197" s="475"/>
      <c r="BG197" s="470"/>
      <c r="BH197" s="470"/>
      <c r="BI197" s="470"/>
      <c r="BJ197" s="470"/>
      <c r="BK197" s="470"/>
      <c r="BL197" s="470"/>
    </row>
    <row r="198" spans="1:64" s="53" customFormat="1" ht="8.4499999999999993" customHeight="1">
      <c r="I198" s="470"/>
      <c r="J198" s="475"/>
      <c r="K198" s="470"/>
      <c r="L198" s="470"/>
      <c r="M198" s="470"/>
      <c r="N198" s="470"/>
      <c r="O198" s="470"/>
      <c r="P198" s="470"/>
      <c r="Q198" s="470"/>
      <c r="R198" s="469"/>
      <c r="S198" s="470"/>
      <c r="T198" s="470"/>
      <c r="U198" s="470"/>
      <c r="V198" s="470"/>
      <c r="W198" s="470"/>
      <c r="X198" s="470"/>
      <c r="Y198" s="470"/>
      <c r="Z198" s="475"/>
      <c r="AA198" s="470"/>
      <c r="AB198" s="470"/>
      <c r="AC198" s="470"/>
      <c r="AD198" s="470"/>
      <c r="AE198" s="470"/>
      <c r="AF198" s="470"/>
      <c r="AG198" s="470"/>
      <c r="AH198" s="475"/>
      <c r="AI198" s="470"/>
      <c r="AJ198" s="470"/>
      <c r="AK198" s="470"/>
      <c r="AL198" s="470"/>
      <c r="AM198" s="470"/>
      <c r="AN198" s="470"/>
      <c r="AO198" s="470"/>
      <c r="AP198" s="475"/>
      <c r="AQ198" s="470"/>
      <c r="AR198" s="470"/>
      <c r="AS198" s="470"/>
      <c r="AT198" s="470"/>
      <c r="AU198" s="470"/>
      <c r="AV198" s="470"/>
      <c r="AW198" s="470"/>
      <c r="AX198" s="475"/>
      <c r="AY198" s="470"/>
      <c r="AZ198" s="470"/>
      <c r="BA198" s="470"/>
      <c r="BB198" s="470"/>
      <c r="BC198" s="470"/>
      <c r="BD198" s="470"/>
      <c r="BE198" s="470"/>
      <c r="BF198" s="475"/>
      <c r="BG198" s="470"/>
      <c r="BH198" s="470"/>
      <c r="BI198" s="470"/>
      <c r="BJ198" s="470"/>
      <c r="BK198" s="470"/>
      <c r="BL198" s="470"/>
    </row>
    <row r="199" spans="1:64" s="53" customFormat="1" ht="8.1" customHeight="1">
      <c r="I199" s="470"/>
      <c r="J199" s="475"/>
      <c r="K199" s="470"/>
      <c r="L199" s="470"/>
      <c r="M199" s="470"/>
      <c r="N199" s="470"/>
      <c r="O199" s="470"/>
      <c r="P199" s="470"/>
      <c r="Q199" s="470"/>
      <c r="R199" s="469"/>
      <c r="S199" s="470"/>
      <c r="T199" s="470"/>
      <c r="U199" s="470"/>
      <c r="V199" s="470"/>
      <c r="W199" s="470"/>
      <c r="X199" s="470"/>
      <c r="Y199" s="470"/>
      <c r="Z199" s="475"/>
      <c r="AA199" s="470"/>
      <c r="AB199" s="470"/>
      <c r="AC199" s="470"/>
      <c r="AD199" s="470"/>
      <c r="AE199" s="470"/>
      <c r="AF199" s="470"/>
      <c r="AG199" s="470"/>
      <c r="AH199" s="475"/>
      <c r="AI199" s="470"/>
      <c r="AJ199" s="470"/>
      <c r="AK199" s="470"/>
      <c r="AL199" s="470"/>
      <c r="AM199" s="470"/>
      <c r="AN199" s="470"/>
      <c r="AO199" s="470"/>
      <c r="AP199" s="475"/>
      <c r="AQ199" s="470"/>
      <c r="AR199" s="470"/>
      <c r="AS199" s="470"/>
      <c r="AT199" s="470"/>
      <c r="AU199" s="470"/>
      <c r="AV199" s="470"/>
      <c r="AW199" s="470"/>
      <c r="AX199" s="475"/>
      <c r="AY199" s="470"/>
      <c r="AZ199" s="470"/>
      <c r="BA199" s="470"/>
      <c r="BB199" s="470"/>
      <c r="BC199" s="470"/>
      <c r="BD199" s="470"/>
      <c r="BE199" s="470"/>
      <c r="BF199" s="475"/>
      <c r="BG199" s="470"/>
      <c r="BH199" s="470"/>
      <c r="BI199" s="470"/>
      <c r="BJ199" s="470"/>
      <c r="BK199" s="470"/>
      <c r="BL199" s="470"/>
    </row>
    <row r="200" spans="1:64" s="53" customFormat="1" ht="8.1" customHeight="1">
      <c r="I200" s="470"/>
      <c r="J200" s="475"/>
      <c r="K200" s="470"/>
      <c r="L200" s="470"/>
      <c r="M200" s="470"/>
      <c r="N200" s="470"/>
      <c r="O200" s="470"/>
      <c r="P200" s="470"/>
      <c r="Q200" s="470"/>
      <c r="R200" s="469"/>
      <c r="S200" s="470"/>
      <c r="T200" s="470"/>
      <c r="U200" s="470"/>
      <c r="V200" s="470"/>
      <c r="W200" s="470"/>
      <c r="X200" s="470"/>
      <c r="Y200" s="470"/>
      <c r="Z200" s="475"/>
      <c r="AA200" s="470"/>
      <c r="AB200" s="470"/>
      <c r="AC200" s="470"/>
      <c r="AD200" s="470"/>
      <c r="AE200" s="470"/>
      <c r="AF200" s="470"/>
      <c r="AG200" s="470"/>
      <c r="AH200" s="475"/>
      <c r="AI200" s="470"/>
      <c r="AJ200" s="470"/>
      <c r="AK200" s="470"/>
      <c r="AL200" s="470"/>
      <c r="AM200" s="470"/>
      <c r="AN200" s="470"/>
      <c r="AO200" s="470"/>
      <c r="AP200" s="475"/>
      <c r="AQ200" s="470"/>
      <c r="AR200" s="470"/>
      <c r="AS200" s="470"/>
      <c r="AT200" s="470"/>
      <c r="AU200" s="470"/>
      <c r="AV200" s="470"/>
      <c r="AW200" s="470"/>
      <c r="AX200" s="475"/>
      <c r="AY200" s="470"/>
      <c r="AZ200" s="470"/>
      <c r="BA200" s="470"/>
      <c r="BB200" s="470"/>
      <c r="BC200" s="470"/>
      <c r="BD200" s="470"/>
      <c r="BE200" s="470"/>
      <c r="BF200" s="475"/>
      <c r="BG200" s="470"/>
      <c r="BH200" s="470"/>
      <c r="BI200" s="470"/>
      <c r="BJ200" s="470"/>
      <c r="BK200" s="470"/>
      <c r="BL200" s="470"/>
    </row>
    <row r="201" spans="1:64" s="53" customFormat="1" ht="8.1" customHeight="1">
      <c r="A201" s="170"/>
      <c r="I201" s="470"/>
      <c r="J201" s="475"/>
      <c r="K201" s="470"/>
      <c r="L201" s="470"/>
      <c r="M201" s="470"/>
      <c r="N201" s="470"/>
      <c r="O201" s="470"/>
      <c r="P201" s="470"/>
      <c r="Q201" s="484"/>
      <c r="R201" s="469"/>
      <c r="S201" s="493"/>
      <c r="T201" s="494"/>
      <c r="U201" s="495"/>
      <c r="V201" s="494"/>
      <c r="W201" s="449"/>
      <c r="X201" s="449"/>
      <c r="Y201" s="470"/>
      <c r="Z201" s="475"/>
      <c r="AA201" s="470"/>
      <c r="AB201" s="470"/>
      <c r="AC201" s="470"/>
      <c r="AD201" s="470"/>
      <c r="AE201" s="470"/>
      <c r="AF201" s="470"/>
      <c r="AG201" s="470"/>
      <c r="AH201" s="475"/>
      <c r="AI201" s="470"/>
      <c r="AJ201" s="470"/>
      <c r="AK201" s="470"/>
      <c r="AL201" s="470"/>
      <c r="AM201" s="470"/>
      <c r="AN201" s="470"/>
      <c r="AO201" s="470"/>
      <c r="AP201" s="475"/>
      <c r="AQ201" s="470"/>
      <c r="AR201" s="470"/>
      <c r="AS201" s="470"/>
      <c r="AT201" s="470"/>
      <c r="AU201" s="470"/>
      <c r="AV201" s="470"/>
      <c r="AW201" s="470"/>
      <c r="AX201" s="475"/>
      <c r="AY201" s="470"/>
      <c r="AZ201" s="470"/>
      <c r="BA201" s="470"/>
      <c r="BB201" s="470"/>
      <c r="BC201" s="470"/>
      <c r="BD201" s="470"/>
      <c r="BE201" s="470"/>
      <c r="BF201" s="475"/>
      <c r="BG201" s="470"/>
      <c r="BH201" s="470"/>
      <c r="BI201" s="470"/>
      <c r="BJ201" s="470"/>
      <c r="BK201" s="470"/>
      <c r="BL201" s="470"/>
    </row>
    <row r="202" spans="1:64" s="53" customFormat="1" ht="8.1" customHeight="1">
      <c r="A202" s="170"/>
      <c r="I202" s="470"/>
      <c r="J202" s="475"/>
      <c r="K202" s="470"/>
      <c r="L202" s="470"/>
      <c r="M202" s="470"/>
      <c r="N202" s="470"/>
      <c r="O202" s="470"/>
      <c r="P202" s="470"/>
      <c r="Q202" s="484"/>
      <c r="R202" s="469"/>
      <c r="S202" s="493"/>
      <c r="T202" s="494"/>
      <c r="U202" s="495"/>
      <c r="V202" s="494"/>
      <c r="W202" s="449"/>
      <c r="X202" s="449"/>
      <c r="Y202" s="470"/>
      <c r="Z202" s="475"/>
      <c r="AA202" s="470"/>
      <c r="AB202" s="470"/>
      <c r="AC202" s="470"/>
      <c r="AD202" s="470"/>
      <c r="AE202" s="470"/>
      <c r="AF202" s="470"/>
      <c r="AG202" s="470"/>
      <c r="AH202" s="475"/>
      <c r="AI202" s="470"/>
      <c r="AJ202" s="470"/>
      <c r="AK202" s="470"/>
      <c r="AL202" s="470"/>
      <c r="AM202" s="470"/>
      <c r="AN202" s="470"/>
      <c r="AO202" s="470"/>
      <c r="AP202" s="475"/>
      <c r="AQ202" s="470"/>
      <c r="AR202" s="470"/>
      <c r="AS202" s="470"/>
      <c r="AT202" s="470"/>
      <c r="AU202" s="470"/>
      <c r="AV202" s="470"/>
      <c r="AW202" s="470"/>
      <c r="AX202" s="475"/>
      <c r="AY202" s="470"/>
      <c r="AZ202" s="470"/>
      <c r="BA202" s="470"/>
      <c r="BB202" s="470"/>
      <c r="BC202" s="470"/>
      <c r="BD202" s="470"/>
      <c r="BE202" s="470"/>
      <c r="BF202" s="475"/>
      <c r="BG202" s="470"/>
      <c r="BH202" s="470"/>
      <c r="BI202" s="470"/>
      <c r="BJ202" s="470"/>
      <c r="BK202" s="470"/>
      <c r="BL202" s="470"/>
    </row>
    <row r="203" spans="1:64" s="53" customFormat="1" ht="8.1" customHeight="1">
      <c r="A203" s="170"/>
      <c r="B203" s="170"/>
      <c r="C203" s="13"/>
      <c r="D203" s="169"/>
      <c r="E203" s="172"/>
      <c r="F203" s="169"/>
      <c r="G203" s="169"/>
      <c r="H203" s="169"/>
      <c r="I203" s="470"/>
      <c r="J203" s="475"/>
      <c r="K203" s="470"/>
      <c r="L203" s="470"/>
      <c r="M203" s="470"/>
      <c r="N203" s="470"/>
      <c r="O203" s="470"/>
      <c r="P203" s="470"/>
      <c r="Q203" s="484"/>
      <c r="R203" s="469"/>
      <c r="S203" s="493"/>
      <c r="T203" s="494"/>
      <c r="U203" s="495"/>
      <c r="V203" s="494"/>
      <c r="W203" s="449"/>
      <c r="X203" s="449"/>
      <c r="Y203" s="470"/>
      <c r="Z203" s="475"/>
      <c r="AA203" s="470"/>
      <c r="AB203" s="470"/>
      <c r="AC203" s="470"/>
      <c r="AD203" s="470"/>
      <c r="AE203" s="470"/>
      <c r="AF203" s="470"/>
      <c r="AG203" s="470"/>
      <c r="AH203" s="475"/>
      <c r="AI203" s="470"/>
      <c r="AJ203" s="470"/>
      <c r="AK203" s="470"/>
      <c r="AL203" s="470"/>
      <c r="AM203" s="470"/>
      <c r="AN203" s="470"/>
      <c r="AO203" s="470"/>
      <c r="AP203" s="475"/>
      <c r="AQ203" s="470"/>
      <c r="AR203" s="470"/>
      <c r="AS203" s="470"/>
      <c r="AT203" s="470"/>
      <c r="AU203" s="470"/>
      <c r="AV203" s="470"/>
      <c r="AW203" s="470"/>
      <c r="AX203" s="475"/>
      <c r="AY203" s="470"/>
      <c r="AZ203" s="470"/>
      <c r="BA203" s="470"/>
      <c r="BB203" s="470"/>
      <c r="BC203" s="470"/>
      <c r="BD203" s="470"/>
      <c r="BE203" s="470"/>
      <c r="BF203" s="475"/>
      <c r="BG203" s="470"/>
      <c r="BH203" s="470"/>
      <c r="BI203" s="470"/>
      <c r="BJ203" s="470"/>
      <c r="BK203" s="470"/>
      <c r="BL203" s="470"/>
    </row>
    <row r="204" spans="1:64" s="53" customFormat="1" ht="8.1" customHeight="1">
      <c r="A204" s="170"/>
      <c r="B204" s="170"/>
      <c r="C204" s="13"/>
      <c r="D204" s="169"/>
      <c r="E204" s="172"/>
      <c r="F204" s="169"/>
      <c r="G204" s="169"/>
      <c r="H204" s="169"/>
      <c r="I204" s="470"/>
      <c r="J204" s="475"/>
      <c r="K204" s="470"/>
      <c r="L204" s="470"/>
      <c r="M204" s="470"/>
      <c r="N204" s="470"/>
      <c r="O204" s="470"/>
      <c r="P204" s="470"/>
      <c r="Q204" s="484"/>
      <c r="R204" s="469"/>
      <c r="S204" s="493"/>
      <c r="T204" s="494"/>
      <c r="U204" s="495"/>
      <c r="V204" s="494"/>
      <c r="W204" s="449"/>
      <c r="X204" s="449"/>
      <c r="Y204" s="470"/>
      <c r="Z204" s="475"/>
      <c r="AA204" s="470"/>
      <c r="AB204" s="470"/>
      <c r="AC204" s="470"/>
      <c r="AD204" s="470"/>
      <c r="AE204" s="470"/>
      <c r="AF204" s="470"/>
      <c r="AG204" s="470"/>
      <c r="AH204" s="475"/>
      <c r="AI204" s="470"/>
      <c r="AJ204" s="470"/>
      <c r="AK204" s="470"/>
      <c r="AL204" s="470"/>
      <c r="AM204" s="470"/>
      <c r="AN204" s="470"/>
      <c r="AO204" s="470"/>
      <c r="AP204" s="475"/>
      <c r="AQ204" s="470"/>
      <c r="AR204" s="470"/>
      <c r="AS204" s="470"/>
      <c r="AT204" s="470"/>
      <c r="AU204" s="470"/>
      <c r="AV204" s="470"/>
      <c r="AW204" s="300"/>
      <c r="AX204" s="475"/>
      <c r="AY204" s="470"/>
      <c r="AZ204" s="470"/>
      <c r="BA204" s="470"/>
      <c r="BB204" s="470"/>
      <c r="BC204" s="470"/>
      <c r="BD204" s="470"/>
      <c r="BE204" s="470"/>
      <c r="BF204" s="475"/>
      <c r="BG204" s="470"/>
      <c r="BH204" s="470"/>
      <c r="BI204" s="470"/>
      <c r="BJ204" s="470"/>
      <c r="BK204" s="470"/>
      <c r="BL204" s="470"/>
    </row>
    <row r="205" spans="1:64" s="53" customFormat="1" ht="8.1" customHeight="1">
      <c r="A205" s="170"/>
      <c r="B205" s="170"/>
      <c r="C205" s="13"/>
      <c r="D205" s="169"/>
      <c r="E205" s="172"/>
      <c r="F205" s="169"/>
      <c r="G205" s="169"/>
      <c r="H205" s="169"/>
      <c r="I205" s="470"/>
      <c r="J205" s="475"/>
      <c r="K205" s="470"/>
      <c r="L205" s="470"/>
      <c r="M205" s="470"/>
      <c r="N205" s="470"/>
      <c r="O205" s="470"/>
      <c r="P205" s="470"/>
      <c r="Q205" s="484"/>
      <c r="R205" s="469"/>
      <c r="S205" s="493"/>
      <c r="T205" s="494"/>
      <c r="U205" s="495"/>
      <c r="V205" s="494"/>
      <c r="W205" s="449"/>
      <c r="X205" s="449"/>
      <c r="Y205" s="470"/>
      <c r="Z205" s="475"/>
      <c r="AA205" s="470"/>
      <c r="AB205" s="470"/>
      <c r="AC205" s="470"/>
      <c r="AD205" s="470"/>
      <c r="AE205" s="470"/>
      <c r="AF205" s="470"/>
      <c r="AG205" s="470"/>
      <c r="AH205" s="475"/>
      <c r="AI205" s="470"/>
      <c r="AJ205" s="470"/>
      <c r="AK205" s="470"/>
      <c r="AL205" s="470"/>
      <c r="AM205" s="470"/>
      <c r="AN205" s="470"/>
      <c r="AO205" s="470"/>
      <c r="AP205" s="475"/>
      <c r="AQ205" s="470"/>
      <c r="AR205" s="470"/>
      <c r="AS205" s="470"/>
      <c r="AT205" s="470"/>
      <c r="AU205" s="470"/>
      <c r="AV205" s="470"/>
      <c r="AW205" s="300"/>
      <c r="AX205" s="471"/>
      <c r="AY205" s="300"/>
      <c r="AZ205" s="300"/>
      <c r="BA205" s="300"/>
      <c r="BB205" s="300"/>
      <c r="BC205" s="300"/>
      <c r="BD205" s="300"/>
      <c r="BE205" s="470"/>
      <c r="BF205" s="475"/>
      <c r="BG205" s="470"/>
      <c r="BH205" s="470"/>
      <c r="BI205" s="470"/>
      <c r="BJ205" s="470"/>
      <c r="BK205" s="470"/>
      <c r="BL205" s="470"/>
    </row>
    <row r="206" spans="1:64">
      <c r="BE206" s="470"/>
      <c r="BF206" s="475"/>
      <c r="BG206" s="470"/>
      <c r="BH206" s="470"/>
      <c r="BI206" s="470"/>
      <c r="BJ206" s="470"/>
      <c r="BK206" s="470"/>
      <c r="BL206" s="470"/>
    </row>
    <row r="207" spans="1:64">
      <c r="BE207" s="470"/>
      <c r="BF207" s="475"/>
      <c r="BG207" s="470"/>
      <c r="BH207" s="470"/>
      <c r="BI207" s="470"/>
      <c r="BJ207" s="470"/>
      <c r="BK207" s="470"/>
      <c r="BL207" s="470"/>
    </row>
    <row r="208" spans="1:64">
      <c r="BE208" s="470"/>
      <c r="BF208" s="475"/>
      <c r="BG208" s="470"/>
      <c r="BH208" s="470"/>
      <c r="BI208" s="470"/>
      <c r="BJ208" s="470"/>
      <c r="BK208" s="470"/>
      <c r="BL208" s="470"/>
    </row>
    <row r="209" spans="57:64">
      <c r="BE209" s="470"/>
      <c r="BF209" s="475"/>
      <c r="BG209" s="470"/>
      <c r="BH209" s="470"/>
      <c r="BI209" s="470"/>
      <c r="BJ209" s="470"/>
      <c r="BK209" s="470"/>
      <c r="BL209" s="470"/>
    </row>
  </sheetData>
  <mergeCells count="55">
    <mergeCell ref="A56:B56"/>
    <mergeCell ref="BI2:BI3"/>
    <mergeCell ref="BJ2:BJ3"/>
    <mergeCell ref="BK2:BL2"/>
    <mergeCell ref="AY1:BD1"/>
    <mergeCell ref="BE1:BI1"/>
    <mergeCell ref="BJ1:BL1"/>
    <mergeCell ref="AW2:AY3"/>
    <mergeCell ref="AZ2:AZ3"/>
    <mergeCell ref="BA2:BA3"/>
    <mergeCell ref="BB2:BB3"/>
    <mergeCell ref="BC2:BD2"/>
    <mergeCell ref="BE2:BG3"/>
    <mergeCell ref="BH2:BH3"/>
    <mergeCell ref="A1:H1"/>
    <mergeCell ref="I1:M1"/>
    <mergeCell ref="N1:P1"/>
    <mergeCell ref="S1:X1"/>
    <mergeCell ref="Y1:AC1"/>
    <mergeCell ref="AD1:AF1"/>
    <mergeCell ref="AI1:AN1"/>
    <mergeCell ref="AO1:AS1"/>
    <mergeCell ref="AT1:AV1"/>
    <mergeCell ref="A2:C3"/>
    <mergeCell ref="D2:D3"/>
    <mergeCell ref="E2:E3"/>
    <mergeCell ref="F2:F3"/>
    <mergeCell ref="G2:H2"/>
    <mergeCell ref="I2:K3"/>
    <mergeCell ref="L2:L3"/>
    <mergeCell ref="M2:M3"/>
    <mergeCell ref="N2:N3"/>
    <mergeCell ref="O2:P2"/>
    <mergeCell ref="Q2:S3"/>
    <mergeCell ref="T2:T3"/>
    <mergeCell ref="U2:U3"/>
    <mergeCell ref="AK2:AK3"/>
    <mergeCell ref="AL2:AL3"/>
    <mergeCell ref="AM2:AN2"/>
    <mergeCell ref="V2:V3"/>
    <mergeCell ref="W2:X2"/>
    <mergeCell ref="Y2:AA3"/>
    <mergeCell ref="AB2:AB3"/>
    <mergeCell ref="AC2:AC3"/>
    <mergeCell ref="AD2:AD3"/>
    <mergeCell ref="AO2:AQ3"/>
    <mergeCell ref="AR2:AR3"/>
    <mergeCell ref="AS2:AS3"/>
    <mergeCell ref="AT2:AT3"/>
    <mergeCell ref="AU2:AV2"/>
    <mergeCell ref="A4:C4"/>
    <mergeCell ref="F4:H4"/>
    <mergeCell ref="AE2:AF2"/>
    <mergeCell ref="AG2:AI3"/>
    <mergeCell ref="AJ2:AJ3"/>
  </mergeCells>
  <pageMargins left="0.62992125984252001" right="0.511811023622047" top="0.39370078740157499" bottom="0.511811023622047" header="0.25" footer="0"/>
  <pageSetup paperSize="151" firstPageNumber="56" orientation="portrait" useFirstPageNumber="1" r:id="rId1"/>
  <headerFooter alignWithMargins="0">
    <oddFooter>&amp;C&amp;"Times New Roman,Regular"&amp;8&amp;P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U57"/>
  <sheetViews>
    <sheetView zoomScale="130" zoomScaleNormal="130" workbookViewId="0">
      <pane xSplit="4" ySplit="3" topLeftCell="M34" activePane="bottomRight" state="frozen"/>
      <selection pane="topRight" activeCell="E1" sqref="E1"/>
      <selection pane="bottomLeft" activeCell="A5" sqref="A5"/>
      <selection pane="bottomRight" activeCell="D53" sqref="D53"/>
    </sheetView>
  </sheetViews>
  <sheetFormatPr defaultColWidth="9.140625" defaultRowHeight="12.75"/>
  <cols>
    <col min="1" max="1" width="2.28515625" style="743" customWidth="1"/>
    <col min="2" max="2" width="3" style="10" customWidth="1"/>
    <col min="3" max="3" width="2.85546875" style="59" customWidth="1"/>
    <col min="4" max="4" width="33.42578125" style="10" customWidth="1"/>
    <col min="5" max="5" width="7.140625" style="10" customWidth="1"/>
    <col min="6" max="6" width="7" style="10" customWidth="1"/>
    <col min="7" max="7" width="6.5703125" style="10" customWidth="1"/>
    <col min="8" max="9" width="7" style="10" customWidth="1"/>
    <col min="10" max="11" width="6.140625" style="10" customWidth="1"/>
    <col min="12" max="12" width="6.42578125" style="10" customWidth="1"/>
    <col min="13" max="13" width="6.28515625" style="10" customWidth="1"/>
    <col min="14" max="14" width="6.85546875" style="10" customWidth="1"/>
    <col min="15" max="15" width="7.28515625" style="10" customWidth="1"/>
    <col min="16" max="16" width="6.42578125" style="10" customWidth="1"/>
    <col min="17" max="17" width="6" style="10" customWidth="1"/>
    <col min="18" max="19" width="6.7109375" style="10" customWidth="1"/>
    <col min="20" max="20" width="5.7109375" style="10" customWidth="1"/>
    <col min="21" max="21" width="7.28515625" style="10" customWidth="1"/>
    <col min="22" max="16384" width="9.140625" style="10"/>
  </cols>
  <sheetData>
    <row r="1" spans="1:21" s="624" customFormat="1" ht="14.25" customHeight="1">
      <c r="A1" s="2014" t="s">
        <v>2584</v>
      </c>
      <c r="B1" s="2014"/>
      <c r="C1" s="2014"/>
      <c r="D1" s="2014"/>
      <c r="E1" s="2014"/>
      <c r="F1" s="2014"/>
      <c r="G1" s="2014"/>
      <c r="H1" s="2014"/>
      <c r="I1" s="2014"/>
      <c r="J1" s="2015" t="s">
        <v>2585</v>
      </c>
      <c r="K1" s="2015"/>
      <c r="L1" s="2015"/>
      <c r="M1" s="2015"/>
      <c r="N1" s="2015"/>
      <c r="O1" s="2015"/>
      <c r="P1" s="2015"/>
      <c r="Q1" s="2015"/>
      <c r="R1" s="2015"/>
      <c r="S1" s="2013" t="s">
        <v>2083</v>
      </c>
      <c r="T1" s="2013"/>
      <c r="U1" s="2013"/>
    </row>
    <row r="2" spans="1:21" s="122" customFormat="1" ht="48" customHeight="1">
      <c r="A2" s="2016" t="s">
        <v>44</v>
      </c>
      <c r="B2" s="2017"/>
      <c r="C2" s="2017"/>
      <c r="D2" s="2018"/>
      <c r="E2" s="184" t="s">
        <v>1581</v>
      </c>
      <c r="F2" s="43" t="s">
        <v>1582</v>
      </c>
      <c r="G2" s="43" t="s">
        <v>1583</v>
      </c>
      <c r="H2" s="43" t="s">
        <v>1584</v>
      </c>
      <c r="I2" s="43" t="s">
        <v>1585</v>
      </c>
      <c r="J2" s="43" t="s">
        <v>1586</v>
      </c>
      <c r="K2" s="43" t="s">
        <v>1587</v>
      </c>
      <c r="L2" s="43" t="s">
        <v>1588</v>
      </c>
      <c r="M2" s="43" t="s">
        <v>1589</v>
      </c>
      <c r="N2" s="43" t="s">
        <v>1590</v>
      </c>
      <c r="O2" s="43" t="s">
        <v>1574</v>
      </c>
      <c r="P2" s="43" t="s">
        <v>1591</v>
      </c>
      <c r="Q2" s="43" t="s">
        <v>1592</v>
      </c>
      <c r="R2" s="43" t="s">
        <v>1593</v>
      </c>
      <c r="S2" s="185" t="s">
        <v>1594</v>
      </c>
      <c r="T2" s="241" t="s">
        <v>2175</v>
      </c>
      <c r="U2" s="241" t="s">
        <v>2176</v>
      </c>
    </row>
    <row r="3" spans="1:21" s="122" customFormat="1" ht="10.5" customHeight="1">
      <c r="A3" s="2019"/>
      <c r="B3" s="2020"/>
      <c r="C3" s="2020"/>
      <c r="D3" s="2021"/>
      <c r="E3" s="43">
        <v>1</v>
      </c>
      <c r="F3" s="43">
        <v>2</v>
      </c>
      <c r="G3" s="43">
        <v>3</v>
      </c>
      <c r="H3" s="43">
        <v>4</v>
      </c>
      <c r="I3" s="43">
        <v>5</v>
      </c>
      <c r="J3" s="43">
        <v>6</v>
      </c>
      <c r="K3" s="43">
        <v>7</v>
      </c>
      <c r="L3" s="43">
        <v>8</v>
      </c>
      <c r="M3" s="43">
        <v>9</v>
      </c>
      <c r="N3" s="43">
        <v>10</v>
      </c>
      <c r="O3" s="43">
        <v>11</v>
      </c>
      <c r="P3" s="43">
        <v>12</v>
      </c>
      <c r="Q3" s="43">
        <v>13</v>
      </c>
      <c r="R3" s="43">
        <v>14</v>
      </c>
      <c r="S3" s="43">
        <v>15</v>
      </c>
      <c r="T3" s="43">
        <v>16</v>
      </c>
      <c r="U3" s="43">
        <v>17</v>
      </c>
    </row>
    <row r="4" spans="1:21" s="76" customFormat="1" ht="13.5" customHeight="1">
      <c r="A4" s="736" t="s">
        <v>138</v>
      </c>
      <c r="B4" s="2004" t="s">
        <v>139</v>
      </c>
      <c r="C4" s="2004"/>
      <c r="D4" s="2004"/>
      <c r="E4" s="841">
        <v>7</v>
      </c>
      <c r="F4" s="841">
        <v>7.5</v>
      </c>
      <c r="G4" s="841">
        <v>8</v>
      </c>
      <c r="H4" s="841">
        <v>7</v>
      </c>
      <c r="I4" s="841">
        <v>6</v>
      </c>
      <c r="J4" s="841">
        <v>6</v>
      </c>
      <c r="K4" s="841">
        <v>6</v>
      </c>
      <c r="L4" s="841">
        <v>5</v>
      </c>
      <c r="M4" s="841">
        <v>5</v>
      </c>
      <c r="N4" s="841">
        <v>5</v>
      </c>
      <c r="O4" s="841">
        <v>5</v>
      </c>
      <c r="P4" s="841">
        <v>5</v>
      </c>
      <c r="Q4" s="841">
        <v>5</v>
      </c>
      <c r="R4" s="841">
        <v>5</v>
      </c>
      <c r="S4" s="841">
        <v>5</v>
      </c>
      <c r="T4" s="841">
        <v>5</v>
      </c>
      <c r="U4" s="841">
        <v>5</v>
      </c>
    </row>
    <row r="5" spans="1:21" s="701" customFormat="1" ht="13.5" customHeight="1">
      <c r="A5" s="737" t="s">
        <v>901</v>
      </c>
      <c r="B5" s="2009" t="s">
        <v>1575</v>
      </c>
      <c r="C5" s="2009"/>
      <c r="D5" s="2009"/>
      <c r="E5" s="842"/>
      <c r="F5" s="842"/>
      <c r="G5" s="842"/>
      <c r="H5" s="842"/>
      <c r="I5" s="842"/>
      <c r="J5" s="842"/>
      <c r="K5" s="842"/>
      <c r="L5" s="842"/>
      <c r="M5" s="842"/>
      <c r="N5" s="842"/>
      <c r="O5" s="842"/>
      <c r="P5" s="842"/>
      <c r="Q5" s="842"/>
      <c r="R5" s="842"/>
      <c r="S5" s="842"/>
      <c r="T5" s="842"/>
      <c r="U5" s="842"/>
    </row>
    <row r="6" spans="1:21" s="701" customFormat="1" ht="12">
      <c r="A6" s="2004" t="s">
        <v>1697</v>
      </c>
      <c r="B6" s="2004"/>
      <c r="C6" s="2004"/>
      <c r="D6" s="2004"/>
      <c r="E6" s="841"/>
      <c r="F6" s="841"/>
      <c r="G6" s="841"/>
      <c r="H6" s="841"/>
      <c r="I6" s="841"/>
      <c r="J6" s="841"/>
      <c r="K6" s="841"/>
      <c r="L6" s="841"/>
      <c r="M6" s="841"/>
      <c r="N6" s="841"/>
      <c r="O6" s="841"/>
      <c r="P6" s="841"/>
      <c r="Q6" s="841"/>
      <c r="R6" s="841"/>
      <c r="S6" s="841"/>
      <c r="T6" s="841"/>
      <c r="U6" s="841"/>
    </row>
    <row r="7" spans="1:21" s="701" customFormat="1" ht="12" customHeight="1">
      <c r="A7" s="739"/>
      <c r="B7" s="2010" t="s">
        <v>1557</v>
      </c>
      <c r="C7" s="2010"/>
      <c r="D7" s="2010"/>
      <c r="E7" s="454">
        <v>8.5</v>
      </c>
      <c r="F7" s="454">
        <v>8.5</v>
      </c>
      <c r="G7" s="454">
        <v>8.5</v>
      </c>
      <c r="H7" s="454">
        <v>8.5</v>
      </c>
      <c r="I7" s="454">
        <v>8.5</v>
      </c>
      <c r="J7" s="454">
        <v>8.5</v>
      </c>
      <c r="K7" s="454">
        <v>8.5</v>
      </c>
      <c r="L7" s="454">
        <v>8.5</v>
      </c>
      <c r="M7" s="454">
        <v>7.5</v>
      </c>
      <c r="N7" s="454">
        <v>7.5</v>
      </c>
      <c r="O7" s="454">
        <v>7.5</v>
      </c>
      <c r="P7" s="454">
        <v>7.5</v>
      </c>
      <c r="Q7" s="454">
        <v>7.5</v>
      </c>
      <c r="R7" s="454">
        <v>7.5</v>
      </c>
      <c r="S7" s="454">
        <v>7.5</v>
      </c>
      <c r="T7" s="454">
        <v>7.5</v>
      </c>
      <c r="U7" s="454">
        <v>7.5</v>
      </c>
    </row>
    <row r="8" spans="1:21" s="702" customFormat="1" ht="13.5" customHeight="1">
      <c r="A8" s="747"/>
      <c r="B8" s="2012" t="s">
        <v>1567</v>
      </c>
      <c r="C8" s="2012"/>
      <c r="D8" s="2012"/>
      <c r="E8" s="843"/>
      <c r="F8" s="843"/>
      <c r="G8" s="843"/>
      <c r="H8" s="843"/>
      <c r="I8" s="843"/>
      <c r="J8" s="843"/>
      <c r="K8" s="843"/>
      <c r="L8" s="843"/>
      <c r="M8" s="843"/>
      <c r="N8" s="843"/>
      <c r="O8" s="843"/>
      <c r="P8" s="843"/>
      <c r="Q8" s="843"/>
      <c r="R8" s="843"/>
      <c r="S8" s="843"/>
      <c r="T8" s="843"/>
      <c r="U8" s="843"/>
    </row>
    <row r="9" spans="1:21" s="701" customFormat="1" ht="12.75" customHeight="1">
      <c r="A9" s="739"/>
      <c r="B9" s="704"/>
      <c r="C9" s="2005" t="s">
        <v>1566</v>
      </c>
      <c r="D9" s="2005"/>
      <c r="E9" s="454">
        <v>10.5</v>
      </c>
      <c r="F9" s="454">
        <v>10.5</v>
      </c>
      <c r="G9" s="454">
        <v>10.5</v>
      </c>
      <c r="H9" s="454">
        <v>10.5</v>
      </c>
      <c r="I9" s="454">
        <v>10.5</v>
      </c>
      <c r="J9" s="454">
        <v>10.5</v>
      </c>
      <c r="K9" s="454">
        <v>10.5</v>
      </c>
      <c r="L9" s="454">
        <v>10.5</v>
      </c>
      <c r="M9" s="454">
        <v>9.5</v>
      </c>
      <c r="N9" s="454">
        <v>9.5</v>
      </c>
      <c r="O9" s="454">
        <v>9.5</v>
      </c>
      <c r="P9" s="454">
        <v>9.5</v>
      </c>
      <c r="Q9" s="454">
        <v>9.5</v>
      </c>
      <c r="R9" s="454">
        <v>9.5</v>
      </c>
      <c r="S9" s="454">
        <v>10.4</v>
      </c>
      <c r="T9" s="454">
        <v>10.4</v>
      </c>
      <c r="U9" s="454">
        <v>10.4</v>
      </c>
    </row>
    <row r="10" spans="1:21" s="701" customFormat="1" ht="12.75" customHeight="1">
      <c r="A10" s="738"/>
      <c r="B10" s="709"/>
      <c r="C10" s="2006" t="s">
        <v>1565</v>
      </c>
      <c r="D10" s="2006"/>
      <c r="E10" s="550">
        <v>11.5</v>
      </c>
      <c r="F10" s="550">
        <v>11.5</v>
      </c>
      <c r="G10" s="550">
        <v>11.5</v>
      </c>
      <c r="H10" s="550">
        <v>11.5</v>
      </c>
      <c r="I10" s="550">
        <v>11.5</v>
      </c>
      <c r="J10" s="550">
        <v>11.5</v>
      </c>
      <c r="K10" s="550">
        <v>11.5</v>
      </c>
      <c r="L10" s="550">
        <v>11.5</v>
      </c>
      <c r="M10" s="550">
        <v>10.5</v>
      </c>
      <c r="N10" s="550">
        <v>10.5</v>
      </c>
      <c r="O10" s="550">
        <v>10.5</v>
      </c>
      <c r="P10" s="550">
        <v>10.5</v>
      </c>
      <c r="Q10" s="550">
        <v>10.5</v>
      </c>
      <c r="R10" s="550">
        <v>10.5</v>
      </c>
      <c r="S10" s="550">
        <v>11.4</v>
      </c>
      <c r="T10" s="550">
        <v>11.4</v>
      </c>
      <c r="U10" s="550">
        <v>11.4</v>
      </c>
    </row>
    <row r="11" spans="1:21" s="701" customFormat="1" ht="12.75" customHeight="1">
      <c r="A11" s="739"/>
      <c r="B11" s="704"/>
      <c r="C11" s="2005" t="s">
        <v>1564</v>
      </c>
      <c r="D11" s="2005"/>
      <c r="E11" s="454">
        <v>12.5</v>
      </c>
      <c r="F11" s="454">
        <v>12.5</v>
      </c>
      <c r="G11" s="454">
        <v>12.5</v>
      </c>
      <c r="H11" s="454">
        <v>12.5</v>
      </c>
      <c r="I11" s="454">
        <v>12.5</v>
      </c>
      <c r="J11" s="454">
        <v>12.5</v>
      </c>
      <c r="K11" s="454">
        <v>12.5</v>
      </c>
      <c r="L11" s="454">
        <v>12.5</v>
      </c>
      <c r="M11" s="454">
        <v>11.5</v>
      </c>
      <c r="N11" s="454">
        <v>11.5</v>
      </c>
      <c r="O11" s="454">
        <v>11.5</v>
      </c>
      <c r="P11" s="454">
        <v>11.5</v>
      </c>
      <c r="Q11" s="454">
        <v>11.5</v>
      </c>
      <c r="R11" s="454">
        <v>11.5</v>
      </c>
      <c r="S11" s="454" t="s">
        <v>1828</v>
      </c>
      <c r="T11" s="454" t="s">
        <v>1828</v>
      </c>
      <c r="U11" s="454" t="s">
        <v>2177</v>
      </c>
    </row>
    <row r="12" spans="1:21" s="702" customFormat="1" ht="12.75" customHeight="1">
      <c r="A12" s="747"/>
      <c r="B12" s="2012" t="s">
        <v>1560</v>
      </c>
      <c r="C12" s="2012"/>
      <c r="D12" s="2012"/>
      <c r="E12" s="843"/>
      <c r="F12" s="843"/>
      <c r="G12" s="843"/>
      <c r="H12" s="843"/>
      <c r="I12" s="843"/>
      <c r="J12" s="843"/>
      <c r="K12" s="843"/>
      <c r="L12" s="843"/>
      <c r="M12" s="843"/>
      <c r="N12" s="843"/>
      <c r="O12" s="843"/>
      <c r="P12" s="843"/>
      <c r="Q12" s="843"/>
      <c r="R12" s="843"/>
      <c r="S12" s="843"/>
      <c r="T12" s="843"/>
      <c r="U12" s="843"/>
    </row>
    <row r="13" spans="1:21" s="701" customFormat="1" ht="12.75" customHeight="1">
      <c r="A13" s="739"/>
      <c r="B13" s="704"/>
      <c r="C13" s="2010" t="s">
        <v>1566</v>
      </c>
      <c r="D13" s="2010"/>
      <c r="E13" s="454">
        <v>9.5</v>
      </c>
      <c r="F13" s="454">
        <v>9.5</v>
      </c>
      <c r="G13" s="454">
        <v>9.5</v>
      </c>
      <c r="H13" s="454">
        <v>9.5</v>
      </c>
      <c r="I13" s="454">
        <v>9.5</v>
      </c>
      <c r="J13" s="454">
        <v>9.5</v>
      </c>
      <c r="K13" s="454">
        <v>9.5</v>
      </c>
      <c r="L13" s="454">
        <v>9.5</v>
      </c>
      <c r="M13" s="454">
        <v>8.5</v>
      </c>
      <c r="N13" s="454">
        <v>8.5</v>
      </c>
      <c r="O13" s="454">
        <v>8.5</v>
      </c>
      <c r="P13" s="454">
        <v>8.5</v>
      </c>
      <c r="Q13" s="454">
        <v>8.5</v>
      </c>
      <c r="R13" s="454">
        <v>8.5</v>
      </c>
      <c r="S13" s="454">
        <v>10</v>
      </c>
      <c r="T13" s="454">
        <v>10</v>
      </c>
      <c r="U13" s="454">
        <v>10</v>
      </c>
    </row>
    <row r="14" spans="1:21" s="701" customFormat="1" ht="12.75" customHeight="1">
      <c r="A14" s="738"/>
      <c r="B14" s="709"/>
      <c r="C14" s="2011" t="s">
        <v>1565</v>
      </c>
      <c r="D14" s="2011"/>
      <c r="E14" s="550">
        <v>10</v>
      </c>
      <c r="F14" s="550">
        <v>10</v>
      </c>
      <c r="G14" s="550">
        <v>10</v>
      </c>
      <c r="H14" s="550">
        <v>10</v>
      </c>
      <c r="I14" s="550">
        <v>10</v>
      </c>
      <c r="J14" s="550">
        <v>10</v>
      </c>
      <c r="K14" s="550">
        <v>10</v>
      </c>
      <c r="L14" s="550">
        <v>10</v>
      </c>
      <c r="M14" s="550">
        <v>9</v>
      </c>
      <c r="N14" s="550">
        <v>9</v>
      </c>
      <c r="O14" s="550">
        <v>9</v>
      </c>
      <c r="P14" s="550">
        <v>9</v>
      </c>
      <c r="Q14" s="550">
        <v>9</v>
      </c>
      <c r="R14" s="550">
        <v>9</v>
      </c>
      <c r="S14" s="550">
        <v>10.5</v>
      </c>
      <c r="T14" s="550">
        <v>10.5</v>
      </c>
      <c r="U14" s="550">
        <v>10.5</v>
      </c>
    </row>
    <row r="15" spans="1:21" s="701" customFormat="1" ht="12.75" customHeight="1">
      <c r="A15" s="739"/>
      <c r="B15" s="704"/>
      <c r="C15" s="2010" t="s">
        <v>1564</v>
      </c>
      <c r="D15" s="2010"/>
      <c r="E15" s="454">
        <v>10.5</v>
      </c>
      <c r="F15" s="454">
        <v>10.5</v>
      </c>
      <c r="G15" s="454">
        <v>10.5</v>
      </c>
      <c r="H15" s="454">
        <v>10.5</v>
      </c>
      <c r="I15" s="454">
        <v>10.5</v>
      </c>
      <c r="J15" s="454">
        <v>10.5</v>
      </c>
      <c r="K15" s="454">
        <v>10.5</v>
      </c>
      <c r="L15" s="454">
        <v>10.5</v>
      </c>
      <c r="M15" s="454">
        <v>9.5</v>
      </c>
      <c r="N15" s="454">
        <v>9.5</v>
      </c>
      <c r="O15" s="454">
        <v>9.5</v>
      </c>
      <c r="P15" s="454">
        <v>9.5</v>
      </c>
      <c r="Q15" s="454">
        <v>9.5</v>
      </c>
      <c r="R15" s="454">
        <v>9.5</v>
      </c>
      <c r="S15" s="454">
        <v>11</v>
      </c>
      <c r="T15" s="454">
        <v>11</v>
      </c>
      <c r="U15" s="454">
        <v>11</v>
      </c>
    </row>
    <row r="16" spans="1:21" s="701" customFormat="1" ht="13.5" customHeight="1">
      <c r="A16" s="2025" t="s">
        <v>1698</v>
      </c>
      <c r="B16" s="2025"/>
      <c r="C16" s="2025"/>
      <c r="D16" s="2025"/>
      <c r="E16" s="499"/>
      <c r="F16" s="499"/>
      <c r="G16" s="499"/>
      <c r="H16" s="499"/>
      <c r="I16" s="499"/>
      <c r="J16" s="499"/>
      <c r="K16" s="499"/>
      <c r="L16" s="499"/>
      <c r="M16" s="499"/>
      <c r="N16" s="499"/>
      <c r="O16" s="505"/>
      <c r="P16" s="505"/>
      <c r="Q16" s="505"/>
      <c r="R16" s="505"/>
      <c r="S16" s="505"/>
      <c r="T16" s="505"/>
      <c r="U16" s="505"/>
    </row>
    <row r="17" spans="1:21" s="701" customFormat="1" ht="12" customHeight="1">
      <c r="A17" s="741"/>
      <c r="B17" s="2008" t="s">
        <v>1576</v>
      </c>
      <c r="C17" s="2008"/>
      <c r="D17" s="2008"/>
      <c r="E17" s="844" t="s">
        <v>1005</v>
      </c>
      <c r="F17" s="844" t="s">
        <v>1005</v>
      </c>
      <c r="G17" s="844" t="s">
        <v>1005</v>
      </c>
      <c r="H17" s="414">
        <v>13.5</v>
      </c>
      <c r="I17" s="414">
        <v>13.5</v>
      </c>
      <c r="J17" s="414">
        <v>12</v>
      </c>
      <c r="K17" s="414">
        <v>12</v>
      </c>
      <c r="L17" s="414">
        <v>12</v>
      </c>
      <c r="M17" s="414">
        <v>12</v>
      </c>
      <c r="N17" s="414">
        <v>11.5</v>
      </c>
      <c r="O17" s="414">
        <v>11.5</v>
      </c>
      <c r="P17" s="460">
        <v>10</v>
      </c>
      <c r="Q17" s="460">
        <v>10</v>
      </c>
      <c r="R17" s="460">
        <v>10</v>
      </c>
      <c r="S17" s="460" t="s">
        <v>2038</v>
      </c>
      <c r="T17" s="460" t="s">
        <v>2038</v>
      </c>
      <c r="U17" s="460" t="s">
        <v>2178</v>
      </c>
    </row>
    <row r="18" spans="1:21" s="701" customFormat="1" ht="12" customHeight="1">
      <c r="A18" s="740"/>
      <c r="B18" s="2007" t="s">
        <v>1577</v>
      </c>
      <c r="C18" s="2007"/>
      <c r="D18" s="2007"/>
      <c r="E18" s="499">
        <v>14.5</v>
      </c>
      <c r="F18" s="499">
        <v>14.5</v>
      </c>
      <c r="G18" s="499">
        <v>14.5</v>
      </c>
      <c r="H18" s="499">
        <v>14.5</v>
      </c>
      <c r="I18" s="499">
        <v>14.5</v>
      </c>
      <c r="J18" s="499">
        <v>12.5</v>
      </c>
      <c r="K18" s="499">
        <v>12.5</v>
      </c>
      <c r="L18" s="499">
        <v>12.5</v>
      </c>
      <c r="M18" s="499">
        <v>12.5</v>
      </c>
      <c r="N18" s="499">
        <v>12</v>
      </c>
      <c r="O18" s="499">
        <v>12</v>
      </c>
      <c r="P18" s="505">
        <v>10.5</v>
      </c>
      <c r="Q18" s="505">
        <v>10.5</v>
      </c>
      <c r="R18" s="505">
        <v>10.5</v>
      </c>
      <c r="S18" s="499" t="s">
        <v>2039</v>
      </c>
      <c r="T18" s="499" t="s">
        <v>2039</v>
      </c>
      <c r="U18" s="499" t="s">
        <v>2179</v>
      </c>
    </row>
    <row r="19" spans="1:21" s="701" customFormat="1" ht="12" customHeight="1">
      <c r="A19" s="741"/>
      <c r="B19" s="2024" t="s">
        <v>1578</v>
      </c>
      <c r="C19" s="2024"/>
      <c r="D19" s="2024"/>
      <c r="E19" s="844" t="s">
        <v>1005</v>
      </c>
      <c r="F19" s="844" t="s">
        <v>1005</v>
      </c>
      <c r="G19" s="844" t="s">
        <v>1005</v>
      </c>
      <c r="H19" s="844" t="s">
        <v>1005</v>
      </c>
      <c r="I19" s="844" t="s">
        <v>1005</v>
      </c>
      <c r="J19" s="844" t="s">
        <v>1005</v>
      </c>
      <c r="K19" s="844" t="s">
        <v>1005</v>
      </c>
      <c r="L19" s="844" t="s">
        <v>1005</v>
      </c>
      <c r="M19" s="844" t="s">
        <v>1005</v>
      </c>
      <c r="N19" s="658">
        <v>12.5</v>
      </c>
      <c r="O19" s="414">
        <v>12.5</v>
      </c>
      <c r="P19" s="414">
        <v>12.5</v>
      </c>
      <c r="Q19" s="460">
        <v>11</v>
      </c>
      <c r="R19" s="460">
        <v>11</v>
      </c>
      <c r="S19" s="460" t="s">
        <v>2039</v>
      </c>
      <c r="T19" s="460" t="s">
        <v>2039</v>
      </c>
      <c r="U19" s="460" t="s">
        <v>2180</v>
      </c>
    </row>
    <row r="20" spans="1:21" s="701" customFormat="1" ht="12.75" customHeight="1">
      <c r="A20" s="740"/>
      <c r="B20" s="2027" t="s">
        <v>1579</v>
      </c>
      <c r="C20" s="2027"/>
      <c r="D20" s="2027"/>
      <c r="E20" s="845" t="s">
        <v>1005</v>
      </c>
      <c r="F20" s="845" t="s">
        <v>1005</v>
      </c>
      <c r="G20" s="845" t="s">
        <v>1005</v>
      </c>
      <c r="H20" s="845" t="s">
        <v>1005</v>
      </c>
      <c r="I20" s="845" t="s">
        <v>1005</v>
      </c>
      <c r="J20" s="845" t="s">
        <v>1005</v>
      </c>
      <c r="K20" s="845" t="s">
        <v>1005</v>
      </c>
      <c r="L20" s="845" t="s">
        <v>1005</v>
      </c>
      <c r="M20" s="845" t="s">
        <v>1005</v>
      </c>
      <c r="N20" s="845" t="s">
        <v>1005</v>
      </c>
      <c r="O20" s="845" t="s">
        <v>1005</v>
      </c>
      <c r="P20" s="845" t="s">
        <v>1005</v>
      </c>
      <c r="Q20" s="505">
        <v>11.04</v>
      </c>
      <c r="R20" s="505">
        <v>11.04</v>
      </c>
      <c r="S20" s="504" t="s">
        <v>2040</v>
      </c>
      <c r="T20" s="504" t="s">
        <v>2040</v>
      </c>
      <c r="U20" s="504" t="s">
        <v>2181</v>
      </c>
    </row>
    <row r="21" spans="1:21" s="701" customFormat="1" ht="12.75" customHeight="1">
      <c r="A21" s="2026" t="s">
        <v>1688</v>
      </c>
      <c r="B21" s="2026"/>
      <c r="C21" s="2026"/>
      <c r="D21" s="2026"/>
      <c r="E21" s="308"/>
      <c r="F21" s="699"/>
      <c r="G21" s="306"/>
      <c r="H21" s="306"/>
      <c r="I21" s="306"/>
      <c r="J21" s="306"/>
      <c r="K21" s="744"/>
      <c r="L21" s="744"/>
      <c r="M21" s="744"/>
      <c r="N21" s="744"/>
      <c r="O21" s="744"/>
      <c r="P21" s="744"/>
      <c r="Q21" s="744"/>
      <c r="R21" s="744"/>
      <c r="S21" s="744"/>
      <c r="T21" s="744"/>
      <c r="U21" s="744"/>
    </row>
    <row r="22" spans="1:21" s="701" customFormat="1" ht="12.75" customHeight="1">
      <c r="A22" s="740"/>
      <c r="B22" s="711"/>
      <c r="C22" s="1996" t="s">
        <v>1551</v>
      </c>
      <c r="D22" s="1996"/>
      <c r="E22" s="735" t="s">
        <v>1550</v>
      </c>
      <c r="F22" s="735" t="s">
        <v>1550</v>
      </c>
      <c r="G22" s="735" t="s">
        <v>1550</v>
      </c>
      <c r="H22" s="735" t="s">
        <v>1550</v>
      </c>
      <c r="I22" s="735" t="s">
        <v>1550</v>
      </c>
      <c r="J22" s="735" t="s">
        <v>1550</v>
      </c>
      <c r="K22" s="735" t="s">
        <v>1550</v>
      </c>
      <c r="L22" s="735" t="s">
        <v>1550</v>
      </c>
      <c r="M22" s="735" t="s">
        <v>1550</v>
      </c>
      <c r="N22" s="735" t="s">
        <v>1550</v>
      </c>
      <c r="O22" s="735" t="s">
        <v>1550</v>
      </c>
      <c r="P22" s="735" t="s">
        <v>1550</v>
      </c>
      <c r="Q22" s="735" t="s">
        <v>1550</v>
      </c>
      <c r="R22" s="735" t="s">
        <v>1550</v>
      </c>
      <c r="S22" s="735" t="s">
        <v>1550</v>
      </c>
      <c r="T22" s="735" t="s">
        <v>1550</v>
      </c>
      <c r="U22" s="735" t="s">
        <v>1550</v>
      </c>
    </row>
    <row r="23" spans="1:21" s="701" customFormat="1" ht="12.75" customHeight="1">
      <c r="A23" s="741"/>
      <c r="B23" s="306"/>
      <c r="C23" s="1997" t="s">
        <v>1552</v>
      </c>
      <c r="D23" s="1997"/>
      <c r="E23" s="846">
        <v>9</v>
      </c>
      <c r="F23" s="760">
        <v>9</v>
      </c>
      <c r="G23" s="760">
        <v>9</v>
      </c>
      <c r="H23" s="760">
        <v>9</v>
      </c>
      <c r="I23" s="760">
        <v>9</v>
      </c>
      <c r="J23" s="760">
        <v>9</v>
      </c>
      <c r="K23" s="760">
        <v>9</v>
      </c>
      <c r="L23" s="760">
        <v>9</v>
      </c>
      <c r="M23" s="760">
        <v>9</v>
      </c>
      <c r="N23" s="760">
        <v>9</v>
      </c>
      <c r="O23" s="760">
        <v>9</v>
      </c>
      <c r="P23" s="760">
        <v>9</v>
      </c>
      <c r="Q23" s="760">
        <v>7.5</v>
      </c>
      <c r="R23" s="760">
        <v>8.5</v>
      </c>
      <c r="S23" s="760">
        <v>8.5</v>
      </c>
      <c r="T23" s="760">
        <v>8.6999999999999993</v>
      </c>
      <c r="U23" s="760">
        <v>8.6999999999999993</v>
      </c>
    </row>
    <row r="24" spans="1:21" s="701" customFormat="1" ht="12.75" customHeight="1">
      <c r="A24" s="740"/>
      <c r="B24" s="711"/>
      <c r="C24" s="1996" t="s">
        <v>1553</v>
      </c>
      <c r="D24" s="1996"/>
      <c r="E24" s="847">
        <v>10</v>
      </c>
      <c r="F24" s="514">
        <v>10</v>
      </c>
      <c r="G24" s="514">
        <v>10</v>
      </c>
      <c r="H24" s="514">
        <v>10</v>
      </c>
      <c r="I24" s="514">
        <v>10</v>
      </c>
      <c r="J24" s="514">
        <v>10</v>
      </c>
      <c r="K24" s="514">
        <v>10</v>
      </c>
      <c r="L24" s="514">
        <v>10</v>
      </c>
      <c r="M24" s="514">
        <v>10</v>
      </c>
      <c r="N24" s="514">
        <v>10</v>
      </c>
      <c r="O24" s="514">
        <v>10</v>
      </c>
      <c r="P24" s="514">
        <v>10</v>
      </c>
      <c r="Q24" s="514">
        <v>8.25</v>
      </c>
      <c r="R24" s="514">
        <v>9.25</v>
      </c>
      <c r="S24" s="514">
        <v>9.25</v>
      </c>
      <c r="T24" s="514">
        <v>9.4499999999999993</v>
      </c>
      <c r="U24" s="514">
        <v>9.4499999999999993</v>
      </c>
    </row>
    <row r="25" spans="1:21" s="701" customFormat="1" ht="12.75" customHeight="1">
      <c r="A25" s="741"/>
      <c r="B25" s="306"/>
      <c r="C25" s="1997" t="s">
        <v>1554</v>
      </c>
      <c r="D25" s="1997"/>
      <c r="E25" s="848">
        <v>11</v>
      </c>
      <c r="F25" s="760">
        <v>11</v>
      </c>
      <c r="G25" s="760">
        <v>11</v>
      </c>
      <c r="H25" s="760">
        <v>11</v>
      </c>
      <c r="I25" s="760">
        <v>11</v>
      </c>
      <c r="J25" s="760">
        <v>11</v>
      </c>
      <c r="K25" s="760">
        <v>11</v>
      </c>
      <c r="L25" s="760">
        <v>11</v>
      </c>
      <c r="M25" s="760">
        <v>11</v>
      </c>
      <c r="N25" s="760">
        <v>11</v>
      </c>
      <c r="O25" s="760">
        <v>11</v>
      </c>
      <c r="P25" s="760">
        <v>11</v>
      </c>
      <c r="Q25" s="760">
        <v>9</v>
      </c>
      <c r="R25" s="760">
        <v>10</v>
      </c>
      <c r="S25" s="760">
        <v>10</v>
      </c>
      <c r="T25" s="760">
        <v>10.199999999999999</v>
      </c>
      <c r="U25" s="760">
        <v>10.199999999999999</v>
      </c>
    </row>
    <row r="26" spans="1:21" s="701" customFormat="1" ht="12.75" customHeight="1">
      <c r="A26" s="740"/>
      <c r="B26" s="711"/>
      <c r="C26" s="2028" t="s">
        <v>1555</v>
      </c>
      <c r="D26" s="2028"/>
      <c r="E26" s="849">
        <v>12</v>
      </c>
      <c r="F26" s="511">
        <v>12</v>
      </c>
      <c r="G26" s="511">
        <v>12</v>
      </c>
      <c r="H26" s="511">
        <v>12</v>
      </c>
      <c r="I26" s="511">
        <v>12</v>
      </c>
      <c r="J26" s="511">
        <v>12</v>
      </c>
      <c r="K26" s="511">
        <v>12</v>
      </c>
      <c r="L26" s="511">
        <v>12</v>
      </c>
      <c r="M26" s="511">
        <v>12</v>
      </c>
      <c r="N26" s="511">
        <v>12</v>
      </c>
      <c r="O26" s="511">
        <v>12</v>
      </c>
      <c r="P26" s="511">
        <v>12</v>
      </c>
      <c r="Q26" s="511">
        <v>10.5</v>
      </c>
      <c r="R26" s="511">
        <v>11</v>
      </c>
      <c r="S26" s="511">
        <v>11</v>
      </c>
      <c r="T26" s="511">
        <v>11.2</v>
      </c>
      <c r="U26" s="511">
        <v>11.2</v>
      </c>
    </row>
    <row r="27" spans="1:21" s="707" customFormat="1" ht="12.75" customHeight="1">
      <c r="A27" s="741"/>
      <c r="B27" s="308"/>
      <c r="C27" s="2029" t="s">
        <v>1556</v>
      </c>
      <c r="D27" s="2029"/>
      <c r="E27" s="446">
        <v>12</v>
      </c>
      <c r="F27" s="41">
        <v>12</v>
      </c>
      <c r="G27" s="41">
        <v>12</v>
      </c>
      <c r="H27" s="41">
        <v>12</v>
      </c>
      <c r="I27" s="41">
        <v>12</v>
      </c>
      <c r="J27" s="41">
        <v>12</v>
      </c>
      <c r="K27" s="41">
        <v>12</v>
      </c>
      <c r="L27" s="41">
        <v>12</v>
      </c>
      <c r="M27" s="41">
        <v>12</v>
      </c>
      <c r="N27" s="41">
        <v>12</v>
      </c>
      <c r="O27" s="41">
        <v>12</v>
      </c>
      <c r="P27" s="41">
        <v>12</v>
      </c>
      <c r="Q27" s="41">
        <v>10.5</v>
      </c>
      <c r="R27" s="41" t="s">
        <v>2041</v>
      </c>
      <c r="S27" s="41" t="s">
        <v>2041</v>
      </c>
      <c r="T27" s="41" t="s">
        <v>2042</v>
      </c>
      <c r="U27" s="41" t="s">
        <v>2042</v>
      </c>
    </row>
    <row r="28" spans="1:21" s="701" customFormat="1" ht="13.5">
      <c r="A28" s="2022" t="s">
        <v>1689</v>
      </c>
      <c r="B28" s="2022"/>
      <c r="C28" s="2022"/>
      <c r="D28" s="2022"/>
      <c r="E28" s="601"/>
      <c r="F28" s="749"/>
      <c r="G28" s="708"/>
      <c r="H28" s="708"/>
      <c r="I28" s="708"/>
      <c r="J28" s="708"/>
      <c r="K28" s="708"/>
      <c r="L28" s="708"/>
      <c r="M28" s="708"/>
      <c r="N28" s="708"/>
      <c r="O28" s="710"/>
      <c r="P28" s="710"/>
      <c r="Q28" s="710"/>
      <c r="R28" s="710"/>
      <c r="S28" s="710"/>
      <c r="T28" s="710"/>
      <c r="U28" s="710"/>
    </row>
    <row r="29" spans="1:21" s="701" customFormat="1" ht="12.75" customHeight="1">
      <c r="A29" s="739"/>
      <c r="B29" s="704"/>
      <c r="C29" s="1995" t="s">
        <v>1561</v>
      </c>
      <c r="D29" s="1995"/>
      <c r="E29" s="703" t="s">
        <v>1005</v>
      </c>
      <c r="F29" s="703" t="s">
        <v>1005</v>
      </c>
      <c r="G29" s="703" t="s">
        <v>1005</v>
      </c>
      <c r="H29" s="703" t="s">
        <v>1005</v>
      </c>
      <c r="I29" s="703" t="s">
        <v>1005</v>
      </c>
      <c r="J29" s="703" t="s">
        <v>1005</v>
      </c>
      <c r="K29" s="745" t="s">
        <v>1548</v>
      </c>
      <c r="L29" s="745" t="s">
        <v>1548</v>
      </c>
      <c r="M29" s="745" t="s">
        <v>1548</v>
      </c>
      <c r="N29" s="745" t="s">
        <v>1548</v>
      </c>
      <c r="O29" s="745" t="s">
        <v>1548</v>
      </c>
      <c r="P29" s="745" t="s">
        <v>1548</v>
      </c>
      <c r="Q29" s="745" t="s">
        <v>1548</v>
      </c>
      <c r="R29" s="745" t="s">
        <v>1548</v>
      </c>
      <c r="S29" s="745" t="s">
        <v>1548</v>
      </c>
      <c r="T29" s="745" t="s">
        <v>1548</v>
      </c>
      <c r="U29" s="745" t="s">
        <v>1548</v>
      </c>
    </row>
    <row r="30" spans="1:21" s="701" customFormat="1" ht="12.75" customHeight="1">
      <c r="A30" s="738"/>
      <c r="B30" s="709"/>
      <c r="C30" s="1996" t="s">
        <v>1562</v>
      </c>
      <c r="D30" s="1996"/>
      <c r="E30" s="550" t="s">
        <v>1005</v>
      </c>
      <c r="F30" s="550" t="s">
        <v>1005</v>
      </c>
      <c r="G30" s="550" t="s">
        <v>1005</v>
      </c>
      <c r="H30" s="550" t="s">
        <v>1005</v>
      </c>
      <c r="I30" s="550" t="s">
        <v>1005</v>
      </c>
      <c r="J30" s="550" t="s">
        <v>1005</v>
      </c>
      <c r="K30" s="514">
        <v>6.5</v>
      </c>
      <c r="L30" s="514">
        <v>6.5</v>
      </c>
      <c r="M30" s="514">
        <v>6.5</v>
      </c>
      <c r="N30" s="514">
        <v>6.5</v>
      </c>
      <c r="O30" s="514">
        <v>6.5</v>
      </c>
      <c r="P30" s="514">
        <v>6.5</v>
      </c>
      <c r="Q30" s="514">
        <v>6.5</v>
      </c>
      <c r="R30" s="514">
        <v>6.5</v>
      </c>
      <c r="S30" s="514">
        <v>6.5</v>
      </c>
      <c r="T30" s="514">
        <v>6.5</v>
      </c>
      <c r="U30" s="514">
        <v>6.5</v>
      </c>
    </row>
    <row r="31" spans="1:21" s="701" customFormat="1" ht="12.75" customHeight="1">
      <c r="A31" s="739"/>
      <c r="B31" s="704"/>
      <c r="C31" s="1997" t="s">
        <v>1563</v>
      </c>
      <c r="D31" s="1997"/>
      <c r="E31" s="454" t="s">
        <v>1005</v>
      </c>
      <c r="F31" s="454" t="s">
        <v>1005</v>
      </c>
      <c r="G31" s="454" t="s">
        <v>1005</v>
      </c>
      <c r="H31" s="454" t="s">
        <v>1005</v>
      </c>
      <c r="I31" s="454" t="s">
        <v>1005</v>
      </c>
      <c r="J31" s="454" t="s">
        <v>1005</v>
      </c>
      <c r="K31" s="760">
        <v>7</v>
      </c>
      <c r="L31" s="760">
        <v>7</v>
      </c>
      <c r="M31" s="760">
        <v>7</v>
      </c>
      <c r="N31" s="760">
        <v>7</v>
      </c>
      <c r="O31" s="760">
        <v>7</v>
      </c>
      <c r="P31" s="760">
        <v>7</v>
      </c>
      <c r="Q31" s="760">
        <v>7</v>
      </c>
      <c r="R31" s="760">
        <v>7</v>
      </c>
      <c r="S31" s="760">
        <v>7</v>
      </c>
      <c r="T31" s="760">
        <v>7</v>
      </c>
      <c r="U31" s="760">
        <v>7</v>
      </c>
    </row>
    <row r="32" spans="1:21" s="701" customFormat="1" ht="12" customHeight="1">
      <c r="A32" s="738"/>
      <c r="B32" s="709"/>
      <c r="C32" s="1998" t="s">
        <v>1580</v>
      </c>
      <c r="D32" s="1998"/>
      <c r="E32" s="550" t="s">
        <v>1005</v>
      </c>
      <c r="F32" s="550" t="s">
        <v>1005</v>
      </c>
      <c r="G32" s="550" t="s">
        <v>1005</v>
      </c>
      <c r="H32" s="550" t="s">
        <v>1005</v>
      </c>
      <c r="I32" s="550" t="s">
        <v>1005</v>
      </c>
      <c r="J32" s="550" t="s">
        <v>1005</v>
      </c>
      <c r="K32" s="514">
        <v>7.5</v>
      </c>
      <c r="L32" s="514">
        <v>7.5</v>
      </c>
      <c r="M32" s="514">
        <v>7.5</v>
      </c>
      <c r="N32" s="514">
        <v>7.5</v>
      </c>
      <c r="O32" s="514">
        <v>7.5</v>
      </c>
      <c r="P32" s="514">
        <v>7.5</v>
      </c>
      <c r="Q32" s="514">
        <v>7.5</v>
      </c>
      <c r="R32" s="514">
        <v>7.5</v>
      </c>
      <c r="S32" s="514">
        <v>7.5</v>
      </c>
      <c r="T32" s="514">
        <v>7.5</v>
      </c>
      <c r="U32" s="514">
        <v>7.5</v>
      </c>
    </row>
    <row r="33" spans="1:21" s="306" customFormat="1">
      <c r="A33" s="2023" t="s">
        <v>1690</v>
      </c>
      <c r="B33" s="2023"/>
      <c r="C33" s="2023"/>
      <c r="D33" s="2023"/>
      <c r="E33" s="308"/>
      <c r="F33" s="699"/>
      <c r="K33" s="744"/>
      <c r="L33" s="744"/>
      <c r="M33" s="744"/>
      <c r="N33" s="744"/>
      <c r="O33" s="744"/>
      <c r="P33" s="744"/>
      <c r="Q33" s="744"/>
      <c r="R33" s="744"/>
      <c r="S33" s="744"/>
      <c r="T33" s="744"/>
      <c r="U33" s="744"/>
    </row>
    <row r="34" spans="1:21" s="306" customFormat="1" ht="12.75" customHeight="1">
      <c r="A34" s="742"/>
      <c r="B34" s="711"/>
      <c r="C34" s="1998" t="s">
        <v>1561</v>
      </c>
      <c r="D34" s="1998"/>
      <c r="E34" s="708" t="s">
        <v>1005</v>
      </c>
      <c r="F34" s="708" t="s">
        <v>1005</v>
      </c>
      <c r="G34" s="708" t="s">
        <v>1005</v>
      </c>
      <c r="H34" s="708" t="s">
        <v>1005</v>
      </c>
      <c r="I34" s="708" t="s">
        <v>1005</v>
      </c>
      <c r="J34" s="708" t="s">
        <v>1005</v>
      </c>
      <c r="K34" s="734" t="s">
        <v>1549</v>
      </c>
      <c r="L34" s="734" t="s">
        <v>1549</v>
      </c>
      <c r="M34" s="734" t="s">
        <v>1549</v>
      </c>
      <c r="N34" s="734" t="s">
        <v>1549</v>
      </c>
      <c r="O34" s="734" t="s">
        <v>1549</v>
      </c>
      <c r="P34" s="734" t="s">
        <v>1549</v>
      </c>
      <c r="Q34" s="734" t="s">
        <v>1549</v>
      </c>
      <c r="R34" s="734" t="s">
        <v>1549</v>
      </c>
      <c r="S34" s="734" t="s">
        <v>1549</v>
      </c>
      <c r="T34" s="734" t="s">
        <v>1549</v>
      </c>
      <c r="U34" s="734" t="s">
        <v>1549</v>
      </c>
    </row>
    <row r="35" spans="1:21" s="306" customFormat="1" ht="12.75" customHeight="1">
      <c r="A35" s="746"/>
      <c r="C35" s="1997" t="s">
        <v>1562</v>
      </c>
      <c r="D35" s="1997"/>
      <c r="E35" s="454" t="s">
        <v>1005</v>
      </c>
      <c r="F35" s="454" t="s">
        <v>1005</v>
      </c>
      <c r="G35" s="454" t="s">
        <v>1005</v>
      </c>
      <c r="H35" s="454" t="s">
        <v>1005</v>
      </c>
      <c r="I35" s="454" t="s">
        <v>1005</v>
      </c>
      <c r="J35" s="454" t="s">
        <v>1005</v>
      </c>
      <c r="K35" s="760">
        <v>5.5</v>
      </c>
      <c r="L35" s="760">
        <v>5.5</v>
      </c>
      <c r="M35" s="760">
        <v>5.5</v>
      </c>
      <c r="N35" s="760">
        <v>5.5</v>
      </c>
      <c r="O35" s="760">
        <v>5.5</v>
      </c>
      <c r="P35" s="760">
        <v>5.5</v>
      </c>
      <c r="Q35" s="760">
        <v>5.5</v>
      </c>
      <c r="R35" s="760">
        <v>5.5</v>
      </c>
      <c r="S35" s="760">
        <v>5.5</v>
      </c>
      <c r="T35" s="760">
        <v>5.5</v>
      </c>
      <c r="U35" s="760">
        <v>5.5</v>
      </c>
    </row>
    <row r="36" spans="1:21" s="306" customFormat="1" ht="12.75" customHeight="1">
      <c r="A36" s="742"/>
      <c r="B36" s="711"/>
      <c r="C36" s="1996" t="s">
        <v>1563</v>
      </c>
      <c r="D36" s="1996"/>
      <c r="E36" s="550" t="s">
        <v>1005</v>
      </c>
      <c r="F36" s="550" t="s">
        <v>1005</v>
      </c>
      <c r="G36" s="550" t="s">
        <v>1005</v>
      </c>
      <c r="H36" s="550" t="s">
        <v>1005</v>
      </c>
      <c r="I36" s="550" t="s">
        <v>1005</v>
      </c>
      <c r="J36" s="550" t="s">
        <v>1005</v>
      </c>
      <c r="K36" s="514">
        <v>6</v>
      </c>
      <c r="L36" s="514">
        <v>6</v>
      </c>
      <c r="M36" s="514">
        <v>6</v>
      </c>
      <c r="N36" s="514">
        <v>6</v>
      </c>
      <c r="O36" s="514">
        <v>6</v>
      </c>
      <c r="P36" s="514">
        <v>6</v>
      </c>
      <c r="Q36" s="514">
        <v>6</v>
      </c>
      <c r="R36" s="514">
        <v>6</v>
      </c>
      <c r="S36" s="514">
        <v>6</v>
      </c>
      <c r="T36" s="514">
        <v>6</v>
      </c>
      <c r="U36" s="514">
        <v>6</v>
      </c>
    </row>
    <row r="37" spans="1:21" s="306" customFormat="1" ht="12.75" customHeight="1">
      <c r="A37" s="746"/>
      <c r="C37" s="2003" t="s">
        <v>1580</v>
      </c>
      <c r="D37" s="2003"/>
      <c r="E37" s="454" t="s">
        <v>1005</v>
      </c>
      <c r="F37" s="454" t="s">
        <v>1005</v>
      </c>
      <c r="G37" s="454" t="s">
        <v>1005</v>
      </c>
      <c r="H37" s="454" t="s">
        <v>1005</v>
      </c>
      <c r="I37" s="454" t="s">
        <v>1005</v>
      </c>
      <c r="J37" s="454" t="s">
        <v>1005</v>
      </c>
      <c r="K37" s="760">
        <v>6.5</v>
      </c>
      <c r="L37" s="760">
        <v>6.5</v>
      </c>
      <c r="M37" s="760">
        <v>6.5</v>
      </c>
      <c r="N37" s="760">
        <v>6.5</v>
      </c>
      <c r="O37" s="760">
        <v>6.5</v>
      </c>
      <c r="P37" s="760">
        <v>6.5</v>
      </c>
      <c r="Q37" s="760">
        <v>6.5</v>
      </c>
      <c r="R37" s="760">
        <v>6.5</v>
      </c>
      <c r="S37" s="760">
        <v>6.5</v>
      </c>
      <c r="T37" s="760">
        <v>6.5</v>
      </c>
      <c r="U37" s="760">
        <v>6.5</v>
      </c>
    </row>
    <row r="38" spans="1:21" s="306" customFormat="1" ht="22.5" customHeight="1">
      <c r="A38" s="750" t="s">
        <v>140</v>
      </c>
      <c r="B38" s="2000" t="s">
        <v>1595</v>
      </c>
      <c r="C38" s="2000"/>
      <c r="D38" s="2000"/>
      <c r="E38" s="748" t="s">
        <v>142</v>
      </c>
      <c r="F38" s="748"/>
      <c r="G38" s="748"/>
      <c r="H38" s="748"/>
      <c r="I38" s="748"/>
      <c r="J38" s="748"/>
      <c r="K38" s="748"/>
      <c r="L38" s="748"/>
      <c r="M38" s="748"/>
      <c r="N38" s="748"/>
      <c r="O38" s="751"/>
      <c r="P38" s="751"/>
      <c r="Q38" s="751"/>
      <c r="R38" s="751"/>
      <c r="S38" s="751"/>
      <c r="T38" s="751"/>
      <c r="U38" s="751"/>
    </row>
    <row r="39" spans="1:21" s="306" customFormat="1" ht="13.5" customHeight="1">
      <c r="A39" s="739"/>
      <c r="B39" s="2002" t="s">
        <v>1558</v>
      </c>
      <c r="C39" s="2002"/>
      <c r="D39" s="2002"/>
      <c r="E39" s="703"/>
      <c r="F39" s="703"/>
      <c r="G39" s="703"/>
      <c r="H39" s="703"/>
      <c r="I39" s="703"/>
      <c r="J39" s="703"/>
      <c r="K39" s="703"/>
      <c r="L39" s="703"/>
      <c r="M39" s="703"/>
      <c r="N39" s="703"/>
      <c r="O39" s="705"/>
      <c r="P39" s="705"/>
      <c r="Q39" s="705"/>
      <c r="R39" s="705"/>
      <c r="S39" s="705"/>
      <c r="T39" s="705"/>
      <c r="U39" s="705"/>
    </row>
    <row r="40" spans="1:21" s="306" customFormat="1" ht="13.5" customHeight="1">
      <c r="A40" s="738"/>
      <c r="B40" s="709"/>
      <c r="C40" s="2001" t="s">
        <v>594</v>
      </c>
      <c r="D40" s="2001"/>
      <c r="E40" s="708" t="s">
        <v>1005</v>
      </c>
      <c r="F40" s="550">
        <v>13</v>
      </c>
      <c r="G40" s="550">
        <v>13</v>
      </c>
      <c r="H40" s="550">
        <v>13</v>
      </c>
      <c r="I40" s="550">
        <v>13</v>
      </c>
      <c r="J40" s="550">
        <v>13</v>
      </c>
      <c r="K40" s="550">
        <v>13</v>
      </c>
      <c r="L40" s="550">
        <v>13</v>
      </c>
      <c r="M40" s="550">
        <v>13</v>
      </c>
      <c r="N40" s="550">
        <v>13</v>
      </c>
      <c r="O40" s="502">
        <v>12</v>
      </c>
      <c r="P40" s="502">
        <v>12</v>
      </c>
      <c r="Q40" s="502">
        <v>12</v>
      </c>
      <c r="R40" s="502">
        <v>12</v>
      </c>
      <c r="S40" s="502">
        <v>12</v>
      </c>
      <c r="T40" s="502">
        <v>12</v>
      </c>
      <c r="U40" s="502">
        <v>12</v>
      </c>
    </row>
    <row r="41" spans="1:21" s="306" customFormat="1" ht="13.5" customHeight="1">
      <c r="A41" s="739"/>
      <c r="B41" s="704"/>
      <c r="C41" s="1999" t="s">
        <v>593</v>
      </c>
      <c r="D41" s="1999"/>
      <c r="E41" s="703" t="s">
        <v>1005</v>
      </c>
      <c r="F41" s="454">
        <v>15</v>
      </c>
      <c r="G41" s="454">
        <v>15</v>
      </c>
      <c r="H41" s="454">
        <v>15</v>
      </c>
      <c r="I41" s="454">
        <v>15</v>
      </c>
      <c r="J41" s="454">
        <v>15</v>
      </c>
      <c r="K41" s="454">
        <v>15</v>
      </c>
      <c r="L41" s="454">
        <v>15</v>
      </c>
      <c r="M41" s="454">
        <v>15</v>
      </c>
      <c r="N41" s="454">
        <v>15</v>
      </c>
      <c r="O41" s="417">
        <v>12</v>
      </c>
      <c r="P41" s="417">
        <v>12</v>
      </c>
      <c r="Q41" s="417">
        <v>12</v>
      </c>
      <c r="R41" s="417">
        <v>12</v>
      </c>
      <c r="S41" s="417">
        <v>12</v>
      </c>
      <c r="T41" s="417">
        <v>12</v>
      </c>
      <c r="U41" s="417">
        <v>12</v>
      </c>
    </row>
    <row r="42" spans="1:21" s="306" customFormat="1" ht="13.5" customHeight="1" thickBot="1">
      <c r="A42" s="752"/>
      <c r="B42" s="1994" t="s">
        <v>1559</v>
      </c>
      <c r="C42" s="1994"/>
      <c r="D42" s="1994"/>
      <c r="E42" s="753" t="s">
        <v>1005</v>
      </c>
      <c r="F42" s="614">
        <v>10</v>
      </c>
      <c r="G42" s="614">
        <v>10</v>
      </c>
      <c r="H42" s="614">
        <v>10</v>
      </c>
      <c r="I42" s="614">
        <v>10</v>
      </c>
      <c r="J42" s="614">
        <v>10</v>
      </c>
      <c r="K42" s="614">
        <v>10</v>
      </c>
      <c r="L42" s="614">
        <v>10</v>
      </c>
      <c r="M42" s="614">
        <v>10</v>
      </c>
      <c r="N42" s="614">
        <v>10</v>
      </c>
      <c r="O42" s="837">
        <v>10</v>
      </c>
      <c r="P42" s="837">
        <v>10</v>
      </c>
      <c r="Q42" s="837">
        <v>10</v>
      </c>
      <c r="R42" s="837">
        <v>10</v>
      </c>
      <c r="S42" s="837">
        <v>10</v>
      </c>
      <c r="T42" s="837">
        <v>10</v>
      </c>
      <c r="U42" s="837">
        <v>10</v>
      </c>
    </row>
    <row r="43" spans="1:21" s="308" customFormat="1" ht="10.5" customHeight="1">
      <c r="A43" s="754" t="s">
        <v>51</v>
      </c>
      <c r="B43" s="492"/>
      <c r="C43" s="1993" t="s">
        <v>2661</v>
      </c>
      <c r="D43" s="1993"/>
      <c r="E43" s="1993"/>
      <c r="F43" s="839"/>
      <c r="G43" s="839"/>
      <c r="H43" s="839"/>
      <c r="I43" s="839"/>
      <c r="K43" s="758" t="s">
        <v>2664</v>
      </c>
      <c r="L43" s="839"/>
      <c r="M43" s="839"/>
      <c r="N43" s="491"/>
      <c r="O43" s="756"/>
      <c r="P43" s="706"/>
      <c r="Q43" s="706"/>
      <c r="R43" s="706"/>
      <c r="S43" s="706"/>
      <c r="T43" s="706"/>
      <c r="U43" s="706"/>
    </row>
    <row r="44" spans="1:21" s="491" customFormat="1" ht="9.75" customHeight="1">
      <c r="A44" s="754"/>
      <c r="B44" s="492"/>
      <c r="C44" s="1993" t="s">
        <v>2662</v>
      </c>
      <c r="D44" s="1993"/>
      <c r="E44" s="1993"/>
      <c r="F44" s="1993"/>
      <c r="G44" s="1993"/>
      <c r="H44" s="1993"/>
      <c r="I44" s="1993"/>
      <c r="K44" s="758" t="s">
        <v>2665</v>
      </c>
      <c r="L44" s="219"/>
      <c r="M44" s="18"/>
      <c r="N44" s="219"/>
      <c r="O44" s="219"/>
      <c r="P44" s="756"/>
    </row>
    <row r="45" spans="1:21" s="491" customFormat="1" ht="9.75" customHeight="1">
      <c r="A45" s="755"/>
      <c r="B45" s="492"/>
      <c r="C45" s="1993" t="s">
        <v>2663</v>
      </c>
      <c r="D45" s="1993"/>
      <c r="E45" s="1993"/>
      <c r="G45" s="756"/>
      <c r="H45" s="756"/>
      <c r="I45" s="756"/>
      <c r="K45" s="758" t="s">
        <v>2666</v>
      </c>
      <c r="L45" s="756"/>
    </row>
    <row r="46" spans="1:21" s="491" customFormat="1" ht="9.75" customHeight="1">
      <c r="A46" s="755"/>
      <c r="B46" s="492"/>
      <c r="C46" s="219" t="s">
        <v>833</v>
      </c>
      <c r="H46" s="756"/>
      <c r="I46" s="756"/>
      <c r="J46" s="756"/>
      <c r="K46" s="758" t="s">
        <v>2667</v>
      </c>
    </row>
    <row r="47" spans="1:21" s="18" customFormat="1" ht="9.75" customHeight="1">
      <c r="A47" s="1304" t="s">
        <v>560</v>
      </c>
      <c r="C47" s="18" t="s">
        <v>2508</v>
      </c>
      <c r="H47" s="219"/>
      <c r="I47" s="219"/>
      <c r="J47" s="219"/>
      <c r="K47" s="758" t="s">
        <v>2668</v>
      </c>
    </row>
    <row r="48" spans="1:21" s="18" customFormat="1" ht="9.75" customHeight="1">
      <c r="A48" s="757"/>
      <c r="D48" s="219"/>
      <c r="E48" s="219"/>
      <c r="F48" s="219"/>
      <c r="G48" s="219"/>
      <c r="H48" s="219"/>
      <c r="I48" s="219"/>
      <c r="J48" s="219"/>
    </row>
    <row r="54" spans="2:10">
      <c r="B54" s="724"/>
      <c r="C54" s="727"/>
      <c r="D54" s="728"/>
      <c r="E54" s="720"/>
      <c r="F54" s="721"/>
      <c r="G54" s="722"/>
      <c r="H54" s="723"/>
      <c r="I54" s="722"/>
      <c r="J54" s="722"/>
    </row>
    <row r="55" spans="2:10">
      <c r="B55" s="729"/>
      <c r="C55" s="727"/>
      <c r="D55" s="730"/>
      <c r="E55" s="720"/>
      <c r="F55" s="731"/>
      <c r="G55" s="722"/>
      <c r="H55" s="723"/>
      <c r="I55" s="731"/>
      <c r="J55" s="731"/>
    </row>
    <row r="56" spans="2:10">
      <c r="B56" s="732"/>
      <c r="C56" s="732"/>
      <c r="D56" s="726"/>
      <c r="E56" s="732"/>
      <c r="F56" s="733"/>
      <c r="G56" s="732"/>
      <c r="H56" s="732"/>
      <c r="I56" s="732"/>
      <c r="J56" s="732"/>
    </row>
    <row r="57" spans="2:10">
      <c r="B57" s="725"/>
      <c r="C57" s="732"/>
      <c r="D57" s="726"/>
      <c r="E57" s="732"/>
      <c r="F57" s="733"/>
      <c r="G57" s="732"/>
      <c r="H57" s="732"/>
      <c r="I57" s="732"/>
      <c r="J57" s="732"/>
    </row>
  </sheetData>
  <mergeCells count="46">
    <mergeCell ref="A28:D28"/>
    <mergeCell ref="A33:D33"/>
    <mergeCell ref="B19:D19"/>
    <mergeCell ref="C11:D11"/>
    <mergeCell ref="B12:D12"/>
    <mergeCell ref="A16:D16"/>
    <mergeCell ref="A21:D21"/>
    <mergeCell ref="B20:D20"/>
    <mergeCell ref="C24:D24"/>
    <mergeCell ref="C25:D25"/>
    <mergeCell ref="C26:D26"/>
    <mergeCell ref="C27:D27"/>
    <mergeCell ref="B8:D8"/>
    <mergeCell ref="S1:U1"/>
    <mergeCell ref="A1:I1"/>
    <mergeCell ref="J1:R1"/>
    <mergeCell ref="A2:D3"/>
    <mergeCell ref="B7:D7"/>
    <mergeCell ref="C45:E45"/>
    <mergeCell ref="B39:D39"/>
    <mergeCell ref="C37:D37"/>
    <mergeCell ref="B4:D4"/>
    <mergeCell ref="C9:D9"/>
    <mergeCell ref="C10:D10"/>
    <mergeCell ref="B18:D18"/>
    <mergeCell ref="C32:D32"/>
    <mergeCell ref="B17:D17"/>
    <mergeCell ref="B5:D5"/>
    <mergeCell ref="C13:D13"/>
    <mergeCell ref="C23:D23"/>
    <mergeCell ref="C14:D14"/>
    <mergeCell ref="C15:D15"/>
    <mergeCell ref="C22:D22"/>
    <mergeCell ref="A6:D6"/>
    <mergeCell ref="C44:I44"/>
    <mergeCell ref="B42:D42"/>
    <mergeCell ref="C29:D29"/>
    <mergeCell ref="C30:D30"/>
    <mergeCell ref="C31:D31"/>
    <mergeCell ref="C36:D36"/>
    <mergeCell ref="C34:D34"/>
    <mergeCell ref="C35:D35"/>
    <mergeCell ref="C41:D41"/>
    <mergeCell ref="B38:D38"/>
    <mergeCell ref="C43:E43"/>
    <mergeCell ref="C40:D40"/>
  </mergeCells>
  <phoneticPr fontId="0" type="noConversion"/>
  <pageMargins left="0.511811023622047" right="0.511811023622047" top="0.511811023622047" bottom="0.511811023622047" header="0" footer="0.43307086614173201"/>
  <pageSetup paperSize="151" firstPageNumber="64" orientation="portrait" useFirstPageNumber="1" r:id="rId1"/>
  <headerFooter alignWithMargins="0">
    <oddFooter>&amp;C&amp;"Times New Roman,Regular"&amp;8&amp;P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BL50"/>
  <sheetViews>
    <sheetView zoomScale="140" zoomScaleNormal="140" workbookViewId="0">
      <pane xSplit="2" ySplit="5" topLeftCell="AR39" activePane="bottomRight" state="frozen"/>
      <selection pane="topRight" activeCell="C1" sqref="C1"/>
      <selection pane="bottomLeft" activeCell="A6" sqref="A6"/>
      <selection pane="bottomRight" activeCell="AW24" sqref="AW24"/>
    </sheetView>
  </sheetViews>
  <sheetFormatPr defaultColWidth="9.140625" defaultRowHeight="11.25"/>
  <cols>
    <col min="1" max="1" width="3" style="10" customWidth="1"/>
    <col min="2" max="2" width="16.28515625" style="18" customWidth="1"/>
    <col min="3" max="3" width="7.7109375" style="10" customWidth="1"/>
    <col min="4" max="4" width="7.42578125" style="10" customWidth="1"/>
    <col min="5" max="5" width="7.140625" style="10" customWidth="1"/>
    <col min="6" max="9" width="7.85546875" style="10" customWidth="1"/>
    <col min="10" max="10" width="7.7109375" style="10" customWidth="1"/>
    <col min="11" max="11" width="8.5703125" style="10" customWidth="1"/>
    <col min="12" max="12" width="8.85546875" style="10" bestFit="1" customWidth="1"/>
    <col min="13" max="13" width="8.140625" style="10" customWidth="1"/>
    <col min="14" max="14" width="7.5703125" style="10" customWidth="1"/>
    <col min="15" max="15" width="8.85546875" style="10" bestFit="1" customWidth="1"/>
    <col min="16" max="16" width="8" style="10" customWidth="1"/>
    <col min="17" max="17" width="6.5703125" style="10" customWidth="1"/>
    <col min="18" max="18" width="4.140625" style="10" customWidth="1"/>
    <col min="19" max="19" width="18" style="18" customWidth="1"/>
    <col min="20" max="20" width="6.7109375" style="10" customWidth="1"/>
    <col min="21" max="21" width="15.5703125" style="18" customWidth="1"/>
    <col min="22" max="22" width="10" style="10" customWidth="1"/>
    <col min="23" max="23" width="8.42578125" style="10" customWidth="1"/>
    <col min="24" max="24" width="10.42578125" style="10" customWidth="1"/>
    <col min="25" max="25" width="9.85546875" style="10" customWidth="1"/>
    <col min="26" max="27" width="9.7109375" style="10" customWidth="1"/>
    <col min="28" max="28" width="10.5703125" style="10" customWidth="1"/>
    <col min="29" max="30" width="9.28515625" style="10" customWidth="1"/>
    <col min="31" max="31" width="11.85546875" style="10" customWidth="1"/>
    <col min="32" max="32" width="10.140625" style="10" customWidth="1"/>
    <col min="33" max="33" width="9.7109375" style="10" customWidth="1"/>
    <col min="34" max="34" width="3" style="10" customWidth="1"/>
    <col min="35" max="35" width="16.42578125" style="18" customWidth="1"/>
    <col min="36" max="36" width="3" style="10" customWidth="1"/>
    <col min="37" max="37" width="16.5703125" style="18" customWidth="1"/>
    <col min="38" max="38" width="9.140625" style="10" customWidth="1"/>
    <col min="39" max="39" width="10" style="10" customWidth="1"/>
    <col min="40" max="40" width="9.28515625" style="10" customWidth="1"/>
    <col min="41" max="41" width="9" style="10" customWidth="1"/>
    <col min="42" max="42" width="10.42578125" style="10" customWidth="1"/>
    <col min="43" max="43" width="10" style="10" customWidth="1"/>
    <col min="44" max="44" width="10.140625" style="10" customWidth="1"/>
    <col min="45" max="45" width="8.7109375" style="10" customWidth="1"/>
    <col min="46" max="46" width="9.85546875" style="10" customWidth="1"/>
    <col min="47" max="47" width="8.7109375" style="10" customWidth="1"/>
    <col min="48" max="48" width="8" style="10" customWidth="1"/>
    <col min="49" max="49" width="7.42578125" style="10" customWidth="1"/>
    <col min="50" max="50" width="9.140625" style="10" customWidth="1"/>
    <col min="51" max="51" width="3" style="10" customWidth="1"/>
    <col min="52" max="52" width="15.42578125" style="18" customWidth="1"/>
    <col min="53" max="53" width="3" style="10" customWidth="1"/>
    <col min="54" max="54" width="18" style="18" customWidth="1"/>
    <col min="55" max="55" width="13.5703125" style="10" customWidth="1"/>
    <col min="56" max="56" width="13.85546875" style="10" customWidth="1"/>
    <col min="57" max="57" width="15.42578125" style="10" customWidth="1"/>
    <col min="58" max="58" width="14.28515625" style="10" customWidth="1"/>
    <col min="59" max="59" width="15.7109375" style="10" customWidth="1"/>
    <col min="60" max="61" width="14.28515625" style="10" customWidth="1"/>
    <col min="62" max="62" width="13" style="10" customWidth="1"/>
    <col min="63" max="63" width="3" style="10" customWidth="1"/>
    <col min="64" max="64" width="16.7109375" style="18" customWidth="1"/>
    <col min="65" max="16384" width="9.140625" style="10"/>
  </cols>
  <sheetData>
    <row r="1" spans="1:64" s="2" customFormat="1" ht="13.5" customHeight="1">
      <c r="B1" s="2033" t="s">
        <v>1482</v>
      </c>
      <c r="C1" s="2033"/>
      <c r="D1" s="2033"/>
      <c r="E1" s="2033"/>
      <c r="F1" s="2033"/>
      <c r="G1" s="2033"/>
      <c r="H1" s="2033"/>
      <c r="I1" s="2033"/>
      <c r="J1" s="2033"/>
      <c r="K1" s="2034" t="s">
        <v>2756</v>
      </c>
      <c r="L1" s="2034"/>
      <c r="M1" s="2034"/>
      <c r="N1" s="2034"/>
      <c r="O1" s="2034"/>
      <c r="P1" s="2034"/>
      <c r="Q1" s="2034"/>
      <c r="R1" s="2033" t="s">
        <v>2084</v>
      </c>
      <c r="S1" s="2033"/>
      <c r="T1" s="2033" t="s">
        <v>2046</v>
      </c>
      <c r="U1" s="2033"/>
      <c r="V1" s="2033"/>
      <c r="W1" s="2033"/>
      <c r="X1" s="2033"/>
      <c r="Y1" s="2033"/>
      <c r="Z1" s="2033"/>
      <c r="AA1" s="2033"/>
      <c r="AB1" s="2034" t="s">
        <v>2756</v>
      </c>
      <c r="AC1" s="2034"/>
      <c r="AD1" s="2034"/>
      <c r="AE1" s="2034"/>
      <c r="AF1" s="2034"/>
      <c r="AG1" s="2034"/>
      <c r="AH1" s="2033" t="s">
        <v>2084</v>
      </c>
      <c r="AI1" s="2033"/>
      <c r="AJ1" s="2033" t="s">
        <v>1921</v>
      </c>
      <c r="AK1" s="2033"/>
      <c r="AL1" s="2033"/>
      <c r="AM1" s="2033"/>
      <c r="AN1" s="2033"/>
      <c r="AO1" s="2033"/>
      <c r="AP1" s="2033"/>
      <c r="AQ1" s="2033"/>
      <c r="AR1" s="2034" t="s">
        <v>2756</v>
      </c>
      <c r="AS1" s="2034"/>
      <c r="AT1" s="2034"/>
      <c r="AU1" s="2034"/>
      <c r="AV1" s="2034"/>
      <c r="AW1" s="2034"/>
      <c r="AX1" s="1522"/>
      <c r="AY1" s="2033" t="s">
        <v>2084</v>
      </c>
      <c r="AZ1" s="2033"/>
      <c r="BB1" s="222"/>
      <c r="BC1" s="2033" t="s">
        <v>1482</v>
      </c>
      <c r="BD1" s="2033"/>
      <c r="BE1" s="2033"/>
      <c r="BF1" s="2033"/>
      <c r="BG1" s="2035" t="s">
        <v>2757</v>
      </c>
      <c r="BH1" s="2035"/>
      <c r="BI1" s="2035"/>
      <c r="BJ1" s="2035"/>
      <c r="BK1" s="2033" t="s">
        <v>2085</v>
      </c>
      <c r="BL1" s="2033"/>
    </row>
    <row r="2" spans="1:64" ht="11.25" customHeight="1">
      <c r="C2" s="175"/>
      <c r="D2" s="175"/>
      <c r="E2" s="175"/>
      <c r="F2" s="175"/>
      <c r="G2" s="175"/>
      <c r="H2" s="175"/>
      <c r="I2" s="175"/>
      <c r="J2" s="175"/>
      <c r="K2" s="2037"/>
      <c r="L2" s="2037"/>
      <c r="M2" s="77"/>
      <c r="N2" s="77"/>
      <c r="O2" s="77"/>
      <c r="P2" s="77"/>
      <c r="R2" s="223"/>
      <c r="S2" s="215" t="s">
        <v>902</v>
      </c>
      <c r="X2" s="2045"/>
      <c r="Y2" s="2045"/>
      <c r="Z2" s="22"/>
      <c r="AA2" s="22"/>
      <c r="AB2" s="22"/>
      <c r="AC2" s="22"/>
      <c r="AD2" s="22"/>
      <c r="AE2" s="22"/>
      <c r="AF2" s="22"/>
      <c r="AG2" s="77"/>
      <c r="AH2" s="223"/>
      <c r="AI2" s="215" t="s">
        <v>902</v>
      </c>
      <c r="AJ2" s="223"/>
      <c r="AK2" s="215"/>
      <c r="AM2" s="175"/>
      <c r="AN2" s="175"/>
      <c r="AO2" s="60"/>
      <c r="AP2" s="22"/>
      <c r="AQ2" s="22"/>
      <c r="AR2" s="22"/>
      <c r="AS2" s="22"/>
      <c r="AT2" s="22"/>
      <c r="AU2" s="22"/>
      <c r="AV2" s="22"/>
      <c r="AW2" s="77"/>
      <c r="AX2" s="77"/>
      <c r="AY2" s="223"/>
      <c r="AZ2" s="215" t="s">
        <v>902</v>
      </c>
      <c r="BC2" s="175"/>
      <c r="BD2" s="175"/>
      <c r="BE2" s="2044"/>
      <c r="BF2" s="2044"/>
      <c r="BG2" s="2037"/>
      <c r="BH2" s="2037"/>
      <c r="BI2" s="2037"/>
      <c r="BJ2" s="77"/>
      <c r="BK2" s="223"/>
      <c r="BL2" s="215" t="s">
        <v>902</v>
      </c>
    </row>
    <row r="3" spans="1:64" s="249" customFormat="1" ht="13.5" customHeight="1">
      <c r="A3" s="1717" t="s">
        <v>229</v>
      </c>
      <c r="B3" s="1718"/>
      <c r="C3" s="2041" t="s">
        <v>161</v>
      </c>
      <c r="D3" s="2042"/>
      <c r="E3" s="2042"/>
      <c r="F3" s="2042"/>
      <c r="G3" s="2042"/>
      <c r="H3" s="2043"/>
      <c r="I3" s="2041" t="s">
        <v>230</v>
      </c>
      <c r="J3" s="2042"/>
      <c r="K3" s="2041" t="s">
        <v>231</v>
      </c>
      <c r="L3" s="2042"/>
      <c r="M3" s="2042"/>
      <c r="N3" s="2042"/>
      <c r="O3" s="2042"/>
      <c r="P3" s="2042"/>
      <c r="Q3" s="2043"/>
      <c r="R3" s="1717" t="s">
        <v>229</v>
      </c>
      <c r="S3" s="1718"/>
      <c r="T3" s="1717" t="s">
        <v>229</v>
      </c>
      <c r="U3" s="1718"/>
      <c r="V3" s="2041" t="s">
        <v>1022</v>
      </c>
      <c r="W3" s="2042"/>
      <c r="X3" s="2042"/>
      <c r="Y3" s="2042"/>
      <c r="Z3" s="2042"/>
      <c r="AA3" s="2042"/>
      <c r="AB3" s="2042"/>
      <c r="AC3" s="2042"/>
      <c r="AD3" s="2042"/>
      <c r="AE3" s="2042"/>
      <c r="AF3" s="2042"/>
      <c r="AG3" s="2043"/>
      <c r="AH3" s="1717" t="s">
        <v>229</v>
      </c>
      <c r="AI3" s="1718"/>
      <c r="AJ3" s="2046" t="s">
        <v>229</v>
      </c>
      <c r="AK3" s="2047"/>
      <c r="AL3" s="2041" t="s">
        <v>1023</v>
      </c>
      <c r="AM3" s="2042"/>
      <c r="AN3" s="2042"/>
      <c r="AO3" s="2042"/>
      <c r="AP3" s="2042"/>
      <c r="AQ3" s="2042"/>
      <c r="AR3" s="2042"/>
      <c r="AS3" s="2042"/>
      <c r="AT3" s="2042"/>
      <c r="AU3" s="2042"/>
      <c r="AV3" s="2042"/>
      <c r="AW3" s="2042"/>
      <c r="AX3" s="2043"/>
      <c r="AY3" s="1717" t="s">
        <v>229</v>
      </c>
      <c r="AZ3" s="1718"/>
      <c r="BA3" s="1717" t="s">
        <v>229</v>
      </c>
      <c r="BB3" s="1718"/>
      <c r="BC3" s="2041" t="s">
        <v>1024</v>
      </c>
      <c r="BD3" s="2042"/>
      <c r="BE3" s="2042"/>
      <c r="BF3" s="2042"/>
      <c r="BG3" s="2042"/>
      <c r="BH3" s="2042"/>
      <c r="BI3" s="2042"/>
      <c r="BJ3" s="2043"/>
      <c r="BK3" s="1717" t="s">
        <v>229</v>
      </c>
      <c r="BL3" s="1718"/>
    </row>
    <row r="4" spans="1:64" s="453" customFormat="1" ht="21" customHeight="1">
      <c r="A4" s="1719"/>
      <c r="B4" s="1720"/>
      <c r="C4" s="1566" t="s">
        <v>232</v>
      </c>
      <c r="D4" s="1566" t="s">
        <v>233</v>
      </c>
      <c r="E4" s="1566" t="s">
        <v>234</v>
      </c>
      <c r="F4" s="1566" t="s">
        <v>235</v>
      </c>
      <c r="G4" s="1566" t="s">
        <v>237</v>
      </c>
      <c r="H4" s="1566" t="s">
        <v>845</v>
      </c>
      <c r="I4" s="1566" t="s">
        <v>2778</v>
      </c>
      <c r="J4" s="1566" t="s">
        <v>236</v>
      </c>
      <c r="K4" s="1565" t="s">
        <v>666</v>
      </c>
      <c r="L4" s="1566" t="s">
        <v>238</v>
      </c>
      <c r="M4" s="1566" t="s">
        <v>239</v>
      </c>
      <c r="N4" s="1566" t="s">
        <v>240</v>
      </c>
      <c r="O4" s="1566" t="s">
        <v>241</v>
      </c>
      <c r="P4" s="1566" t="s">
        <v>242</v>
      </c>
      <c r="Q4" s="1566" t="s">
        <v>243</v>
      </c>
      <c r="R4" s="1719"/>
      <c r="S4" s="1720"/>
      <c r="T4" s="1719"/>
      <c r="U4" s="1720"/>
      <c r="V4" s="1566" t="s">
        <v>266</v>
      </c>
      <c r="W4" s="1566" t="s">
        <v>267</v>
      </c>
      <c r="X4" s="1566" t="s">
        <v>2766</v>
      </c>
      <c r="Y4" s="1566" t="s">
        <v>268</v>
      </c>
      <c r="Z4" s="1566" t="s">
        <v>269</v>
      </c>
      <c r="AA4" s="1566" t="s">
        <v>2767</v>
      </c>
      <c r="AB4" s="1566" t="s">
        <v>270</v>
      </c>
      <c r="AC4" s="1566" t="s">
        <v>2047</v>
      </c>
      <c r="AD4" s="1566" t="s">
        <v>2048</v>
      </c>
      <c r="AE4" s="1566" t="s">
        <v>1940</v>
      </c>
      <c r="AF4" s="1566" t="s">
        <v>1941</v>
      </c>
      <c r="AG4" s="1566" t="s">
        <v>271</v>
      </c>
      <c r="AH4" s="1719"/>
      <c r="AI4" s="1720"/>
      <c r="AJ4" s="2048"/>
      <c r="AK4" s="2049"/>
      <c r="AL4" s="1566" t="s">
        <v>272</v>
      </c>
      <c r="AM4" s="1566" t="s">
        <v>273</v>
      </c>
      <c r="AN4" s="1566" t="s">
        <v>1920</v>
      </c>
      <c r="AO4" s="1566" t="s">
        <v>274</v>
      </c>
      <c r="AP4" s="1566" t="s">
        <v>275</v>
      </c>
      <c r="AQ4" s="1566" t="s">
        <v>1922</v>
      </c>
      <c r="AR4" s="1566" t="s">
        <v>1917</v>
      </c>
      <c r="AS4" s="1566" t="s">
        <v>1918</v>
      </c>
      <c r="AT4" s="1325" t="s">
        <v>1919</v>
      </c>
      <c r="AU4" s="1566" t="s">
        <v>276</v>
      </c>
      <c r="AV4" s="1566" t="s">
        <v>277</v>
      </c>
      <c r="AW4" s="1566" t="s">
        <v>278</v>
      </c>
      <c r="AX4" s="1566" t="s">
        <v>2726</v>
      </c>
      <c r="AY4" s="1719"/>
      <c r="AZ4" s="1720"/>
      <c r="BA4" s="1719"/>
      <c r="BB4" s="1720"/>
      <c r="BC4" s="1565" t="s">
        <v>1489</v>
      </c>
      <c r="BD4" s="1566" t="s">
        <v>284</v>
      </c>
      <c r="BE4" s="1566" t="s">
        <v>279</v>
      </c>
      <c r="BF4" s="1566" t="s">
        <v>280</v>
      </c>
      <c r="BG4" s="1565" t="s">
        <v>281</v>
      </c>
      <c r="BH4" s="1566" t="s">
        <v>228</v>
      </c>
      <c r="BI4" s="1566" t="s">
        <v>282</v>
      </c>
      <c r="BJ4" s="1566" t="s">
        <v>1025</v>
      </c>
      <c r="BK4" s="1719"/>
      <c r="BL4" s="1720"/>
    </row>
    <row r="5" spans="1:64" s="155" customFormat="1" ht="10.5" customHeight="1">
      <c r="A5" s="1721"/>
      <c r="B5" s="1722"/>
      <c r="C5" s="231">
        <v>1</v>
      </c>
      <c r="D5" s="397">
        <v>2</v>
      </c>
      <c r="E5" s="231">
        <v>3</v>
      </c>
      <c r="F5" s="397">
        <v>4</v>
      </c>
      <c r="G5" s="231">
        <v>5</v>
      </c>
      <c r="H5" s="231">
        <v>6</v>
      </c>
      <c r="I5" s="231">
        <v>7</v>
      </c>
      <c r="J5" s="397">
        <v>8</v>
      </c>
      <c r="K5" s="232">
        <v>9</v>
      </c>
      <c r="L5" s="397">
        <v>10</v>
      </c>
      <c r="M5" s="231">
        <v>11</v>
      </c>
      <c r="N5" s="397">
        <v>12</v>
      </c>
      <c r="O5" s="231">
        <v>13</v>
      </c>
      <c r="P5" s="397">
        <v>14</v>
      </c>
      <c r="Q5" s="231">
        <v>15</v>
      </c>
      <c r="R5" s="1721"/>
      <c r="S5" s="1722"/>
      <c r="T5" s="1721"/>
      <c r="U5" s="1722"/>
      <c r="V5" s="231">
        <v>16</v>
      </c>
      <c r="W5" s="397">
        <v>17</v>
      </c>
      <c r="X5" s="231">
        <v>18</v>
      </c>
      <c r="Y5" s="231">
        <v>19</v>
      </c>
      <c r="Z5" s="231">
        <v>20</v>
      </c>
      <c r="AA5" s="231">
        <v>21</v>
      </c>
      <c r="AB5" s="397">
        <v>22</v>
      </c>
      <c r="AC5" s="397">
        <v>23</v>
      </c>
      <c r="AD5" s="397">
        <v>24</v>
      </c>
      <c r="AE5" s="397">
        <v>25</v>
      </c>
      <c r="AF5" s="397">
        <v>26</v>
      </c>
      <c r="AG5" s="373">
        <v>27</v>
      </c>
      <c r="AH5" s="1721"/>
      <c r="AI5" s="1722"/>
      <c r="AJ5" s="2050"/>
      <c r="AK5" s="2051"/>
      <c r="AL5" s="231">
        <v>28</v>
      </c>
      <c r="AM5" s="397">
        <v>29</v>
      </c>
      <c r="AN5" s="231">
        <v>30</v>
      </c>
      <c r="AO5" s="397">
        <v>31</v>
      </c>
      <c r="AP5" s="231">
        <v>32</v>
      </c>
      <c r="AQ5" s="397">
        <v>33</v>
      </c>
      <c r="AR5" s="231">
        <v>34</v>
      </c>
      <c r="AS5" s="397">
        <v>35</v>
      </c>
      <c r="AT5" s="231">
        <v>36</v>
      </c>
      <c r="AU5" s="397">
        <v>37</v>
      </c>
      <c r="AV5" s="231">
        <v>38</v>
      </c>
      <c r="AW5" s="1521">
        <v>39</v>
      </c>
      <c r="AX5" s="1523">
        <v>40</v>
      </c>
      <c r="AY5" s="1721"/>
      <c r="AZ5" s="1722"/>
      <c r="BA5" s="1721"/>
      <c r="BB5" s="1722"/>
      <c r="BC5" s="232">
        <v>41</v>
      </c>
      <c r="BD5" s="397">
        <v>42</v>
      </c>
      <c r="BE5" s="232">
        <v>43</v>
      </c>
      <c r="BF5" s="397">
        <v>44</v>
      </c>
      <c r="BG5" s="232">
        <v>45</v>
      </c>
      <c r="BH5" s="397">
        <v>46</v>
      </c>
      <c r="BI5" s="232">
        <v>47</v>
      </c>
      <c r="BJ5" s="397">
        <v>48</v>
      </c>
      <c r="BK5" s="1721"/>
      <c r="BL5" s="1722"/>
    </row>
    <row r="6" spans="1:64" s="59" customFormat="1" ht="12.75" customHeight="1">
      <c r="A6" s="2040" t="s">
        <v>46</v>
      </c>
      <c r="B6" s="2040"/>
      <c r="C6" s="292">
        <v>3.5</v>
      </c>
      <c r="D6" s="292">
        <v>3</v>
      </c>
      <c r="E6" s="292">
        <v>3.5</v>
      </c>
      <c r="F6" s="247" t="s">
        <v>2309</v>
      </c>
      <c r="G6" s="247">
        <v>4</v>
      </c>
      <c r="H6" s="247">
        <v>4</v>
      </c>
      <c r="I6" s="247">
        <v>3.5</v>
      </c>
      <c r="J6" s="247" t="s">
        <v>994</v>
      </c>
      <c r="K6" s="247" t="s">
        <v>2530</v>
      </c>
      <c r="L6" s="247" t="s">
        <v>2348</v>
      </c>
      <c r="M6" s="247">
        <v>3.5</v>
      </c>
      <c r="N6" s="247">
        <v>4</v>
      </c>
      <c r="O6" s="247" t="s">
        <v>2348</v>
      </c>
      <c r="P6" s="247">
        <v>3</v>
      </c>
      <c r="Q6" s="247">
        <v>2.75</v>
      </c>
      <c r="R6" s="2030" t="s">
        <v>46</v>
      </c>
      <c r="S6" s="2030"/>
      <c r="T6" s="2030" t="s">
        <v>46</v>
      </c>
      <c r="U6" s="2030"/>
      <c r="V6" s="102" t="s">
        <v>2382</v>
      </c>
      <c r="W6" s="176">
        <v>3.25</v>
      </c>
      <c r="X6" s="176">
        <v>3</v>
      </c>
      <c r="Y6" s="378">
        <v>3.75</v>
      </c>
      <c r="Z6" s="176" t="s">
        <v>2345</v>
      </c>
      <c r="AA6" s="176">
        <v>2.5</v>
      </c>
      <c r="AB6" s="176" t="s">
        <v>2277</v>
      </c>
      <c r="AC6" s="176" t="s">
        <v>2702</v>
      </c>
      <c r="AD6" s="176">
        <v>5</v>
      </c>
      <c r="AE6" s="176" t="s">
        <v>1857</v>
      </c>
      <c r="AF6" s="176" t="s">
        <v>2282</v>
      </c>
      <c r="AG6" s="176">
        <v>3.5</v>
      </c>
      <c r="AH6" s="2030" t="s">
        <v>46</v>
      </c>
      <c r="AI6" s="2030"/>
      <c r="AJ6" s="2030" t="s">
        <v>46</v>
      </c>
      <c r="AK6" s="2030"/>
      <c r="AL6" s="247" t="s">
        <v>2465</v>
      </c>
      <c r="AM6" s="247" t="s">
        <v>2311</v>
      </c>
      <c r="AN6" s="247">
        <v>3</v>
      </c>
      <c r="AO6" s="247" t="s">
        <v>2703</v>
      </c>
      <c r="AP6" s="247">
        <v>3</v>
      </c>
      <c r="AQ6" s="247">
        <v>5</v>
      </c>
      <c r="AR6" s="247" t="s">
        <v>2528</v>
      </c>
      <c r="AS6" s="247" t="s">
        <v>2615</v>
      </c>
      <c r="AT6" s="247" t="s">
        <v>2484</v>
      </c>
      <c r="AU6" s="247" t="s">
        <v>2529</v>
      </c>
      <c r="AV6" s="247" t="s">
        <v>2345</v>
      </c>
      <c r="AW6" s="247">
        <v>3</v>
      </c>
      <c r="AX6" s="247" t="s">
        <v>2727</v>
      </c>
      <c r="AY6" s="2030" t="s">
        <v>46</v>
      </c>
      <c r="AZ6" s="2030"/>
      <c r="BA6" s="2030" t="s">
        <v>46</v>
      </c>
      <c r="BB6" s="2030"/>
      <c r="BC6" s="246" t="s">
        <v>2617</v>
      </c>
      <c r="BD6" s="246" t="s">
        <v>2313</v>
      </c>
      <c r="BE6" s="247">
        <v>3.5</v>
      </c>
      <c r="BF6" s="247">
        <v>3.5</v>
      </c>
      <c r="BG6" s="247">
        <v>6</v>
      </c>
      <c r="BH6" s="247">
        <v>0.4</v>
      </c>
      <c r="BI6" s="247">
        <v>3.5</v>
      </c>
      <c r="BJ6" s="247" t="s">
        <v>2773</v>
      </c>
      <c r="BK6" s="2030" t="s">
        <v>46</v>
      </c>
      <c r="BL6" s="2030"/>
    </row>
    <row r="7" spans="1:64" ht="10.5" customHeight="1">
      <c r="A7" s="2038" t="s">
        <v>1448</v>
      </c>
      <c r="B7" s="2039"/>
      <c r="C7" s="576"/>
      <c r="D7" s="576"/>
      <c r="E7" s="576"/>
      <c r="F7" s="577"/>
      <c r="G7" s="577"/>
      <c r="H7" s="577"/>
      <c r="I7" s="577"/>
      <c r="J7" s="577"/>
      <c r="K7" s="577"/>
      <c r="L7" s="577"/>
      <c r="M7" s="577"/>
      <c r="N7" s="577"/>
      <c r="O7" s="577"/>
      <c r="P7" s="577"/>
      <c r="Q7" s="577"/>
      <c r="R7" s="2038" t="s">
        <v>1448</v>
      </c>
      <c r="S7" s="2039"/>
      <c r="T7" s="2038" t="s">
        <v>1448</v>
      </c>
      <c r="U7" s="2039"/>
      <c r="V7" s="578"/>
      <c r="W7" s="579"/>
      <c r="X7" s="579"/>
      <c r="Y7" s="579"/>
      <c r="Z7" s="579"/>
      <c r="AA7" s="579"/>
      <c r="AB7" s="579"/>
      <c r="AC7" s="579"/>
      <c r="AD7" s="579"/>
      <c r="AE7" s="579"/>
      <c r="AF7" s="579"/>
      <c r="AG7" s="579"/>
      <c r="AH7" s="2038" t="s">
        <v>1448</v>
      </c>
      <c r="AI7" s="2039"/>
      <c r="AJ7" s="2038" t="s">
        <v>1448</v>
      </c>
      <c r="AK7" s="2039"/>
      <c r="AL7" s="577" t="s">
        <v>2285</v>
      </c>
      <c r="AM7" s="577"/>
      <c r="AN7" s="577"/>
      <c r="AO7" s="577"/>
      <c r="AP7" s="577"/>
      <c r="AQ7" s="577"/>
      <c r="AR7" s="577"/>
      <c r="AS7" s="577"/>
      <c r="AT7" s="577"/>
      <c r="AU7" s="577"/>
      <c r="AV7" s="577"/>
      <c r="AW7" s="577"/>
      <c r="AX7" s="577"/>
      <c r="AY7" s="2038" t="s">
        <v>1448</v>
      </c>
      <c r="AZ7" s="2039"/>
      <c r="BA7" s="2038" t="s">
        <v>1448</v>
      </c>
      <c r="BB7" s="2039"/>
      <c r="BC7" s="580"/>
      <c r="BD7" s="580"/>
      <c r="BE7" s="577"/>
      <c r="BF7" s="577"/>
      <c r="BG7" s="577"/>
      <c r="BH7" s="577"/>
      <c r="BI7" s="577"/>
      <c r="BJ7" s="577"/>
      <c r="BK7" s="2038" t="s">
        <v>1448</v>
      </c>
      <c r="BL7" s="2039"/>
    </row>
    <row r="8" spans="1:64" ht="11.1" customHeight="1">
      <c r="A8" s="220" t="s">
        <v>640</v>
      </c>
      <c r="B8" s="218" t="s">
        <v>1439</v>
      </c>
      <c r="C8" s="292">
        <v>3.5</v>
      </c>
      <c r="D8" s="292">
        <v>3.5</v>
      </c>
      <c r="E8" s="292">
        <v>3.5</v>
      </c>
      <c r="F8" s="247">
        <v>3</v>
      </c>
      <c r="G8" s="247">
        <v>3.5</v>
      </c>
      <c r="H8" s="247">
        <v>3.5</v>
      </c>
      <c r="I8" s="247">
        <v>3.5</v>
      </c>
      <c r="J8" s="247">
        <v>4</v>
      </c>
      <c r="K8" s="247">
        <v>2</v>
      </c>
      <c r="L8" s="247">
        <v>2.5</v>
      </c>
      <c r="M8" s="247">
        <v>2.5</v>
      </c>
      <c r="N8" s="247">
        <v>2</v>
      </c>
      <c r="O8" s="247">
        <v>3.5</v>
      </c>
      <c r="P8" s="247">
        <v>3.5</v>
      </c>
      <c r="Q8" s="247">
        <v>2.5</v>
      </c>
      <c r="R8" s="220" t="s">
        <v>640</v>
      </c>
      <c r="S8" s="218" t="s">
        <v>1439</v>
      </c>
      <c r="T8" s="220" t="s">
        <v>640</v>
      </c>
      <c r="U8" s="218" t="s">
        <v>1439</v>
      </c>
      <c r="V8" s="176">
        <v>1</v>
      </c>
      <c r="W8" s="176">
        <v>3</v>
      </c>
      <c r="X8" s="176">
        <v>3</v>
      </c>
      <c r="Y8" s="176">
        <v>2.75</v>
      </c>
      <c r="Z8" s="176">
        <v>2.5</v>
      </c>
      <c r="AA8" s="176">
        <v>2</v>
      </c>
      <c r="AB8" s="176">
        <v>1.5</v>
      </c>
      <c r="AC8" s="176">
        <v>3</v>
      </c>
      <c r="AD8" s="176">
        <v>4</v>
      </c>
      <c r="AE8" s="176">
        <v>4</v>
      </c>
      <c r="AF8" s="176">
        <v>5</v>
      </c>
      <c r="AG8" s="176">
        <v>2.5</v>
      </c>
      <c r="AH8" s="220" t="s">
        <v>640</v>
      </c>
      <c r="AI8" s="218" t="s">
        <v>1439</v>
      </c>
      <c r="AJ8" s="220" t="s">
        <v>640</v>
      </c>
      <c r="AK8" s="218" t="s">
        <v>1439</v>
      </c>
      <c r="AL8" s="247">
        <v>3.5</v>
      </c>
      <c r="AM8" s="247">
        <v>2.5</v>
      </c>
      <c r="AN8" s="247">
        <v>1.5</v>
      </c>
      <c r="AO8" s="247">
        <v>1</v>
      </c>
      <c r="AP8" s="247">
        <v>2.5</v>
      </c>
      <c r="AQ8" s="247">
        <v>3</v>
      </c>
      <c r="AR8" s="247">
        <v>4.25</v>
      </c>
      <c r="AS8" s="247">
        <v>3</v>
      </c>
      <c r="AT8" s="247">
        <v>2</v>
      </c>
      <c r="AU8" s="247">
        <v>2.75</v>
      </c>
      <c r="AV8" s="247">
        <v>2.5</v>
      </c>
      <c r="AW8" s="247">
        <v>2</v>
      </c>
      <c r="AX8" s="247">
        <v>3.25</v>
      </c>
      <c r="AY8" s="220" t="s">
        <v>640</v>
      </c>
      <c r="AZ8" s="218" t="s">
        <v>1439</v>
      </c>
      <c r="BA8" s="220" t="s">
        <v>640</v>
      </c>
      <c r="BB8" s="218" t="s">
        <v>1439</v>
      </c>
      <c r="BC8" s="247">
        <v>2</v>
      </c>
      <c r="BD8" s="247">
        <v>0.75</v>
      </c>
      <c r="BE8" s="247">
        <v>1</v>
      </c>
      <c r="BF8" s="247">
        <v>3.5</v>
      </c>
      <c r="BG8" s="247">
        <v>2.5</v>
      </c>
      <c r="BH8" s="247">
        <v>0.1</v>
      </c>
      <c r="BI8" s="247">
        <v>1.5</v>
      </c>
      <c r="BJ8" s="247">
        <v>1</v>
      </c>
      <c r="BK8" s="220" t="s">
        <v>640</v>
      </c>
      <c r="BL8" s="218" t="s">
        <v>1439</v>
      </c>
    </row>
    <row r="9" spans="1:64" ht="11.1" customHeight="1">
      <c r="A9" s="581" t="s">
        <v>864</v>
      </c>
      <c r="B9" s="582" t="s">
        <v>1440</v>
      </c>
      <c r="C9" s="576">
        <v>3.5</v>
      </c>
      <c r="D9" s="576">
        <v>3.5</v>
      </c>
      <c r="E9" s="576">
        <v>3.5</v>
      </c>
      <c r="F9" s="577">
        <v>3</v>
      </c>
      <c r="G9" s="577">
        <v>3.5</v>
      </c>
      <c r="H9" s="577">
        <v>3.5</v>
      </c>
      <c r="I9" s="577">
        <v>3.5</v>
      </c>
      <c r="J9" s="577">
        <v>4</v>
      </c>
      <c r="K9" s="577">
        <v>2.5</v>
      </c>
      <c r="L9" s="577">
        <v>2.5</v>
      </c>
      <c r="M9" s="577">
        <v>3.25</v>
      </c>
      <c r="N9" s="577">
        <v>3</v>
      </c>
      <c r="O9" s="577">
        <v>3.5</v>
      </c>
      <c r="P9" s="577">
        <v>3.75</v>
      </c>
      <c r="Q9" s="577">
        <v>3</v>
      </c>
      <c r="R9" s="581" t="s">
        <v>864</v>
      </c>
      <c r="S9" s="582" t="s">
        <v>1440</v>
      </c>
      <c r="T9" s="581" t="s">
        <v>864</v>
      </c>
      <c r="U9" s="582" t="s">
        <v>1440</v>
      </c>
      <c r="V9" s="579">
        <v>2</v>
      </c>
      <c r="W9" s="579">
        <v>3.1</v>
      </c>
      <c r="X9" s="579">
        <v>3</v>
      </c>
      <c r="Y9" s="579">
        <v>3</v>
      </c>
      <c r="Z9" s="579">
        <v>2.5</v>
      </c>
      <c r="AA9" s="579">
        <v>2.5</v>
      </c>
      <c r="AB9" s="579">
        <v>2.5</v>
      </c>
      <c r="AC9" s="579">
        <v>3</v>
      </c>
      <c r="AD9" s="579">
        <v>4</v>
      </c>
      <c r="AE9" s="579">
        <v>4</v>
      </c>
      <c r="AF9" s="579">
        <v>6</v>
      </c>
      <c r="AG9" s="579">
        <v>3</v>
      </c>
      <c r="AH9" s="581" t="s">
        <v>864</v>
      </c>
      <c r="AI9" s="582" t="s">
        <v>1440</v>
      </c>
      <c r="AJ9" s="581" t="s">
        <v>864</v>
      </c>
      <c r="AK9" s="582" t="s">
        <v>1440</v>
      </c>
      <c r="AL9" s="577">
        <v>3.5</v>
      </c>
      <c r="AM9" s="577">
        <v>3</v>
      </c>
      <c r="AN9" s="577">
        <v>1.65</v>
      </c>
      <c r="AO9" s="577">
        <v>1.5</v>
      </c>
      <c r="AP9" s="577">
        <v>2.5</v>
      </c>
      <c r="AQ9" s="577">
        <v>3.5</v>
      </c>
      <c r="AR9" s="577">
        <v>5</v>
      </c>
      <c r="AS9" s="577">
        <v>4</v>
      </c>
      <c r="AT9" s="577">
        <v>3</v>
      </c>
      <c r="AU9" s="577">
        <v>2.9</v>
      </c>
      <c r="AV9" s="577">
        <v>3</v>
      </c>
      <c r="AW9" s="577">
        <v>2.5</v>
      </c>
      <c r="AX9" s="577">
        <v>3.25</v>
      </c>
      <c r="AY9" s="581" t="s">
        <v>864</v>
      </c>
      <c r="AZ9" s="582" t="s">
        <v>1440</v>
      </c>
      <c r="BA9" s="581" t="s">
        <v>864</v>
      </c>
      <c r="BB9" s="582" t="s">
        <v>1440</v>
      </c>
      <c r="BC9" s="577">
        <v>2</v>
      </c>
      <c r="BD9" s="577">
        <v>0.75</v>
      </c>
      <c r="BE9" s="577">
        <v>1.25</v>
      </c>
      <c r="BF9" s="577">
        <v>3.5</v>
      </c>
      <c r="BG9" s="577">
        <v>3</v>
      </c>
      <c r="BH9" s="577">
        <v>0.2</v>
      </c>
      <c r="BI9" s="577">
        <v>1.5</v>
      </c>
      <c r="BJ9" s="577">
        <v>1.1499999999999999</v>
      </c>
      <c r="BK9" s="581" t="s">
        <v>864</v>
      </c>
      <c r="BL9" s="582" t="s">
        <v>1440</v>
      </c>
    </row>
    <row r="10" spans="1:64" ht="11.1" customHeight="1">
      <c r="A10" s="220" t="s">
        <v>612</v>
      </c>
      <c r="B10" s="218" t="s">
        <v>1441</v>
      </c>
      <c r="C10" s="292">
        <v>3.5</v>
      </c>
      <c r="D10" s="292">
        <v>3.5</v>
      </c>
      <c r="E10" s="292">
        <v>3.5</v>
      </c>
      <c r="F10" s="247">
        <v>3</v>
      </c>
      <c r="G10" s="247">
        <v>3.5</v>
      </c>
      <c r="H10" s="247">
        <v>3.5</v>
      </c>
      <c r="I10" s="247">
        <v>3.5</v>
      </c>
      <c r="J10" s="247">
        <v>4</v>
      </c>
      <c r="K10" s="247">
        <v>3</v>
      </c>
      <c r="L10" s="247">
        <v>2.5</v>
      </c>
      <c r="M10" s="247">
        <v>4.25</v>
      </c>
      <c r="N10" s="247">
        <v>3</v>
      </c>
      <c r="O10" s="247">
        <v>4.5</v>
      </c>
      <c r="P10" s="247">
        <v>4</v>
      </c>
      <c r="Q10" s="247">
        <v>4</v>
      </c>
      <c r="R10" s="220" t="s">
        <v>612</v>
      </c>
      <c r="S10" s="218" t="s">
        <v>1441</v>
      </c>
      <c r="T10" s="220" t="s">
        <v>612</v>
      </c>
      <c r="U10" s="218" t="s">
        <v>1441</v>
      </c>
      <c r="V10" s="176">
        <v>2.5</v>
      </c>
      <c r="W10" s="176">
        <v>3.15</v>
      </c>
      <c r="X10" s="176">
        <v>3.5</v>
      </c>
      <c r="Y10" s="176">
        <v>3.5</v>
      </c>
      <c r="Z10" s="176">
        <v>2.5</v>
      </c>
      <c r="AA10" s="176">
        <v>2.5</v>
      </c>
      <c r="AB10" s="176">
        <v>3</v>
      </c>
      <c r="AC10" s="176">
        <v>3</v>
      </c>
      <c r="AD10" s="176">
        <v>4</v>
      </c>
      <c r="AE10" s="176">
        <v>4</v>
      </c>
      <c r="AF10" s="176">
        <v>7</v>
      </c>
      <c r="AG10" s="176">
        <v>3.5</v>
      </c>
      <c r="AH10" s="220" t="s">
        <v>612</v>
      </c>
      <c r="AI10" s="218" t="s">
        <v>1441</v>
      </c>
      <c r="AJ10" s="220" t="s">
        <v>612</v>
      </c>
      <c r="AK10" s="218" t="s">
        <v>1441</v>
      </c>
      <c r="AL10" s="247">
        <v>3.5</v>
      </c>
      <c r="AM10" s="247">
        <v>3.5</v>
      </c>
      <c r="AN10" s="247">
        <v>1.75</v>
      </c>
      <c r="AO10" s="247">
        <v>2</v>
      </c>
      <c r="AP10" s="247">
        <v>3</v>
      </c>
      <c r="AQ10" s="247">
        <v>4</v>
      </c>
      <c r="AR10" s="247">
        <v>5.25</v>
      </c>
      <c r="AS10" s="247">
        <v>5</v>
      </c>
      <c r="AT10" s="247">
        <v>3</v>
      </c>
      <c r="AU10" s="247">
        <v>3.05</v>
      </c>
      <c r="AV10" s="247">
        <v>3</v>
      </c>
      <c r="AW10" s="247">
        <v>3</v>
      </c>
      <c r="AX10" s="247">
        <v>3.5</v>
      </c>
      <c r="AY10" s="220" t="s">
        <v>612</v>
      </c>
      <c r="AZ10" s="218" t="s">
        <v>1441</v>
      </c>
      <c r="BA10" s="220" t="s">
        <v>612</v>
      </c>
      <c r="BB10" s="218" t="s">
        <v>1441</v>
      </c>
      <c r="BC10" s="247">
        <v>2.25</v>
      </c>
      <c r="BD10" s="247">
        <v>1.25</v>
      </c>
      <c r="BE10" s="247">
        <v>1.5</v>
      </c>
      <c r="BF10" s="247">
        <v>3.5</v>
      </c>
      <c r="BG10" s="247">
        <v>3.5</v>
      </c>
      <c r="BH10" s="247">
        <v>0.3</v>
      </c>
      <c r="BI10" s="247">
        <v>1.5</v>
      </c>
      <c r="BJ10" s="247">
        <v>1.25</v>
      </c>
      <c r="BK10" s="220" t="s">
        <v>612</v>
      </c>
      <c r="BL10" s="218" t="s">
        <v>1441</v>
      </c>
    </row>
    <row r="11" spans="1:64" ht="11.1" customHeight="1">
      <c r="A11" s="581" t="s">
        <v>613</v>
      </c>
      <c r="B11" s="582" t="s">
        <v>1442</v>
      </c>
      <c r="C11" s="576">
        <v>3.5</v>
      </c>
      <c r="D11" s="576">
        <v>3.5</v>
      </c>
      <c r="E11" s="576">
        <v>3.5</v>
      </c>
      <c r="F11" s="577">
        <v>3</v>
      </c>
      <c r="G11" s="577">
        <v>3.5</v>
      </c>
      <c r="H11" s="577">
        <v>3.5</v>
      </c>
      <c r="I11" s="577">
        <v>3.5</v>
      </c>
      <c r="J11" s="577">
        <v>4</v>
      </c>
      <c r="K11" s="577">
        <v>5.5</v>
      </c>
      <c r="L11" s="577">
        <v>3.5</v>
      </c>
      <c r="M11" s="577">
        <v>5</v>
      </c>
      <c r="N11" s="577">
        <v>3</v>
      </c>
      <c r="O11" s="577">
        <v>4.5</v>
      </c>
      <c r="P11" s="577">
        <v>4.25</v>
      </c>
      <c r="Q11" s="577">
        <v>4.5</v>
      </c>
      <c r="R11" s="581" t="s">
        <v>613</v>
      </c>
      <c r="S11" s="582" t="s">
        <v>1442</v>
      </c>
      <c r="T11" s="581" t="s">
        <v>613</v>
      </c>
      <c r="U11" s="582" t="s">
        <v>1442</v>
      </c>
      <c r="V11" s="579">
        <v>3</v>
      </c>
      <c r="W11" s="579">
        <v>3.25</v>
      </c>
      <c r="X11" s="579">
        <v>4</v>
      </c>
      <c r="Y11" s="579">
        <v>3.75</v>
      </c>
      <c r="Z11" s="579">
        <v>2.5</v>
      </c>
      <c r="AA11" s="579">
        <v>2.5</v>
      </c>
      <c r="AB11" s="579">
        <v>3</v>
      </c>
      <c r="AC11" s="579">
        <v>3.5</v>
      </c>
      <c r="AD11" s="579">
        <v>4</v>
      </c>
      <c r="AE11" s="579">
        <v>4</v>
      </c>
      <c r="AF11" s="579">
        <v>8</v>
      </c>
      <c r="AG11" s="579">
        <v>4.5</v>
      </c>
      <c r="AH11" s="581" t="s">
        <v>613</v>
      </c>
      <c r="AI11" s="582" t="s">
        <v>1442</v>
      </c>
      <c r="AJ11" s="581" t="s">
        <v>613</v>
      </c>
      <c r="AK11" s="582" t="s">
        <v>1442</v>
      </c>
      <c r="AL11" s="577">
        <v>3.7</v>
      </c>
      <c r="AM11" s="577">
        <v>3.5</v>
      </c>
      <c r="AN11" s="577">
        <v>1.9</v>
      </c>
      <c r="AO11" s="577">
        <v>3</v>
      </c>
      <c r="AP11" s="577">
        <v>3</v>
      </c>
      <c r="AQ11" s="577">
        <v>6.5</v>
      </c>
      <c r="AR11" s="577">
        <v>5.5</v>
      </c>
      <c r="AS11" s="577">
        <v>5</v>
      </c>
      <c r="AT11" s="577">
        <v>3.5</v>
      </c>
      <c r="AU11" s="577">
        <v>3.25</v>
      </c>
      <c r="AV11" s="577">
        <v>3</v>
      </c>
      <c r="AW11" s="577">
        <v>3.5</v>
      </c>
      <c r="AX11" s="577">
        <v>3.5</v>
      </c>
      <c r="AY11" s="581" t="s">
        <v>613</v>
      </c>
      <c r="AZ11" s="582" t="s">
        <v>1442</v>
      </c>
      <c r="BA11" s="581" t="s">
        <v>613</v>
      </c>
      <c r="BB11" s="582" t="s">
        <v>1442</v>
      </c>
      <c r="BC11" s="577">
        <v>2.5</v>
      </c>
      <c r="BD11" s="577">
        <v>2</v>
      </c>
      <c r="BE11" s="577">
        <v>1.5</v>
      </c>
      <c r="BF11" s="577">
        <v>3.5</v>
      </c>
      <c r="BG11" s="577">
        <v>4</v>
      </c>
      <c r="BH11" s="577">
        <v>0.8</v>
      </c>
      <c r="BI11" s="577">
        <v>1.5</v>
      </c>
      <c r="BJ11" s="577">
        <v>1.5</v>
      </c>
      <c r="BK11" s="581" t="s">
        <v>613</v>
      </c>
      <c r="BL11" s="582" t="s">
        <v>1442</v>
      </c>
    </row>
    <row r="12" spans="1:64" ht="11.1" customHeight="1">
      <c r="A12" s="220" t="s">
        <v>638</v>
      </c>
      <c r="B12" s="218" t="s">
        <v>2587</v>
      </c>
      <c r="C12" s="292">
        <v>3.5</v>
      </c>
      <c r="D12" s="292">
        <v>3.5</v>
      </c>
      <c r="E12" s="292">
        <v>3.5</v>
      </c>
      <c r="F12" s="247">
        <v>3</v>
      </c>
      <c r="G12" s="247">
        <v>3.5</v>
      </c>
      <c r="H12" s="247">
        <v>3.5</v>
      </c>
      <c r="I12" s="247">
        <v>3.5</v>
      </c>
      <c r="J12" s="247">
        <v>4</v>
      </c>
      <c r="K12" s="247">
        <v>5.5</v>
      </c>
      <c r="L12" s="247">
        <v>3.5</v>
      </c>
      <c r="M12" s="247">
        <v>5.5</v>
      </c>
      <c r="N12" s="247">
        <v>4</v>
      </c>
      <c r="O12" s="247">
        <v>4.5</v>
      </c>
      <c r="P12" s="247">
        <v>4.5</v>
      </c>
      <c r="Q12" s="247">
        <v>4.5</v>
      </c>
      <c r="R12" s="220" t="s">
        <v>638</v>
      </c>
      <c r="S12" s="218" t="s">
        <v>2587</v>
      </c>
      <c r="T12" s="220" t="s">
        <v>638</v>
      </c>
      <c r="U12" s="218" t="s">
        <v>2587</v>
      </c>
      <c r="V12" s="176">
        <v>3</v>
      </c>
      <c r="W12" s="176">
        <v>3.5</v>
      </c>
      <c r="X12" s="176">
        <v>4</v>
      </c>
      <c r="Y12" s="176">
        <v>4</v>
      </c>
      <c r="Z12" s="176">
        <v>3</v>
      </c>
      <c r="AA12" s="176">
        <v>2.5</v>
      </c>
      <c r="AB12" s="176">
        <v>3</v>
      </c>
      <c r="AC12" s="176">
        <v>4</v>
      </c>
      <c r="AD12" s="176">
        <v>4</v>
      </c>
      <c r="AE12" s="176">
        <v>4</v>
      </c>
      <c r="AF12" s="176">
        <v>8.5</v>
      </c>
      <c r="AG12" s="176">
        <v>6.5</v>
      </c>
      <c r="AH12" s="220" t="s">
        <v>638</v>
      </c>
      <c r="AI12" s="218" t="s">
        <v>2587</v>
      </c>
      <c r="AJ12" s="220" t="s">
        <v>638</v>
      </c>
      <c r="AK12" s="218" t="s">
        <v>2587</v>
      </c>
      <c r="AL12" s="247">
        <v>4</v>
      </c>
      <c r="AM12" s="247">
        <v>4</v>
      </c>
      <c r="AN12" s="247">
        <v>2</v>
      </c>
      <c r="AO12" s="247">
        <v>4</v>
      </c>
      <c r="AP12" s="247">
        <v>3.5</v>
      </c>
      <c r="AQ12" s="247">
        <v>6.75</v>
      </c>
      <c r="AR12" s="247">
        <v>5.75</v>
      </c>
      <c r="AS12" s="247">
        <v>5.5</v>
      </c>
      <c r="AT12" s="247">
        <v>3.5</v>
      </c>
      <c r="AU12" s="247">
        <v>3.5</v>
      </c>
      <c r="AV12" s="247">
        <v>3</v>
      </c>
      <c r="AW12" s="247">
        <v>4.5</v>
      </c>
      <c r="AX12" s="247">
        <v>4</v>
      </c>
      <c r="AY12" s="220" t="s">
        <v>638</v>
      </c>
      <c r="AZ12" s="218" t="s">
        <v>2587</v>
      </c>
      <c r="BA12" s="220" t="s">
        <v>638</v>
      </c>
      <c r="BB12" s="218" t="s">
        <v>2587</v>
      </c>
      <c r="BC12" s="247">
        <v>2.75</v>
      </c>
      <c r="BD12" s="247">
        <v>2</v>
      </c>
      <c r="BE12" s="247">
        <v>1.5</v>
      </c>
      <c r="BF12" s="247">
        <v>3.5</v>
      </c>
      <c r="BG12" s="247">
        <v>4.5</v>
      </c>
      <c r="BH12" s="247">
        <v>0.8</v>
      </c>
      <c r="BI12" s="247">
        <v>1.5</v>
      </c>
      <c r="BJ12" s="247">
        <v>2</v>
      </c>
      <c r="BK12" s="220" t="s">
        <v>638</v>
      </c>
      <c r="BL12" s="218" t="s">
        <v>2587</v>
      </c>
    </row>
    <row r="13" spans="1:64" ht="12.75" customHeight="1">
      <c r="A13" s="2031" t="s">
        <v>47</v>
      </c>
      <c r="B13" s="2031"/>
      <c r="C13" s="583"/>
      <c r="D13" s="583"/>
      <c r="E13" s="583"/>
      <c r="F13" s="583"/>
      <c r="G13" s="583"/>
      <c r="H13" s="583"/>
      <c r="I13" s="583"/>
      <c r="J13" s="583"/>
      <c r="K13" s="584"/>
      <c r="L13" s="583"/>
      <c r="M13" s="583"/>
      <c r="N13" s="583"/>
      <c r="O13" s="583"/>
      <c r="P13" s="583"/>
      <c r="Q13" s="583"/>
      <c r="R13" s="2031" t="s">
        <v>47</v>
      </c>
      <c r="S13" s="2031"/>
      <c r="T13" s="2031" t="s">
        <v>47</v>
      </c>
      <c r="U13" s="2031"/>
      <c r="V13" s="578"/>
      <c r="W13" s="578"/>
      <c r="X13" s="578"/>
      <c r="Y13" s="578"/>
      <c r="Z13" s="578"/>
      <c r="AA13" s="578"/>
      <c r="AB13" s="578"/>
      <c r="AC13" s="578"/>
      <c r="AD13" s="578"/>
      <c r="AE13" s="578"/>
      <c r="AF13" s="578"/>
      <c r="AG13" s="579"/>
      <c r="AH13" s="2031" t="s">
        <v>47</v>
      </c>
      <c r="AI13" s="2031"/>
      <c r="AJ13" s="2031" t="s">
        <v>47</v>
      </c>
      <c r="AK13" s="2031"/>
      <c r="AL13" s="580"/>
      <c r="AM13" s="580"/>
      <c r="AN13" s="580"/>
      <c r="AO13" s="580"/>
      <c r="AP13" s="580"/>
      <c r="AQ13" s="580"/>
      <c r="AR13" s="580"/>
      <c r="AS13" s="580"/>
      <c r="AT13" s="580"/>
      <c r="AU13" s="580"/>
      <c r="AV13" s="580"/>
      <c r="AW13" s="580"/>
      <c r="AX13" s="580"/>
      <c r="AY13" s="2031" t="s">
        <v>47</v>
      </c>
      <c r="AZ13" s="2031"/>
      <c r="BA13" s="2031" t="s">
        <v>47</v>
      </c>
      <c r="BB13" s="2031"/>
      <c r="BC13" s="580"/>
      <c r="BD13" s="580"/>
      <c r="BE13" s="580"/>
      <c r="BF13" s="580"/>
      <c r="BG13" s="580"/>
      <c r="BH13" s="580"/>
      <c r="BI13" s="577"/>
      <c r="BJ13" s="577"/>
      <c r="BK13" s="2031" t="s">
        <v>47</v>
      </c>
      <c r="BL13" s="2031"/>
    </row>
    <row r="14" spans="1:64" ht="11.1" customHeight="1">
      <c r="A14" s="220" t="s">
        <v>640</v>
      </c>
      <c r="B14" s="218" t="s">
        <v>1443</v>
      </c>
      <c r="C14" s="292">
        <v>4.5</v>
      </c>
      <c r="D14" s="292">
        <v>4.5</v>
      </c>
      <c r="E14" s="247">
        <v>4.5</v>
      </c>
      <c r="F14" s="247">
        <v>4.5</v>
      </c>
      <c r="G14" s="247">
        <v>4.5</v>
      </c>
      <c r="H14" s="247">
        <v>4.5</v>
      </c>
      <c r="I14" s="247">
        <v>4.5</v>
      </c>
      <c r="J14" s="176" t="s">
        <v>2417</v>
      </c>
      <c r="K14" s="247" t="s">
        <v>2680</v>
      </c>
      <c r="L14" s="247" t="s">
        <v>2467</v>
      </c>
      <c r="M14" s="247" t="s">
        <v>2722</v>
      </c>
      <c r="N14" s="247">
        <v>5</v>
      </c>
      <c r="O14" s="247" t="s">
        <v>2761</v>
      </c>
      <c r="P14" s="247">
        <v>4.75</v>
      </c>
      <c r="Q14" s="247">
        <v>5</v>
      </c>
      <c r="R14" s="220" t="s">
        <v>640</v>
      </c>
      <c r="S14" s="218" t="s">
        <v>1443</v>
      </c>
      <c r="T14" s="220" t="s">
        <v>640</v>
      </c>
      <c r="U14" s="218" t="s">
        <v>1443</v>
      </c>
      <c r="V14" s="176" t="s">
        <v>2613</v>
      </c>
      <c r="W14" s="176" t="s">
        <v>2764</v>
      </c>
      <c r="X14" s="176" t="s">
        <v>2031</v>
      </c>
      <c r="Y14" s="176">
        <v>5.5</v>
      </c>
      <c r="Z14" s="176" t="s">
        <v>2701</v>
      </c>
      <c r="AA14" s="176" t="s">
        <v>2385</v>
      </c>
      <c r="AB14" s="176" t="s">
        <v>2485</v>
      </c>
      <c r="AC14" s="176" t="s">
        <v>2457</v>
      </c>
      <c r="AD14" s="176" t="s">
        <v>2406</v>
      </c>
      <c r="AE14" s="176" t="s">
        <v>2614</v>
      </c>
      <c r="AF14" s="176" t="s">
        <v>2045</v>
      </c>
      <c r="AG14" s="176">
        <v>5</v>
      </c>
      <c r="AH14" s="220" t="s">
        <v>640</v>
      </c>
      <c r="AI14" s="218" t="s">
        <v>1443</v>
      </c>
      <c r="AJ14" s="220" t="s">
        <v>640</v>
      </c>
      <c r="AK14" s="218" t="s">
        <v>1443</v>
      </c>
      <c r="AL14" s="247" t="s">
        <v>2443</v>
      </c>
      <c r="AM14" s="247" t="s">
        <v>2683</v>
      </c>
      <c r="AN14" s="247" t="s">
        <v>2286</v>
      </c>
      <c r="AO14" s="246" t="s">
        <v>2704</v>
      </c>
      <c r="AP14" s="247">
        <v>6.75</v>
      </c>
      <c r="AQ14" s="176" t="s">
        <v>2705</v>
      </c>
      <c r="AR14" s="247">
        <v>7</v>
      </c>
      <c r="AS14" s="247" t="s">
        <v>1986</v>
      </c>
      <c r="AT14" s="247" t="s">
        <v>2707</v>
      </c>
      <c r="AU14" s="247">
        <v>5.25</v>
      </c>
      <c r="AV14" s="247">
        <v>4.5</v>
      </c>
      <c r="AW14" s="247" t="s">
        <v>2684</v>
      </c>
      <c r="AX14" s="247" t="s">
        <v>2443</v>
      </c>
      <c r="AY14" s="220" t="s">
        <v>640</v>
      </c>
      <c r="AZ14" s="218" t="s">
        <v>1443</v>
      </c>
      <c r="BA14" s="220" t="s">
        <v>640</v>
      </c>
      <c r="BB14" s="218" t="s">
        <v>1443</v>
      </c>
      <c r="BC14" s="247">
        <v>4</v>
      </c>
      <c r="BD14" s="247" t="s">
        <v>2708</v>
      </c>
      <c r="BE14" s="247" t="s">
        <v>2281</v>
      </c>
      <c r="BF14" s="247" t="s">
        <v>2710</v>
      </c>
      <c r="BG14" s="247">
        <v>8</v>
      </c>
      <c r="BH14" s="247">
        <v>2.2999999999999998</v>
      </c>
      <c r="BI14" s="247" t="s">
        <v>2383</v>
      </c>
      <c r="BJ14" s="247" t="s">
        <v>2703</v>
      </c>
      <c r="BK14" s="220" t="s">
        <v>640</v>
      </c>
      <c r="BL14" s="218" t="s">
        <v>1443</v>
      </c>
    </row>
    <row r="15" spans="1:64" ht="11.1" customHeight="1">
      <c r="A15" s="581" t="s">
        <v>864</v>
      </c>
      <c r="B15" s="582" t="s">
        <v>1444</v>
      </c>
      <c r="C15" s="576">
        <v>4.75</v>
      </c>
      <c r="D15" s="577">
        <v>4.75</v>
      </c>
      <c r="E15" s="577">
        <v>4.75</v>
      </c>
      <c r="F15" s="577">
        <v>4.75</v>
      </c>
      <c r="G15" s="577">
        <v>4.75</v>
      </c>
      <c r="H15" s="577">
        <v>4.75</v>
      </c>
      <c r="I15" s="577">
        <v>4.75</v>
      </c>
      <c r="J15" s="579" t="s">
        <v>2464</v>
      </c>
      <c r="K15" s="577" t="s">
        <v>2680</v>
      </c>
      <c r="L15" s="577" t="s">
        <v>2467</v>
      </c>
      <c r="M15" s="577" t="s">
        <v>2759</v>
      </c>
      <c r="N15" s="577">
        <v>5.25</v>
      </c>
      <c r="O15" s="577" t="s">
        <v>2761</v>
      </c>
      <c r="P15" s="577">
        <v>4.75</v>
      </c>
      <c r="Q15" s="577">
        <v>5.25</v>
      </c>
      <c r="R15" s="581" t="s">
        <v>864</v>
      </c>
      <c r="S15" s="582" t="s">
        <v>1444</v>
      </c>
      <c r="T15" s="581" t="s">
        <v>864</v>
      </c>
      <c r="U15" s="582" t="s">
        <v>1444</v>
      </c>
      <c r="V15" s="579" t="s">
        <v>2613</v>
      </c>
      <c r="W15" s="579" t="s">
        <v>2723</v>
      </c>
      <c r="X15" s="579" t="s">
        <v>2765</v>
      </c>
      <c r="Y15" s="579">
        <v>5.75</v>
      </c>
      <c r="Z15" s="579" t="s">
        <v>2282</v>
      </c>
      <c r="AA15" s="579">
        <v>4.25</v>
      </c>
      <c r="AB15" s="579" t="s">
        <v>2486</v>
      </c>
      <c r="AC15" s="579" t="s">
        <v>2705</v>
      </c>
      <c r="AD15" s="579" t="s">
        <v>2406</v>
      </c>
      <c r="AE15" s="579" t="s">
        <v>2614</v>
      </c>
      <c r="AF15" s="579" t="s">
        <v>2045</v>
      </c>
      <c r="AG15" s="579">
        <v>5.5</v>
      </c>
      <c r="AH15" s="581" t="s">
        <v>864</v>
      </c>
      <c r="AI15" s="582" t="s">
        <v>1444</v>
      </c>
      <c r="AJ15" s="581" t="s">
        <v>864</v>
      </c>
      <c r="AK15" s="582" t="s">
        <v>1444</v>
      </c>
      <c r="AL15" s="577" t="s">
        <v>2282</v>
      </c>
      <c r="AM15" s="577" t="s">
        <v>2683</v>
      </c>
      <c r="AN15" s="577" t="s">
        <v>2286</v>
      </c>
      <c r="AO15" s="580" t="s">
        <v>2768</v>
      </c>
      <c r="AP15" s="577">
        <v>6.75</v>
      </c>
      <c r="AQ15" s="579">
        <v>7</v>
      </c>
      <c r="AR15" s="577">
        <v>7</v>
      </c>
      <c r="AS15" s="577" t="s">
        <v>1986</v>
      </c>
      <c r="AT15" s="577" t="s">
        <v>2616</v>
      </c>
      <c r="AU15" s="577">
        <v>5.5</v>
      </c>
      <c r="AV15" s="577">
        <v>4.5</v>
      </c>
      <c r="AW15" s="577" t="s">
        <v>2685</v>
      </c>
      <c r="AX15" s="577" t="s">
        <v>2443</v>
      </c>
      <c r="AY15" s="581" t="s">
        <v>864</v>
      </c>
      <c r="AZ15" s="582" t="s">
        <v>1444</v>
      </c>
      <c r="BA15" s="581" t="s">
        <v>864</v>
      </c>
      <c r="BB15" s="582" t="s">
        <v>1444</v>
      </c>
      <c r="BC15" s="577">
        <v>4.5</v>
      </c>
      <c r="BD15" s="577" t="s">
        <v>2772</v>
      </c>
      <c r="BE15" s="577" t="s">
        <v>2288</v>
      </c>
      <c r="BF15" s="577" t="s">
        <v>2724</v>
      </c>
      <c r="BG15" s="577">
        <v>8</v>
      </c>
      <c r="BH15" s="577">
        <v>2.2999999999999998</v>
      </c>
      <c r="BI15" s="577" t="s">
        <v>2467</v>
      </c>
      <c r="BJ15" s="577" t="s">
        <v>2774</v>
      </c>
      <c r="BK15" s="581" t="s">
        <v>864</v>
      </c>
      <c r="BL15" s="582" t="s">
        <v>1444</v>
      </c>
    </row>
    <row r="16" spans="1:64" ht="11.1" customHeight="1">
      <c r="A16" s="220" t="s">
        <v>612</v>
      </c>
      <c r="B16" s="218" t="s">
        <v>1445</v>
      </c>
      <c r="C16" s="292">
        <v>5</v>
      </c>
      <c r="D16" s="292">
        <v>5</v>
      </c>
      <c r="E16" s="247">
        <v>5</v>
      </c>
      <c r="F16" s="247">
        <v>5</v>
      </c>
      <c r="G16" s="247">
        <v>5</v>
      </c>
      <c r="H16" s="247">
        <v>5</v>
      </c>
      <c r="I16" s="247">
        <v>5</v>
      </c>
      <c r="J16" s="176" t="s">
        <v>1986</v>
      </c>
      <c r="K16" s="247" t="s">
        <v>2613</v>
      </c>
      <c r="L16" s="247" t="s">
        <v>2467</v>
      </c>
      <c r="M16" s="247" t="s">
        <v>2760</v>
      </c>
      <c r="N16" s="247" t="s">
        <v>2443</v>
      </c>
      <c r="O16" s="247" t="s">
        <v>2762</v>
      </c>
      <c r="P16" s="247">
        <v>4.75</v>
      </c>
      <c r="Q16" s="247">
        <v>5.5</v>
      </c>
      <c r="R16" s="220" t="s">
        <v>612</v>
      </c>
      <c r="S16" s="218" t="s">
        <v>1445</v>
      </c>
      <c r="T16" s="220" t="s">
        <v>612</v>
      </c>
      <c r="U16" s="218" t="s">
        <v>1445</v>
      </c>
      <c r="V16" s="176" t="s">
        <v>1857</v>
      </c>
      <c r="W16" s="176" t="s">
        <v>2282</v>
      </c>
      <c r="X16" s="176" t="s">
        <v>2682</v>
      </c>
      <c r="Y16" s="176">
        <v>5.75</v>
      </c>
      <c r="Z16" s="176" t="s">
        <v>2282</v>
      </c>
      <c r="AA16" s="176">
        <v>4.25</v>
      </c>
      <c r="AB16" s="176" t="s">
        <v>2487</v>
      </c>
      <c r="AC16" s="176" t="s">
        <v>2681</v>
      </c>
      <c r="AD16" s="176" t="s">
        <v>2406</v>
      </c>
      <c r="AE16" s="176" t="s">
        <v>2614</v>
      </c>
      <c r="AF16" s="176" t="s">
        <v>2283</v>
      </c>
      <c r="AG16" s="176">
        <v>6</v>
      </c>
      <c r="AH16" s="220" t="s">
        <v>612</v>
      </c>
      <c r="AI16" s="218" t="s">
        <v>1445</v>
      </c>
      <c r="AJ16" s="220" t="s">
        <v>612</v>
      </c>
      <c r="AK16" s="218" t="s">
        <v>1445</v>
      </c>
      <c r="AL16" s="247">
        <v>6.5</v>
      </c>
      <c r="AM16" s="247" t="s">
        <v>2681</v>
      </c>
      <c r="AN16" s="247" t="s">
        <v>2286</v>
      </c>
      <c r="AO16" s="246" t="s">
        <v>2769</v>
      </c>
      <c r="AP16" s="247">
        <v>6.75</v>
      </c>
      <c r="AQ16" s="176" t="s">
        <v>2706</v>
      </c>
      <c r="AR16" s="247">
        <v>7.5</v>
      </c>
      <c r="AS16" s="247" t="s">
        <v>2418</v>
      </c>
      <c r="AT16" s="247" t="s">
        <v>2706</v>
      </c>
      <c r="AU16" s="247">
        <v>5.75</v>
      </c>
      <c r="AV16" s="247">
        <v>5.5</v>
      </c>
      <c r="AW16" s="247" t="s">
        <v>2685</v>
      </c>
      <c r="AX16" s="247" t="s">
        <v>2443</v>
      </c>
      <c r="AY16" s="220" t="s">
        <v>612</v>
      </c>
      <c r="AZ16" s="218" t="s">
        <v>1445</v>
      </c>
      <c r="BA16" s="220" t="s">
        <v>612</v>
      </c>
      <c r="BB16" s="218" t="s">
        <v>1445</v>
      </c>
      <c r="BC16" s="246" t="s">
        <v>2770</v>
      </c>
      <c r="BD16" s="246" t="s">
        <v>2709</v>
      </c>
      <c r="BE16" s="247" t="s">
        <v>2288</v>
      </c>
      <c r="BF16" s="247">
        <v>5.75</v>
      </c>
      <c r="BG16" s="247">
        <v>8.5</v>
      </c>
      <c r="BH16" s="247" t="s">
        <v>103</v>
      </c>
      <c r="BI16" s="247" t="s">
        <v>2442</v>
      </c>
      <c r="BJ16" s="247" t="s">
        <v>2775</v>
      </c>
      <c r="BK16" s="220" t="s">
        <v>612</v>
      </c>
      <c r="BL16" s="218" t="s">
        <v>1445</v>
      </c>
    </row>
    <row r="17" spans="1:64" ht="11.1" customHeight="1">
      <c r="A17" s="581" t="s">
        <v>613</v>
      </c>
      <c r="B17" s="582" t="s">
        <v>1446</v>
      </c>
      <c r="C17" s="576">
        <v>5</v>
      </c>
      <c r="D17" s="884" t="s">
        <v>103</v>
      </c>
      <c r="E17" s="577" t="s">
        <v>103</v>
      </c>
      <c r="F17" s="577">
        <v>5</v>
      </c>
      <c r="G17" s="577">
        <v>5.25</v>
      </c>
      <c r="H17" s="577" t="s">
        <v>103</v>
      </c>
      <c r="I17" s="577" t="s">
        <v>103</v>
      </c>
      <c r="J17" s="579" t="s">
        <v>1986</v>
      </c>
      <c r="K17" s="577" t="s">
        <v>2613</v>
      </c>
      <c r="L17" s="577">
        <v>5.25</v>
      </c>
      <c r="M17" s="577">
        <v>7.5</v>
      </c>
      <c r="N17" s="585" t="s">
        <v>103</v>
      </c>
      <c r="O17" s="577" t="s">
        <v>2763</v>
      </c>
      <c r="P17" s="577">
        <v>4.75</v>
      </c>
      <c r="Q17" s="577">
        <v>6</v>
      </c>
      <c r="R17" s="581" t="s">
        <v>613</v>
      </c>
      <c r="S17" s="582" t="s">
        <v>1446</v>
      </c>
      <c r="T17" s="581" t="s">
        <v>613</v>
      </c>
      <c r="U17" s="582" t="s">
        <v>1446</v>
      </c>
      <c r="V17" s="579">
        <v>4</v>
      </c>
      <c r="W17" s="579" t="s">
        <v>103</v>
      </c>
      <c r="X17" s="579">
        <v>4</v>
      </c>
      <c r="Y17" s="586" t="s">
        <v>103</v>
      </c>
      <c r="Z17" s="579" t="s">
        <v>103</v>
      </c>
      <c r="AA17" s="579">
        <v>4.25</v>
      </c>
      <c r="AB17" s="579" t="s">
        <v>2488</v>
      </c>
      <c r="AC17" s="579" t="s">
        <v>103</v>
      </c>
      <c r="AD17" s="579" t="s">
        <v>2406</v>
      </c>
      <c r="AE17" s="579" t="s">
        <v>2614</v>
      </c>
      <c r="AF17" s="579" t="s">
        <v>103</v>
      </c>
      <c r="AG17" s="579" t="s">
        <v>103</v>
      </c>
      <c r="AH17" s="581" t="s">
        <v>613</v>
      </c>
      <c r="AI17" s="582" t="s">
        <v>1446</v>
      </c>
      <c r="AJ17" s="581" t="s">
        <v>613</v>
      </c>
      <c r="AK17" s="582" t="s">
        <v>1446</v>
      </c>
      <c r="AL17" s="577">
        <v>6.5</v>
      </c>
      <c r="AM17" s="580" t="s">
        <v>103</v>
      </c>
      <c r="AN17" s="577" t="s">
        <v>2286</v>
      </c>
      <c r="AO17" s="577" t="s">
        <v>2682</v>
      </c>
      <c r="AP17" s="577">
        <v>5.5</v>
      </c>
      <c r="AQ17" s="579" t="s">
        <v>103</v>
      </c>
      <c r="AR17" s="577" t="s">
        <v>103</v>
      </c>
      <c r="AS17" s="577" t="s">
        <v>2457</v>
      </c>
      <c r="AT17" s="577">
        <v>7.5</v>
      </c>
      <c r="AU17" s="577">
        <v>6</v>
      </c>
      <c r="AV17" s="577">
        <v>6.5</v>
      </c>
      <c r="AW17" s="577" t="s">
        <v>103</v>
      </c>
      <c r="AX17" s="577">
        <v>5</v>
      </c>
      <c r="AY17" s="581" t="s">
        <v>613</v>
      </c>
      <c r="AZ17" s="582" t="s">
        <v>1446</v>
      </c>
      <c r="BA17" s="581" t="s">
        <v>613</v>
      </c>
      <c r="BB17" s="582" t="s">
        <v>1446</v>
      </c>
      <c r="BC17" s="577">
        <v>5.0999999999999996</v>
      </c>
      <c r="BD17" s="580" t="s">
        <v>2466</v>
      </c>
      <c r="BE17" s="577" t="s">
        <v>2288</v>
      </c>
      <c r="BF17" s="577" t="s">
        <v>2281</v>
      </c>
      <c r="BG17" s="577">
        <v>8.5</v>
      </c>
      <c r="BH17" s="585" t="s">
        <v>103</v>
      </c>
      <c r="BI17" s="577" t="s">
        <v>2442</v>
      </c>
      <c r="BJ17" s="577" t="s">
        <v>2776</v>
      </c>
      <c r="BK17" s="581" t="s">
        <v>613</v>
      </c>
      <c r="BL17" s="582" t="s">
        <v>1446</v>
      </c>
    </row>
    <row r="18" spans="1:64" ht="11.1" customHeight="1">
      <c r="A18" s="220" t="s">
        <v>638</v>
      </c>
      <c r="B18" s="218" t="s">
        <v>1447</v>
      </c>
      <c r="C18" s="292" t="s">
        <v>103</v>
      </c>
      <c r="D18" s="293" t="s">
        <v>103</v>
      </c>
      <c r="E18" s="247" t="s">
        <v>103</v>
      </c>
      <c r="F18" s="247">
        <v>5</v>
      </c>
      <c r="G18" s="247">
        <v>5.25</v>
      </c>
      <c r="H18" s="247" t="s">
        <v>103</v>
      </c>
      <c r="I18" s="247" t="s">
        <v>103</v>
      </c>
      <c r="J18" s="176" t="s">
        <v>1986</v>
      </c>
      <c r="K18" s="247" t="s">
        <v>2758</v>
      </c>
      <c r="L18" s="247">
        <v>5.75</v>
      </c>
      <c r="M18" s="247" t="s">
        <v>103</v>
      </c>
      <c r="N18" s="247" t="s">
        <v>103</v>
      </c>
      <c r="O18" s="247" t="s">
        <v>2763</v>
      </c>
      <c r="P18" s="247" t="s">
        <v>103</v>
      </c>
      <c r="Q18" s="1322" t="s">
        <v>2527</v>
      </c>
      <c r="R18" s="220" t="s">
        <v>638</v>
      </c>
      <c r="S18" s="218" t="s">
        <v>1447</v>
      </c>
      <c r="T18" s="220" t="s">
        <v>638</v>
      </c>
      <c r="U18" s="218" t="s">
        <v>1447</v>
      </c>
      <c r="V18" s="176">
        <v>4</v>
      </c>
      <c r="W18" s="176" t="s">
        <v>103</v>
      </c>
      <c r="X18" s="176">
        <v>7.18</v>
      </c>
      <c r="Y18" s="176" t="s">
        <v>103</v>
      </c>
      <c r="Z18" s="176" t="s">
        <v>103</v>
      </c>
      <c r="AA18" s="176">
        <v>4.25</v>
      </c>
      <c r="AB18" s="176" t="s">
        <v>2489</v>
      </c>
      <c r="AC18" s="176" t="s">
        <v>103</v>
      </c>
      <c r="AD18" s="176" t="s">
        <v>2406</v>
      </c>
      <c r="AE18" s="176" t="s">
        <v>2614</v>
      </c>
      <c r="AF18" s="176" t="s">
        <v>103</v>
      </c>
      <c r="AG18" s="176" t="s">
        <v>103</v>
      </c>
      <c r="AH18" s="220" t="s">
        <v>638</v>
      </c>
      <c r="AI18" s="218" t="s">
        <v>1447</v>
      </c>
      <c r="AJ18" s="220" t="s">
        <v>638</v>
      </c>
      <c r="AK18" s="218" t="s">
        <v>1447</v>
      </c>
      <c r="AL18" s="247">
        <v>6.5</v>
      </c>
      <c r="AM18" s="247">
        <v>5.5</v>
      </c>
      <c r="AN18" s="247" t="s">
        <v>2286</v>
      </c>
      <c r="AO18" s="247" t="s">
        <v>2682</v>
      </c>
      <c r="AP18" s="247" t="s">
        <v>103</v>
      </c>
      <c r="AQ18" s="176" t="s">
        <v>103</v>
      </c>
      <c r="AR18" s="247" t="s">
        <v>103</v>
      </c>
      <c r="AS18" s="247" t="s">
        <v>103</v>
      </c>
      <c r="AT18" s="247">
        <v>8</v>
      </c>
      <c r="AU18" s="247">
        <v>6.25</v>
      </c>
      <c r="AV18" s="247">
        <v>6.5</v>
      </c>
      <c r="AW18" s="247" t="s">
        <v>103</v>
      </c>
      <c r="AX18" s="247">
        <v>5.5</v>
      </c>
      <c r="AY18" s="220" t="s">
        <v>638</v>
      </c>
      <c r="AZ18" s="218" t="s">
        <v>1447</v>
      </c>
      <c r="BA18" s="220" t="s">
        <v>638</v>
      </c>
      <c r="BB18" s="218" t="s">
        <v>1447</v>
      </c>
      <c r="BC18" s="246" t="s">
        <v>2771</v>
      </c>
      <c r="BD18" s="247" t="s">
        <v>2031</v>
      </c>
      <c r="BE18" s="247" t="s">
        <v>2288</v>
      </c>
      <c r="BF18" s="247" t="s">
        <v>2281</v>
      </c>
      <c r="BG18" s="247">
        <v>8.5</v>
      </c>
      <c r="BH18" s="248" t="s">
        <v>103</v>
      </c>
      <c r="BI18" s="247" t="s">
        <v>2442</v>
      </c>
      <c r="BJ18" s="247" t="s">
        <v>2776</v>
      </c>
      <c r="BK18" s="220" t="s">
        <v>638</v>
      </c>
      <c r="BL18" s="218" t="s">
        <v>1447</v>
      </c>
    </row>
    <row r="19" spans="1:64" ht="11.25" customHeight="1">
      <c r="A19" s="2031" t="s">
        <v>247</v>
      </c>
      <c r="B19" s="2031"/>
      <c r="C19" s="577"/>
      <c r="D19" s="577"/>
      <c r="E19" s="577"/>
      <c r="F19" s="577"/>
      <c r="G19" s="577"/>
      <c r="H19" s="577"/>
      <c r="I19" s="577"/>
      <c r="J19" s="577"/>
      <c r="K19" s="577"/>
      <c r="L19" s="577"/>
      <c r="M19" s="577"/>
      <c r="N19" s="577"/>
      <c r="O19" s="580" t="s">
        <v>217</v>
      </c>
      <c r="P19" s="577"/>
      <c r="Q19" s="580"/>
      <c r="R19" s="2031" t="s">
        <v>247</v>
      </c>
      <c r="S19" s="2031"/>
      <c r="T19" s="2031" t="s">
        <v>247</v>
      </c>
      <c r="U19" s="2031"/>
      <c r="V19" s="579"/>
      <c r="W19" s="579"/>
      <c r="X19" s="579"/>
      <c r="Y19" s="579"/>
      <c r="Z19" s="579"/>
      <c r="AA19" s="579"/>
      <c r="AB19" s="578"/>
      <c r="AC19" s="578"/>
      <c r="AD19" s="578"/>
      <c r="AE19" s="578"/>
      <c r="AF19" s="578"/>
      <c r="AG19" s="579"/>
      <c r="AH19" s="2031" t="s">
        <v>247</v>
      </c>
      <c r="AI19" s="2031"/>
      <c r="AJ19" s="2031" t="s">
        <v>247</v>
      </c>
      <c r="AK19" s="2031"/>
      <c r="AL19" s="580"/>
      <c r="AM19" s="580"/>
      <c r="AN19" s="577"/>
      <c r="AO19" s="580"/>
      <c r="AP19" s="577"/>
      <c r="AQ19" s="577"/>
      <c r="AR19" s="577"/>
      <c r="AS19" s="577"/>
      <c r="AT19" s="577"/>
      <c r="AU19" s="577"/>
      <c r="AV19" s="577"/>
      <c r="AW19" s="577"/>
      <c r="AX19" s="577"/>
      <c r="AY19" s="2031" t="s">
        <v>247</v>
      </c>
      <c r="AZ19" s="2031"/>
      <c r="BA19" s="2031" t="s">
        <v>247</v>
      </c>
      <c r="BB19" s="2031"/>
      <c r="BC19" s="580"/>
      <c r="BD19" s="580"/>
      <c r="BE19" s="580"/>
      <c r="BF19" s="580"/>
      <c r="BG19" s="580"/>
      <c r="BH19" s="580"/>
      <c r="BI19" s="577"/>
      <c r="BJ19" s="577"/>
      <c r="BK19" s="2031" t="s">
        <v>247</v>
      </c>
      <c r="BL19" s="2031"/>
    </row>
    <row r="20" spans="1:64" ht="12" customHeight="1">
      <c r="A20" s="2030" t="s">
        <v>248</v>
      </c>
      <c r="B20" s="2030"/>
      <c r="C20" s="247"/>
      <c r="D20" s="247"/>
      <c r="E20" s="247"/>
      <c r="F20" s="247"/>
      <c r="G20" s="247"/>
      <c r="H20" s="247"/>
      <c r="I20" s="247"/>
      <c r="J20" s="247"/>
      <c r="K20" s="247"/>
      <c r="L20" s="247"/>
      <c r="M20" s="247"/>
      <c r="N20" s="247"/>
      <c r="O20" s="246"/>
      <c r="P20" s="247"/>
      <c r="Q20" s="246"/>
      <c r="R20" s="2030" t="s">
        <v>248</v>
      </c>
      <c r="S20" s="2030"/>
      <c r="T20" s="2030" t="s">
        <v>248</v>
      </c>
      <c r="U20" s="2030"/>
      <c r="V20" s="177"/>
      <c r="W20" s="176"/>
      <c r="X20" s="176"/>
      <c r="Y20" s="176"/>
      <c r="Z20" s="176"/>
      <c r="AA20" s="176"/>
      <c r="AB20" s="102"/>
      <c r="AC20" s="102"/>
      <c r="AD20" s="102"/>
      <c r="AE20" s="102"/>
      <c r="AF20" s="102"/>
      <c r="AG20" s="176"/>
      <c r="AH20" s="2030" t="s">
        <v>248</v>
      </c>
      <c r="AI20" s="2030"/>
      <c r="AJ20" s="2030" t="s">
        <v>248</v>
      </c>
      <c r="AK20" s="2030"/>
      <c r="AL20" s="246"/>
      <c r="AM20" s="246"/>
      <c r="AN20" s="247"/>
      <c r="AO20" s="246"/>
      <c r="AP20" s="247"/>
      <c r="AQ20" s="247"/>
      <c r="AR20" s="247"/>
      <c r="AS20" s="247"/>
      <c r="AT20" s="247"/>
      <c r="AU20" s="247"/>
      <c r="AV20" s="247"/>
      <c r="AW20" s="247"/>
      <c r="AX20" s="247"/>
      <c r="AY20" s="2030" t="s">
        <v>248</v>
      </c>
      <c r="AZ20" s="2030"/>
      <c r="BA20" s="2030" t="s">
        <v>248</v>
      </c>
      <c r="BB20" s="2030"/>
      <c r="BC20" s="246"/>
      <c r="BD20" s="246"/>
      <c r="BE20" s="246"/>
      <c r="BF20" s="246"/>
      <c r="BG20" s="246"/>
      <c r="BH20" s="246"/>
      <c r="BI20" s="247"/>
      <c r="BJ20" s="247"/>
      <c r="BK20" s="2030" t="s">
        <v>248</v>
      </c>
      <c r="BL20" s="2030"/>
    </row>
    <row r="21" spans="1:64" ht="11.1" customHeight="1">
      <c r="A21" s="587"/>
      <c r="B21" s="553" t="s">
        <v>249</v>
      </c>
      <c r="C21" s="579" t="s">
        <v>2777</v>
      </c>
      <c r="D21" s="577">
        <v>9</v>
      </c>
      <c r="E21" s="1324" t="s">
        <v>2777</v>
      </c>
      <c r="F21" s="579" t="s">
        <v>2777</v>
      </c>
      <c r="G21" s="577">
        <v>9</v>
      </c>
      <c r="H21" s="577">
        <v>9</v>
      </c>
      <c r="I21" s="579">
        <v>9</v>
      </c>
      <c r="J21" s="579">
        <v>9</v>
      </c>
      <c r="K21" s="577">
        <v>8.5</v>
      </c>
      <c r="L21" s="577">
        <v>9</v>
      </c>
      <c r="M21" s="577">
        <v>9</v>
      </c>
      <c r="N21" s="579" t="s">
        <v>2780</v>
      </c>
      <c r="O21" s="577">
        <v>9</v>
      </c>
      <c r="P21" s="577">
        <v>9</v>
      </c>
      <c r="Q21" s="577">
        <v>9</v>
      </c>
      <c r="R21" s="523"/>
      <c r="S21" s="553" t="s">
        <v>249</v>
      </c>
      <c r="T21" s="523"/>
      <c r="U21" s="553" t="s">
        <v>249</v>
      </c>
      <c r="V21" s="579" t="s">
        <v>2781</v>
      </c>
      <c r="W21" s="579">
        <v>9</v>
      </c>
      <c r="X21" s="579">
        <v>9</v>
      </c>
      <c r="Y21" s="579">
        <v>9</v>
      </c>
      <c r="Z21" s="579">
        <v>9</v>
      </c>
      <c r="AA21" s="579" t="s">
        <v>2780</v>
      </c>
      <c r="AB21" s="579" t="s">
        <v>2780</v>
      </c>
      <c r="AC21" s="579">
        <v>9</v>
      </c>
      <c r="AD21" s="579">
        <v>9</v>
      </c>
      <c r="AE21" s="579">
        <v>9</v>
      </c>
      <c r="AF21" s="579" t="s">
        <v>2777</v>
      </c>
      <c r="AG21" s="579" t="s">
        <v>2777</v>
      </c>
      <c r="AH21" s="523"/>
      <c r="AI21" s="553" t="s">
        <v>249</v>
      </c>
      <c r="AJ21" s="523"/>
      <c r="AK21" s="553" t="s">
        <v>249</v>
      </c>
      <c r="AL21" s="577" t="s">
        <v>2785</v>
      </c>
      <c r="AM21" s="577">
        <v>9</v>
      </c>
      <c r="AN21" s="577">
        <v>9</v>
      </c>
      <c r="AO21" s="579" t="s">
        <v>2780</v>
      </c>
      <c r="AP21" s="577">
        <v>9</v>
      </c>
      <c r="AQ21" s="577">
        <v>9</v>
      </c>
      <c r="AR21" s="577">
        <v>9</v>
      </c>
      <c r="AS21" s="577">
        <v>9</v>
      </c>
      <c r="AT21" s="577" t="s">
        <v>2785</v>
      </c>
      <c r="AU21" s="577">
        <v>9</v>
      </c>
      <c r="AV21" s="577" t="s">
        <v>2788</v>
      </c>
      <c r="AW21" s="577">
        <v>9</v>
      </c>
      <c r="AX21" s="577" t="s">
        <v>103</v>
      </c>
      <c r="AY21" s="523"/>
      <c r="AZ21" s="553" t="s">
        <v>249</v>
      </c>
      <c r="BA21" s="523"/>
      <c r="BB21" s="553" t="s">
        <v>249</v>
      </c>
      <c r="BC21" s="577" t="s">
        <v>2780</v>
      </c>
      <c r="BD21" s="577" t="s">
        <v>2444</v>
      </c>
      <c r="BE21" s="577" t="s">
        <v>2780</v>
      </c>
      <c r="BF21" s="577">
        <v>9</v>
      </c>
      <c r="BG21" s="577" t="s">
        <v>2366</v>
      </c>
      <c r="BH21" s="577" t="s">
        <v>2314</v>
      </c>
      <c r="BI21" s="577" t="s">
        <v>2789</v>
      </c>
      <c r="BJ21" s="577">
        <v>9</v>
      </c>
      <c r="BK21" s="523"/>
      <c r="BL21" s="553" t="s">
        <v>249</v>
      </c>
    </row>
    <row r="22" spans="1:64" ht="11.1" customHeight="1">
      <c r="A22" s="45"/>
      <c r="B22" s="233" t="s">
        <v>250</v>
      </c>
      <c r="C22" s="247" t="s">
        <v>103</v>
      </c>
      <c r="D22" s="247" t="s">
        <v>103</v>
      </c>
      <c r="E22" s="247" t="s">
        <v>103</v>
      </c>
      <c r="F22" s="247" t="s">
        <v>103</v>
      </c>
      <c r="G22" s="247" t="s">
        <v>103</v>
      </c>
      <c r="H22" s="247" t="s">
        <v>103</v>
      </c>
      <c r="I22" s="247" t="s">
        <v>103</v>
      </c>
      <c r="J22" s="176"/>
      <c r="K22" s="247" t="s">
        <v>103</v>
      </c>
      <c r="L22" s="247" t="s">
        <v>103</v>
      </c>
      <c r="M22" s="247" t="s">
        <v>103</v>
      </c>
      <c r="N22" s="157" t="s">
        <v>2780</v>
      </c>
      <c r="O22" s="246" t="s">
        <v>103</v>
      </c>
      <c r="P22" s="247" t="s">
        <v>103</v>
      </c>
      <c r="Q22" s="247" t="s">
        <v>103</v>
      </c>
      <c r="S22" s="233" t="s">
        <v>250</v>
      </c>
      <c r="U22" s="233" t="s">
        <v>250</v>
      </c>
      <c r="V22" s="176"/>
      <c r="W22" s="176" t="s">
        <v>103</v>
      </c>
      <c r="X22" s="176" t="s">
        <v>103</v>
      </c>
      <c r="Y22" s="176" t="s">
        <v>103</v>
      </c>
      <c r="Z22" s="176" t="s">
        <v>103</v>
      </c>
      <c r="AA22" s="176" t="s">
        <v>103</v>
      </c>
      <c r="AB22" s="176" t="s">
        <v>2780</v>
      </c>
      <c r="AC22" s="176" t="s">
        <v>103</v>
      </c>
      <c r="AD22" s="176" t="s">
        <v>103</v>
      </c>
      <c r="AE22" s="176" t="s">
        <v>103</v>
      </c>
      <c r="AF22" s="176" t="s">
        <v>2777</v>
      </c>
      <c r="AG22" s="176" t="s">
        <v>103</v>
      </c>
      <c r="AI22" s="233" t="s">
        <v>250</v>
      </c>
      <c r="AK22" s="233" t="s">
        <v>250</v>
      </c>
      <c r="AL22" s="247" t="s">
        <v>103</v>
      </c>
      <c r="AM22" s="247"/>
      <c r="AN22" s="247" t="s">
        <v>103</v>
      </c>
      <c r="AO22" s="247" t="s">
        <v>103</v>
      </c>
      <c r="AP22" s="247" t="s">
        <v>103</v>
      </c>
      <c r="AQ22" s="247" t="s">
        <v>103</v>
      </c>
      <c r="AR22" s="247" t="s">
        <v>103</v>
      </c>
      <c r="AS22" s="247" t="s">
        <v>103</v>
      </c>
      <c r="AT22" s="247" t="s">
        <v>103</v>
      </c>
      <c r="AU22" s="247" t="s">
        <v>103</v>
      </c>
      <c r="AV22" s="247" t="s">
        <v>103</v>
      </c>
      <c r="AW22" s="247" t="s">
        <v>103</v>
      </c>
      <c r="AX22" s="247" t="s">
        <v>103</v>
      </c>
      <c r="AZ22" s="233" t="s">
        <v>250</v>
      </c>
      <c r="BB22" s="233" t="s">
        <v>250</v>
      </c>
      <c r="BC22" s="247" t="s">
        <v>103</v>
      </c>
      <c r="BD22" s="247" t="s">
        <v>103</v>
      </c>
      <c r="BE22" s="247" t="s">
        <v>103</v>
      </c>
      <c r="BF22" s="246" t="s">
        <v>103</v>
      </c>
      <c r="BG22" s="247" t="s">
        <v>103</v>
      </c>
      <c r="BH22" s="247" t="s">
        <v>103</v>
      </c>
      <c r="BI22" s="247" t="s">
        <v>103</v>
      </c>
      <c r="BJ22" s="1068" t="s">
        <v>103</v>
      </c>
      <c r="BL22" s="233" t="s">
        <v>250</v>
      </c>
    </row>
    <row r="23" spans="1:64" ht="23.25" customHeight="1">
      <c r="A23" s="2031" t="s">
        <v>257</v>
      </c>
      <c r="B23" s="2031"/>
      <c r="C23" s="577"/>
      <c r="D23" s="577"/>
      <c r="E23" s="577"/>
      <c r="F23" s="577"/>
      <c r="G23" s="577"/>
      <c r="H23" s="577"/>
      <c r="I23" s="577"/>
      <c r="J23" s="579"/>
      <c r="K23" s="577"/>
      <c r="L23" s="577"/>
      <c r="M23" s="577"/>
      <c r="N23" s="577"/>
      <c r="O23" s="580"/>
      <c r="P23" s="577"/>
      <c r="Q23" s="580"/>
      <c r="R23" s="2031" t="s">
        <v>257</v>
      </c>
      <c r="S23" s="2031"/>
      <c r="T23" s="2031" t="s">
        <v>257</v>
      </c>
      <c r="U23" s="2031"/>
      <c r="V23" s="579"/>
      <c r="W23" s="579"/>
      <c r="X23" s="579"/>
      <c r="Y23" s="579"/>
      <c r="Z23" s="579"/>
      <c r="AA23" s="579"/>
      <c r="AB23" s="579"/>
      <c r="AC23" s="579"/>
      <c r="AD23" s="579"/>
      <c r="AE23" s="579"/>
      <c r="AF23" s="579"/>
      <c r="AG23" s="579"/>
      <c r="AH23" s="2031" t="s">
        <v>257</v>
      </c>
      <c r="AI23" s="2031"/>
      <c r="AJ23" s="2031" t="s">
        <v>257</v>
      </c>
      <c r="AK23" s="2031"/>
      <c r="AL23" s="580"/>
      <c r="AM23" s="580"/>
      <c r="AN23" s="577"/>
      <c r="AO23" s="577"/>
      <c r="AP23" s="577"/>
      <c r="AQ23" s="577"/>
      <c r="AR23" s="577"/>
      <c r="AS23" s="577"/>
      <c r="AT23" s="577"/>
      <c r="AU23" s="577"/>
      <c r="AV23" s="577"/>
      <c r="AW23" s="577"/>
      <c r="AX23" s="577"/>
      <c r="AY23" s="2031" t="s">
        <v>257</v>
      </c>
      <c r="AZ23" s="2031"/>
      <c r="BA23" s="2031" t="s">
        <v>257</v>
      </c>
      <c r="BB23" s="2031"/>
      <c r="BC23" s="580"/>
      <c r="BD23" s="577"/>
      <c r="BE23" s="577"/>
      <c r="BF23" s="580"/>
      <c r="BG23" s="577"/>
      <c r="BH23" s="577"/>
      <c r="BI23" s="577"/>
      <c r="BJ23" s="577"/>
      <c r="BK23" s="2031" t="s">
        <v>257</v>
      </c>
      <c r="BL23" s="2031"/>
    </row>
    <row r="24" spans="1:64" ht="11.1" customHeight="1">
      <c r="B24" s="233" t="s">
        <v>249</v>
      </c>
      <c r="C24" s="247">
        <v>13</v>
      </c>
      <c r="D24" s="157">
        <v>11</v>
      </c>
      <c r="E24" s="176">
        <v>13</v>
      </c>
      <c r="F24" s="247" t="s">
        <v>2531</v>
      </c>
      <c r="G24" s="157" t="s">
        <v>2332</v>
      </c>
      <c r="H24" s="176" t="s">
        <v>1434</v>
      </c>
      <c r="I24" s="247" t="s">
        <v>103</v>
      </c>
      <c r="J24" s="176">
        <v>13</v>
      </c>
      <c r="K24" s="247" t="s">
        <v>2532</v>
      </c>
      <c r="L24" s="247" t="s">
        <v>2315</v>
      </c>
      <c r="M24" s="176" t="s">
        <v>1338</v>
      </c>
      <c r="N24" s="157" t="s">
        <v>1338</v>
      </c>
      <c r="O24" s="247" t="s">
        <v>1338</v>
      </c>
      <c r="P24" s="378" t="s">
        <v>2334</v>
      </c>
      <c r="Q24" s="157" t="s">
        <v>1434</v>
      </c>
      <c r="S24" s="233" t="s">
        <v>249</v>
      </c>
      <c r="U24" s="233" t="s">
        <v>249</v>
      </c>
      <c r="V24" s="176" t="s">
        <v>2315</v>
      </c>
      <c r="W24" s="176" t="s">
        <v>1987</v>
      </c>
      <c r="X24" s="176" t="s">
        <v>2315</v>
      </c>
      <c r="Y24" s="176" t="s">
        <v>103</v>
      </c>
      <c r="Z24" s="176">
        <v>14</v>
      </c>
      <c r="AA24" s="176" t="s">
        <v>2315</v>
      </c>
      <c r="AB24" s="176" t="s">
        <v>1987</v>
      </c>
      <c r="AC24" s="176" t="s">
        <v>2344</v>
      </c>
      <c r="AD24" s="176" t="s">
        <v>1331</v>
      </c>
      <c r="AE24" s="176" t="s">
        <v>1627</v>
      </c>
      <c r="AF24" s="378" t="s">
        <v>2342</v>
      </c>
      <c r="AG24" s="176" t="s">
        <v>1628</v>
      </c>
      <c r="AI24" s="233" t="s">
        <v>249</v>
      </c>
      <c r="AK24" s="233" t="s">
        <v>249</v>
      </c>
      <c r="AL24" s="247" t="s">
        <v>1628</v>
      </c>
      <c r="AM24" s="247" t="s">
        <v>2334</v>
      </c>
      <c r="AN24" s="247" t="s">
        <v>1976</v>
      </c>
      <c r="AO24" s="247" t="s">
        <v>1338</v>
      </c>
      <c r="AP24" s="247">
        <v>12.5</v>
      </c>
      <c r="AQ24" s="247" t="s">
        <v>1628</v>
      </c>
      <c r="AR24" s="247" t="s">
        <v>1987</v>
      </c>
      <c r="AS24" s="247" t="s">
        <v>1338</v>
      </c>
      <c r="AT24" s="247" t="s">
        <v>2334</v>
      </c>
      <c r="AU24" s="247" t="s">
        <v>1987</v>
      </c>
      <c r="AV24" s="247" t="s">
        <v>1987</v>
      </c>
      <c r="AW24" s="247">
        <v>13</v>
      </c>
      <c r="AX24" s="247" t="s">
        <v>1627</v>
      </c>
      <c r="AZ24" s="233" t="s">
        <v>249</v>
      </c>
      <c r="BB24" s="233" t="s">
        <v>249</v>
      </c>
      <c r="BC24" s="247" t="s">
        <v>1976</v>
      </c>
      <c r="BD24" s="247" t="s">
        <v>2316</v>
      </c>
      <c r="BE24" s="247" t="s">
        <v>1987</v>
      </c>
      <c r="BF24" s="247" t="s">
        <v>2533</v>
      </c>
      <c r="BG24" s="247" t="s">
        <v>2349</v>
      </c>
      <c r="BH24" s="247" t="s">
        <v>2315</v>
      </c>
      <c r="BI24" s="247" t="s">
        <v>2366</v>
      </c>
      <c r="BJ24" s="247" t="s">
        <v>1976</v>
      </c>
      <c r="BL24" s="233" t="s">
        <v>249</v>
      </c>
    </row>
    <row r="25" spans="1:64" ht="11.1" customHeight="1">
      <c r="A25" s="523"/>
      <c r="B25" s="553" t="s">
        <v>250</v>
      </c>
      <c r="C25" s="577" t="s">
        <v>103</v>
      </c>
      <c r="D25" s="577" t="s">
        <v>103</v>
      </c>
      <c r="E25" s="577" t="s">
        <v>103</v>
      </c>
      <c r="F25" s="577" t="s">
        <v>103</v>
      </c>
      <c r="G25" s="577" t="s">
        <v>103</v>
      </c>
      <c r="H25" s="577" t="s">
        <v>103</v>
      </c>
      <c r="I25" s="577">
        <v>13</v>
      </c>
      <c r="J25" s="579" t="s">
        <v>103</v>
      </c>
      <c r="K25" s="577" t="s">
        <v>103</v>
      </c>
      <c r="L25" s="577" t="s">
        <v>103</v>
      </c>
      <c r="M25" s="577" t="s">
        <v>103</v>
      </c>
      <c r="N25" s="1248" t="s">
        <v>1338</v>
      </c>
      <c r="O25" s="577" t="s">
        <v>103</v>
      </c>
      <c r="P25" s="580" t="s">
        <v>103</v>
      </c>
      <c r="Q25" s="580" t="s">
        <v>103</v>
      </c>
      <c r="R25" s="523"/>
      <c r="S25" s="553" t="s">
        <v>250</v>
      </c>
      <c r="T25" s="523"/>
      <c r="U25" s="553" t="s">
        <v>250</v>
      </c>
      <c r="V25" s="579"/>
      <c r="W25" s="579" t="s">
        <v>103</v>
      </c>
      <c r="X25" s="579" t="s">
        <v>103</v>
      </c>
      <c r="Y25" s="579" t="s">
        <v>1987</v>
      </c>
      <c r="Z25" s="579" t="s">
        <v>103</v>
      </c>
      <c r="AA25" s="579" t="s">
        <v>103</v>
      </c>
      <c r="AB25" s="579" t="s">
        <v>1987</v>
      </c>
      <c r="AC25" s="579" t="s">
        <v>2421</v>
      </c>
      <c r="AD25" s="579" t="s">
        <v>103</v>
      </c>
      <c r="AE25" s="1122" t="s">
        <v>103</v>
      </c>
      <c r="AF25" s="524" t="s">
        <v>103</v>
      </c>
      <c r="AG25" s="579" t="s">
        <v>103</v>
      </c>
      <c r="AH25" s="523"/>
      <c r="AI25" s="553" t="s">
        <v>250</v>
      </c>
      <c r="AJ25" s="523"/>
      <c r="AK25" s="553" t="s">
        <v>250</v>
      </c>
      <c r="AL25" s="1069" t="s">
        <v>103</v>
      </c>
      <c r="AM25" s="577" t="s">
        <v>2334</v>
      </c>
      <c r="AN25" s="577" t="s">
        <v>103</v>
      </c>
      <c r="AO25" s="1069" t="s">
        <v>103</v>
      </c>
      <c r="AP25" s="577" t="s">
        <v>103</v>
      </c>
      <c r="AQ25" s="577" t="s">
        <v>103</v>
      </c>
      <c r="AR25" s="577" t="s">
        <v>103</v>
      </c>
      <c r="AS25" s="577" t="s">
        <v>103</v>
      </c>
      <c r="AT25" s="577" t="s">
        <v>103</v>
      </c>
      <c r="AU25" s="577" t="s">
        <v>103</v>
      </c>
      <c r="AV25" s="577" t="s">
        <v>103</v>
      </c>
      <c r="AW25" s="577" t="s">
        <v>103</v>
      </c>
      <c r="AX25" s="577" t="s">
        <v>103</v>
      </c>
      <c r="AY25" s="523"/>
      <c r="AZ25" s="553" t="s">
        <v>250</v>
      </c>
      <c r="BA25" s="523"/>
      <c r="BB25" s="553" t="s">
        <v>250</v>
      </c>
      <c r="BC25" s="577" t="s">
        <v>103</v>
      </c>
      <c r="BD25" s="577" t="s">
        <v>2316</v>
      </c>
      <c r="BE25" s="577" t="s">
        <v>103</v>
      </c>
      <c r="BF25" s="580" t="s">
        <v>103</v>
      </c>
      <c r="BG25" s="577" t="s">
        <v>103</v>
      </c>
      <c r="BH25" s="1069" t="s">
        <v>103</v>
      </c>
      <c r="BI25" s="577" t="s">
        <v>103</v>
      </c>
      <c r="BJ25" s="1069" t="s">
        <v>103</v>
      </c>
      <c r="BK25" s="523"/>
      <c r="BL25" s="553" t="s">
        <v>250</v>
      </c>
    </row>
    <row r="26" spans="1:64" ht="24" customHeight="1">
      <c r="A26" s="2030" t="s">
        <v>49</v>
      </c>
      <c r="B26" s="2030"/>
      <c r="C26" s="247"/>
      <c r="D26" s="247"/>
      <c r="E26" s="247"/>
      <c r="F26" s="247"/>
      <c r="G26" s="247"/>
      <c r="H26" s="247"/>
      <c r="I26" s="247"/>
      <c r="J26" s="176"/>
      <c r="K26" s="247"/>
      <c r="L26" s="247"/>
      <c r="M26" s="247"/>
      <c r="N26" s="247"/>
      <c r="O26" s="247"/>
      <c r="P26" s="246"/>
      <c r="Q26" s="246"/>
      <c r="R26" s="2030" t="s">
        <v>49</v>
      </c>
      <c r="S26" s="2030"/>
      <c r="T26" s="2030" t="s">
        <v>49</v>
      </c>
      <c r="U26" s="2030"/>
      <c r="V26" s="176" t="s">
        <v>1051</v>
      </c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2030" t="s">
        <v>49</v>
      </c>
      <c r="AI26" s="2030"/>
      <c r="AJ26" s="2030" t="s">
        <v>49</v>
      </c>
      <c r="AK26" s="2030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030" t="s">
        <v>49</v>
      </c>
      <c r="AZ26" s="2030"/>
      <c r="BA26" s="2030" t="s">
        <v>49</v>
      </c>
      <c r="BB26" s="2030"/>
      <c r="BC26" s="247"/>
      <c r="BD26" s="247"/>
      <c r="BE26" s="247"/>
      <c r="BF26" s="246"/>
      <c r="BG26" s="247"/>
      <c r="BH26" s="247"/>
      <c r="BI26" s="247"/>
      <c r="BJ26" s="247"/>
      <c r="BK26" s="2030" t="s">
        <v>49</v>
      </c>
      <c r="BL26" s="2030"/>
    </row>
    <row r="27" spans="1:64" ht="11.1" customHeight="1">
      <c r="A27" s="523"/>
      <c r="B27" s="553" t="s">
        <v>249</v>
      </c>
      <c r="C27" s="579">
        <v>13</v>
      </c>
      <c r="D27" s="1248">
        <v>11</v>
      </c>
      <c r="E27" s="579">
        <v>13</v>
      </c>
      <c r="F27" s="577" t="s">
        <v>2531</v>
      </c>
      <c r="G27" s="1248" t="s">
        <v>2336</v>
      </c>
      <c r="H27" s="1248" t="s">
        <v>103</v>
      </c>
      <c r="I27" s="579" t="s">
        <v>103</v>
      </c>
      <c r="J27" s="579">
        <v>13</v>
      </c>
      <c r="K27" s="577">
        <v>15</v>
      </c>
      <c r="L27" s="577" t="s">
        <v>2334</v>
      </c>
      <c r="M27" s="579" t="s">
        <v>1627</v>
      </c>
      <c r="N27" s="1248" t="s">
        <v>2335</v>
      </c>
      <c r="O27" s="577" t="s">
        <v>1338</v>
      </c>
      <c r="P27" s="579" t="s">
        <v>1627</v>
      </c>
      <c r="Q27" s="1248" t="s">
        <v>1434</v>
      </c>
      <c r="R27" s="523"/>
      <c r="S27" s="553" t="s">
        <v>249</v>
      </c>
      <c r="T27" s="523"/>
      <c r="U27" s="553" t="s">
        <v>249</v>
      </c>
      <c r="V27" s="579" t="s">
        <v>2333</v>
      </c>
      <c r="W27" s="579" t="s">
        <v>2334</v>
      </c>
      <c r="X27" s="579" t="s">
        <v>2711</v>
      </c>
      <c r="Y27" s="579" t="s">
        <v>1338</v>
      </c>
      <c r="Z27" s="579">
        <v>14</v>
      </c>
      <c r="AA27" s="579" t="s">
        <v>1627</v>
      </c>
      <c r="AB27" s="579" t="s">
        <v>1338</v>
      </c>
      <c r="AC27" s="579" t="s">
        <v>2468</v>
      </c>
      <c r="AD27" s="579" t="s">
        <v>1623</v>
      </c>
      <c r="AE27" s="579" t="s">
        <v>1628</v>
      </c>
      <c r="AF27" s="579" t="s">
        <v>2342</v>
      </c>
      <c r="AG27" s="579" t="s">
        <v>1604</v>
      </c>
      <c r="AH27" s="523"/>
      <c r="AI27" s="553" t="s">
        <v>249</v>
      </c>
      <c r="AJ27" s="523"/>
      <c r="AK27" s="553" t="s">
        <v>249</v>
      </c>
      <c r="AL27" s="577" t="s">
        <v>1625</v>
      </c>
      <c r="AM27" s="577" t="s">
        <v>1627</v>
      </c>
      <c r="AN27" s="577" t="s">
        <v>1976</v>
      </c>
      <c r="AO27" s="579" t="s">
        <v>1625</v>
      </c>
      <c r="AP27" s="577">
        <v>12.5</v>
      </c>
      <c r="AQ27" s="577" t="s">
        <v>1628</v>
      </c>
      <c r="AR27" s="577" t="s">
        <v>1627</v>
      </c>
      <c r="AS27" s="577" t="s">
        <v>2381</v>
      </c>
      <c r="AT27" s="577" t="s">
        <v>2341</v>
      </c>
      <c r="AU27" s="577" t="s">
        <v>1987</v>
      </c>
      <c r="AV27" s="577" t="s">
        <v>1628</v>
      </c>
      <c r="AW27" s="577">
        <v>13</v>
      </c>
      <c r="AX27" s="577" t="s">
        <v>103</v>
      </c>
      <c r="AY27" s="523"/>
      <c r="AZ27" s="553" t="s">
        <v>249</v>
      </c>
      <c r="BA27" s="523"/>
      <c r="BB27" s="553" t="s">
        <v>249</v>
      </c>
      <c r="BC27" s="577" t="s">
        <v>1338</v>
      </c>
      <c r="BD27" s="577" t="s">
        <v>1604</v>
      </c>
      <c r="BE27" s="577" t="s">
        <v>1338</v>
      </c>
      <c r="BF27" s="577" t="s">
        <v>2287</v>
      </c>
      <c r="BG27" s="577" t="s">
        <v>2350</v>
      </c>
      <c r="BH27" s="577" t="s">
        <v>103</v>
      </c>
      <c r="BI27" s="577" t="s">
        <v>1622</v>
      </c>
      <c r="BJ27" s="577" t="s">
        <v>2334</v>
      </c>
      <c r="BK27" s="523"/>
      <c r="BL27" s="553" t="s">
        <v>249</v>
      </c>
    </row>
    <row r="28" spans="1:64" ht="11.1" customHeight="1">
      <c r="B28" s="233" t="s">
        <v>250</v>
      </c>
      <c r="C28" s="247" t="s">
        <v>103</v>
      </c>
      <c r="D28" s="247" t="s">
        <v>103</v>
      </c>
      <c r="E28" s="247" t="s">
        <v>103</v>
      </c>
      <c r="F28" s="248" t="s">
        <v>103</v>
      </c>
      <c r="G28" s="247" t="s">
        <v>103</v>
      </c>
      <c r="H28" s="247" t="s">
        <v>103</v>
      </c>
      <c r="I28" s="247">
        <v>13</v>
      </c>
      <c r="J28" s="176" t="s">
        <v>103</v>
      </c>
      <c r="K28" s="248" t="s">
        <v>103</v>
      </c>
      <c r="L28" s="247" t="s">
        <v>103</v>
      </c>
      <c r="M28" s="247" t="s">
        <v>103</v>
      </c>
      <c r="N28" s="247" t="s">
        <v>103</v>
      </c>
      <c r="O28" s="247" t="s">
        <v>103</v>
      </c>
      <c r="P28" s="246" t="s">
        <v>103</v>
      </c>
      <c r="Q28" s="246" t="s">
        <v>103</v>
      </c>
      <c r="S28" s="233" t="s">
        <v>250</v>
      </c>
      <c r="U28" s="233" t="s">
        <v>250</v>
      </c>
      <c r="V28" s="176" t="s">
        <v>103</v>
      </c>
      <c r="W28" s="176" t="s">
        <v>103</v>
      </c>
      <c r="X28" s="176" t="s">
        <v>103</v>
      </c>
      <c r="Y28" s="176" t="s">
        <v>103</v>
      </c>
      <c r="Z28" s="176" t="s">
        <v>103</v>
      </c>
      <c r="AA28" s="176" t="s">
        <v>103</v>
      </c>
      <c r="AB28" s="176" t="s">
        <v>103</v>
      </c>
      <c r="AC28" s="176" t="s">
        <v>103</v>
      </c>
      <c r="AD28" s="176" t="s">
        <v>103</v>
      </c>
      <c r="AE28" s="176" t="s">
        <v>103</v>
      </c>
      <c r="AF28" s="176" t="s">
        <v>103</v>
      </c>
      <c r="AG28" s="176" t="s">
        <v>103</v>
      </c>
      <c r="AI28" s="233" t="s">
        <v>250</v>
      </c>
      <c r="AK28" s="233" t="s">
        <v>250</v>
      </c>
      <c r="AL28" s="1068" t="s">
        <v>103</v>
      </c>
      <c r="AM28" s="247" t="s">
        <v>1627</v>
      </c>
      <c r="AN28" s="247" t="s">
        <v>103</v>
      </c>
      <c r="AO28" s="1121" t="s">
        <v>103</v>
      </c>
      <c r="AP28" s="247" t="s">
        <v>103</v>
      </c>
      <c r="AQ28" s="247" t="s">
        <v>103</v>
      </c>
      <c r="AR28" s="1068" t="s">
        <v>103</v>
      </c>
      <c r="AS28" s="247" t="s">
        <v>103</v>
      </c>
      <c r="AT28" s="247" t="s">
        <v>103</v>
      </c>
      <c r="AU28" s="247" t="s">
        <v>103</v>
      </c>
      <c r="AV28" s="247" t="s">
        <v>103</v>
      </c>
      <c r="AW28" s="247" t="s">
        <v>103</v>
      </c>
      <c r="AX28" s="247"/>
      <c r="AZ28" s="233" t="s">
        <v>250</v>
      </c>
      <c r="BB28" s="233" t="s">
        <v>250</v>
      </c>
      <c r="BC28" s="247" t="s">
        <v>103</v>
      </c>
      <c r="BD28" s="247" t="s">
        <v>1604</v>
      </c>
      <c r="BE28" s="247" t="s">
        <v>103</v>
      </c>
      <c r="BF28" s="246" t="s">
        <v>103</v>
      </c>
      <c r="BG28" s="247" t="s">
        <v>103</v>
      </c>
      <c r="BH28" s="247" t="s">
        <v>103</v>
      </c>
      <c r="BI28" s="247" t="s">
        <v>103</v>
      </c>
      <c r="BJ28" s="1068" t="s">
        <v>103</v>
      </c>
      <c r="BL28" s="233" t="s">
        <v>250</v>
      </c>
    </row>
    <row r="29" spans="1:64" ht="24" customHeight="1">
      <c r="A29" s="2031" t="s">
        <v>261</v>
      </c>
      <c r="B29" s="2031"/>
      <c r="C29" s="577"/>
      <c r="D29" s="577"/>
      <c r="E29" s="577"/>
      <c r="F29" s="577"/>
      <c r="G29" s="577"/>
      <c r="H29" s="577"/>
      <c r="I29" s="577"/>
      <c r="J29" s="579"/>
      <c r="K29" s="577"/>
      <c r="L29" s="577"/>
      <c r="M29" s="577"/>
      <c r="N29" s="577"/>
      <c r="O29" s="577"/>
      <c r="P29" s="580"/>
      <c r="Q29" s="580"/>
      <c r="R29" s="2031" t="s">
        <v>261</v>
      </c>
      <c r="S29" s="2031"/>
      <c r="T29" s="2031" t="s">
        <v>261</v>
      </c>
      <c r="U29" s="2031"/>
      <c r="V29" s="579"/>
      <c r="W29" s="579"/>
      <c r="X29" s="579"/>
      <c r="Y29" s="579"/>
      <c r="Z29" s="579"/>
      <c r="AA29" s="579"/>
      <c r="AB29" s="579"/>
      <c r="AC29" s="579"/>
      <c r="AD29" s="579"/>
      <c r="AE29" s="579"/>
      <c r="AF29" s="579"/>
      <c r="AG29" s="579"/>
      <c r="AH29" s="2031" t="s">
        <v>261</v>
      </c>
      <c r="AI29" s="2031"/>
      <c r="AJ29" s="2031" t="s">
        <v>261</v>
      </c>
      <c r="AK29" s="2031"/>
      <c r="AL29" s="580"/>
      <c r="AM29" s="580"/>
      <c r="AN29" s="577"/>
      <c r="AO29" s="588"/>
      <c r="AP29" s="577"/>
      <c r="AQ29" s="577"/>
      <c r="AR29" s="577"/>
      <c r="AS29" s="577"/>
      <c r="AT29" s="577"/>
      <c r="AU29" s="577"/>
      <c r="AV29" s="577"/>
      <c r="AW29" s="577"/>
      <c r="AX29" s="577"/>
      <c r="AY29" s="2031" t="s">
        <v>261</v>
      </c>
      <c r="AZ29" s="2031"/>
      <c r="BA29" s="2031" t="s">
        <v>261</v>
      </c>
      <c r="BB29" s="2031"/>
      <c r="BC29" s="577"/>
      <c r="BD29" s="577"/>
      <c r="BE29" s="577"/>
      <c r="BF29" s="580"/>
      <c r="BG29" s="577"/>
      <c r="BH29" s="577"/>
      <c r="BI29" s="577"/>
      <c r="BJ29" s="577"/>
      <c r="BK29" s="2031" t="s">
        <v>261</v>
      </c>
      <c r="BL29" s="2031"/>
    </row>
    <row r="30" spans="1:64" s="74" customFormat="1" ht="27" customHeight="1">
      <c r="A30" s="234" t="s">
        <v>640</v>
      </c>
      <c r="B30" s="1249" t="s">
        <v>1019</v>
      </c>
      <c r="C30" s="176"/>
      <c r="D30" s="176"/>
      <c r="E30" s="176"/>
      <c r="F30" s="176"/>
      <c r="G30" s="176"/>
      <c r="H30" s="176"/>
      <c r="I30" s="176"/>
      <c r="J30" s="176"/>
      <c r="K30" s="177"/>
      <c r="L30" s="176"/>
      <c r="M30" s="176"/>
      <c r="N30" s="176"/>
      <c r="O30" s="378"/>
      <c r="P30" s="102"/>
      <c r="Q30" s="102"/>
      <c r="R30" s="234" t="s">
        <v>640</v>
      </c>
      <c r="S30" s="377" t="s">
        <v>1019</v>
      </c>
      <c r="T30" s="234" t="s">
        <v>640</v>
      </c>
      <c r="U30" s="377" t="s">
        <v>1019</v>
      </c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234" t="s">
        <v>640</v>
      </c>
      <c r="AI30" s="377" t="s">
        <v>1019</v>
      </c>
      <c r="AJ30" s="234" t="s">
        <v>640</v>
      </c>
      <c r="AK30" s="377" t="s">
        <v>1019</v>
      </c>
      <c r="AL30" s="102"/>
      <c r="AM30" s="102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234" t="s">
        <v>640</v>
      </c>
      <c r="AZ30" s="377" t="s">
        <v>1019</v>
      </c>
      <c r="BA30" s="234" t="s">
        <v>640</v>
      </c>
      <c r="BB30" s="377" t="s">
        <v>1019</v>
      </c>
      <c r="BC30" s="176"/>
      <c r="BD30" s="176"/>
      <c r="BE30" s="176"/>
      <c r="BF30" s="102"/>
      <c r="BG30" s="176"/>
      <c r="BH30" s="176"/>
      <c r="BI30" s="176"/>
      <c r="BJ30" s="176"/>
      <c r="BK30" s="234" t="s">
        <v>640</v>
      </c>
      <c r="BL30" s="377" t="s">
        <v>1019</v>
      </c>
    </row>
    <row r="31" spans="1:64" ht="11.1" customHeight="1">
      <c r="A31" s="589"/>
      <c r="B31" s="553" t="s">
        <v>258</v>
      </c>
      <c r="C31" s="579">
        <v>13</v>
      </c>
      <c r="D31" s="1248">
        <v>12</v>
      </c>
      <c r="E31" s="579">
        <v>13</v>
      </c>
      <c r="F31" s="577">
        <v>13</v>
      </c>
      <c r="G31" s="1248" t="s">
        <v>2337</v>
      </c>
      <c r="H31" s="579">
        <v>13</v>
      </c>
      <c r="I31" s="577" t="s">
        <v>103</v>
      </c>
      <c r="J31" s="1248" t="s">
        <v>1434</v>
      </c>
      <c r="K31" s="577" t="s">
        <v>2725</v>
      </c>
      <c r="L31" s="577" t="s">
        <v>2315</v>
      </c>
      <c r="M31" s="579" t="s">
        <v>2333</v>
      </c>
      <c r="N31" s="1248" t="s">
        <v>1338</v>
      </c>
      <c r="O31" s="577" t="s">
        <v>1338</v>
      </c>
      <c r="P31" s="579" t="s">
        <v>1627</v>
      </c>
      <c r="Q31" s="579">
        <v>13</v>
      </c>
      <c r="R31" s="589"/>
      <c r="S31" s="553" t="s">
        <v>258</v>
      </c>
      <c r="T31" s="589"/>
      <c r="U31" s="553" t="s">
        <v>258</v>
      </c>
      <c r="V31" s="579" t="s">
        <v>2315</v>
      </c>
      <c r="W31" s="579" t="s">
        <v>2782</v>
      </c>
      <c r="X31" s="579" t="s">
        <v>2315</v>
      </c>
      <c r="Y31" s="579" t="s">
        <v>1987</v>
      </c>
      <c r="Z31" s="579">
        <v>14</v>
      </c>
      <c r="AA31" s="579" t="s">
        <v>1976</v>
      </c>
      <c r="AB31" s="579" t="s">
        <v>1987</v>
      </c>
      <c r="AC31" s="579">
        <v>11.5</v>
      </c>
      <c r="AD31" s="579" t="s">
        <v>1628</v>
      </c>
      <c r="AE31" s="579" t="s">
        <v>1627</v>
      </c>
      <c r="AF31" s="579" t="s">
        <v>2342</v>
      </c>
      <c r="AG31" s="579" t="s">
        <v>1628</v>
      </c>
      <c r="AH31" s="589"/>
      <c r="AI31" s="553" t="s">
        <v>258</v>
      </c>
      <c r="AJ31" s="589"/>
      <c r="AK31" s="553" t="s">
        <v>258</v>
      </c>
      <c r="AL31" s="577" t="s">
        <v>1628</v>
      </c>
      <c r="AM31" s="590" t="s">
        <v>2334</v>
      </c>
      <c r="AN31" s="577" t="s">
        <v>1976</v>
      </c>
      <c r="AO31" s="579" t="s">
        <v>1987</v>
      </c>
      <c r="AP31" s="577">
        <v>12.5</v>
      </c>
      <c r="AQ31" s="577" t="s">
        <v>1627</v>
      </c>
      <c r="AR31" s="577" t="s">
        <v>1987</v>
      </c>
      <c r="AS31" s="577" t="s">
        <v>2333</v>
      </c>
      <c r="AT31" s="577" t="s">
        <v>2334</v>
      </c>
      <c r="AU31" s="577" t="s">
        <v>1987</v>
      </c>
      <c r="AV31" s="577" t="s">
        <v>2315</v>
      </c>
      <c r="AW31" s="577">
        <v>13</v>
      </c>
      <c r="AX31" s="577" t="s">
        <v>103</v>
      </c>
      <c r="AY31" s="589"/>
      <c r="AZ31" s="553" t="s">
        <v>258</v>
      </c>
      <c r="BA31" s="589"/>
      <c r="BB31" s="553" t="s">
        <v>258</v>
      </c>
      <c r="BC31" s="577" t="s">
        <v>1976</v>
      </c>
      <c r="BD31" s="577" t="s">
        <v>2366</v>
      </c>
      <c r="BE31" s="577" t="s">
        <v>1987</v>
      </c>
      <c r="BF31" s="577" t="s">
        <v>2455</v>
      </c>
      <c r="BG31" s="577" t="s">
        <v>2349</v>
      </c>
      <c r="BH31" s="577" t="s">
        <v>2712</v>
      </c>
      <c r="BI31" s="577" t="s">
        <v>1987</v>
      </c>
      <c r="BJ31" s="577" t="s">
        <v>2263</v>
      </c>
      <c r="BK31" s="589"/>
      <c r="BL31" s="553" t="s">
        <v>258</v>
      </c>
    </row>
    <row r="32" spans="1:64" ht="11.1" customHeight="1">
      <c r="A32" s="234"/>
      <c r="B32" s="233" t="s">
        <v>259</v>
      </c>
      <c r="C32" s="247" t="s">
        <v>103</v>
      </c>
      <c r="D32" s="1068" t="s">
        <v>103</v>
      </c>
      <c r="E32" s="247" t="s">
        <v>103</v>
      </c>
      <c r="F32" s="247" t="s">
        <v>103</v>
      </c>
      <c r="G32" s="247" t="s">
        <v>103</v>
      </c>
      <c r="H32" s="247" t="s">
        <v>103</v>
      </c>
      <c r="I32" s="247">
        <v>13</v>
      </c>
      <c r="J32" s="176" t="s">
        <v>103</v>
      </c>
      <c r="K32" s="247" t="s">
        <v>103</v>
      </c>
      <c r="L32" s="247"/>
      <c r="M32" s="247" t="s">
        <v>103</v>
      </c>
      <c r="N32" s="157" t="s">
        <v>1338</v>
      </c>
      <c r="O32" s="247" t="s">
        <v>103</v>
      </c>
      <c r="P32" s="246" t="s">
        <v>103</v>
      </c>
      <c r="Q32" s="246" t="s">
        <v>103</v>
      </c>
      <c r="R32" s="234"/>
      <c r="S32" s="233" t="s">
        <v>259</v>
      </c>
      <c r="T32" s="234"/>
      <c r="U32" s="233" t="s">
        <v>259</v>
      </c>
      <c r="V32" s="176" t="s">
        <v>103</v>
      </c>
      <c r="W32" s="176" t="s">
        <v>103</v>
      </c>
      <c r="X32" s="176" t="s">
        <v>103</v>
      </c>
      <c r="Y32" s="176" t="s">
        <v>103</v>
      </c>
      <c r="Z32" s="176" t="s">
        <v>103</v>
      </c>
      <c r="AA32" s="176" t="s">
        <v>103</v>
      </c>
      <c r="AB32" s="176" t="s">
        <v>1987</v>
      </c>
      <c r="AC32" s="176" t="s">
        <v>103</v>
      </c>
      <c r="AD32" s="176" t="s">
        <v>103</v>
      </c>
      <c r="AE32" s="1121" t="s">
        <v>103</v>
      </c>
      <c r="AF32" s="176" t="s">
        <v>103</v>
      </c>
      <c r="AG32" s="176" t="s">
        <v>103</v>
      </c>
      <c r="AH32" s="234"/>
      <c r="AI32" s="233" t="s">
        <v>259</v>
      </c>
      <c r="AJ32" s="234"/>
      <c r="AK32" s="233" t="s">
        <v>259</v>
      </c>
      <c r="AL32" s="1068" t="s">
        <v>103</v>
      </c>
      <c r="AM32" s="247" t="s">
        <v>103</v>
      </c>
      <c r="AN32" s="246" t="s">
        <v>103</v>
      </c>
      <c r="AO32" s="1121" t="s">
        <v>103</v>
      </c>
      <c r="AP32" s="247" t="s">
        <v>103</v>
      </c>
      <c r="AQ32" s="247" t="s">
        <v>103</v>
      </c>
      <c r="AR32" s="247" t="s">
        <v>103</v>
      </c>
      <c r="AS32" s="247" t="s">
        <v>103</v>
      </c>
      <c r="AT32" s="247" t="s">
        <v>103</v>
      </c>
      <c r="AU32" s="247" t="s">
        <v>103</v>
      </c>
      <c r="AV32" s="247" t="s">
        <v>103</v>
      </c>
      <c r="AW32" s="247" t="s">
        <v>103</v>
      </c>
      <c r="AX32" s="247" t="s">
        <v>103</v>
      </c>
      <c r="AY32" s="234"/>
      <c r="AZ32" s="233" t="s">
        <v>259</v>
      </c>
      <c r="BA32" s="234"/>
      <c r="BB32" s="233" t="s">
        <v>259</v>
      </c>
      <c r="BC32" s="247" t="s">
        <v>103</v>
      </c>
      <c r="BD32" s="247" t="s">
        <v>2366</v>
      </c>
      <c r="BE32" s="247" t="s">
        <v>103</v>
      </c>
      <c r="BF32" s="246" t="s">
        <v>103</v>
      </c>
      <c r="BG32" s="247" t="s">
        <v>103</v>
      </c>
      <c r="BH32" s="247" t="s">
        <v>2712</v>
      </c>
      <c r="BI32" s="247" t="s">
        <v>103</v>
      </c>
      <c r="BJ32" s="1068" t="s">
        <v>103</v>
      </c>
      <c r="BK32" s="234"/>
      <c r="BL32" s="233" t="s">
        <v>259</v>
      </c>
    </row>
    <row r="33" spans="1:64" ht="24" customHeight="1">
      <c r="A33" s="589" t="s">
        <v>864</v>
      </c>
      <c r="B33" s="554" t="s">
        <v>1020</v>
      </c>
      <c r="C33" s="577"/>
      <c r="D33" s="577"/>
      <c r="E33" s="577"/>
      <c r="F33" s="577"/>
      <c r="G33" s="577"/>
      <c r="H33" s="577"/>
      <c r="I33" s="577"/>
      <c r="J33" s="579"/>
      <c r="K33" s="577"/>
      <c r="L33" s="577"/>
      <c r="M33" s="577"/>
      <c r="N33" s="577"/>
      <c r="O33" s="577"/>
      <c r="P33" s="580"/>
      <c r="Q33" s="580"/>
      <c r="R33" s="589" t="s">
        <v>864</v>
      </c>
      <c r="S33" s="554" t="s">
        <v>1020</v>
      </c>
      <c r="T33" s="589" t="s">
        <v>864</v>
      </c>
      <c r="U33" s="554" t="s">
        <v>1020</v>
      </c>
      <c r="V33" s="579"/>
      <c r="W33" s="579"/>
      <c r="X33" s="579"/>
      <c r="Y33" s="579"/>
      <c r="Z33" s="579"/>
      <c r="AA33" s="579"/>
      <c r="AB33" s="579"/>
      <c r="AC33" s="579"/>
      <c r="AD33" s="579"/>
      <c r="AE33" s="579"/>
      <c r="AF33" s="579"/>
      <c r="AG33" s="579"/>
      <c r="AH33" s="589" t="s">
        <v>864</v>
      </c>
      <c r="AI33" s="554" t="s">
        <v>1020</v>
      </c>
      <c r="AJ33" s="589" t="s">
        <v>864</v>
      </c>
      <c r="AK33" s="554" t="s">
        <v>1020</v>
      </c>
      <c r="AL33" s="577"/>
      <c r="AM33" s="577"/>
      <c r="AN33" s="580"/>
      <c r="AO33" s="577"/>
      <c r="AP33" s="577"/>
      <c r="AQ33" s="577"/>
      <c r="AR33" s="577"/>
      <c r="AS33" s="577"/>
      <c r="AT33" s="577"/>
      <c r="AU33" s="577"/>
      <c r="AV33" s="577"/>
      <c r="AW33" s="577"/>
      <c r="AX33" s="577"/>
      <c r="AY33" s="589" t="s">
        <v>864</v>
      </c>
      <c r="AZ33" s="554" t="s">
        <v>1020</v>
      </c>
      <c r="BA33" s="589" t="s">
        <v>864</v>
      </c>
      <c r="BB33" s="554" t="s">
        <v>1020</v>
      </c>
      <c r="BC33" s="577"/>
      <c r="BD33" s="577"/>
      <c r="BE33" s="577"/>
      <c r="BF33" s="580"/>
      <c r="BG33" s="577"/>
      <c r="BH33" s="577"/>
      <c r="BI33" s="577"/>
      <c r="BJ33" s="577"/>
      <c r="BK33" s="589" t="s">
        <v>864</v>
      </c>
      <c r="BL33" s="554" t="s">
        <v>1020</v>
      </c>
    </row>
    <row r="34" spans="1:64" ht="11.1" customHeight="1">
      <c r="B34" s="233" t="s">
        <v>258</v>
      </c>
      <c r="C34" s="378">
        <v>13</v>
      </c>
      <c r="D34" s="157">
        <v>12</v>
      </c>
      <c r="E34" s="176">
        <v>13</v>
      </c>
      <c r="F34" s="247">
        <v>13</v>
      </c>
      <c r="G34" s="157" t="s">
        <v>2338</v>
      </c>
      <c r="H34" s="247">
        <v>13</v>
      </c>
      <c r="I34" s="247" t="s">
        <v>103</v>
      </c>
      <c r="J34" s="157" t="s">
        <v>1434</v>
      </c>
      <c r="K34" s="176">
        <v>12</v>
      </c>
      <c r="L34" s="176" t="s">
        <v>2779</v>
      </c>
      <c r="M34" s="176" t="s">
        <v>2334</v>
      </c>
      <c r="N34" s="157" t="s">
        <v>2335</v>
      </c>
      <c r="O34" s="247" t="s">
        <v>1338</v>
      </c>
      <c r="P34" s="176" t="s">
        <v>1627</v>
      </c>
      <c r="Q34" s="176">
        <v>13</v>
      </c>
      <c r="S34" s="233" t="s">
        <v>258</v>
      </c>
      <c r="U34" s="233" t="s">
        <v>258</v>
      </c>
      <c r="V34" s="176" t="s">
        <v>2333</v>
      </c>
      <c r="W34" s="176" t="s">
        <v>1628</v>
      </c>
      <c r="X34" s="176" t="s">
        <v>2334</v>
      </c>
      <c r="Y34" s="176" t="s">
        <v>1338</v>
      </c>
      <c r="Z34" s="378">
        <v>14</v>
      </c>
      <c r="AA34" s="176" t="s">
        <v>1338</v>
      </c>
      <c r="AB34" s="176" t="s">
        <v>1338</v>
      </c>
      <c r="AC34" s="176" t="s">
        <v>2343</v>
      </c>
      <c r="AD34" s="176" t="s">
        <v>1629</v>
      </c>
      <c r="AE34" s="176" t="s">
        <v>1628</v>
      </c>
      <c r="AF34" s="176" t="s">
        <v>2342</v>
      </c>
      <c r="AG34" s="176" t="s">
        <v>1628</v>
      </c>
      <c r="AI34" s="233" t="s">
        <v>258</v>
      </c>
      <c r="AK34" s="233" t="s">
        <v>258</v>
      </c>
      <c r="AL34" s="247" t="s">
        <v>1628</v>
      </c>
      <c r="AM34" s="247" t="s">
        <v>1627</v>
      </c>
      <c r="AN34" s="247" t="s">
        <v>1976</v>
      </c>
      <c r="AO34" s="176" t="s">
        <v>2312</v>
      </c>
      <c r="AP34" s="247">
        <v>12.5</v>
      </c>
      <c r="AQ34" s="247" t="s">
        <v>1628</v>
      </c>
      <c r="AR34" s="247" t="s">
        <v>1627</v>
      </c>
      <c r="AS34" s="247" t="s">
        <v>1628</v>
      </c>
      <c r="AT34" s="247" t="s">
        <v>2341</v>
      </c>
      <c r="AU34" s="247" t="s">
        <v>2335</v>
      </c>
      <c r="AV34" s="247" t="s">
        <v>1628</v>
      </c>
      <c r="AW34" s="1567" t="s">
        <v>2341</v>
      </c>
      <c r="AX34" s="247" t="s">
        <v>103</v>
      </c>
      <c r="AZ34" s="233" t="s">
        <v>258</v>
      </c>
      <c r="BB34" s="233" t="s">
        <v>258</v>
      </c>
      <c r="BC34" s="247" t="s">
        <v>1338</v>
      </c>
      <c r="BD34" s="247" t="s">
        <v>1976</v>
      </c>
      <c r="BE34" s="247" t="s">
        <v>2334</v>
      </c>
      <c r="BF34" s="247" t="s">
        <v>2351</v>
      </c>
      <c r="BG34" s="247" t="s">
        <v>2349</v>
      </c>
      <c r="BH34" s="247" t="s">
        <v>103</v>
      </c>
      <c r="BI34" s="247" t="s">
        <v>1627</v>
      </c>
      <c r="BJ34" s="247" t="s">
        <v>1627</v>
      </c>
      <c r="BL34" s="233" t="s">
        <v>258</v>
      </c>
    </row>
    <row r="35" spans="1:64" ht="11.1" customHeight="1">
      <c r="A35" s="523"/>
      <c r="B35" s="553" t="s">
        <v>259</v>
      </c>
      <c r="C35" s="577" t="s">
        <v>103</v>
      </c>
      <c r="D35" s="1069" t="s">
        <v>103</v>
      </c>
      <c r="E35" s="577" t="s">
        <v>103</v>
      </c>
      <c r="F35" s="577" t="s">
        <v>103</v>
      </c>
      <c r="G35" s="577" t="s">
        <v>103</v>
      </c>
      <c r="H35" s="577" t="s">
        <v>103</v>
      </c>
      <c r="I35" s="577">
        <v>13</v>
      </c>
      <c r="J35" s="579" t="s">
        <v>103</v>
      </c>
      <c r="K35" s="577" t="s">
        <v>103</v>
      </c>
      <c r="L35" s="577" t="s">
        <v>103</v>
      </c>
      <c r="M35" s="577" t="s">
        <v>103</v>
      </c>
      <c r="N35" s="577" t="s">
        <v>103</v>
      </c>
      <c r="O35" s="577" t="s">
        <v>103</v>
      </c>
      <c r="P35" s="577" t="s">
        <v>103</v>
      </c>
      <c r="Q35" s="577" t="s">
        <v>103</v>
      </c>
      <c r="R35" s="523"/>
      <c r="S35" s="553" t="s">
        <v>259</v>
      </c>
      <c r="T35" s="523"/>
      <c r="U35" s="553" t="s">
        <v>259</v>
      </c>
      <c r="V35" s="579" t="s">
        <v>103</v>
      </c>
      <c r="W35" s="579" t="s">
        <v>103</v>
      </c>
      <c r="X35" s="579" t="s">
        <v>103</v>
      </c>
      <c r="Y35" s="579" t="s">
        <v>103</v>
      </c>
      <c r="Z35" s="579" t="s">
        <v>103</v>
      </c>
      <c r="AA35" s="579" t="s">
        <v>103</v>
      </c>
      <c r="AB35" s="579" t="s">
        <v>103</v>
      </c>
      <c r="AC35" s="579" t="s">
        <v>103</v>
      </c>
      <c r="AD35" s="579" t="s">
        <v>103</v>
      </c>
      <c r="AE35" s="579" t="s">
        <v>103</v>
      </c>
      <c r="AF35" s="579" t="s">
        <v>103</v>
      </c>
      <c r="AG35" s="579" t="s">
        <v>103</v>
      </c>
      <c r="AH35" s="523"/>
      <c r="AI35" s="553" t="s">
        <v>259</v>
      </c>
      <c r="AJ35" s="523"/>
      <c r="AK35" s="553" t="s">
        <v>259</v>
      </c>
      <c r="AL35" s="1069" t="s">
        <v>103</v>
      </c>
      <c r="AM35" s="577" t="s">
        <v>103</v>
      </c>
      <c r="AN35" s="577" t="s">
        <v>103</v>
      </c>
      <c r="AO35" s="1122" t="s">
        <v>103</v>
      </c>
      <c r="AP35" s="577" t="s">
        <v>103</v>
      </c>
      <c r="AQ35" s="577" t="s">
        <v>103</v>
      </c>
      <c r="AR35" s="577" t="s">
        <v>103</v>
      </c>
      <c r="AS35" s="577" t="s">
        <v>103</v>
      </c>
      <c r="AT35" s="577" t="s">
        <v>103</v>
      </c>
      <c r="AU35" s="577" t="s">
        <v>103</v>
      </c>
      <c r="AV35" s="577" t="s">
        <v>103</v>
      </c>
      <c r="AW35" s="577" t="s">
        <v>103</v>
      </c>
      <c r="AX35" s="577" t="s">
        <v>103</v>
      </c>
      <c r="AY35" s="523"/>
      <c r="AZ35" s="553" t="s">
        <v>259</v>
      </c>
      <c r="BA35" s="523"/>
      <c r="BB35" s="553" t="s">
        <v>259</v>
      </c>
      <c r="BC35" s="577" t="s">
        <v>103</v>
      </c>
      <c r="BD35" s="577" t="s">
        <v>1976</v>
      </c>
      <c r="BE35" s="577" t="s">
        <v>103</v>
      </c>
      <c r="BF35" s="577" t="s">
        <v>103</v>
      </c>
      <c r="BG35" s="577" t="s">
        <v>103</v>
      </c>
      <c r="BH35" s="577" t="s">
        <v>103</v>
      </c>
      <c r="BI35" s="577" t="s">
        <v>103</v>
      </c>
      <c r="BJ35" s="1069" t="s">
        <v>103</v>
      </c>
      <c r="BK35" s="523"/>
      <c r="BL35" s="553" t="s">
        <v>259</v>
      </c>
    </row>
    <row r="36" spans="1:64" ht="11.25" customHeight="1">
      <c r="A36" s="2030" t="s">
        <v>145</v>
      </c>
      <c r="B36" s="2030"/>
      <c r="C36" s="247">
        <v>7</v>
      </c>
      <c r="D36" s="247">
        <v>7</v>
      </c>
      <c r="E36" s="247">
        <v>7</v>
      </c>
      <c r="F36" s="247">
        <v>7</v>
      </c>
      <c r="G36" s="247">
        <v>7</v>
      </c>
      <c r="H36" s="247">
        <v>7</v>
      </c>
      <c r="I36" s="247">
        <v>7</v>
      </c>
      <c r="J36" s="176">
        <v>7</v>
      </c>
      <c r="K36" s="247">
        <v>7</v>
      </c>
      <c r="L36" s="247">
        <v>7</v>
      </c>
      <c r="M36" s="247">
        <v>7</v>
      </c>
      <c r="N36" s="247">
        <v>7</v>
      </c>
      <c r="O36" s="247">
        <v>7</v>
      </c>
      <c r="P36" s="247">
        <v>7</v>
      </c>
      <c r="Q36" s="247">
        <v>7</v>
      </c>
      <c r="R36" s="2030" t="s">
        <v>145</v>
      </c>
      <c r="S36" s="2030"/>
      <c r="T36" s="2030" t="s">
        <v>145</v>
      </c>
      <c r="U36" s="2030"/>
      <c r="V36" s="176">
        <v>7</v>
      </c>
      <c r="W36" s="176">
        <v>7</v>
      </c>
      <c r="X36" s="176">
        <v>7</v>
      </c>
      <c r="Y36" s="176">
        <v>7</v>
      </c>
      <c r="Z36" s="176">
        <v>7</v>
      </c>
      <c r="AA36" s="176">
        <v>7</v>
      </c>
      <c r="AB36" s="176">
        <v>7</v>
      </c>
      <c r="AC36" s="176">
        <v>7</v>
      </c>
      <c r="AD36" s="176" t="s">
        <v>103</v>
      </c>
      <c r="AE36" s="176">
        <v>7</v>
      </c>
      <c r="AF36" s="176">
        <v>7</v>
      </c>
      <c r="AG36" s="176">
        <v>7</v>
      </c>
      <c r="AH36" s="2030" t="s">
        <v>145</v>
      </c>
      <c r="AI36" s="2030"/>
      <c r="AJ36" s="2030" t="s">
        <v>145</v>
      </c>
      <c r="AK36" s="2030"/>
      <c r="AL36" s="247">
        <v>7</v>
      </c>
      <c r="AM36" s="247">
        <v>7</v>
      </c>
      <c r="AN36" s="247">
        <v>7</v>
      </c>
      <c r="AO36" s="247">
        <v>7</v>
      </c>
      <c r="AP36" s="247">
        <v>7</v>
      </c>
      <c r="AQ36" s="247">
        <v>7</v>
      </c>
      <c r="AR36" s="247">
        <v>7</v>
      </c>
      <c r="AS36" s="247">
        <v>7</v>
      </c>
      <c r="AT36" s="247">
        <v>7</v>
      </c>
      <c r="AU36" s="247">
        <v>7</v>
      </c>
      <c r="AV36" s="247">
        <v>7</v>
      </c>
      <c r="AW36" s="247">
        <v>7</v>
      </c>
      <c r="AX36" s="247" t="s">
        <v>103</v>
      </c>
      <c r="AY36" s="2030" t="s">
        <v>145</v>
      </c>
      <c r="AZ36" s="2030"/>
      <c r="BA36" s="2030" t="s">
        <v>145</v>
      </c>
      <c r="BB36" s="2030"/>
      <c r="BC36" s="247">
        <v>7</v>
      </c>
      <c r="BD36" s="247">
        <v>7</v>
      </c>
      <c r="BE36" s="247">
        <v>7</v>
      </c>
      <c r="BF36" s="247">
        <v>7</v>
      </c>
      <c r="BG36" s="247">
        <v>6.75</v>
      </c>
      <c r="BH36" s="247" t="s">
        <v>103</v>
      </c>
      <c r="BI36" s="247" t="s">
        <v>103</v>
      </c>
      <c r="BJ36" s="247" t="s">
        <v>103</v>
      </c>
      <c r="BK36" s="2030" t="s">
        <v>145</v>
      </c>
      <c r="BL36" s="2030"/>
    </row>
    <row r="37" spans="1:64" ht="12.75" customHeight="1">
      <c r="A37" s="2031" t="s">
        <v>262</v>
      </c>
      <c r="B37" s="2031"/>
      <c r="C37" s="577"/>
      <c r="D37" s="577"/>
      <c r="E37" s="577"/>
      <c r="F37" s="577"/>
      <c r="G37" s="577"/>
      <c r="H37" s="577"/>
      <c r="I37" s="577"/>
      <c r="J37" s="579"/>
      <c r="K37" s="577"/>
      <c r="L37" s="577"/>
      <c r="M37" s="577"/>
      <c r="N37" s="577"/>
      <c r="O37" s="577"/>
      <c r="P37" s="580"/>
      <c r="Q37" s="580"/>
      <c r="R37" s="2031" t="s">
        <v>262</v>
      </c>
      <c r="S37" s="2031"/>
      <c r="T37" s="2031" t="s">
        <v>262</v>
      </c>
      <c r="U37" s="2031"/>
      <c r="V37" s="579"/>
      <c r="W37" s="579"/>
      <c r="X37" s="579"/>
      <c r="Y37" s="579"/>
      <c r="Z37" s="579"/>
      <c r="AA37" s="578"/>
      <c r="AB37" s="578"/>
      <c r="AC37" s="578"/>
      <c r="AD37" s="578"/>
      <c r="AE37" s="578"/>
      <c r="AF37" s="578"/>
      <c r="AG37" s="579"/>
      <c r="AH37" s="2031" t="s">
        <v>262</v>
      </c>
      <c r="AI37" s="2031"/>
      <c r="AJ37" s="2031" t="s">
        <v>262</v>
      </c>
      <c r="AK37" s="2031"/>
      <c r="AL37" s="580"/>
      <c r="AM37" s="580"/>
      <c r="AN37" s="580"/>
      <c r="AO37" s="580"/>
      <c r="AP37" s="577"/>
      <c r="AQ37" s="577"/>
      <c r="AR37" s="577"/>
      <c r="AS37" s="577"/>
      <c r="AT37" s="577"/>
      <c r="AU37" s="577"/>
      <c r="AV37" s="577"/>
      <c r="AW37" s="577"/>
      <c r="AX37" s="577"/>
      <c r="AY37" s="2031" t="s">
        <v>262</v>
      </c>
      <c r="AZ37" s="2031"/>
      <c r="BA37" s="2031" t="s">
        <v>262</v>
      </c>
      <c r="BB37" s="2031"/>
      <c r="BC37" s="577"/>
      <c r="BD37" s="577"/>
      <c r="BE37" s="577"/>
      <c r="BF37" s="580"/>
      <c r="BG37" s="577"/>
      <c r="BH37" s="577"/>
      <c r="BI37" s="577"/>
      <c r="BJ37" s="577"/>
      <c r="BK37" s="2031" t="s">
        <v>262</v>
      </c>
      <c r="BL37" s="2031"/>
    </row>
    <row r="38" spans="1:64" ht="11.1" customHeight="1">
      <c r="B38" s="233" t="s">
        <v>249</v>
      </c>
      <c r="C38" s="157">
        <v>13</v>
      </c>
      <c r="D38" s="247">
        <v>12</v>
      </c>
      <c r="E38" s="176">
        <v>13</v>
      </c>
      <c r="F38" s="247">
        <v>13</v>
      </c>
      <c r="G38" s="157" t="s">
        <v>2339</v>
      </c>
      <c r="H38" s="157">
        <v>14</v>
      </c>
      <c r="I38" s="247">
        <v>13</v>
      </c>
      <c r="J38" s="176">
        <v>14</v>
      </c>
      <c r="K38" s="247">
        <v>12</v>
      </c>
      <c r="L38" s="247" t="s">
        <v>1987</v>
      </c>
      <c r="M38" s="176" t="s">
        <v>1338</v>
      </c>
      <c r="N38" s="157" t="s">
        <v>1627</v>
      </c>
      <c r="O38" s="247" t="s">
        <v>1338</v>
      </c>
      <c r="P38" s="176" t="s">
        <v>2335</v>
      </c>
      <c r="Q38" s="176">
        <v>13</v>
      </c>
      <c r="S38" s="233" t="s">
        <v>249</v>
      </c>
      <c r="U38" s="233" t="s">
        <v>249</v>
      </c>
      <c r="V38" s="176" t="s">
        <v>1987</v>
      </c>
      <c r="W38" s="176" t="s">
        <v>2368</v>
      </c>
      <c r="X38" s="176" t="s">
        <v>2334</v>
      </c>
      <c r="Y38" s="176" t="s">
        <v>103</v>
      </c>
      <c r="Z38" s="176">
        <v>15</v>
      </c>
      <c r="AA38" s="176" t="s">
        <v>1338</v>
      </c>
      <c r="AB38" s="176" t="s">
        <v>1338</v>
      </c>
      <c r="AC38" s="176" t="s">
        <v>2335</v>
      </c>
      <c r="AD38" s="176" t="s">
        <v>1604</v>
      </c>
      <c r="AE38" s="176" t="s">
        <v>1628</v>
      </c>
      <c r="AF38" s="176" t="s">
        <v>2342</v>
      </c>
      <c r="AG38" s="176" t="s">
        <v>2341</v>
      </c>
      <c r="AI38" s="233" t="s">
        <v>249</v>
      </c>
      <c r="AK38" s="233" t="s">
        <v>249</v>
      </c>
      <c r="AL38" s="247" t="s">
        <v>1628</v>
      </c>
      <c r="AM38" s="247" t="s">
        <v>2333</v>
      </c>
      <c r="AN38" s="247" t="s">
        <v>2335</v>
      </c>
      <c r="AO38" s="176" t="s">
        <v>1987</v>
      </c>
      <c r="AP38" s="247">
        <v>12</v>
      </c>
      <c r="AQ38" s="247" t="s">
        <v>1628</v>
      </c>
      <c r="AR38" s="247" t="s">
        <v>1987</v>
      </c>
      <c r="AS38" s="247" t="s">
        <v>1338</v>
      </c>
      <c r="AT38" s="247" t="s">
        <v>1627</v>
      </c>
      <c r="AU38" s="247" t="s">
        <v>2335</v>
      </c>
      <c r="AV38" s="247" t="s">
        <v>1987</v>
      </c>
      <c r="AW38" s="1567" t="s">
        <v>2335</v>
      </c>
      <c r="AX38" s="247" t="s">
        <v>103</v>
      </c>
      <c r="AZ38" s="233" t="s">
        <v>249</v>
      </c>
      <c r="BB38" s="233" t="s">
        <v>249</v>
      </c>
      <c r="BC38" s="247" t="s">
        <v>1338</v>
      </c>
      <c r="BD38" s="247" t="s">
        <v>1987</v>
      </c>
      <c r="BE38" s="247" t="s">
        <v>1338</v>
      </c>
      <c r="BF38" s="247" t="s">
        <v>1434</v>
      </c>
      <c r="BG38" s="247" t="s">
        <v>2349</v>
      </c>
      <c r="BH38" s="247" t="s">
        <v>2341</v>
      </c>
      <c r="BI38" s="247" t="s">
        <v>103</v>
      </c>
      <c r="BJ38" s="247" t="s">
        <v>103</v>
      </c>
      <c r="BL38" s="233" t="s">
        <v>249</v>
      </c>
    </row>
    <row r="39" spans="1:64" ht="11.1" customHeight="1">
      <c r="A39" s="523"/>
      <c r="B39" s="553" t="s">
        <v>250</v>
      </c>
      <c r="C39" s="577" t="s">
        <v>103</v>
      </c>
      <c r="D39" s="577" t="s">
        <v>103</v>
      </c>
      <c r="E39" s="577" t="s">
        <v>103</v>
      </c>
      <c r="F39" s="577" t="s">
        <v>103</v>
      </c>
      <c r="G39" s="577" t="s">
        <v>103</v>
      </c>
      <c r="H39" s="577" t="s">
        <v>103</v>
      </c>
      <c r="I39" s="577" t="s">
        <v>103</v>
      </c>
      <c r="J39" s="579" t="s">
        <v>103</v>
      </c>
      <c r="K39" s="577">
        <v>12</v>
      </c>
      <c r="L39" s="577" t="s">
        <v>103</v>
      </c>
      <c r="M39" s="579" t="s">
        <v>2334</v>
      </c>
      <c r="N39" s="1248" t="s">
        <v>1627</v>
      </c>
      <c r="O39" s="577" t="s">
        <v>103</v>
      </c>
      <c r="P39" s="580" t="s">
        <v>103</v>
      </c>
      <c r="Q39" s="580" t="s">
        <v>103</v>
      </c>
      <c r="R39" s="523"/>
      <c r="S39" s="553" t="s">
        <v>250</v>
      </c>
      <c r="T39" s="523"/>
      <c r="U39" s="553" t="s">
        <v>250</v>
      </c>
      <c r="V39" s="579"/>
      <c r="W39" s="579" t="s">
        <v>103</v>
      </c>
      <c r="X39" s="579" t="s">
        <v>103</v>
      </c>
      <c r="Y39" s="579" t="s">
        <v>2333</v>
      </c>
      <c r="Z39" s="579" t="s">
        <v>103</v>
      </c>
      <c r="AA39" s="578" t="s">
        <v>103</v>
      </c>
      <c r="AB39" s="578" t="s">
        <v>103</v>
      </c>
      <c r="AC39" s="578" t="s">
        <v>103</v>
      </c>
      <c r="AD39" s="578" t="s">
        <v>103</v>
      </c>
      <c r="AE39" s="1123" t="s">
        <v>103</v>
      </c>
      <c r="AF39" s="578" t="s">
        <v>103</v>
      </c>
      <c r="AG39" s="578" t="s">
        <v>103</v>
      </c>
      <c r="AH39" s="523"/>
      <c r="AI39" s="553" t="s">
        <v>250</v>
      </c>
      <c r="AJ39" s="523"/>
      <c r="AK39" s="553" t="s">
        <v>250</v>
      </c>
      <c r="AL39" s="1069" t="s">
        <v>103</v>
      </c>
      <c r="AM39" s="577" t="s">
        <v>103</v>
      </c>
      <c r="AN39" s="580" t="s">
        <v>103</v>
      </c>
      <c r="AO39" s="1122" t="s">
        <v>103</v>
      </c>
      <c r="AP39" s="577" t="s">
        <v>103</v>
      </c>
      <c r="AQ39" s="577" t="s">
        <v>103</v>
      </c>
      <c r="AR39" s="577" t="s">
        <v>103</v>
      </c>
      <c r="AS39" s="577" t="s">
        <v>2335</v>
      </c>
      <c r="AT39" s="577" t="s">
        <v>103</v>
      </c>
      <c r="AU39" s="577" t="s">
        <v>103</v>
      </c>
      <c r="AV39" s="577" t="s">
        <v>103</v>
      </c>
      <c r="AW39" s="577" t="s">
        <v>103</v>
      </c>
      <c r="AX39" s="577" t="s">
        <v>103</v>
      </c>
      <c r="AY39" s="523"/>
      <c r="AZ39" s="553" t="s">
        <v>250</v>
      </c>
      <c r="BA39" s="523"/>
      <c r="BB39" s="553" t="s">
        <v>250</v>
      </c>
      <c r="BC39" s="577" t="s">
        <v>103</v>
      </c>
      <c r="BD39" s="577" t="s">
        <v>1987</v>
      </c>
      <c r="BE39" s="577" t="s">
        <v>103</v>
      </c>
      <c r="BF39" s="580" t="s">
        <v>103</v>
      </c>
      <c r="BG39" s="577" t="s">
        <v>103</v>
      </c>
      <c r="BH39" s="577" t="s">
        <v>2341</v>
      </c>
      <c r="BI39" s="577" t="s">
        <v>103</v>
      </c>
      <c r="BJ39" s="577" t="s">
        <v>103</v>
      </c>
      <c r="BK39" s="523"/>
      <c r="BL39" s="553" t="s">
        <v>250</v>
      </c>
    </row>
    <row r="40" spans="1:64" ht="12.75" customHeight="1">
      <c r="A40" s="2030" t="s">
        <v>263</v>
      </c>
      <c r="B40" s="2030"/>
      <c r="C40" s="247"/>
      <c r="D40" s="247"/>
      <c r="E40" s="247"/>
      <c r="F40" s="247"/>
      <c r="G40" s="247"/>
      <c r="H40" s="248"/>
      <c r="I40" s="247"/>
      <c r="J40" s="176"/>
      <c r="K40" s="247"/>
      <c r="L40" s="247"/>
      <c r="M40" s="247"/>
      <c r="N40" s="247"/>
      <c r="O40" s="247"/>
      <c r="P40" s="246"/>
      <c r="Q40" s="246"/>
      <c r="R40" s="2030" t="s">
        <v>263</v>
      </c>
      <c r="S40" s="2030"/>
      <c r="T40" s="2030" t="s">
        <v>263</v>
      </c>
      <c r="U40" s="2030"/>
      <c r="V40" s="176"/>
      <c r="W40" s="176"/>
      <c r="X40" s="176"/>
      <c r="Y40" s="176"/>
      <c r="Z40" s="176"/>
      <c r="AA40" s="102"/>
      <c r="AB40" s="102"/>
      <c r="AC40" s="102"/>
      <c r="AD40" s="102"/>
      <c r="AE40" s="102"/>
      <c r="AF40" s="102"/>
      <c r="AG40" s="102"/>
      <c r="AH40" s="2030" t="s">
        <v>263</v>
      </c>
      <c r="AI40" s="2030"/>
      <c r="AJ40" s="2030" t="s">
        <v>263</v>
      </c>
      <c r="AK40" s="2030"/>
      <c r="AL40" s="247"/>
      <c r="AM40" s="247"/>
      <c r="AN40" s="246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030" t="s">
        <v>263</v>
      </c>
      <c r="AZ40" s="2030"/>
      <c r="BA40" s="2030" t="s">
        <v>263</v>
      </c>
      <c r="BB40" s="2030"/>
      <c r="BC40" s="247"/>
      <c r="BD40" s="247"/>
      <c r="BE40" s="247"/>
      <c r="BF40" s="246" t="s">
        <v>1051</v>
      </c>
      <c r="BG40" s="247"/>
      <c r="BH40" s="247"/>
      <c r="BI40" s="247"/>
      <c r="BJ40" s="247"/>
      <c r="BK40" s="2030" t="s">
        <v>263</v>
      </c>
      <c r="BL40" s="2030"/>
    </row>
    <row r="41" spans="1:64" ht="11.1" customHeight="1">
      <c r="A41" s="523"/>
      <c r="B41" s="553" t="s">
        <v>249</v>
      </c>
      <c r="C41" s="1248">
        <v>9</v>
      </c>
      <c r="D41" s="1324">
        <v>12</v>
      </c>
      <c r="E41" s="579">
        <v>13</v>
      </c>
      <c r="F41" s="579" t="s">
        <v>2370</v>
      </c>
      <c r="G41" s="577">
        <v>12</v>
      </c>
      <c r="H41" s="579" t="s">
        <v>2339</v>
      </c>
      <c r="I41" s="577" t="s">
        <v>103</v>
      </c>
      <c r="J41" s="579" t="s">
        <v>103</v>
      </c>
      <c r="K41" s="577">
        <v>10.5</v>
      </c>
      <c r="L41" s="577" t="s">
        <v>2334</v>
      </c>
      <c r="M41" s="579" t="s">
        <v>2334</v>
      </c>
      <c r="N41" s="579" t="s">
        <v>2334</v>
      </c>
      <c r="O41" s="577" t="s">
        <v>1338</v>
      </c>
      <c r="P41" s="1423" t="s">
        <v>1987</v>
      </c>
      <c r="Q41" s="579">
        <v>12</v>
      </c>
      <c r="R41" s="523"/>
      <c r="S41" s="553" t="s">
        <v>249</v>
      </c>
      <c r="T41" s="523"/>
      <c r="U41" s="553" t="s">
        <v>249</v>
      </c>
      <c r="V41" s="579">
        <v>8.5</v>
      </c>
      <c r="W41" s="579" t="s">
        <v>2783</v>
      </c>
      <c r="X41" s="579" t="s">
        <v>2334</v>
      </c>
      <c r="Y41" s="579" t="s">
        <v>2333</v>
      </c>
      <c r="Z41" s="579">
        <v>15</v>
      </c>
      <c r="AA41" s="579" t="s">
        <v>1987</v>
      </c>
      <c r="AB41" s="579" t="s">
        <v>1987</v>
      </c>
      <c r="AC41" s="579">
        <v>13</v>
      </c>
      <c r="AD41" s="579" t="s">
        <v>2243</v>
      </c>
      <c r="AE41" s="579" t="s">
        <v>1628</v>
      </c>
      <c r="AF41" s="579" t="s">
        <v>2342</v>
      </c>
      <c r="AG41" s="579" t="s">
        <v>2340</v>
      </c>
      <c r="AH41" s="523"/>
      <c r="AI41" s="553" t="s">
        <v>249</v>
      </c>
      <c r="AJ41" s="523"/>
      <c r="AK41" s="553" t="s">
        <v>249</v>
      </c>
      <c r="AL41" s="577" t="s">
        <v>2315</v>
      </c>
      <c r="AM41" s="577" t="s">
        <v>1338</v>
      </c>
      <c r="AN41" s="577" t="s">
        <v>1987</v>
      </c>
      <c r="AO41" s="577" t="s">
        <v>2618</v>
      </c>
      <c r="AP41" s="577">
        <v>12</v>
      </c>
      <c r="AQ41" s="577" t="s">
        <v>2335</v>
      </c>
      <c r="AR41" s="577" t="s">
        <v>1987</v>
      </c>
      <c r="AS41" s="577" t="s">
        <v>2619</v>
      </c>
      <c r="AT41" s="577" t="s">
        <v>1628</v>
      </c>
      <c r="AU41" s="577" t="s">
        <v>1987</v>
      </c>
      <c r="AV41" s="577" t="s">
        <v>1987</v>
      </c>
      <c r="AW41" s="1568" t="s">
        <v>1627</v>
      </c>
      <c r="AX41" s="577" t="s">
        <v>2728</v>
      </c>
      <c r="AY41" s="523"/>
      <c r="AZ41" s="553" t="s">
        <v>249</v>
      </c>
      <c r="BA41" s="523"/>
      <c r="BB41" s="553" t="s">
        <v>249</v>
      </c>
      <c r="BC41" s="577" t="s">
        <v>1976</v>
      </c>
      <c r="BD41" s="577" t="s">
        <v>1976</v>
      </c>
      <c r="BE41" s="577" t="s">
        <v>1987</v>
      </c>
      <c r="BF41" s="585" t="s">
        <v>103</v>
      </c>
      <c r="BG41" s="577">
        <v>17.75</v>
      </c>
      <c r="BH41" s="577" t="s">
        <v>103</v>
      </c>
      <c r="BI41" s="577" t="s">
        <v>103</v>
      </c>
      <c r="BJ41" s="577" t="s">
        <v>1987</v>
      </c>
      <c r="BK41" s="523"/>
      <c r="BL41" s="553" t="s">
        <v>249</v>
      </c>
    </row>
    <row r="42" spans="1:64" ht="11.1" customHeight="1">
      <c r="B42" s="233" t="s">
        <v>250</v>
      </c>
      <c r="C42" s="157" t="s">
        <v>103</v>
      </c>
      <c r="D42" s="1250">
        <v>12</v>
      </c>
      <c r="E42" s="247" t="s">
        <v>103</v>
      </c>
      <c r="F42" s="247" t="s">
        <v>103</v>
      </c>
      <c r="G42" s="247">
        <v>12</v>
      </c>
      <c r="H42" s="248" t="s">
        <v>103</v>
      </c>
      <c r="I42" s="247" t="s">
        <v>103</v>
      </c>
      <c r="J42" s="176" t="s">
        <v>103</v>
      </c>
      <c r="K42" s="247">
        <v>9.5</v>
      </c>
      <c r="L42" s="247" t="s">
        <v>103</v>
      </c>
      <c r="M42" s="247" t="s">
        <v>103</v>
      </c>
      <c r="N42" s="247" t="s">
        <v>2371</v>
      </c>
      <c r="O42" s="246" t="s">
        <v>103</v>
      </c>
      <c r="P42" s="247" t="s">
        <v>103</v>
      </c>
      <c r="Q42" s="247" t="s">
        <v>103</v>
      </c>
      <c r="S42" s="233" t="s">
        <v>250</v>
      </c>
      <c r="U42" s="233" t="s">
        <v>250</v>
      </c>
      <c r="V42" s="176"/>
      <c r="W42" s="176" t="s">
        <v>103</v>
      </c>
      <c r="X42" s="176" t="s">
        <v>103</v>
      </c>
      <c r="Y42" s="176" t="s">
        <v>103</v>
      </c>
      <c r="Z42" s="176" t="s">
        <v>103</v>
      </c>
      <c r="AA42" s="176" t="s">
        <v>103</v>
      </c>
      <c r="AB42" s="176" t="s">
        <v>103</v>
      </c>
      <c r="AC42" s="176" t="s">
        <v>103</v>
      </c>
      <c r="AD42" s="176" t="s">
        <v>103</v>
      </c>
      <c r="AE42" s="176" t="s">
        <v>103</v>
      </c>
      <c r="AF42" s="176" t="s">
        <v>103</v>
      </c>
      <c r="AG42" s="176" t="s">
        <v>103</v>
      </c>
      <c r="AI42" s="233" t="s">
        <v>250</v>
      </c>
      <c r="AK42" s="233" t="s">
        <v>250</v>
      </c>
      <c r="AL42" s="1068" t="s">
        <v>103</v>
      </c>
      <c r="AM42" s="247" t="s">
        <v>1338</v>
      </c>
      <c r="AN42" s="247">
        <v>9</v>
      </c>
      <c r="AO42" s="1121" t="s">
        <v>103</v>
      </c>
      <c r="AP42" s="247" t="s">
        <v>103</v>
      </c>
      <c r="AQ42" s="247" t="s">
        <v>103</v>
      </c>
      <c r="AR42" s="247" t="s">
        <v>103</v>
      </c>
      <c r="AS42" s="247" t="s">
        <v>103</v>
      </c>
      <c r="AT42" s="247" t="s">
        <v>103</v>
      </c>
      <c r="AU42" s="247" t="s">
        <v>103</v>
      </c>
      <c r="AV42" s="247" t="s">
        <v>103</v>
      </c>
      <c r="AW42" s="247" t="s">
        <v>103</v>
      </c>
      <c r="AX42" s="247" t="s">
        <v>103</v>
      </c>
      <c r="AZ42" s="233" t="s">
        <v>250</v>
      </c>
      <c r="BB42" s="233" t="s">
        <v>250</v>
      </c>
      <c r="BC42" s="247" t="s">
        <v>103</v>
      </c>
      <c r="BD42" s="248" t="s">
        <v>103</v>
      </c>
      <c r="BE42" s="247" t="s">
        <v>103</v>
      </c>
      <c r="BF42" s="246" t="s">
        <v>103</v>
      </c>
      <c r="BG42" s="247" t="s">
        <v>103</v>
      </c>
      <c r="BH42" s="247" t="s">
        <v>103</v>
      </c>
      <c r="BI42" s="247" t="s">
        <v>103</v>
      </c>
      <c r="BJ42" s="1068" t="s">
        <v>103</v>
      </c>
      <c r="BL42" s="233" t="s">
        <v>250</v>
      </c>
    </row>
    <row r="43" spans="1:64" ht="12.75" customHeight="1">
      <c r="A43" s="2031" t="s">
        <v>264</v>
      </c>
      <c r="B43" s="2031"/>
      <c r="C43" s="577"/>
      <c r="D43" s="577"/>
      <c r="E43" s="577"/>
      <c r="F43" s="577"/>
      <c r="G43" s="577"/>
      <c r="H43" s="577"/>
      <c r="I43" s="577"/>
      <c r="J43" s="579"/>
      <c r="K43" s="577"/>
      <c r="L43" s="577"/>
      <c r="M43" s="577"/>
      <c r="N43" s="577"/>
      <c r="O43" s="580"/>
      <c r="P43" s="577"/>
      <c r="Q43" s="580"/>
      <c r="R43" s="2031" t="s">
        <v>264</v>
      </c>
      <c r="S43" s="2031"/>
      <c r="T43" s="2031" t="s">
        <v>264</v>
      </c>
      <c r="U43" s="2031"/>
      <c r="V43" s="579"/>
      <c r="W43" s="579"/>
      <c r="X43" s="579"/>
      <c r="Y43" s="579"/>
      <c r="Z43" s="579"/>
      <c r="AA43" s="579"/>
      <c r="AB43" s="579"/>
      <c r="AC43" s="579"/>
      <c r="AD43" s="579"/>
      <c r="AE43" s="579"/>
      <c r="AF43" s="579"/>
      <c r="AG43" s="579"/>
      <c r="AH43" s="2031" t="s">
        <v>264</v>
      </c>
      <c r="AI43" s="2031"/>
      <c r="AJ43" s="2031" t="s">
        <v>264</v>
      </c>
      <c r="AK43" s="2031"/>
      <c r="AL43" s="577"/>
      <c r="AM43" s="577"/>
      <c r="AN43" s="580"/>
      <c r="AO43" s="580"/>
      <c r="AP43" s="577"/>
      <c r="AQ43" s="577"/>
      <c r="AR43" s="577"/>
      <c r="AS43" s="577"/>
      <c r="AT43" s="577"/>
      <c r="AU43" s="577"/>
      <c r="AV43" s="577"/>
      <c r="AW43" s="577"/>
      <c r="AX43" s="577"/>
      <c r="AY43" s="2031" t="s">
        <v>264</v>
      </c>
      <c r="AZ43" s="2031"/>
      <c r="BA43" s="2031" t="s">
        <v>264</v>
      </c>
      <c r="BB43" s="2031"/>
      <c r="BC43" s="577"/>
      <c r="BD43" s="577"/>
      <c r="BE43" s="577"/>
      <c r="BF43" s="580"/>
      <c r="BG43" s="577"/>
      <c r="BH43" s="577"/>
      <c r="BI43" s="577"/>
      <c r="BJ43" s="577"/>
      <c r="BK43" s="2031" t="s">
        <v>264</v>
      </c>
      <c r="BL43" s="2031"/>
    </row>
    <row r="44" spans="1:64" s="18" customFormat="1" ht="11.1" customHeight="1">
      <c r="A44" s="10"/>
      <c r="B44" s="233" t="s">
        <v>249</v>
      </c>
      <c r="C44" s="247">
        <v>13.5</v>
      </c>
      <c r="D44" s="247">
        <v>12</v>
      </c>
      <c r="E44" s="247">
        <v>13</v>
      </c>
      <c r="F44" s="247">
        <v>14</v>
      </c>
      <c r="G44" s="176" t="s">
        <v>1434</v>
      </c>
      <c r="H44" s="1068" t="s">
        <v>103</v>
      </c>
      <c r="I44" s="247">
        <v>14</v>
      </c>
      <c r="J44" s="176">
        <v>14</v>
      </c>
      <c r="K44" s="247">
        <v>11</v>
      </c>
      <c r="L44" s="247" t="s">
        <v>2333</v>
      </c>
      <c r="M44" s="176" t="s">
        <v>1628</v>
      </c>
      <c r="N44" s="157" t="s">
        <v>2335</v>
      </c>
      <c r="O44" s="247" t="s">
        <v>1628</v>
      </c>
      <c r="P44" s="176" t="s">
        <v>1604</v>
      </c>
      <c r="Q44" s="157" t="s">
        <v>2534</v>
      </c>
      <c r="R44" s="10"/>
      <c r="S44" s="233" t="s">
        <v>249</v>
      </c>
      <c r="T44" s="10"/>
      <c r="U44" s="233" t="s">
        <v>249</v>
      </c>
      <c r="V44" s="176">
        <v>10.5</v>
      </c>
      <c r="W44" s="176" t="s">
        <v>1624</v>
      </c>
      <c r="X44" s="176" t="s">
        <v>1338</v>
      </c>
      <c r="Y44" s="176" t="s">
        <v>1338</v>
      </c>
      <c r="Z44" s="176">
        <v>15</v>
      </c>
      <c r="AA44" s="176" t="s">
        <v>1627</v>
      </c>
      <c r="AB44" s="176" t="s">
        <v>2287</v>
      </c>
      <c r="AC44" s="176" t="s">
        <v>1628</v>
      </c>
      <c r="AD44" s="176" t="s">
        <v>2284</v>
      </c>
      <c r="AE44" s="176" t="s">
        <v>1628</v>
      </c>
      <c r="AF44" s="176" t="s">
        <v>2342</v>
      </c>
      <c r="AG44" s="176">
        <v>14</v>
      </c>
      <c r="AH44" s="10"/>
      <c r="AI44" s="233" t="s">
        <v>249</v>
      </c>
      <c r="AJ44" s="10"/>
      <c r="AK44" s="233" t="s">
        <v>249</v>
      </c>
      <c r="AL44" s="247" t="s">
        <v>1623</v>
      </c>
      <c r="AM44" s="247" t="s">
        <v>1628</v>
      </c>
      <c r="AN44" s="247" t="s">
        <v>2458</v>
      </c>
      <c r="AO44" s="176" t="s">
        <v>2535</v>
      </c>
      <c r="AP44" s="247">
        <v>12.5</v>
      </c>
      <c r="AQ44" s="247" t="s">
        <v>2287</v>
      </c>
      <c r="AR44" s="247" t="s">
        <v>2335</v>
      </c>
      <c r="AS44" s="247" t="s">
        <v>1628</v>
      </c>
      <c r="AT44" s="247" t="s">
        <v>1628</v>
      </c>
      <c r="AU44" s="247" t="s">
        <v>1338</v>
      </c>
      <c r="AV44" s="247" t="s">
        <v>1987</v>
      </c>
      <c r="AW44" s="1567" t="s">
        <v>2310</v>
      </c>
      <c r="AX44" s="247" t="s">
        <v>2729</v>
      </c>
      <c r="AY44" s="10"/>
      <c r="AZ44" s="233" t="s">
        <v>249</v>
      </c>
      <c r="BA44" s="10"/>
      <c r="BB44" s="233" t="s">
        <v>249</v>
      </c>
      <c r="BC44" s="247" t="s">
        <v>1338</v>
      </c>
      <c r="BD44" s="247" t="s">
        <v>1987</v>
      </c>
      <c r="BE44" s="247" t="s">
        <v>2340</v>
      </c>
      <c r="BF44" s="1068" t="s">
        <v>103</v>
      </c>
      <c r="BG44" s="247">
        <v>17.75</v>
      </c>
      <c r="BH44" s="247" t="s">
        <v>103</v>
      </c>
      <c r="BI44" s="247" t="s">
        <v>2490</v>
      </c>
      <c r="BJ44" s="247" t="s">
        <v>2713</v>
      </c>
      <c r="BK44" s="10"/>
      <c r="BL44" s="233" t="s">
        <v>249</v>
      </c>
    </row>
    <row r="45" spans="1:64" ht="11.1" customHeight="1">
      <c r="A45" s="523"/>
      <c r="B45" s="553" t="s">
        <v>250</v>
      </c>
      <c r="C45" s="577" t="s">
        <v>103</v>
      </c>
      <c r="D45" s="577" t="s">
        <v>103</v>
      </c>
      <c r="E45" s="577" t="s">
        <v>103</v>
      </c>
      <c r="F45" s="577" t="s">
        <v>103</v>
      </c>
      <c r="G45" s="577" t="s">
        <v>103</v>
      </c>
      <c r="H45" s="1122">
        <v>14</v>
      </c>
      <c r="I45" s="577" t="s">
        <v>103</v>
      </c>
      <c r="J45" s="577" t="s">
        <v>103</v>
      </c>
      <c r="K45" s="577">
        <v>11.5</v>
      </c>
      <c r="L45" s="577" t="s">
        <v>103</v>
      </c>
      <c r="M45" s="577" t="s">
        <v>103</v>
      </c>
      <c r="N45" s="1248" t="s">
        <v>2334</v>
      </c>
      <c r="O45" s="580" t="s">
        <v>103</v>
      </c>
      <c r="P45" s="580" t="s">
        <v>103</v>
      </c>
      <c r="Q45" s="580" t="s">
        <v>103</v>
      </c>
      <c r="R45" s="523"/>
      <c r="S45" s="553" t="s">
        <v>250</v>
      </c>
      <c r="T45" s="523"/>
      <c r="U45" s="553" t="s">
        <v>250</v>
      </c>
      <c r="V45" s="579" t="s">
        <v>103</v>
      </c>
      <c r="W45" s="579" t="s">
        <v>103</v>
      </c>
      <c r="X45" s="579" t="s">
        <v>103</v>
      </c>
      <c r="Y45" s="579" t="s">
        <v>103</v>
      </c>
      <c r="Z45" s="579" t="s">
        <v>103</v>
      </c>
      <c r="AA45" s="579" t="s">
        <v>103</v>
      </c>
      <c r="AB45" s="579" t="s">
        <v>103</v>
      </c>
      <c r="AC45" s="579" t="s">
        <v>103</v>
      </c>
      <c r="AD45" s="579" t="s">
        <v>103</v>
      </c>
      <c r="AE45" s="579" t="s">
        <v>103</v>
      </c>
      <c r="AF45" s="579" t="s">
        <v>103</v>
      </c>
      <c r="AG45" s="579" t="s">
        <v>103</v>
      </c>
      <c r="AH45" s="523"/>
      <c r="AI45" s="553" t="s">
        <v>250</v>
      </c>
      <c r="AJ45" s="523"/>
      <c r="AK45" s="553" t="s">
        <v>250</v>
      </c>
      <c r="AL45" s="1069" t="s">
        <v>103</v>
      </c>
      <c r="AM45" s="577" t="s">
        <v>103</v>
      </c>
      <c r="AN45" s="577" t="s">
        <v>103</v>
      </c>
      <c r="AO45" s="1122" t="s">
        <v>103</v>
      </c>
      <c r="AP45" s="577" t="s">
        <v>103</v>
      </c>
      <c r="AQ45" s="577" t="s">
        <v>103</v>
      </c>
      <c r="AR45" s="577" t="s">
        <v>103</v>
      </c>
      <c r="AS45" s="1069" t="s">
        <v>103</v>
      </c>
      <c r="AT45" s="577" t="s">
        <v>103</v>
      </c>
      <c r="AU45" s="577" t="s">
        <v>103</v>
      </c>
      <c r="AV45" s="577" t="s">
        <v>103</v>
      </c>
      <c r="AW45" s="577" t="s">
        <v>103</v>
      </c>
      <c r="AX45" s="577" t="s">
        <v>103</v>
      </c>
      <c r="AY45" s="523"/>
      <c r="AZ45" s="553" t="s">
        <v>250</v>
      </c>
      <c r="BA45" s="523"/>
      <c r="BB45" s="553" t="s">
        <v>250</v>
      </c>
      <c r="BC45" s="577" t="s">
        <v>103</v>
      </c>
      <c r="BD45" s="577" t="s">
        <v>1987</v>
      </c>
      <c r="BE45" s="577" t="s">
        <v>103</v>
      </c>
      <c r="BF45" s="580" t="s">
        <v>103</v>
      </c>
      <c r="BG45" s="577" t="s">
        <v>103</v>
      </c>
      <c r="BH45" s="577" t="s">
        <v>103</v>
      </c>
      <c r="BI45" s="577" t="s">
        <v>103</v>
      </c>
      <c r="BJ45" s="1069" t="s">
        <v>103</v>
      </c>
      <c r="BK45" s="523"/>
      <c r="BL45" s="553" t="s">
        <v>250</v>
      </c>
    </row>
    <row r="46" spans="1:64">
      <c r="A46" s="2030" t="s">
        <v>265</v>
      </c>
      <c r="B46" s="2030"/>
      <c r="N46" s="247"/>
      <c r="O46" s="246"/>
      <c r="P46" s="246"/>
      <c r="Q46" s="246"/>
      <c r="R46" s="2030" t="s">
        <v>265</v>
      </c>
      <c r="S46" s="2030"/>
      <c r="T46" s="2030" t="s">
        <v>265</v>
      </c>
      <c r="U46" s="2030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2030" t="s">
        <v>265</v>
      </c>
      <c r="AI46" s="2030"/>
      <c r="AJ46" s="2030" t="s">
        <v>265</v>
      </c>
      <c r="AK46" s="2030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030" t="s">
        <v>265</v>
      </c>
      <c r="AZ46" s="2030"/>
      <c r="BA46" s="2030" t="s">
        <v>265</v>
      </c>
      <c r="BB46" s="2030"/>
      <c r="BC46" s="247"/>
      <c r="BD46" s="247"/>
      <c r="BE46" s="247"/>
      <c r="BF46" s="246"/>
      <c r="BG46" s="247"/>
      <c r="BH46" s="247"/>
      <c r="BI46" s="247"/>
      <c r="BJ46" s="247"/>
      <c r="BK46" s="2030" t="s">
        <v>265</v>
      </c>
      <c r="BL46" s="2030"/>
    </row>
    <row r="47" spans="1:64" s="11" customFormat="1" ht="11.1" customHeight="1">
      <c r="A47" s="517"/>
      <c r="B47" s="553" t="s">
        <v>249</v>
      </c>
      <c r="C47" s="579" t="s">
        <v>103</v>
      </c>
      <c r="D47" s="1324" t="s">
        <v>2287</v>
      </c>
      <c r="E47" s="1248" t="s">
        <v>2367</v>
      </c>
      <c r="F47" s="579" t="s">
        <v>2531</v>
      </c>
      <c r="G47" s="579" t="s">
        <v>2287</v>
      </c>
      <c r="H47" s="579" t="s">
        <v>1622</v>
      </c>
      <c r="I47" s="577" t="s">
        <v>103</v>
      </c>
      <c r="J47" s="579">
        <v>12</v>
      </c>
      <c r="K47" s="577">
        <v>19</v>
      </c>
      <c r="L47" s="576" t="s">
        <v>2335</v>
      </c>
      <c r="M47" s="576" t="s">
        <v>2045</v>
      </c>
      <c r="N47" s="1248" t="s">
        <v>1627</v>
      </c>
      <c r="O47" s="577" t="s">
        <v>1627</v>
      </c>
      <c r="P47" s="579" t="s">
        <v>1626</v>
      </c>
      <c r="Q47" s="577">
        <v>13</v>
      </c>
      <c r="R47" s="517"/>
      <c r="S47" s="553" t="s">
        <v>249</v>
      </c>
      <c r="T47" s="517"/>
      <c r="U47" s="553" t="s">
        <v>249</v>
      </c>
      <c r="V47" s="579" t="s">
        <v>2333</v>
      </c>
      <c r="W47" s="579" t="s">
        <v>2419</v>
      </c>
      <c r="X47" s="579" t="s">
        <v>2784</v>
      </c>
      <c r="Y47" s="579" t="s">
        <v>2334</v>
      </c>
      <c r="Z47" s="578" t="s">
        <v>1626</v>
      </c>
      <c r="AA47" s="579" t="s">
        <v>2420</v>
      </c>
      <c r="AB47" s="579" t="s">
        <v>1338</v>
      </c>
      <c r="AC47" s="579">
        <v>10</v>
      </c>
      <c r="AD47" s="579" t="s">
        <v>103</v>
      </c>
      <c r="AE47" s="579" t="s">
        <v>1628</v>
      </c>
      <c r="AF47" s="579" t="s">
        <v>2342</v>
      </c>
      <c r="AG47" s="579" t="s">
        <v>103</v>
      </c>
      <c r="AH47" s="517"/>
      <c r="AI47" s="553" t="s">
        <v>249</v>
      </c>
      <c r="AJ47" s="517"/>
      <c r="AK47" s="553" t="s">
        <v>249</v>
      </c>
      <c r="AL47" s="577" t="s">
        <v>2346</v>
      </c>
      <c r="AM47" s="577" t="s">
        <v>1628</v>
      </c>
      <c r="AN47" s="577" t="s">
        <v>2347</v>
      </c>
      <c r="AO47" s="577" t="s">
        <v>2786</v>
      </c>
      <c r="AP47" s="577">
        <v>12.5</v>
      </c>
      <c r="AQ47" s="577" t="s">
        <v>1628</v>
      </c>
      <c r="AR47" s="577" t="s">
        <v>2369</v>
      </c>
      <c r="AS47" s="577" t="s">
        <v>2016</v>
      </c>
      <c r="AT47" s="577" t="s">
        <v>1627</v>
      </c>
      <c r="AU47" s="577" t="s">
        <v>2787</v>
      </c>
      <c r="AV47" s="577" t="s">
        <v>1628</v>
      </c>
      <c r="AW47" s="1568" t="s">
        <v>2469</v>
      </c>
      <c r="AX47" s="577" t="s">
        <v>2730</v>
      </c>
      <c r="AY47" s="517"/>
      <c r="AZ47" s="553" t="s">
        <v>249</v>
      </c>
      <c r="BA47" s="517"/>
      <c r="BB47" s="553" t="s">
        <v>249</v>
      </c>
      <c r="BC47" s="577" t="s">
        <v>1627</v>
      </c>
      <c r="BD47" s="577" t="s">
        <v>2445</v>
      </c>
      <c r="BE47" s="577" t="s">
        <v>1976</v>
      </c>
      <c r="BF47" s="577" t="s">
        <v>2287</v>
      </c>
      <c r="BG47" s="577" t="s">
        <v>2352</v>
      </c>
      <c r="BH47" s="577" t="s">
        <v>2422</v>
      </c>
      <c r="BI47" s="577" t="s">
        <v>103</v>
      </c>
      <c r="BJ47" s="577" t="s">
        <v>2790</v>
      </c>
      <c r="BK47" s="517"/>
      <c r="BL47" s="553" t="s">
        <v>249</v>
      </c>
    </row>
    <row r="48" spans="1:64" s="453" customFormat="1" ht="11.1" customHeight="1" thickBot="1">
      <c r="A48" s="885"/>
      <c r="B48" s="888" t="s">
        <v>250</v>
      </c>
      <c r="C48" s="941">
        <v>13</v>
      </c>
      <c r="D48" s="1251" t="s">
        <v>103</v>
      </c>
      <c r="E48" s="946" t="s">
        <v>103</v>
      </c>
      <c r="F48" s="610" t="s">
        <v>103</v>
      </c>
      <c r="G48" s="946" t="s">
        <v>103</v>
      </c>
      <c r="H48" s="946" t="s">
        <v>103</v>
      </c>
      <c r="I48" s="944" t="s">
        <v>2419</v>
      </c>
      <c r="J48" s="946" t="s">
        <v>103</v>
      </c>
      <c r="K48" s="941">
        <v>8.5</v>
      </c>
      <c r="L48" s="1070" t="s">
        <v>103</v>
      </c>
      <c r="M48" s="944" t="s">
        <v>1627</v>
      </c>
      <c r="N48" s="1310" t="s">
        <v>103</v>
      </c>
      <c r="O48" s="942" t="s">
        <v>103</v>
      </c>
      <c r="P48" s="942" t="s">
        <v>103</v>
      </c>
      <c r="Q48" s="943" t="s">
        <v>103</v>
      </c>
      <c r="R48" s="885"/>
      <c r="S48" s="888" t="s">
        <v>250</v>
      </c>
      <c r="T48" s="885"/>
      <c r="U48" s="888" t="s">
        <v>250</v>
      </c>
      <c r="V48" s="944" t="s">
        <v>103</v>
      </c>
      <c r="W48" s="944" t="s">
        <v>103</v>
      </c>
      <c r="X48" s="945" t="s">
        <v>103</v>
      </c>
      <c r="Y48" s="944" t="s">
        <v>2334</v>
      </c>
      <c r="Z48" s="945" t="s">
        <v>103</v>
      </c>
      <c r="AA48" s="945" t="s">
        <v>103</v>
      </c>
      <c r="AB48" s="945" t="s">
        <v>2263</v>
      </c>
      <c r="AC48" s="945" t="s">
        <v>2456</v>
      </c>
      <c r="AD48" s="945" t="s">
        <v>103</v>
      </c>
      <c r="AE48" s="945" t="s">
        <v>103</v>
      </c>
      <c r="AF48" s="945" t="s">
        <v>103</v>
      </c>
      <c r="AG48" s="945" t="s">
        <v>103</v>
      </c>
      <c r="AH48" s="885"/>
      <c r="AI48" s="888" t="s">
        <v>250</v>
      </c>
      <c r="AJ48" s="885"/>
      <c r="AK48" s="888" t="s">
        <v>250</v>
      </c>
      <c r="AL48" s="1070" t="s">
        <v>103</v>
      </c>
      <c r="AM48" s="941" t="s">
        <v>103</v>
      </c>
      <c r="AN48" s="942" t="s">
        <v>103</v>
      </c>
      <c r="AO48" s="942" t="s">
        <v>103</v>
      </c>
      <c r="AP48" s="942" t="s">
        <v>103</v>
      </c>
      <c r="AQ48" s="942" t="s">
        <v>103</v>
      </c>
      <c r="AR48" s="942" t="s">
        <v>103</v>
      </c>
      <c r="AS48" s="942" t="s">
        <v>1434</v>
      </c>
      <c r="AT48" s="942" t="s">
        <v>103</v>
      </c>
      <c r="AU48" s="942" t="s">
        <v>103</v>
      </c>
      <c r="AV48" s="1070" t="s">
        <v>103</v>
      </c>
      <c r="AW48" s="1569" t="s">
        <v>1627</v>
      </c>
      <c r="AX48" s="942" t="s">
        <v>103</v>
      </c>
      <c r="AY48" s="885"/>
      <c r="AZ48" s="888" t="s">
        <v>250</v>
      </c>
      <c r="BA48" s="885"/>
      <c r="BB48" s="888" t="s">
        <v>250</v>
      </c>
      <c r="BC48" s="941" t="s">
        <v>103</v>
      </c>
      <c r="BD48" s="941" t="s">
        <v>2445</v>
      </c>
      <c r="BE48" s="941" t="s">
        <v>103</v>
      </c>
      <c r="BF48" s="942" t="s">
        <v>103</v>
      </c>
      <c r="BG48" s="942" t="s">
        <v>103</v>
      </c>
      <c r="BH48" s="941" t="s">
        <v>2353</v>
      </c>
      <c r="BI48" s="941" t="s">
        <v>103</v>
      </c>
      <c r="BJ48" s="1070" t="s">
        <v>103</v>
      </c>
      <c r="BK48" s="885"/>
      <c r="BL48" s="888" t="s">
        <v>250</v>
      </c>
    </row>
    <row r="49" spans="1:57" ht="10.5" customHeight="1">
      <c r="A49" s="2036" t="s">
        <v>2519</v>
      </c>
      <c r="B49" s="2036"/>
      <c r="C49" s="2036"/>
      <c r="D49" s="2036"/>
      <c r="E49" s="2036"/>
      <c r="F49" s="2036"/>
      <c r="G49" s="2036"/>
      <c r="H49" s="2036"/>
      <c r="I49" s="2036"/>
      <c r="J49" s="2036"/>
      <c r="K49" s="224"/>
      <c r="L49" s="224"/>
      <c r="M49" s="224"/>
      <c r="N49" s="224"/>
      <c r="O49" s="224"/>
      <c r="P49" s="224"/>
      <c r="Q49" s="224"/>
      <c r="R49" s="224"/>
      <c r="S49" s="224"/>
      <c r="T49" s="2032" t="s">
        <v>2520</v>
      </c>
      <c r="U49" s="2032"/>
      <c r="V49" s="2032"/>
      <c r="W49" s="2032"/>
      <c r="X49" s="2032"/>
      <c r="Y49" s="225"/>
      <c r="Z49" s="221"/>
      <c r="AA49" s="221"/>
      <c r="AB49" s="221"/>
      <c r="AC49" s="221"/>
      <c r="AD49" s="221"/>
      <c r="AE49" s="221"/>
      <c r="AF49" s="221"/>
      <c r="AG49" s="221"/>
      <c r="AJ49" s="2032" t="s">
        <v>2520</v>
      </c>
      <c r="AK49" s="2032"/>
      <c r="AL49" s="2032"/>
      <c r="AM49" s="2032"/>
      <c r="AN49" s="2032"/>
      <c r="BA49" s="2032" t="s">
        <v>2521</v>
      </c>
      <c r="BB49" s="2032"/>
      <c r="BC49" s="2032"/>
      <c r="BD49" s="2032"/>
      <c r="BE49" s="2032"/>
    </row>
    <row r="50" spans="1:57" ht="9" customHeight="1">
      <c r="B50" s="18" t="s">
        <v>254</v>
      </c>
      <c r="U50" s="18" t="s">
        <v>254</v>
      </c>
      <c r="V50" s="39"/>
      <c r="W50" s="39"/>
      <c r="X50" s="39"/>
      <c r="Y50" s="39"/>
      <c r="AA50" s="39"/>
      <c r="AB50" s="39"/>
      <c r="AC50" s="39"/>
      <c r="AD50" s="39"/>
      <c r="AE50" s="39"/>
      <c r="AF50" s="39"/>
      <c r="AG50" s="39"/>
      <c r="AK50" s="18" t="s">
        <v>254</v>
      </c>
      <c r="AL50" s="39"/>
      <c r="AM50" s="39"/>
      <c r="AN50" s="39"/>
      <c r="BB50" s="18" t="s">
        <v>254</v>
      </c>
      <c r="BC50" s="39"/>
      <c r="BD50" s="39"/>
      <c r="BE50" s="39"/>
    </row>
  </sheetData>
  <mergeCells count="138">
    <mergeCell ref="AH46:AI46"/>
    <mergeCell ref="BK43:BL43"/>
    <mergeCell ref="AH7:AI7"/>
    <mergeCell ref="BK36:BL36"/>
    <mergeCell ref="AH23:AI23"/>
    <mergeCell ref="AJ37:AK37"/>
    <mergeCell ref="AY40:AZ40"/>
    <mergeCell ref="AY37:AZ37"/>
    <mergeCell ref="BK40:BL40"/>
    <mergeCell ref="BK37:BL37"/>
    <mergeCell ref="AY23:AZ23"/>
    <mergeCell ref="AY29:AZ29"/>
    <mergeCell ref="BK26:BL26"/>
    <mergeCell ref="BK29:BL29"/>
    <mergeCell ref="AH19:AI19"/>
    <mergeCell ref="BK46:BL46"/>
    <mergeCell ref="AJ26:AK26"/>
    <mergeCell ref="AJ29:AK29"/>
    <mergeCell ref="BA29:BB29"/>
    <mergeCell ref="BA40:BB40"/>
    <mergeCell ref="AY6:AZ6"/>
    <mergeCell ref="BA6:BB6"/>
    <mergeCell ref="AJ6:AK6"/>
    <mergeCell ref="BA19:BB19"/>
    <mergeCell ref="BK20:BL20"/>
    <mergeCell ref="BK19:BL19"/>
    <mergeCell ref="BK13:BL13"/>
    <mergeCell ref="BA7:BB7"/>
    <mergeCell ref="AY7:AZ7"/>
    <mergeCell ref="BK7:BL7"/>
    <mergeCell ref="BA13:BB13"/>
    <mergeCell ref="AY13:AZ13"/>
    <mergeCell ref="BK6:BL6"/>
    <mergeCell ref="R6:S6"/>
    <mergeCell ref="T3:U5"/>
    <mergeCell ref="AR1:AW1"/>
    <mergeCell ref="X2:Y2"/>
    <mergeCell ref="AJ7:AK7"/>
    <mergeCell ref="AJ13:AK13"/>
    <mergeCell ref="T7:U7"/>
    <mergeCell ref="T13:U13"/>
    <mergeCell ref="AH40:AI40"/>
    <mergeCell ref="R7:S7"/>
    <mergeCell ref="AJ23:AK23"/>
    <mergeCell ref="AH6:AI6"/>
    <mergeCell ref="T6:U6"/>
    <mergeCell ref="V3:AG3"/>
    <mergeCell ref="R20:S20"/>
    <mergeCell ref="AJ19:AK19"/>
    <mergeCell ref="AJ3:AK5"/>
    <mergeCell ref="AH3:AI5"/>
    <mergeCell ref="AH13:AI13"/>
    <mergeCell ref="R3:S5"/>
    <mergeCell ref="AH37:AI37"/>
    <mergeCell ref="AJ1:AQ1"/>
    <mergeCell ref="AH20:AI20"/>
    <mergeCell ref="R29:S29"/>
    <mergeCell ref="BC1:BF1"/>
    <mergeCell ref="BE2:BF2"/>
    <mergeCell ref="BK3:BL5"/>
    <mergeCell ref="BC3:BJ3"/>
    <mergeCell ref="BG2:BI2"/>
    <mergeCell ref="AY1:AZ1"/>
    <mergeCell ref="BA3:BB5"/>
    <mergeCell ref="AY3:AZ5"/>
    <mergeCell ref="AH1:AI1"/>
    <mergeCell ref="AL3:AX3"/>
    <mergeCell ref="B1:J1"/>
    <mergeCell ref="K2:L2"/>
    <mergeCell ref="A13:B13"/>
    <mergeCell ref="A7:B7"/>
    <mergeCell ref="K1:Q1"/>
    <mergeCell ref="A6:B6"/>
    <mergeCell ref="K3:Q3"/>
    <mergeCell ref="A3:B5"/>
    <mergeCell ref="I3:J3"/>
    <mergeCell ref="C3:H3"/>
    <mergeCell ref="R1:S1"/>
    <mergeCell ref="AB1:AG1"/>
    <mergeCell ref="T1:AA1"/>
    <mergeCell ref="R13:S13"/>
    <mergeCell ref="BK1:BL1"/>
    <mergeCell ref="BG1:BJ1"/>
    <mergeCell ref="A49:J49"/>
    <mergeCell ref="T19:U19"/>
    <mergeCell ref="T26:U26"/>
    <mergeCell ref="T29:U29"/>
    <mergeCell ref="T36:U36"/>
    <mergeCell ref="T43:U43"/>
    <mergeCell ref="T46:U46"/>
    <mergeCell ref="T49:X49"/>
    <mergeCell ref="A36:B36"/>
    <mergeCell ref="A43:B43"/>
    <mergeCell ref="R43:S43"/>
    <mergeCell ref="A46:B46"/>
    <mergeCell ref="R46:S46"/>
    <mergeCell ref="A19:B19"/>
    <mergeCell ref="R19:S19"/>
    <mergeCell ref="A26:B26"/>
    <mergeCell ref="R26:S26"/>
    <mergeCell ref="A29:B29"/>
    <mergeCell ref="AJ49:AN49"/>
    <mergeCell ref="BA49:BE49"/>
    <mergeCell ref="AY46:AZ46"/>
    <mergeCell ref="BA36:BB36"/>
    <mergeCell ref="BA37:BB37"/>
    <mergeCell ref="AJ36:AK36"/>
    <mergeCell ref="AJ43:AK43"/>
    <mergeCell ref="BA43:BB43"/>
    <mergeCell ref="AY43:AZ43"/>
    <mergeCell ref="AJ46:AK46"/>
    <mergeCell ref="AJ40:AK40"/>
    <mergeCell ref="AY36:AZ36"/>
    <mergeCell ref="BA46:BB46"/>
    <mergeCell ref="R36:S36"/>
    <mergeCell ref="AH36:AI36"/>
    <mergeCell ref="AH43:AI43"/>
    <mergeCell ref="AY19:AZ19"/>
    <mergeCell ref="BK23:BL23"/>
    <mergeCell ref="BA26:BB26"/>
    <mergeCell ref="BA20:BB20"/>
    <mergeCell ref="BA23:BB23"/>
    <mergeCell ref="A23:B23"/>
    <mergeCell ref="AJ20:AK20"/>
    <mergeCell ref="AH26:AI26"/>
    <mergeCell ref="AH29:AI29"/>
    <mergeCell ref="AY20:AZ20"/>
    <mergeCell ref="R40:S40"/>
    <mergeCell ref="R37:S37"/>
    <mergeCell ref="T37:U37"/>
    <mergeCell ref="T40:U40"/>
    <mergeCell ref="A40:B40"/>
    <mergeCell ref="A20:B20"/>
    <mergeCell ref="A37:B37"/>
    <mergeCell ref="R23:S23"/>
    <mergeCell ref="T23:U23"/>
    <mergeCell ref="T20:U20"/>
    <mergeCell ref="AY26:AZ26"/>
  </mergeCells>
  <phoneticPr fontId="47" type="noConversion"/>
  <pageMargins left="0.511811023622047" right="0.511811023622047" top="0.511811023622047" bottom="0.511811023622047" header="0" footer="0.43307086614173201"/>
  <pageSetup paperSize="151" firstPageNumber="66" orientation="portrait" useFirstPageNumber="1" r:id="rId1"/>
  <headerFooter>
    <oddFooter>&amp;C&amp;"Times New Roman,Regular"&amp;8&amp;P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P56"/>
  <sheetViews>
    <sheetView zoomScale="120" zoomScaleNormal="120" workbookViewId="0">
      <pane xSplit="3" ySplit="3" topLeftCell="D43" activePane="bottomRight" state="frozen"/>
      <selection pane="topRight" activeCell="D1" sqref="D1"/>
      <selection pane="bottomLeft" activeCell="A4" sqref="A4"/>
      <selection pane="bottomRight" activeCell="D3" sqref="D3"/>
    </sheetView>
  </sheetViews>
  <sheetFormatPr defaultColWidth="9.140625" defaultRowHeight="12.75"/>
  <cols>
    <col min="1" max="1" width="1.85546875" style="2" customWidth="1"/>
    <col min="2" max="2" width="2.5703125" style="2" customWidth="1"/>
    <col min="3" max="3" width="27.140625" style="2" customWidth="1"/>
    <col min="4" max="4" width="6.5703125" style="2" customWidth="1"/>
    <col min="5" max="5" width="5.5703125" style="2" customWidth="1"/>
    <col min="6" max="6" width="5.140625" style="2" customWidth="1"/>
    <col min="7" max="7" width="5.5703125" style="2" customWidth="1"/>
    <col min="8" max="8" width="6.85546875" style="2" customWidth="1"/>
    <col min="9" max="9" width="5.28515625" style="2" customWidth="1"/>
    <col min="10" max="10" width="6" style="2" customWidth="1"/>
    <col min="11" max="11" width="5.85546875" style="2" customWidth="1"/>
    <col min="12" max="12" width="7.5703125" style="2" customWidth="1"/>
    <col min="13" max="16384" width="9.140625" style="2"/>
  </cols>
  <sheetData>
    <row r="1" spans="1:16" s="24" customFormat="1" ht="15" customHeight="1">
      <c r="B1" s="2052" t="s">
        <v>2689</v>
      </c>
      <c r="C1" s="2052"/>
      <c r="D1" s="2052"/>
      <c r="E1" s="2052"/>
      <c r="F1" s="2052"/>
      <c r="G1" s="2052"/>
      <c r="H1" s="2052"/>
      <c r="I1" s="2052"/>
      <c r="J1" s="2052"/>
      <c r="K1" s="2052" t="s">
        <v>2086</v>
      </c>
      <c r="L1" s="2052"/>
    </row>
    <row r="2" spans="1:16" s="5" customFormat="1" ht="11.25" customHeight="1">
      <c r="B2" s="180"/>
      <c r="C2" s="180"/>
      <c r="D2" s="180"/>
      <c r="E2" s="180"/>
      <c r="F2" s="180"/>
      <c r="G2" s="180"/>
      <c r="H2" s="209"/>
      <c r="I2" s="209"/>
      <c r="J2" s="1928" t="s">
        <v>902</v>
      </c>
      <c r="K2" s="1928"/>
      <c r="L2" s="1928"/>
    </row>
    <row r="3" spans="1:16" s="701" customFormat="1" ht="60" customHeight="1">
      <c r="A3" s="1624" t="s">
        <v>968</v>
      </c>
      <c r="B3" s="1624"/>
      <c r="C3" s="1624"/>
      <c r="D3" s="1465" t="s">
        <v>156</v>
      </c>
      <c r="E3" s="1465" t="s">
        <v>2686</v>
      </c>
      <c r="F3" s="1465" t="s">
        <v>155</v>
      </c>
      <c r="G3" s="1465" t="s">
        <v>157</v>
      </c>
      <c r="H3" s="1465" t="s">
        <v>158</v>
      </c>
      <c r="I3" s="1465" t="s">
        <v>2066</v>
      </c>
      <c r="J3" s="1465" t="s">
        <v>159</v>
      </c>
      <c r="K3" s="1465" t="s">
        <v>160</v>
      </c>
      <c r="L3" s="1464" t="s">
        <v>154</v>
      </c>
      <c r="P3" s="309"/>
    </row>
    <row r="4" spans="1:16" s="9" customFormat="1" ht="14.25" customHeight="1">
      <c r="A4" s="179" t="s">
        <v>1007</v>
      </c>
      <c r="B4" s="2053" t="s">
        <v>1037</v>
      </c>
      <c r="C4" s="2053"/>
      <c r="D4" s="19">
        <v>3.94</v>
      </c>
      <c r="E4" s="19">
        <v>3.32</v>
      </c>
      <c r="F4" s="19">
        <v>3</v>
      </c>
      <c r="G4" s="19">
        <v>4</v>
      </c>
      <c r="H4" s="19">
        <v>3.47</v>
      </c>
      <c r="I4" s="19">
        <v>5.83</v>
      </c>
      <c r="J4" s="419">
        <v>3.5</v>
      </c>
      <c r="K4" s="19">
        <v>4.25</v>
      </c>
      <c r="L4" s="37">
        <v>2.87</v>
      </c>
    </row>
    <row r="5" spans="1:16" s="45" customFormat="1" ht="10.5" customHeight="1">
      <c r="A5" s="591" t="s">
        <v>1008</v>
      </c>
      <c r="B5" s="2054" t="s">
        <v>1038</v>
      </c>
      <c r="C5" s="2054"/>
      <c r="D5" s="551"/>
      <c r="E5" s="551"/>
      <c r="F5" s="551"/>
      <c r="G5" s="594"/>
      <c r="H5" s="594"/>
      <c r="I5" s="594"/>
      <c r="J5" s="551"/>
      <c r="K5" s="551"/>
      <c r="L5" s="524"/>
    </row>
    <row r="6" spans="1:16" s="45" customFormat="1" ht="10.5" customHeight="1">
      <c r="A6" s="179"/>
      <c r="B6" s="188" t="s">
        <v>1039</v>
      </c>
      <c r="C6" s="12" t="s">
        <v>1040</v>
      </c>
      <c r="D6" s="19">
        <v>6.98</v>
      </c>
      <c r="E6" s="19">
        <v>6.09</v>
      </c>
      <c r="F6" s="189" t="s">
        <v>603</v>
      </c>
      <c r="G6" s="19">
        <v>7</v>
      </c>
      <c r="H6" s="19" t="s">
        <v>603</v>
      </c>
      <c r="I6" s="19">
        <v>9.91</v>
      </c>
      <c r="J6" s="19">
        <v>5</v>
      </c>
      <c r="K6" s="19">
        <v>6.48</v>
      </c>
      <c r="L6" s="37">
        <v>7.92</v>
      </c>
    </row>
    <row r="7" spans="1:16" s="45" customFormat="1" ht="10.5" customHeight="1">
      <c r="A7" s="591"/>
      <c r="B7" s="593" t="s">
        <v>1041</v>
      </c>
      <c r="C7" s="526" t="s">
        <v>1042</v>
      </c>
      <c r="D7" s="551">
        <v>6.79</v>
      </c>
      <c r="E7" s="551">
        <v>6.09</v>
      </c>
      <c r="F7" s="594" t="s">
        <v>603</v>
      </c>
      <c r="G7" s="551">
        <v>7</v>
      </c>
      <c r="H7" s="551" t="s">
        <v>603</v>
      </c>
      <c r="I7" s="551">
        <v>9.27</v>
      </c>
      <c r="J7" s="551">
        <v>5.5</v>
      </c>
      <c r="K7" s="551">
        <v>6.48</v>
      </c>
      <c r="L7" s="514">
        <v>7.92</v>
      </c>
    </row>
    <row r="8" spans="1:16" s="45" customFormat="1" ht="10.5" customHeight="1">
      <c r="A8" s="179"/>
      <c r="B8" s="188" t="s">
        <v>1043</v>
      </c>
      <c r="C8" s="12" t="s">
        <v>134</v>
      </c>
      <c r="D8" s="19">
        <v>6.67</v>
      </c>
      <c r="E8" s="19">
        <v>5.54</v>
      </c>
      <c r="F8" s="189">
        <v>6</v>
      </c>
      <c r="G8" s="19">
        <v>7</v>
      </c>
      <c r="H8" s="19">
        <v>5.48</v>
      </c>
      <c r="I8" s="19">
        <v>8.26</v>
      </c>
      <c r="J8" s="19">
        <v>5</v>
      </c>
      <c r="K8" s="19">
        <v>6.48</v>
      </c>
      <c r="L8" s="37">
        <v>7.92</v>
      </c>
    </row>
    <row r="9" spans="1:16" s="45" customFormat="1" ht="10.5" customHeight="1">
      <c r="A9" s="591"/>
      <c r="B9" s="593" t="s">
        <v>1044</v>
      </c>
      <c r="C9" s="526" t="s">
        <v>1045</v>
      </c>
      <c r="D9" s="551">
        <v>6.54</v>
      </c>
      <c r="E9" s="551">
        <v>5.26</v>
      </c>
      <c r="F9" s="594">
        <v>5.75</v>
      </c>
      <c r="G9" s="551">
        <v>6.5</v>
      </c>
      <c r="H9" s="551">
        <v>5.48</v>
      </c>
      <c r="I9" s="551">
        <v>7.82</v>
      </c>
      <c r="J9" s="551">
        <v>5</v>
      </c>
      <c r="K9" s="551">
        <v>6.21</v>
      </c>
      <c r="L9" s="514">
        <v>7.66</v>
      </c>
    </row>
    <row r="10" spans="1:16" s="45" customFormat="1" ht="10.5" customHeight="1">
      <c r="A10" s="179"/>
      <c r="B10" s="188" t="s">
        <v>1046</v>
      </c>
      <c r="C10" s="12" t="s">
        <v>1047</v>
      </c>
      <c r="D10" s="19">
        <v>6.35</v>
      </c>
      <c r="E10" s="19">
        <v>4.99</v>
      </c>
      <c r="F10" s="19">
        <v>5.55</v>
      </c>
      <c r="G10" s="19">
        <v>6.5</v>
      </c>
      <c r="H10" s="19">
        <v>5.4</v>
      </c>
      <c r="I10" s="19">
        <v>7.09</v>
      </c>
      <c r="J10" s="19">
        <v>4.75</v>
      </c>
      <c r="K10" s="19">
        <v>5.94</v>
      </c>
      <c r="L10" s="37">
        <v>7.39</v>
      </c>
    </row>
    <row r="11" spans="1:16" s="45" customFormat="1" ht="10.5" customHeight="1">
      <c r="A11" s="591"/>
      <c r="B11" s="593" t="s">
        <v>639</v>
      </c>
      <c r="C11" s="526" t="s">
        <v>133</v>
      </c>
      <c r="D11" s="551">
        <v>5.21</v>
      </c>
      <c r="E11" s="551">
        <v>3.32</v>
      </c>
      <c r="F11" s="551">
        <v>3</v>
      </c>
      <c r="G11" s="551">
        <v>5</v>
      </c>
      <c r="H11" s="551">
        <v>2.93</v>
      </c>
      <c r="I11" s="551">
        <v>6.44</v>
      </c>
      <c r="J11" s="551">
        <v>4</v>
      </c>
      <c r="K11" s="551">
        <v>5.6</v>
      </c>
      <c r="L11" s="514">
        <v>4.67</v>
      </c>
    </row>
    <row r="12" spans="1:16" s="285" customFormat="1" ht="10.5" customHeight="1">
      <c r="A12" s="284" t="s">
        <v>1009</v>
      </c>
      <c r="B12" s="2056" t="s">
        <v>1048</v>
      </c>
      <c r="C12" s="2056"/>
      <c r="D12" s="628"/>
      <c r="E12" s="628"/>
      <c r="F12" s="628"/>
      <c r="G12" s="628"/>
      <c r="H12" s="628"/>
      <c r="I12" s="628"/>
      <c r="J12" s="628"/>
      <c r="K12" s="628"/>
      <c r="L12" s="25"/>
    </row>
    <row r="13" spans="1:16" s="45" customFormat="1" ht="10.5" customHeight="1">
      <c r="A13" s="575"/>
      <c r="B13" s="593" t="s">
        <v>1039</v>
      </c>
      <c r="C13" s="526" t="s">
        <v>1049</v>
      </c>
      <c r="D13" s="551" t="s">
        <v>603</v>
      </c>
      <c r="E13" s="551">
        <v>6.37</v>
      </c>
      <c r="F13" s="551" t="s">
        <v>603</v>
      </c>
      <c r="G13" s="594" t="s">
        <v>603</v>
      </c>
      <c r="H13" s="594" t="s">
        <v>603</v>
      </c>
      <c r="I13" s="594" t="s">
        <v>603</v>
      </c>
      <c r="J13" s="594">
        <v>2.75</v>
      </c>
      <c r="K13" s="594">
        <v>9.58</v>
      </c>
      <c r="L13" s="514" t="s">
        <v>603</v>
      </c>
    </row>
    <row r="14" spans="1:16" s="45" customFormat="1" ht="10.5" customHeight="1">
      <c r="A14" s="57"/>
      <c r="B14" s="188" t="s">
        <v>1041</v>
      </c>
      <c r="C14" s="12" t="s">
        <v>1050</v>
      </c>
      <c r="D14" s="19" t="s">
        <v>603</v>
      </c>
      <c r="E14" s="19">
        <v>6.37</v>
      </c>
      <c r="F14" s="19" t="s">
        <v>603</v>
      </c>
      <c r="G14" s="19" t="s">
        <v>603</v>
      </c>
      <c r="H14" s="19" t="s">
        <v>603</v>
      </c>
      <c r="I14" s="19">
        <v>10.34</v>
      </c>
      <c r="J14" s="189" t="s">
        <v>603</v>
      </c>
      <c r="K14" s="189" t="s">
        <v>603</v>
      </c>
      <c r="L14" s="37" t="s">
        <v>603</v>
      </c>
    </row>
    <row r="15" spans="1:16" s="45" customFormat="1" ht="10.5" customHeight="1">
      <c r="A15" s="575"/>
      <c r="B15" s="526" t="s">
        <v>1043</v>
      </c>
      <c r="C15" s="526" t="s">
        <v>376</v>
      </c>
      <c r="D15" s="551" t="s">
        <v>603</v>
      </c>
      <c r="E15" s="551">
        <v>6.37</v>
      </c>
      <c r="F15" s="551" t="s">
        <v>603</v>
      </c>
      <c r="G15" s="594" t="s">
        <v>603</v>
      </c>
      <c r="H15" s="551" t="s">
        <v>603</v>
      </c>
      <c r="I15" s="594" t="s">
        <v>603</v>
      </c>
      <c r="J15" s="594" t="s">
        <v>603</v>
      </c>
      <c r="K15" s="594" t="s">
        <v>603</v>
      </c>
      <c r="L15" s="514">
        <v>3.78</v>
      </c>
    </row>
    <row r="16" spans="1:16" s="45" customFormat="1" ht="10.5" customHeight="1">
      <c r="A16" s="57"/>
      <c r="B16" s="1902" t="s">
        <v>1602</v>
      </c>
      <c r="C16" s="1902"/>
      <c r="D16" s="19"/>
      <c r="E16" s="19"/>
      <c r="F16" s="19"/>
      <c r="G16" s="189"/>
      <c r="H16" s="19"/>
      <c r="I16" s="19"/>
      <c r="J16" s="189"/>
      <c r="K16" s="189"/>
      <c r="L16" s="39"/>
    </row>
    <row r="17" spans="1:12" s="45" customFormat="1" ht="10.5" customHeight="1">
      <c r="A17" s="575"/>
      <c r="B17" s="527" t="s">
        <v>640</v>
      </c>
      <c r="C17" s="526" t="s">
        <v>1040</v>
      </c>
      <c r="D17" s="551" t="s">
        <v>603</v>
      </c>
      <c r="E17" s="551">
        <v>6.37</v>
      </c>
      <c r="F17" s="551" t="s">
        <v>603</v>
      </c>
      <c r="G17" s="594" t="s">
        <v>603</v>
      </c>
      <c r="H17" s="594" t="s">
        <v>603</v>
      </c>
      <c r="I17" s="594" t="s">
        <v>603</v>
      </c>
      <c r="J17" s="594" t="s">
        <v>603</v>
      </c>
      <c r="K17" s="594" t="s">
        <v>603</v>
      </c>
      <c r="L17" s="524" t="s">
        <v>603</v>
      </c>
    </row>
    <row r="18" spans="1:12" s="45" customFormat="1" ht="10.5" customHeight="1">
      <c r="A18" s="57"/>
      <c r="B18" s="111" t="s">
        <v>864</v>
      </c>
      <c r="C18" s="12" t="s">
        <v>162</v>
      </c>
      <c r="D18" s="19">
        <v>7.11</v>
      </c>
      <c r="E18" s="19">
        <v>6.37</v>
      </c>
      <c r="F18" s="19" t="s">
        <v>603</v>
      </c>
      <c r="G18" s="189" t="s">
        <v>603</v>
      </c>
      <c r="H18" s="189" t="s">
        <v>603</v>
      </c>
      <c r="I18" s="189" t="s">
        <v>603</v>
      </c>
      <c r="J18" s="189" t="s">
        <v>603</v>
      </c>
      <c r="K18" s="189" t="s">
        <v>603</v>
      </c>
      <c r="L18" s="39" t="s">
        <v>603</v>
      </c>
    </row>
    <row r="19" spans="1:12" s="45" customFormat="1" ht="10.5" customHeight="1">
      <c r="A19" s="575"/>
      <c r="B19" s="527" t="s">
        <v>612</v>
      </c>
      <c r="C19" s="526" t="s">
        <v>163</v>
      </c>
      <c r="D19" s="551">
        <v>7.94</v>
      </c>
      <c r="E19" s="551">
        <v>6.37</v>
      </c>
      <c r="F19" s="551" t="s">
        <v>603</v>
      </c>
      <c r="G19" s="594" t="s">
        <v>603</v>
      </c>
      <c r="H19" s="594" t="s">
        <v>603</v>
      </c>
      <c r="I19" s="594" t="s">
        <v>603</v>
      </c>
      <c r="J19" s="594" t="s">
        <v>603</v>
      </c>
      <c r="K19" s="594" t="s">
        <v>603</v>
      </c>
      <c r="L19" s="524" t="s">
        <v>603</v>
      </c>
    </row>
    <row r="20" spans="1:12" s="45" customFormat="1" ht="10.5" customHeight="1">
      <c r="A20" s="57"/>
      <c r="B20" s="108" t="s">
        <v>723</v>
      </c>
      <c r="C20" s="108" t="s">
        <v>724</v>
      </c>
      <c r="D20" s="19"/>
      <c r="E20" s="19"/>
      <c r="F20" s="19"/>
      <c r="G20" s="189"/>
      <c r="H20" s="10"/>
      <c r="I20" s="10"/>
      <c r="J20" s="189"/>
      <c r="K20" s="189"/>
      <c r="L20" s="39"/>
    </row>
    <row r="21" spans="1:12" s="45" customFormat="1" ht="10.5" customHeight="1">
      <c r="A21" s="575"/>
      <c r="B21" s="527" t="s">
        <v>640</v>
      </c>
      <c r="C21" s="526" t="s">
        <v>164</v>
      </c>
      <c r="D21" s="551" t="s">
        <v>603</v>
      </c>
      <c r="E21" s="551">
        <v>6.37</v>
      </c>
      <c r="F21" s="551">
        <v>8</v>
      </c>
      <c r="G21" s="594" t="s">
        <v>603</v>
      </c>
      <c r="H21" s="594">
        <v>7.88</v>
      </c>
      <c r="I21" s="594">
        <v>12.1</v>
      </c>
      <c r="J21" s="594" t="s">
        <v>603</v>
      </c>
      <c r="K21" s="594" t="s">
        <v>603</v>
      </c>
      <c r="L21" s="514">
        <v>12.03</v>
      </c>
    </row>
    <row r="22" spans="1:12" s="45" customFormat="1" ht="10.5" customHeight="1">
      <c r="A22" s="57"/>
      <c r="B22" s="111" t="s">
        <v>864</v>
      </c>
      <c r="C22" s="12" t="s">
        <v>165</v>
      </c>
      <c r="D22" s="19" t="s">
        <v>603</v>
      </c>
      <c r="E22" s="19">
        <v>6.37</v>
      </c>
      <c r="F22" s="19" t="s">
        <v>603</v>
      </c>
      <c r="G22" s="189" t="s">
        <v>603</v>
      </c>
      <c r="H22" s="189">
        <v>7.95</v>
      </c>
      <c r="I22" s="189" t="s">
        <v>603</v>
      </c>
      <c r="J22" s="189" t="s">
        <v>603</v>
      </c>
      <c r="K22" s="189" t="s">
        <v>603</v>
      </c>
      <c r="L22" s="37">
        <v>12.41</v>
      </c>
    </row>
    <row r="23" spans="1:12" s="45" customFormat="1" ht="10.5" customHeight="1">
      <c r="A23" s="575"/>
      <c r="B23" s="526" t="s">
        <v>725</v>
      </c>
      <c r="C23" s="552" t="s">
        <v>726</v>
      </c>
      <c r="D23" s="551"/>
      <c r="E23" s="551"/>
      <c r="F23" s="551"/>
      <c r="G23" s="594"/>
      <c r="H23" s="594"/>
      <c r="I23" s="594"/>
      <c r="J23" s="594"/>
      <c r="K23" s="594"/>
      <c r="L23" s="524"/>
    </row>
    <row r="24" spans="1:12" s="45" customFormat="1" ht="10.5" customHeight="1">
      <c r="A24" s="57"/>
      <c r="B24" s="111" t="s">
        <v>715</v>
      </c>
      <c r="C24" s="108" t="s">
        <v>714</v>
      </c>
      <c r="D24" s="19" t="s">
        <v>603</v>
      </c>
      <c r="E24" s="19">
        <v>6.37</v>
      </c>
      <c r="F24" s="19">
        <v>8</v>
      </c>
      <c r="G24" s="189" t="s">
        <v>603</v>
      </c>
      <c r="H24" s="189">
        <v>8.0299999999999994</v>
      </c>
      <c r="I24" s="189">
        <v>10.99</v>
      </c>
      <c r="J24" s="189" t="s">
        <v>603</v>
      </c>
      <c r="K24" s="189">
        <v>9.0399999999999991</v>
      </c>
      <c r="L24" s="37">
        <v>10.69</v>
      </c>
    </row>
    <row r="25" spans="1:12" s="45" customFormat="1" ht="10.5" customHeight="1">
      <c r="A25" s="575"/>
      <c r="B25" s="527" t="s">
        <v>716</v>
      </c>
      <c r="C25" s="552" t="s">
        <v>717</v>
      </c>
      <c r="D25" s="551" t="s">
        <v>603</v>
      </c>
      <c r="E25" s="551">
        <v>6.37</v>
      </c>
      <c r="F25" s="551">
        <v>8</v>
      </c>
      <c r="G25" s="594" t="s">
        <v>603</v>
      </c>
      <c r="H25" s="594">
        <v>8.11</v>
      </c>
      <c r="I25" s="594" t="s">
        <v>603</v>
      </c>
      <c r="J25" s="594" t="s">
        <v>603</v>
      </c>
      <c r="K25" s="594">
        <v>9.11</v>
      </c>
      <c r="L25" s="524" t="s">
        <v>603</v>
      </c>
    </row>
    <row r="26" spans="1:12" s="45" customFormat="1" ht="10.5" customHeight="1">
      <c r="A26" s="57"/>
      <c r="B26" s="111" t="s">
        <v>610</v>
      </c>
      <c r="C26" s="108" t="s">
        <v>718</v>
      </c>
      <c r="D26" s="19" t="s">
        <v>603</v>
      </c>
      <c r="E26" s="19">
        <v>6.37</v>
      </c>
      <c r="F26" s="19" t="s">
        <v>603</v>
      </c>
      <c r="G26" s="189" t="s">
        <v>603</v>
      </c>
      <c r="H26" s="189">
        <v>8.18</v>
      </c>
      <c r="I26" s="189" t="s">
        <v>603</v>
      </c>
      <c r="J26" s="189" t="s">
        <v>603</v>
      </c>
      <c r="K26" s="189" t="s">
        <v>603</v>
      </c>
      <c r="L26" s="39" t="s">
        <v>603</v>
      </c>
    </row>
    <row r="27" spans="1:12" s="45" customFormat="1" ht="10.5" customHeight="1">
      <c r="A27" s="575"/>
      <c r="B27" s="527" t="s">
        <v>611</v>
      </c>
      <c r="C27" s="552" t="s">
        <v>719</v>
      </c>
      <c r="D27" s="551" t="s">
        <v>603</v>
      </c>
      <c r="E27" s="551">
        <v>6.37</v>
      </c>
      <c r="F27" s="551" t="s">
        <v>603</v>
      </c>
      <c r="G27" s="594" t="s">
        <v>603</v>
      </c>
      <c r="H27" s="594">
        <v>8.34</v>
      </c>
      <c r="I27" s="594" t="s">
        <v>603</v>
      </c>
      <c r="J27" s="594" t="s">
        <v>603</v>
      </c>
      <c r="K27" s="594" t="s">
        <v>603</v>
      </c>
      <c r="L27" s="524" t="s">
        <v>603</v>
      </c>
    </row>
    <row r="28" spans="1:12" s="45" customFormat="1" ht="10.5" customHeight="1">
      <c r="A28" s="57"/>
      <c r="B28" s="12" t="s">
        <v>712</v>
      </c>
      <c r="C28" s="23" t="s">
        <v>713</v>
      </c>
      <c r="D28" s="19"/>
      <c r="E28" s="19"/>
      <c r="F28" s="19"/>
      <c r="G28" s="189"/>
      <c r="H28" s="189"/>
      <c r="I28" s="189"/>
      <c r="J28" s="19"/>
      <c r="K28" s="19"/>
      <c r="L28" s="39"/>
    </row>
    <row r="29" spans="1:12" s="400" customFormat="1" ht="10.5" customHeight="1">
      <c r="A29" s="575"/>
      <c r="B29" s="527" t="s">
        <v>715</v>
      </c>
      <c r="C29" s="552" t="s">
        <v>162</v>
      </c>
      <c r="D29" s="551">
        <v>6.98</v>
      </c>
      <c r="E29" s="551">
        <v>6.37</v>
      </c>
      <c r="F29" s="551">
        <v>8</v>
      </c>
      <c r="G29" s="594" t="s">
        <v>603</v>
      </c>
      <c r="H29" s="594">
        <v>7.8</v>
      </c>
      <c r="I29" s="594" t="s">
        <v>603</v>
      </c>
      <c r="J29" s="551" t="s">
        <v>603</v>
      </c>
      <c r="K29" s="551">
        <v>8.84</v>
      </c>
      <c r="L29" s="514" t="s">
        <v>603</v>
      </c>
    </row>
    <row r="30" spans="1:12" s="400" customFormat="1" ht="10.5" customHeight="1">
      <c r="A30" s="456"/>
      <c r="B30" s="429" t="s">
        <v>609</v>
      </c>
      <c r="C30" s="447" t="s">
        <v>163</v>
      </c>
      <c r="D30" s="20" t="s">
        <v>603</v>
      </c>
      <c r="E30" s="20">
        <v>6.37</v>
      </c>
      <c r="F30" s="20" t="s">
        <v>603</v>
      </c>
      <c r="G30" s="620" t="s">
        <v>603</v>
      </c>
      <c r="H30" s="620">
        <v>7.88</v>
      </c>
      <c r="I30" s="620" t="s">
        <v>603</v>
      </c>
      <c r="J30" s="20" t="s">
        <v>603</v>
      </c>
      <c r="K30" s="20">
        <v>8.64</v>
      </c>
      <c r="L30" s="760" t="s">
        <v>603</v>
      </c>
    </row>
    <row r="31" spans="1:12" s="400" customFormat="1" ht="10.5" customHeight="1">
      <c r="A31" s="575"/>
      <c r="B31" s="527" t="s">
        <v>610</v>
      </c>
      <c r="C31" s="552" t="s">
        <v>720</v>
      </c>
      <c r="D31" s="551">
        <v>7.94</v>
      </c>
      <c r="E31" s="551">
        <v>6.37</v>
      </c>
      <c r="F31" s="551">
        <v>8</v>
      </c>
      <c r="G31" s="594" t="s">
        <v>603</v>
      </c>
      <c r="H31" s="594">
        <v>7.95</v>
      </c>
      <c r="I31" s="594">
        <v>10.06</v>
      </c>
      <c r="J31" s="551" t="s">
        <v>603</v>
      </c>
      <c r="K31" s="551">
        <v>8.64</v>
      </c>
      <c r="L31" s="514">
        <v>10.76</v>
      </c>
    </row>
    <row r="32" spans="1:12" s="400" customFormat="1" ht="10.5" customHeight="1">
      <c r="A32" s="456"/>
      <c r="B32" s="429" t="s">
        <v>611</v>
      </c>
      <c r="C32" s="447" t="s">
        <v>714</v>
      </c>
      <c r="D32" s="20" t="s">
        <v>603</v>
      </c>
      <c r="E32" s="20">
        <v>6.37</v>
      </c>
      <c r="F32" s="20" t="s">
        <v>603</v>
      </c>
      <c r="G32" s="620" t="s">
        <v>603</v>
      </c>
      <c r="H32" s="620" t="s">
        <v>603</v>
      </c>
      <c r="I32" s="620" t="s">
        <v>603</v>
      </c>
      <c r="J32" s="20" t="s">
        <v>603</v>
      </c>
      <c r="K32" s="20">
        <v>8.57</v>
      </c>
      <c r="L32" s="760" t="s">
        <v>603</v>
      </c>
    </row>
    <row r="33" spans="1:12" s="400" customFormat="1" ht="10.5" customHeight="1">
      <c r="A33" s="575"/>
      <c r="B33" s="593" t="s">
        <v>722</v>
      </c>
      <c r="C33" s="552" t="s">
        <v>1332</v>
      </c>
      <c r="D33" s="551" t="s">
        <v>603</v>
      </c>
      <c r="E33" s="551" t="s">
        <v>603</v>
      </c>
      <c r="F33" s="551">
        <v>8</v>
      </c>
      <c r="G33" s="551">
        <v>6.5</v>
      </c>
      <c r="H33" s="551" t="s">
        <v>603</v>
      </c>
      <c r="I33" s="594" t="s">
        <v>603</v>
      </c>
      <c r="J33" s="551" t="s">
        <v>603</v>
      </c>
      <c r="K33" s="551">
        <v>7.69</v>
      </c>
      <c r="L33" s="524">
        <v>10.48</v>
      </c>
    </row>
    <row r="34" spans="1:12" s="400" customFormat="1" ht="10.5" customHeight="1">
      <c r="A34" s="456"/>
      <c r="B34" s="427" t="s">
        <v>640</v>
      </c>
      <c r="C34" s="427" t="s">
        <v>166</v>
      </c>
      <c r="D34" s="20" t="s">
        <v>603</v>
      </c>
      <c r="E34" s="20" t="s">
        <v>603</v>
      </c>
      <c r="F34" s="20" t="s">
        <v>603</v>
      </c>
      <c r="G34" s="20" t="s">
        <v>603</v>
      </c>
      <c r="H34" s="20" t="s">
        <v>603</v>
      </c>
      <c r="I34" s="20" t="s">
        <v>603</v>
      </c>
      <c r="J34" s="20" t="s">
        <v>603</v>
      </c>
      <c r="K34" s="20" t="s">
        <v>603</v>
      </c>
      <c r="L34" s="310" t="s">
        <v>603</v>
      </c>
    </row>
    <row r="35" spans="1:12" s="400" customFormat="1" ht="10.5" customHeight="1">
      <c r="A35" s="575"/>
      <c r="B35" s="526" t="s">
        <v>641</v>
      </c>
      <c r="C35" s="526" t="s">
        <v>167</v>
      </c>
      <c r="D35" s="551" t="s">
        <v>603</v>
      </c>
      <c r="E35" s="551" t="s">
        <v>603</v>
      </c>
      <c r="F35" s="551" t="s">
        <v>603</v>
      </c>
      <c r="G35" s="551" t="s">
        <v>603</v>
      </c>
      <c r="H35" s="551" t="s">
        <v>603</v>
      </c>
      <c r="I35" s="551" t="s">
        <v>603</v>
      </c>
      <c r="J35" s="551">
        <v>4</v>
      </c>
      <c r="K35" s="551">
        <v>8.3000000000000007</v>
      </c>
      <c r="L35" s="524" t="s">
        <v>603</v>
      </c>
    </row>
    <row r="36" spans="1:12" s="400" customFormat="1" ht="10.5" customHeight="1">
      <c r="A36" s="456"/>
      <c r="B36" s="427" t="s">
        <v>642</v>
      </c>
      <c r="C36" s="427" t="s">
        <v>168</v>
      </c>
      <c r="D36" s="20" t="s">
        <v>603</v>
      </c>
      <c r="E36" s="20" t="s">
        <v>603</v>
      </c>
      <c r="F36" s="20" t="s">
        <v>603</v>
      </c>
      <c r="G36" s="20" t="s">
        <v>603</v>
      </c>
      <c r="H36" s="20" t="s">
        <v>603</v>
      </c>
      <c r="I36" s="20" t="s">
        <v>603</v>
      </c>
      <c r="J36" s="20" t="s">
        <v>603</v>
      </c>
      <c r="K36" s="20">
        <v>7.89</v>
      </c>
      <c r="L36" s="310" t="s">
        <v>603</v>
      </c>
    </row>
    <row r="37" spans="1:12" s="400" customFormat="1" ht="10.5" customHeight="1">
      <c r="A37" s="575"/>
      <c r="B37" s="526" t="s">
        <v>643</v>
      </c>
      <c r="C37" s="526" t="s">
        <v>169</v>
      </c>
      <c r="D37" s="551" t="s">
        <v>603</v>
      </c>
      <c r="E37" s="551" t="s">
        <v>603</v>
      </c>
      <c r="F37" s="551" t="s">
        <v>603</v>
      </c>
      <c r="G37" s="551" t="s">
        <v>603</v>
      </c>
      <c r="H37" s="551" t="s">
        <v>603</v>
      </c>
      <c r="I37" s="551" t="s">
        <v>603</v>
      </c>
      <c r="J37" s="551" t="s">
        <v>603</v>
      </c>
      <c r="K37" s="551" t="s">
        <v>603</v>
      </c>
      <c r="L37" s="524" t="s">
        <v>603</v>
      </c>
    </row>
    <row r="38" spans="1:12" s="400" customFormat="1" ht="10.5" customHeight="1">
      <c r="A38" s="456"/>
      <c r="B38" s="427" t="s">
        <v>644</v>
      </c>
      <c r="C38" s="427" t="s">
        <v>170</v>
      </c>
      <c r="D38" s="20" t="s">
        <v>603</v>
      </c>
      <c r="E38" s="20">
        <v>6.37</v>
      </c>
      <c r="F38" s="20">
        <v>8</v>
      </c>
      <c r="G38" s="20" t="s">
        <v>603</v>
      </c>
      <c r="H38" s="20" t="s">
        <v>603</v>
      </c>
      <c r="I38" s="20">
        <v>10.39</v>
      </c>
      <c r="J38" s="20" t="s">
        <v>603</v>
      </c>
      <c r="K38" s="20">
        <v>9.24</v>
      </c>
      <c r="L38" s="310" t="s">
        <v>603</v>
      </c>
    </row>
    <row r="39" spans="1:12" s="400" customFormat="1" ht="10.5" customHeight="1">
      <c r="A39" s="575"/>
      <c r="B39" s="526" t="s">
        <v>645</v>
      </c>
      <c r="C39" s="526" t="s">
        <v>171</v>
      </c>
      <c r="D39" s="551" t="s">
        <v>603</v>
      </c>
      <c r="E39" s="551" t="s">
        <v>603</v>
      </c>
      <c r="F39" s="551" t="s">
        <v>603</v>
      </c>
      <c r="G39" s="551">
        <v>5</v>
      </c>
      <c r="H39" s="551" t="s">
        <v>603</v>
      </c>
      <c r="I39" s="551" t="s">
        <v>603</v>
      </c>
      <c r="J39" s="551" t="s">
        <v>603</v>
      </c>
      <c r="K39" s="551" t="s">
        <v>603</v>
      </c>
      <c r="L39" s="524" t="s">
        <v>603</v>
      </c>
    </row>
    <row r="40" spans="1:12" s="400" customFormat="1" ht="10.5" customHeight="1">
      <c r="A40" s="456"/>
      <c r="B40" s="427" t="s">
        <v>646</v>
      </c>
      <c r="C40" s="427" t="s">
        <v>172</v>
      </c>
      <c r="D40" s="20" t="s">
        <v>603</v>
      </c>
      <c r="E40" s="20" t="s">
        <v>603</v>
      </c>
      <c r="F40" s="20">
        <v>8</v>
      </c>
      <c r="G40" s="20">
        <v>6.5</v>
      </c>
      <c r="H40" s="20">
        <v>6.18</v>
      </c>
      <c r="I40" s="20" t="s">
        <v>603</v>
      </c>
      <c r="J40" s="20" t="s">
        <v>603</v>
      </c>
      <c r="K40" s="20">
        <v>9.0399999999999991</v>
      </c>
      <c r="L40" s="310" t="s">
        <v>603</v>
      </c>
    </row>
    <row r="41" spans="1:12" s="400" customFormat="1" ht="10.5" customHeight="1">
      <c r="A41" s="575"/>
      <c r="B41" s="526" t="s">
        <v>647</v>
      </c>
      <c r="C41" s="526" t="s">
        <v>173</v>
      </c>
      <c r="D41" s="551" t="s">
        <v>603</v>
      </c>
      <c r="E41" s="551" t="s">
        <v>603</v>
      </c>
      <c r="F41" s="551">
        <v>5.5</v>
      </c>
      <c r="G41" s="551">
        <v>6.5</v>
      </c>
      <c r="H41" s="551" t="s">
        <v>603</v>
      </c>
      <c r="I41" s="551" t="s">
        <v>603</v>
      </c>
      <c r="J41" s="551">
        <v>4</v>
      </c>
      <c r="K41" s="551" t="s">
        <v>603</v>
      </c>
      <c r="L41" s="524" t="s">
        <v>603</v>
      </c>
    </row>
    <row r="42" spans="1:12" s="400" customFormat="1" ht="10.5" customHeight="1">
      <c r="A42" s="456"/>
      <c r="B42" s="427" t="s">
        <v>842</v>
      </c>
      <c r="C42" s="427" t="s">
        <v>843</v>
      </c>
      <c r="D42" s="20">
        <v>7.94</v>
      </c>
      <c r="E42" s="20">
        <v>6.37</v>
      </c>
      <c r="F42" s="20">
        <v>8</v>
      </c>
      <c r="G42" s="20" t="s">
        <v>603</v>
      </c>
      <c r="H42" s="20" t="s">
        <v>603</v>
      </c>
      <c r="I42" s="20">
        <v>10.08</v>
      </c>
      <c r="J42" s="20" t="s">
        <v>603</v>
      </c>
      <c r="K42" s="20">
        <v>8.64</v>
      </c>
      <c r="L42" s="310" t="s">
        <v>603</v>
      </c>
    </row>
    <row r="43" spans="1:12" s="400" customFormat="1" ht="10.5" customHeight="1">
      <c r="A43" s="575"/>
      <c r="B43" s="526" t="s">
        <v>844</v>
      </c>
      <c r="C43" s="526" t="s">
        <v>846</v>
      </c>
      <c r="D43" s="551">
        <v>6.98</v>
      </c>
      <c r="E43" s="551">
        <v>6.37</v>
      </c>
      <c r="F43" s="551">
        <v>8</v>
      </c>
      <c r="G43" s="551" t="s">
        <v>603</v>
      </c>
      <c r="H43" s="551" t="s">
        <v>603</v>
      </c>
      <c r="I43" s="551">
        <v>9.7100000000000009</v>
      </c>
      <c r="J43" s="551" t="s">
        <v>603</v>
      </c>
      <c r="K43" s="551">
        <v>8.84</v>
      </c>
      <c r="L43" s="524" t="s">
        <v>603</v>
      </c>
    </row>
    <row r="44" spans="1:12" s="400" customFormat="1" ht="10.5" customHeight="1">
      <c r="A44" s="456"/>
      <c r="B44" s="761" t="s">
        <v>847</v>
      </c>
      <c r="C44" s="442" t="s">
        <v>1333</v>
      </c>
      <c r="D44" s="620">
        <v>7.65</v>
      </c>
      <c r="E44" s="620">
        <v>6.37</v>
      </c>
      <c r="F44" s="620" t="s">
        <v>603</v>
      </c>
      <c r="G44" s="620" t="s">
        <v>603</v>
      </c>
      <c r="H44" s="620" t="s">
        <v>603</v>
      </c>
      <c r="I44" s="620">
        <v>11.22</v>
      </c>
      <c r="J44" s="620" t="s">
        <v>603</v>
      </c>
      <c r="K44" s="620">
        <v>7.76</v>
      </c>
      <c r="L44" s="310" t="s">
        <v>603</v>
      </c>
    </row>
    <row r="45" spans="1:12" s="400" customFormat="1" ht="10.5" customHeight="1">
      <c r="A45" s="575"/>
      <c r="B45" s="592" t="s">
        <v>848</v>
      </c>
      <c r="C45" s="572" t="s">
        <v>1334</v>
      </c>
      <c r="D45" s="594">
        <v>6.98</v>
      </c>
      <c r="E45" s="594">
        <v>6.37</v>
      </c>
      <c r="F45" s="594">
        <v>8</v>
      </c>
      <c r="G45" s="594">
        <v>7</v>
      </c>
      <c r="H45" s="594" t="s">
        <v>603</v>
      </c>
      <c r="I45" s="594" t="s">
        <v>603</v>
      </c>
      <c r="J45" s="594" t="s">
        <v>603</v>
      </c>
      <c r="K45" s="594">
        <v>7.76</v>
      </c>
      <c r="L45" s="524">
        <v>12.04</v>
      </c>
    </row>
    <row r="46" spans="1:12" s="400" customFormat="1" ht="10.5" customHeight="1">
      <c r="A46" s="456"/>
      <c r="B46" s="619" t="s">
        <v>582</v>
      </c>
      <c r="C46" s="829" t="s">
        <v>583</v>
      </c>
      <c r="D46" s="830" t="s">
        <v>603</v>
      </c>
      <c r="E46" s="830">
        <v>6.37</v>
      </c>
      <c r="F46" s="830">
        <v>8</v>
      </c>
      <c r="G46" s="830" t="s">
        <v>603</v>
      </c>
      <c r="H46" s="830" t="s">
        <v>603</v>
      </c>
      <c r="I46" s="830">
        <v>9.9499999999999993</v>
      </c>
      <c r="J46" s="830" t="s">
        <v>603</v>
      </c>
      <c r="K46" s="830" t="s">
        <v>603</v>
      </c>
      <c r="L46" s="831">
        <v>10.55</v>
      </c>
    </row>
    <row r="47" spans="1:12" s="469" customFormat="1" ht="10.5" customHeight="1">
      <c r="A47" s="591" t="s">
        <v>1010</v>
      </c>
      <c r="B47" s="2054" t="s">
        <v>104</v>
      </c>
      <c r="C47" s="2054"/>
      <c r="D47" s="551">
        <v>3.17</v>
      </c>
      <c r="E47" s="551">
        <v>2.77</v>
      </c>
      <c r="F47" s="551" t="s">
        <v>603</v>
      </c>
      <c r="G47" s="551">
        <v>4</v>
      </c>
      <c r="H47" s="551">
        <v>2.93</v>
      </c>
      <c r="I47" s="551">
        <v>4.5999999999999996</v>
      </c>
      <c r="J47" s="551">
        <v>3.5</v>
      </c>
      <c r="K47" s="551">
        <v>4.18</v>
      </c>
      <c r="L47" s="514" t="s">
        <v>603</v>
      </c>
    </row>
    <row r="48" spans="1:12" s="400" customFormat="1" ht="10.5" customHeight="1">
      <c r="A48" s="762" t="s">
        <v>1011</v>
      </c>
      <c r="B48" s="2055" t="s">
        <v>105</v>
      </c>
      <c r="C48" s="2055"/>
      <c r="D48" s="20"/>
      <c r="E48" s="20"/>
      <c r="F48" s="20"/>
      <c r="G48" s="20"/>
      <c r="H48" s="20"/>
      <c r="I48" s="20"/>
      <c r="J48" s="20"/>
      <c r="K48" s="20"/>
      <c r="L48" s="310"/>
    </row>
    <row r="49" spans="1:12" s="400" customFormat="1" ht="10.5" customHeight="1">
      <c r="A49" s="575"/>
      <c r="B49" s="526" t="s">
        <v>1039</v>
      </c>
      <c r="C49" s="526" t="s">
        <v>377</v>
      </c>
      <c r="D49" s="551"/>
      <c r="E49" s="551"/>
      <c r="F49" s="594"/>
      <c r="G49" s="551"/>
      <c r="H49" s="551"/>
      <c r="I49" s="551"/>
      <c r="J49" s="551"/>
      <c r="K49" s="551"/>
      <c r="L49" s="524"/>
    </row>
    <row r="50" spans="1:12" s="400" customFormat="1" ht="10.5" customHeight="1">
      <c r="A50" s="456"/>
      <c r="B50" s="427"/>
      <c r="C50" s="427" t="s">
        <v>729</v>
      </c>
      <c r="D50" s="20">
        <v>7.94</v>
      </c>
      <c r="E50" s="20">
        <v>6.37</v>
      </c>
      <c r="F50" s="620">
        <v>8.25</v>
      </c>
      <c r="G50" s="20">
        <v>6.5</v>
      </c>
      <c r="H50" s="20">
        <v>7.18</v>
      </c>
      <c r="I50" s="20" t="s">
        <v>603</v>
      </c>
      <c r="J50" s="20" t="s">
        <v>603</v>
      </c>
      <c r="K50" s="20" t="s">
        <v>603</v>
      </c>
      <c r="L50" s="310">
        <v>11.23</v>
      </c>
    </row>
    <row r="51" spans="1:12" s="400" customFormat="1" ht="10.5" customHeight="1">
      <c r="A51" s="575"/>
      <c r="B51" s="526"/>
      <c r="C51" s="526" t="s">
        <v>727</v>
      </c>
      <c r="D51" s="551">
        <v>8.25</v>
      </c>
      <c r="E51" s="551">
        <v>6.37</v>
      </c>
      <c r="F51" s="594" t="s">
        <v>603</v>
      </c>
      <c r="G51" s="551" t="s">
        <v>603</v>
      </c>
      <c r="H51" s="551">
        <v>7.72</v>
      </c>
      <c r="I51" s="551" t="s">
        <v>603</v>
      </c>
      <c r="J51" s="551" t="s">
        <v>603</v>
      </c>
      <c r="K51" s="551" t="s">
        <v>603</v>
      </c>
      <c r="L51" s="524" t="s">
        <v>603</v>
      </c>
    </row>
    <row r="52" spans="1:12" s="400" customFormat="1" ht="10.5" customHeight="1">
      <c r="A52" s="456"/>
      <c r="B52" s="427"/>
      <c r="C52" s="427" t="s">
        <v>728</v>
      </c>
      <c r="D52" s="20" t="s">
        <v>603</v>
      </c>
      <c r="E52" s="20">
        <v>6.37</v>
      </c>
      <c r="F52" s="620" t="s">
        <v>603</v>
      </c>
      <c r="G52" s="20" t="s">
        <v>603</v>
      </c>
      <c r="H52" s="20" t="s">
        <v>603</v>
      </c>
      <c r="I52" s="20" t="s">
        <v>603</v>
      </c>
      <c r="J52" s="20" t="s">
        <v>603</v>
      </c>
      <c r="K52" s="20" t="s">
        <v>603</v>
      </c>
      <c r="L52" s="310" t="s">
        <v>603</v>
      </c>
    </row>
    <row r="53" spans="1:12" s="400" customFormat="1" ht="10.5" customHeight="1">
      <c r="A53" s="575"/>
      <c r="B53" s="593" t="s">
        <v>1041</v>
      </c>
      <c r="C53" s="526" t="s">
        <v>730</v>
      </c>
      <c r="D53" s="551" t="s">
        <v>603</v>
      </c>
      <c r="E53" s="551">
        <v>6.37</v>
      </c>
      <c r="F53" s="551" t="s">
        <v>603</v>
      </c>
      <c r="G53" s="551" t="s">
        <v>603</v>
      </c>
      <c r="H53" s="551" t="s">
        <v>603</v>
      </c>
      <c r="I53" s="551">
        <v>10.210000000000001</v>
      </c>
      <c r="J53" s="551" t="s">
        <v>603</v>
      </c>
      <c r="K53" s="551">
        <v>7.42</v>
      </c>
      <c r="L53" s="524" t="s">
        <v>603</v>
      </c>
    </row>
    <row r="54" spans="1:12" s="832" customFormat="1" ht="15" customHeight="1" thickBot="1">
      <c r="A54" s="827"/>
      <c r="B54" s="809" t="s">
        <v>1043</v>
      </c>
      <c r="C54" s="809" t="s">
        <v>106</v>
      </c>
      <c r="D54" s="828">
        <v>8.57</v>
      </c>
      <c r="E54" s="828">
        <v>6.37</v>
      </c>
      <c r="F54" s="828">
        <v>8.25</v>
      </c>
      <c r="G54" s="828" t="s">
        <v>603</v>
      </c>
      <c r="H54" s="828">
        <v>7.95</v>
      </c>
      <c r="I54" s="828" t="s">
        <v>603</v>
      </c>
      <c r="J54" s="828" t="s">
        <v>603</v>
      </c>
      <c r="K54" s="828">
        <v>8.0299999999999994</v>
      </c>
      <c r="L54" s="801">
        <v>3.92</v>
      </c>
    </row>
    <row r="55" spans="1:12" s="45" customFormat="1" ht="9.75" customHeight="1">
      <c r="A55" s="1921" t="s">
        <v>2522</v>
      </c>
      <c r="B55" s="1922"/>
      <c r="C55" s="1922"/>
      <c r="D55" s="1922"/>
      <c r="E55" s="168"/>
      <c r="F55" s="168"/>
      <c r="G55" s="168"/>
      <c r="H55" s="168"/>
      <c r="I55" s="168"/>
      <c r="J55" s="168"/>
      <c r="K55" s="168"/>
    </row>
    <row r="56" spans="1:12" s="10" customFormat="1" ht="9" customHeight="1">
      <c r="A56" s="11"/>
      <c r="C56" s="85" t="s">
        <v>731</v>
      </c>
      <c r="D56" s="36"/>
      <c r="E56" s="36"/>
      <c r="F56" s="36"/>
      <c r="G56" s="36"/>
      <c r="H56" s="36"/>
      <c r="I56" s="36"/>
      <c r="J56" s="36"/>
      <c r="K56" s="36"/>
    </row>
  </sheetData>
  <mergeCells count="11">
    <mergeCell ref="B16:C16"/>
    <mergeCell ref="B47:C47"/>
    <mergeCell ref="B48:C48"/>
    <mergeCell ref="A55:D55"/>
    <mergeCell ref="B1:J1"/>
    <mergeCell ref="B12:C12"/>
    <mergeCell ref="K1:L1"/>
    <mergeCell ref="J2:L2"/>
    <mergeCell ref="A3:C3"/>
    <mergeCell ref="B4:C4"/>
    <mergeCell ref="B5:C5"/>
  </mergeCells>
  <pageMargins left="0.31496062992126" right="0.31496062992126" top="0.35433070866141703" bottom="0.15748031496063" header="0" footer="0.39370078740157499"/>
  <pageSetup paperSize="151" firstPageNumber="74" orientation="portrait" useFirstPageNumber="1" r:id="rId1"/>
  <headerFooter>
    <oddFooter>&amp;C&amp;"Times New Roman,Regular"&amp;8&amp;P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1"/>
  <dimension ref="A1:AM53"/>
  <sheetViews>
    <sheetView zoomScale="130" zoomScaleNormal="130" workbookViewId="0">
      <pane xSplit="1" ySplit="5" topLeftCell="B39" activePane="bottomRight" state="frozen"/>
      <selection pane="topRight" activeCell="B1" sqref="B1"/>
      <selection pane="bottomLeft" activeCell="A6" sqref="A6"/>
      <selection pane="bottomRight" activeCell="A6" sqref="A6:XFD43"/>
    </sheetView>
  </sheetViews>
  <sheetFormatPr defaultColWidth="9.140625" defaultRowHeight="11.25"/>
  <cols>
    <col min="1" max="1" width="7.7109375" style="24" customWidth="1"/>
    <col min="2" max="2" width="5.7109375" style="10" customWidth="1"/>
    <col min="3" max="3" width="6.28515625" style="10" customWidth="1"/>
    <col min="4" max="4" width="5.28515625" style="10" customWidth="1"/>
    <col min="5" max="5" width="5.5703125" style="10" customWidth="1"/>
    <col min="6" max="7" width="6" style="10" customWidth="1"/>
    <col min="8" max="8" width="5.85546875" style="10" customWidth="1"/>
    <col min="9" max="9" width="6" style="10" customWidth="1"/>
    <col min="10" max="10" width="5.5703125" style="10" customWidth="1"/>
    <col min="11" max="11" width="6" style="10" customWidth="1"/>
    <col min="12" max="12" width="7.5703125" style="10" customWidth="1"/>
    <col min="13" max="13" width="5.28515625" style="10" customWidth="1"/>
    <col min="14" max="14" width="8" style="24" customWidth="1"/>
    <col min="15" max="15" width="5.42578125" style="10" customWidth="1"/>
    <col min="16" max="16" width="6.140625" style="10" customWidth="1"/>
    <col min="17" max="17" width="5.28515625" style="10" customWidth="1"/>
    <col min="18" max="18" width="5.7109375" style="10" customWidth="1"/>
    <col min="19" max="19" width="6.140625" style="10" customWidth="1"/>
    <col min="20" max="20" width="5.5703125" style="10" customWidth="1"/>
    <col min="21" max="21" width="5.42578125" style="10" customWidth="1"/>
    <col min="22" max="22" width="6.5703125" style="10" customWidth="1"/>
    <col min="23" max="23" width="5.85546875" style="10" customWidth="1"/>
    <col min="24" max="24" width="6" style="10" customWidth="1"/>
    <col min="25" max="25" width="6.42578125" style="10" customWidth="1"/>
    <col min="26" max="26" width="6" style="10" customWidth="1"/>
    <col min="27" max="27" width="7.85546875" style="24" customWidth="1"/>
    <col min="28" max="29" width="6" style="10" customWidth="1"/>
    <col min="30" max="30" width="5.7109375" style="10" customWidth="1"/>
    <col min="31" max="31" width="5.85546875" style="10" customWidth="1"/>
    <col min="32" max="32" width="6.42578125" style="10" customWidth="1"/>
    <col min="33" max="33" width="5.42578125" style="10" customWidth="1"/>
    <col min="34" max="34" width="5.85546875" style="10" customWidth="1"/>
    <col min="35" max="35" width="6.28515625" style="10" customWidth="1"/>
    <col min="36" max="36" width="5.85546875" style="10" customWidth="1"/>
    <col min="37" max="37" width="5.5703125" style="10" customWidth="1"/>
    <col min="38" max="39" width="6" style="10" customWidth="1"/>
    <col min="40" max="16384" width="9.140625" style="10"/>
  </cols>
  <sheetData>
    <row r="1" spans="1:39" s="30" customFormat="1" ht="35.25" customHeight="1">
      <c r="B1" s="2063" t="s">
        <v>108</v>
      </c>
      <c r="C1" s="2063"/>
      <c r="D1" s="2063"/>
      <c r="E1" s="2063"/>
      <c r="F1" s="2063"/>
      <c r="G1" s="2063"/>
      <c r="H1" s="2063"/>
      <c r="I1" s="2063"/>
      <c r="J1" s="31"/>
      <c r="K1" s="2062" t="s">
        <v>1021</v>
      </c>
      <c r="L1" s="2062"/>
      <c r="M1" s="2062"/>
      <c r="O1" s="2063" t="s">
        <v>33</v>
      </c>
      <c r="P1" s="2063"/>
      <c r="Q1" s="2063"/>
      <c r="R1" s="2063"/>
      <c r="S1" s="2063"/>
      <c r="T1" s="2063"/>
      <c r="U1" s="2063"/>
      <c r="V1" s="2063"/>
      <c r="W1" s="31"/>
      <c r="X1" s="2062" t="s">
        <v>1021</v>
      </c>
      <c r="Y1" s="2062"/>
      <c r="Z1" s="2062"/>
      <c r="AB1" s="2063" t="s">
        <v>34</v>
      </c>
      <c r="AC1" s="2063"/>
      <c r="AD1" s="2063"/>
      <c r="AE1" s="2063"/>
      <c r="AF1" s="2063"/>
      <c r="AG1" s="2063"/>
      <c r="AH1" s="2063"/>
      <c r="AI1" s="2063"/>
      <c r="AJ1" s="31"/>
      <c r="AK1" s="2062" t="s">
        <v>1026</v>
      </c>
      <c r="AL1" s="2062"/>
      <c r="AM1" s="2062"/>
    </row>
    <row r="2" spans="1:39" s="30" customFormat="1" ht="12" customHeight="1">
      <c r="B2" s="152"/>
      <c r="C2" s="152"/>
      <c r="D2" s="152"/>
      <c r="E2" s="152"/>
      <c r="F2" s="152"/>
      <c r="G2" s="152"/>
      <c r="H2" s="152"/>
      <c r="I2" s="152"/>
      <c r="J2" s="152"/>
      <c r="K2" s="1928" t="s">
        <v>902</v>
      </c>
      <c r="L2" s="1928"/>
      <c r="M2" s="1928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2061" t="s">
        <v>902</v>
      </c>
      <c r="Y2" s="2061"/>
      <c r="Z2" s="2061"/>
      <c r="AK2" s="2061" t="s">
        <v>902</v>
      </c>
      <c r="AL2" s="2061"/>
      <c r="AM2" s="2061"/>
    </row>
    <row r="3" spans="1:39" ht="12.75" customHeight="1">
      <c r="A3" s="1891" t="s">
        <v>875</v>
      </c>
      <c r="B3" s="1925" t="s">
        <v>903</v>
      </c>
      <c r="C3" s="1934"/>
      <c r="D3" s="1934"/>
      <c r="E3" s="1934"/>
      <c r="F3" s="1934"/>
      <c r="G3" s="1934"/>
      <c r="H3" s="1934"/>
      <c r="I3" s="1934"/>
      <c r="J3" s="1934"/>
      <c r="K3" s="1934"/>
      <c r="L3" s="1934"/>
      <c r="M3" s="1926"/>
      <c r="N3" s="1891" t="s">
        <v>875</v>
      </c>
      <c r="O3" s="1925" t="s">
        <v>903</v>
      </c>
      <c r="P3" s="1934"/>
      <c r="Q3" s="1934"/>
      <c r="R3" s="1934"/>
      <c r="S3" s="1934"/>
      <c r="T3" s="1934"/>
      <c r="U3" s="1934"/>
      <c r="V3" s="1934"/>
      <c r="W3" s="1934"/>
      <c r="X3" s="1934"/>
      <c r="Y3" s="1934"/>
      <c r="Z3" s="1926"/>
      <c r="AA3" s="1891" t="s">
        <v>875</v>
      </c>
      <c r="AB3" s="1925" t="s">
        <v>903</v>
      </c>
      <c r="AC3" s="1934"/>
      <c r="AD3" s="1934"/>
      <c r="AE3" s="1934"/>
      <c r="AF3" s="1934"/>
      <c r="AG3" s="1934"/>
      <c r="AH3" s="1934"/>
      <c r="AI3" s="1934"/>
      <c r="AJ3" s="1934"/>
      <c r="AK3" s="1934"/>
      <c r="AL3" s="1934"/>
      <c r="AM3" s="1926"/>
    </row>
    <row r="4" spans="1:39" s="25" customFormat="1" ht="12.75" customHeight="1">
      <c r="A4" s="1891"/>
      <c r="B4" s="2058" t="s">
        <v>133</v>
      </c>
      <c r="C4" s="2058"/>
      <c r="D4" s="1895"/>
      <c r="E4" s="1894" t="s">
        <v>1047</v>
      </c>
      <c r="F4" s="2058"/>
      <c r="G4" s="1895"/>
      <c r="H4" s="1894" t="s">
        <v>1045</v>
      </c>
      <c r="I4" s="2058"/>
      <c r="J4" s="1895"/>
      <c r="K4" s="1894" t="s">
        <v>134</v>
      </c>
      <c r="L4" s="2058"/>
      <c r="M4" s="1895"/>
      <c r="N4" s="1891"/>
      <c r="O4" s="1894" t="s">
        <v>133</v>
      </c>
      <c r="P4" s="2058"/>
      <c r="Q4" s="1895"/>
      <c r="R4" s="1894" t="s">
        <v>1047</v>
      </c>
      <c r="S4" s="2058"/>
      <c r="T4" s="1895"/>
      <c r="U4" s="1894" t="s">
        <v>1045</v>
      </c>
      <c r="V4" s="2058"/>
      <c r="W4" s="1895"/>
      <c r="X4" s="1894" t="s">
        <v>134</v>
      </c>
      <c r="Y4" s="2058"/>
      <c r="Z4" s="1895"/>
      <c r="AA4" s="1891"/>
      <c r="AB4" s="1894" t="s">
        <v>133</v>
      </c>
      <c r="AC4" s="2058"/>
      <c r="AD4" s="1895"/>
      <c r="AE4" s="1894" t="s">
        <v>1047</v>
      </c>
      <c r="AF4" s="2058"/>
      <c r="AG4" s="1895"/>
      <c r="AH4" s="1894" t="s">
        <v>1045</v>
      </c>
      <c r="AI4" s="2058"/>
      <c r="AJ4" s="1895"/>
      <c r="AK4" s="1894" t="s">
        <v>134</v>
      </c>
      <c r="AL4" s="2058"/>
      <c r="AM4" s="1895"/>
    </row>
    <row r="5" spans="1:39" s="25" customFormat="1" ht="22.5" customHeight="1">
      <c r="A5" s="1891"/>
      <c r="B5" s="184" t="s">
        <v>929</v>
      </c>
      <c r="C5" s="186" t="s">
        <v>135</v>
      </c>
      <c r="D5" s="187" t="s">
        <v>1059</v>
      </c>
      <c r="E5" s="184" t="s">
        <v>929</v>
      </c>
      <c r="F5" s="43" t="s">
        <v>135</v>
      </c>
      <c r="G5" s="187" t="s">
        <v>1059</v>
      </c>
      <c r="H5" s="184" t="s">
        <v>929</v>
      </c>
      <c r="I5" s="43" t="s">
        <v>135</v>
      </c>
      <c r="J5" s="187" t="s">
        <v>1059</v>
      </c>
      <c r="K5" s="184" t="s">
        <v>929</v>
      </c>
      <c r="L5" s="43" t="s">
        <v>135</v>
      </c>
      <c r="M5" s="187" t="s">
        <v>1059</v>
      </c>
      <c r="N5" s="1891"/>
      <c r="O5" s="184" t="s">
        <v>929</v>
      </c>
      <c r="P5" s="43" t="s">
        <v>135</v>
      </c>
      <c r="Q5" s="187" t="s">
        <v>1059</v>
      </c>
      <c r="R5" s="184" t="s">
        <v>929</v>
      </c>
      <c r="S5" s="43" t="s">
        <v>135</v>
      </c>
      <c r="T5" s="187" t="s">
        <v>1059</v>
      </c>
      <c r="U5" s="184" t="s">
        <v>929</v>
      </c>
      <c r="V5" s="43" t="s">
        <v>135</v>
      </c>
      <c r="W5" s="187" t="s">
        <v>1059</v>
      </c>
      <c r="X5" s="184" t="s">
        <v>929</v>
      </c>
      <c r="Y5" s="43" t="s">
        <v>135</v>
      </c>
      <c r="Z5" s="187" t="s">
        <v>1059</v>
      </c>
      <c r="AA5" s="1891"/>
      <c r="AB5" s="184" t="s">
        <v>929</v>
      </c>
      <c r="AC5" s="43" t="s">
        <v>135</v>
      </c>
      <c r="AD5" s="187" t="s">
        <v>1059</v>
      </c>
      <c r="AE5" s="184" t="s">
        <v>929</v>
      </c>
      <c r="AF5" s="43" t="s">
        <v>135</v>
      </c>
      <c r="AG5" s="187" t="s">
        <v>1059</v>
      </c>
      <c r="AH5" s="184" t="s">
        <v>929</v>
      </c>
      <c r="AI5" s="43" t="s">
        <v>135</v>
      </c>
      <c r="AJ5" s="187" t="s">
        <v>1059</v>
      </c>
      <c r="AK5" s="184" t="s">
        <v>929</v>
      </c>
      <c r="AL5" s="43" t="s">
        <v>135</v>
      </c>
      <c r="AM5" s="187" t="s">
        <v>1059</v>
      </c>
    </row>
    <row r="6" spans="1:39" s="300" customFormat="1" ht="13.9" customHeight="1">
      <c r="A6" s="619" t="s">
        <v>953</v>
      </c>
      <c r="B6" s="620">
        <v>1.84</v>
      </c>
      <c r="C6" s="620">
        <v>4.0999999999999996</v>
      </c>
      <c r="D6" s="41" t="s">
        <v>603</v>
      </c>
      <c r="E6" s="620">
        <v>1.96</v>
      </c>
      <c r="F6" s="620">
        <v>4.13</v>
      </c>
      <c r="G6" s="41" t="s">
        <v>603</v>
      </c>
      <c r="H6" s="620">
        <v>1.96</v>
      </c>
      <c r="I6" s="620">
        <v>4.12</v>
      </c>
      <c r="J6" s="41" t="s">
        <v>603</v>
      </c>
      <c r="K6" s="620">
        <v>2.33</v>
      </c>
      <c r="L6" s="620">
        <v>4.21</v>
      </c>
      <c r="M6" s="41" t="s">
        <v>603</v>
      </c>
      <c r="N6" s="619" t="s">
        <v>953</v>
      </c>
      <c r="O6" s="620">
        <v>1.76</v>
      </c>
      <c r="P6" s="620">
        <v>4.08</v>
      </c>
      <c r="Q6" s="41" t="s">
        <v>603</v>
      </c>
      <c r="R6" s="620">
        <v>1.8</v>
      </c>
      <c r="S6" s="620">
        <v>4.13</v>
      </c>
      <c r="T6" s="41" t="s">
        <v>603</v>
      </c>
      <c r="U6" s="620">
        <v>1.88</v>
      </c>
      <c r="V6" s="620">
        <v>3.33</v>
      </c>
      <c r="W6" s="41" t="s">
        <v>603</v>
      </c>
      <c r="X6" s="620">
        <v>2.16</v>
      </c>
      <c r="Y6" s="620">
        <v>4.21</v>
      </c>
      <c r="Z6" s="41" t="s">
        <v>603</v>
      </c>
      <c r="AA6" s="619" t="s">
        <v>953</v>
      </c>
      <c r="AB6" s="620">
        <v>1.8</v>
      </c>
      <c r="AC6" s="620">
        <v>4.09</v>
      </c>
      <c r="AD6" s="41" t="s">
        <v>603</v>
      </c>
      <c r="AE6" s="620">
        <v>2.1</v>
      </c>
      <c r="AF6" s="620">
        <v>4.1500000000000004</v>
      </c>
      <c r="AG6" s="41" t="s">
        <v>603</v>
      </c>
      <c r="AH6" s="620">
        <v>2.13</v>
      </c>
      <c r="AI6" s="620">
        <v>4.04</v>
      </c>
      <c r="AJ6" s="41" t="s">
        <v>603</v>
      </c>
      <c r="AK6" s="620">
        <v>2.12</v>
      </c>
      <c r="AL6" s="620">
        <v>4.13</v>
      </c>
      <c r="AM6" s="41" t="s">
        <v>603</v>
      </c>
    </row>
    <row r="7" spans="1:39" ht="13.9" customHeight="1">
      <c r="A7" s="593" t="s">
        <v>962</v>
      </c>
      <c r="B7" s="594">
        <v>2.58</v>
      </c>
      <c r="C7" s="594">
        <v>4.54</v>
      </c>
      <c r="D7" s="511" t="s">
        <v>603</v>
      </c>
      <c r="E7" s="594">
        <v>2.645</v>
      </c>
      <c r="F7" s="594">
        <v>4.5508333333333333</v>
      </c>
      <c r="G7" s="511" t="s">
        <v>603</v>
      </c>
      <c r="H7" s="594">
        <v>2.7074999999999996</v>
      </c>
      <c r="I7" s="594">
        <v>4.6450000000000005</v>
      </c>
      <c r="J7" s="511" t="s">
        <v>603</v>
      </c>
      <c r="K7" s="594">
        <v>3.0983333333333332</v>
      </c>
      <c r="L7" s="594">
        <v>4.8183333333333334</v>
      </c>
      <c r="M7" s="511" t="s">
        <v>603</v>
      </c>
      <c r="N7" s="593" t="s">
        <v>962</v>
      </c>
      <c r="O7" s="594">
        <v>2.0983333333333332</v>
      </c>
      <c r="P7" s="594">
        <v>4.3416666666666677</v>
      </c>
      <c r="Q7" s="511" t="s">
        <v>603</v>
      </c>
      <c r="R7" s="594">
        <v>2.3491666666666666</v>
      </c>
      <c r="S7" s="594">
        <v>4.3516666666666675</v>
      </c>
      <c r="T7" s="511" t="s">
        <v>603</v>
      </c>
      <c r="U7" s="594">
        <v>2.3540000000000001</v>
      </c>
      <c r="V7" s="594">
        <v>3.5190000000000001</v>
      </c>
      <c r="W7" s="511" t="s">
        <v>603</v>
      </c>
      <c r="X7" s="594">
        <v>2.5579999999999998</v>
      </c>
      <c r="Y7" s="594">
        <v>4.5</v>
      </c>
      <c r="Z7" s="511" t="s">
        <v>603</v>
      </c>
      <c r="AA7" s="593" t="s">
        <v>962</v>
      </c>
      <c r="AB7" s="594">
        <v>2.09</v>
      </c>
      <c r="AC7" s="594">
        <v>4.335</v>
      </c>
      <c r="AD7" s="511" t="s">
        <v>603</v>
      </c>
      <c r="AE7" s="594">
        <v>2.33</v>
      </c>
      <c r="AF7" s="594">
        <v>4.3730000000000002</v>
      </c>
      <c r="AG7" s="511" t="s">
        <v>603</v>
      </c>
      <c r="AH7" s="594">
        <v>2.3624999999999994</v>
      </c>
      <c r="AI7" s="594">
        <v>4.343</v>
      </c>
      <c r="AJ7" s="511" t="s">
        <v>603</v>
      </c>
      <c r="AK7" s="594">
        <v>2.4300000000000002</v>
      </c>
      <c r="AL7" s="594">
        <v>4.3140000000000001</v>
      </c>
      <c r="AM7" s="511" t="s">
        <v>603</v>
      </c>
    </row>
    <row r="8" spans="1:39" s="300" customFormat="1" ht="13.9" customHeight="1">
      <c r="A8" s="619" t="s">
        <v>675</v>
      </c>
      <c r="B8" s="620">
        <v>2.6724999999999999</v>
      </c>
      <c r="C8" s="620">
        <v>4.6500000000000004</v>
      </c>
      <c r="D8" s="41" t="s">
        <v>603</v>
      </c>
      <c r="E8" s="620">
        <v>2.7374999999999994</v>
      </c>
      <c r="F8" s="620">
        <v>4.6539999999999999</v>
      </c>
      <c r="G8" s="41" t="s">
        <v>603</v>
      </c>
      <c r="H8" s="620">
        <v>2.8050000000000002</v>
      </c>
      <c r="I8" s="620">
        <v>4.7350000000000003</v>
      </c>
      <c r="J8" s="41" t="s">
        <v>603</v>
      </c>
      <c r="K8" s="620">
        <v>3.1829999999999998</v>
      </c>
      <c r="L8" s="620">
        <v>4.9240000000000004</v>
      </c>
      <c r="M8" s="41" t="s">
        <v>603</v>
      </c>
      <c r="N8" s="619" t="s">
        <v>675</v>
      </c>
      <c r="O8" s="620">
        <v>2.194</v>
      </c>
      <c r="P8" s="620">
        <v>4.4349999999999996</v>
      </c>
      <c r="Q8" s="41" t="s">
        <v>603</v>
      </c>
      <c r="R8" s="620">
        <v>2.4324999999999997</v>
      </c>
      <c r="S8" s="620">
        <v>4.4249999999999998</v>
      </c>
      <c r="T8" s="41" t="s">
        <v>603</v>
      </c>
      <c r="U8" s="620">
        <v>2.4289999999999998</v>
      </c>
      <c r="V8" s="620">
        <v>3.5950000000000002</v>
      </c>
      <c r="W8" s="41" t="s">
        <v>603</v>
      </c>
      <c r="X8" s="620">
        <v>2.6425000000000001</v>
      </c>
      <c r="Y8" s="620">
        <v>4.585</v>
      </c>
      <c r="Z8" s="41" t="s">
        <v>603</v>
      </c>
      <c r="AA8" s="619" t="s">
        <v>675</v>
      </c>
      <c r="AB8" s="620">
        <v>2.1749999999999998</v>
      </c>
      <c r="AC8" s="620">
        <v>4.415</v>
      </c>
      <c r="AD8" s="41" t="s">
        <v>603</v>
      </c>
      <c r="AE8" s="620">
        <v>2.4250000000000003</v>
      </c>
      <c r="AF8" s="620">
        <v>4.4530000000000003</v>
      </c>
      <c r="AG8" s="41" t="s">
        <v>603</v>
      </c>
      <c r="AH8" s="620">
        <v>2.4390000000000001</v>
      </c>
      <c r="AI8" s="620">
        <v>4.4349999999999996</v>
      </c>
      <c r="AJ8" s="41" t="s">
        <v>603</v>
      </c>
      <c r="AK8" s="620">
        <v>2.5150000000000001</v>
      </c>
      <c r="AL8" s="620">
        <v>4.3949999999999996</v>
      </c>
      <c r="AM8" s="41" t="s">
        <v>603</v>
      </c>
    </row>
    <row r="9" spans="1:39" s="39" customFormat="1" ht="13.9" customHeight="1">
      <c r="A9" s="526" t="s">
        <v>141</v>
      </c>
      <c r="B9" s="551">
        <v>1.25</v>
      </c>
      <c r="C9" s="551">
        <v>2.72</v>
      </c>
      <c r="D9" s="511">
        <v>2.57</v>
      </c>
      <c r="E9" s="551">
        <v>1.78</v>
      </c>
      <c r="F9" s="551">
        <v>3.25</v>
      </c>
      <c r="G9" s="511">
        <v>2.96</v>
      </c>
      <c r="H9" s="551">
        <v>2.1800000000000002</v>
      </c>
      <c r="I9" s="551">
        <v>3.403</v>
      </c>
      <c r="J9" s="511">
        <v>3.1150000000000002</v>
      </c>
      <c r="K9" s="551">
        <v>2.226</v>
      </c>
      <c r="L9" s="551">
        <v>3.5630000000000002</v>
      </c>
      <c r="M9" s="511">
        <v>3.2280000000000002</v>
      </c>
      <c r="N9" s="526" t="s">
        <v>141</v>
      </c>
      <c r="O9" s="551">
        <v>1.212</v>
      </c>
      <c r="P9" s="551">
        <v>2.3719999999999999</v>
      </c>
      <c r="Q9" s="511">
        <v>1.5640000000000001</v>
      </c>
      <c r="R9" s="551">
        <v>1.508</v>
      </c>
      <c r="S9" s="551">
        <v>2.706</v>
      </c>
      <c r="T9" s="511">
        <v>1.8049999999999999</v>
      </c>
      <c r="U9" s="551">
        <v>1.617</v>
      </c>
      <c r="V9" s="551">
        <v>2.4279999999999999</v>
      </c>
      <c r="W9" s="511">
        <v>1.9259999999999999</v>
      </c>
      <c r="X9" s="551">
        <v>1.794</v>
      </c>
      <c r="Y9" s="551">
        <v>2.585</v>
      </c>
      <c r="Z9" s="511">
        <v>2.0129999999999999</v>
      </c>
      <c r="AA9" s="526" t="s">
        <v>141</v>
      </c>
      <c r="AB9" s="551">
        <v>1.0589999999999999</v>
      </c>
      <c r="AC9" s="551">
        <v>2.2130000000000001</v>
      </c>
      <c r="AD9" s="511">
        <v>2.0390000000000001</v>
      </c>
      <c r="AE9" s="551">
        <v>1.409</v>
      </c>
      <c r="AF9" s="551">
        <v>2.6160000000000001</v>
      </c>
      <c r="AG9" s="511">
        <v>2.29</v>
      </c>
      <c r="AH9" s="551">
        <v>1.72</v>
      </c>
      <c r="AI9" s="551">
        <v>3.0339999999999998</v>
      </c>
      <c r="AJ9" s="511">
        <v>2.8069999999999999</v>
      </c>
      <c r="AK9" s="551">
        <v>2.1309999999999998</v>
      </c>
      <c r="AL9" s="551">
        <v>3.472</v>
      </c>
      <c r="AM9" s="511">
        <v>2.8849999999999998</v>
      </c>
    </row>
    <row r="10" spans="1:39" s="471" customFormat="1" ht="13.9" customHeight="1">
      <c r="A10" s="427" t="s">
        <v>136</v>
      </c>
      <c r="B10" s="20">
        <v>0.16083333333333336</v>
      </c>
      <c r="C10" s="20">
        <v>0.2116666666666667</v>
      </c>
      <c r="D10" s="41">
        <v>0.13750000000000001</v>
      </c>
      <c r="E10" s="20">
        <v>0.33083333333333337</v>
      </c>
      <c r="F10" s="20">
        <v>0.33</v>
      </c>
      <c r="G10" s="41">
        <v>0.33916666666666667</v>
      </c>
      <c r="H10" s="20">
        <v>0.55583333333333329</v>
      </c>
      <c r="I10" s="20">
        <v>0.45</v>
      </c>
      <c r="J10" s="41">
        <v>0.6166666666666667</v>
      </c>
      <c r="K10" s="20">
        <v>0.89</v>
      </c>
      <c r="L10" s="20">
        <v>0.69666666666666666</v>
      </c>
      <c r="M10" s="41">
        <v>0.76916666666666655</v>
      </c>
      <c r="N10" s="427" t="s">
        <v>136</v>
      </c>
      <c r="O10" s="20">
        <v>0.19583333333333333</v>
      </c>
      <c r="P10" s="20">
        <v>0.46083333333333337</v>
      </c>
      <c r="Q10" s="41">
        <v>0.27500000000000002</v>
      </c>
      <c r="R10" s="20">
        <v>0.25</v>
      </c>
      <c r="S10" s="20">
        <v>0.5575</v>
      </c>
      <c r="T10" s="41">
        <v>0.41833333333333328</v>
      </c>
      <c r="U10" s="20">
        <v>0.40416666666666673</v>
      </c>
      <c r="V10" s="20">
        <v>0.60250000000000015</v>
      </c>
      <c r="W10" s="41">
        <v>0.52750000000000019</v>
      </c>
      <c r="X10" s="20">
        <v>0.79083333333333339</v>
      </c>
      <c r="Y10" s="20">
        <v>0.78749999999999998</v>
      </c>
      <c r="Z10" s="41">
        <v>0.70083333333333331</v>
      </c>
      <c r="AA10" s="427" t="s">
        <v>136</v>
      </c>
      <c r="AB10" s="20">
        <v>0.64916666666666656</v>
      </c>
      <c r="AC10" s="20">
        <v>0.12583333333333338</v>
      </c>
      <c r="AD10" s="41">
        <v>0.17166666666666666</v>
      </c>
      <c r="AE10" s="20">
        <v>0.80083333333333329</v>
      </c>
      <c r="AF10" s="20">
        <v>0.2383333333333334</v>
      </c>
      <c r="AG10" s="41">
        <v>0.30416666666666675</v>
      </c>
      <c r="AH10" s="20">
        <v>0.65083333333333337</v>
      </c>
      <c r="AI10" s="20">
        <v>0.34916666666666668</v>
      </c>
      <c r="AJ10" s="41">
        <v>0.44</v>
      </c>
      <c r="AK10" s="20">
        <v>0.81333333333333346</v>
      </c>
      <c r="AL10" s="20">
        <v>0.51416666666666677</v>
      </c>
      <c r="AM10" s="41">
        <v>0.57583333333333331</v>
      </c>
    </row>
    <row r="11" spans="1:39" s="471" customFormat="1" ht="13.9" customHeight="1">
      <c r="A11" s="526" t="s">
        <v>317</v>
      </c>
      <c r="B11" s="551">
        <v>0.16791666666666663</v>
      </c>
      <c r="C11" s="551">
        <v>0.24756944444444443</v>
      </c>
      <c r="D11" s="511">
        <v>0.43798611111111113</v>
      </c>
      <c r="E11" s="551">
        <v>0.33444444444444449</v>
      </c>
      <c r="F11" s="551">
        <v>0.39881944444444439</v>
      </c>
      <c r="G11" s="511">
        <v>0.64472222222222209</v>
      </c>
      <c r="H11" s="551">
        <v>0.50624999999999998</v>
      </c>
      <c r="I11" s="551">
        <v>0.66923611111111114</v>
      </c>
      <c r="J11" s="511">
        <v>0.94277777777777783</v>
      </c>
      <c r="K11" s="551">
        <v>0.73374999999999979</v>
      </c>
      <c r="L11" s="551">
        <v>0.93069444444444438</v>
      </c>
      <c r="M11" s="511">
        <v>1.0635416666666668</v>
      </c>
      <c r="N11" s="526" t="s">
        <v>317</v>
      </c>
      <c r="O11" s="551">
        <v>0.14000000000000004</v>
      </c>
      <c r="P11" s="551">
        <v>0.29643229166666668</v>
      </c>
      <c r="Q11" s="511">
        <v>0.40145833333333342</v>
      </c>
      <c r="R11" s="551">
        <v>0.19358333333333333</v>
      </c>
      <c r="S11" s="551">
        <v>0.41849999999999993</v>
      </c>
      <c r="T11" s="511">
        <v>0.53516666666666668</v>
      </c>
      <c r="U11" s="551">
        <v>0.28266666666666668</v>
      </c>
      <c r="V11" s="551">
        <v>0.55945833333333328</v>
      </c>
      <c r="W11" s="511">
        <v>0.64966666666666673</v>
      </c>
      <c r="X11" s="551">
        <v>0.5678333333333333</v>
      </c>
      <c r="Y11" s="551">
        <v>0.83166666666666655</v>
      </c>
      <c r="Z11" s="511">
        <v>0.87583333333333313</v>
      </c>
      <c r="AA11" s="526" t="s">
        <v>317</v>
      </c>
      <c r="AB11" s="551">
        <v>0.75583333333333336</v>
      </c>
      <c r="AC11" s="551">
        <v>0.28083333333333332</v>
      </c>
      <c r="AD11" s="511">
        <v>0.31277777777777777</v>
      </c>
      <c r="AE11" s="551">
        <v>1.0994444444444444</v>
      </c>
      <c r="AF11" s="551">
        <v>0.41625000000000001</v>
      </c>
      <c r="AG11" s="511">
        <v>0.53763888888888889</v>
      </c>
      <c r="AH11" s="551">
        <v>1.1913888888888888</v>
      </c>
      <c r="AI11" s="551">
        <v>0.5097222222222223</v>
      </c>
      <c r="AJ11" s="511">
        <v>0.62097222222222215</v>
      </c>
      <c r="AK11" s="551">
        <v>0.79916666666666647</v>
      </c>
      <c r="AL11" s="551">
        <v>0.54180555555555554</v>
      </c>
      <c r="AM11" s="511">
        <v>0.79249999999999998</v>
      </c>
    </row>
    <row r="12" spans="1:39" s="471" customFormat="1" ht="13.9" customHeight="1">
      <c r="A12" s="427" t="s">
        <v>1299</v>
      </c>
      <c r="B12" s="20">
        <v>0.16916666666666666</v>
      </c>
      <c r="C12" s="20">
        <v>0.33805555555555555</v>
      </c>
      <c r="D12" s="41">
        <v>0.63222222222222213</v>
      </c>
      <c r="E12" s="20">
        <v>0.36666666666666664</v>
      </c>
      <c r="F12" s="20">
        <v>0.63055555555555565</v>
      </c>
      <c r="G12" s="41">
        <v>0.89583333333333337</v>
      </c>
      <c r="H12" s="20">
        <v>0.62444444444444447</v>
      </c>
      <c r="I12" s="20">
        <v>0.93444444444444441</v>
      </c>
      <c r="J12" s="41">
        <v>1.141388888888889</v>
      </c>
      <c r="K12" s="20">
        <v>0.8783333333333333</v>
      </c>
      <c r="L12" s="20">
        <v>1.2255555555555555</v>
      </c>
      <c r="M12" s="41">
        <v>1.3674999999999999</v>
      </c>
      <c r="N12" s="427" t="s">
        <v>1299</v>
      </c>
      <c r="O12" s="20">
        <v>0.10250000000000002</v>
      </c>
      <c r="P12" s="20">
        <v>0.31416666666666665</v>
      </c>
      <c r="Q12" s="41">
        <v>0.57166666666666655</v>
      </c>
      <c r="R12" s="20">
        <v>0.21500000000000005</v>
      </c>
      <c r="S12" s="20">
        <v>0.50624999999999998</v>
      </c>
      <c r="T12" s="41">
        <v>0.72000000000000008</v>
      </c>
      <c r="U12" s="20">
        <v>0.34833333333333338</v>
      </c>
      <c r="V12" s="20">
        <v>0.65749999999999997</v>
      </c>
      <c r="W12" s="41">
        <v>0.81</v>
      </c>
      <c r="X12" s="20">
        <v>0.89416666666666655</v>
      </c>
      <c r="Y12" s="20">
        <v>0.95233333333333337</v>
      </c>
      <c r="Z12" s="41">
        <v>0.99500000000000011</v>
      </c>
      <c r="AA12" s="427" t="s">
        <v>1299</v>
      </c>
      <c r="AB12" s="20">
        <v>0.55875000000000019</v>
      </c>
      <c r="AC12" s="20">
        <v>0.42166666666666669</v>
      </c>
      <c r="AD12" s="41">
        <v>0.5</v>
      </c>
      <c r="AE12" s="20">
        <v>1.0566666666666666</v>
      </c>
      <c r="AF12" s="20">
        <v>0.65499999999999992</v>
      </c>
      <c r="AG12" s="41">
        <v>0.75</v>
      </c>
      <c r="AH12" s="20">
        <v>1.4295833333333332</v>
      </c>
      <c r="AI12" s="20">
        <v>0.99749999999999972</v>
      </c>
      <c r="AJ12" s="41">
        <v>0.9312499999999998</v>
      </c>
      <c r="AK12" s="20">
        <v>1.1666666666666667</v>
      </c>
      <c r="AL12" s="20">
        <v>0.94083333333333341</v>
      </c>
      <c r="AM12" s="41">
        <v>1.25</v>
      </c>
    </row>
    <row r="13" spans="1:39" s="471" customFormat="1" ht="13.9" customHeight="1">
      <c r="A13" s="526" t="s">
        <v>1505</v>
      </c>
      <c r="B13" s="551">
        <v>0.16958333333333339</v>
      </c>
      <c r="C13" s="551">
        <v>0.21965277777777778</v>
      </c>
      <c r="D13" s="511">
        <v>3.6111111111111114E-3</v>
      </c>
      <c r="E13" s="551">
        <v>0.19888888888888887</v>
      </c>
      <c r="F13" s="551">
        <v>0.28486111111111112</v>
      </c>
      <c r="G13" s="511">
        <v>5.0833333333333341E-2</v>
      </c>
      <c r="H13" s="551">
        <v>0.35916666666666669</v>
      </c>
      <c r="I13" s="551">
        <v>0.44350694444444455</v>
      </c>
      <c r="J13" s="511">
        <v>0.12611111111111115</v>
      </c>
      <c r="K13" s="551">
        <v>0.59020833333333322</v>
      </c>
      <c r="L13" s="551">
        <v>0.70586805555555554</v>
      </c>
      <c r="M13" s="511">
        <v>0.26034722222222223</v>
      </c>
      <c r="N13" s="526" t="s">
        <v>1505</v>
      </c>
      <c r="O13" s="551">
        <v>9.2082500000000012E-2</v>
      </c>
      <c r="P13" s="551">
        <v>0.24228124999999998</v>
      </c>
      <c r="Q13" s="511">
        <v>0.18372943333333333</v>
      </c>
      <c r="R13" s="551">
        <v>0.18142521929166663</v>
      </c>
      <c r="S13" s="551">
        <v>0.38397137278333332</v>
      </c>
      <c r="T13" s="511">
        <v>0.29373464912499997</v>
      </c>
      <c r="U13" s="551">
        <v>0.29680622806666668</v>
      </c>
      <c r="V13" s="551">
        <v>0.43682707018333344</v>
      </c>
      <c r="W13" s="511">
        <v>0.38601997368333335</v>
      </c>
      <c r="X13" s="551">
        <v>0.80951328947222212</v>
      </c>
      <c r="Y13" s="551">
        <v>0.69534501314999997</v>
      </c>
      <c r="Z13" s="511">
        <v>0.51850818421666667</v>
      </c>
      <c r="AA13" s="526" t="s">
        <v>1505</v>
      </c>
      <c r="AB13" s="551">
        <v>0.55041666666666667</v>
      </c>
      <c r="AC13" s="551">
        <v>0.39874999999999999</v>
      </c>
      <c r="AD13" s="511">
        <v>0.5</v>
      </c>
      <c r="AE13" s="551">
        <v>1.4790416666666666</v>
      </c>
      <c r="AF13" s="551">
        <v>0.55916666666666681</v>
      </c>
      <c r="AG13" s="511">
        <v>0.75</v>
      </c>
      <c r="AH13" s="551">
        <v>1.4741041666666668</v>
      </c>
      <c r="AI13" s="551">
        <v>0.68750000000000011</v>
      </c>
      <c r="AJ13" s="511">
        <v>0.62416666666666665</v>
      </c>
      <c r="AK13" s="551">
        <v>1.2992333333333332</v>
      </c>
      <c r="AL13" s="551">
        <v>0.85916666666666675</v>
      </c>
      <c r="AM13" s="511">
        <v>1.25</v>
      </c>
    </row>
    <row r="14" spans="1:39" s="298" customFormat="1" ht="13.9" customHeight="1">
      <c r="A14" s="619" t="s">
        <v>1886</v>
      </c>
      <c r="B14" s="41">
        <v>6.9166666666666696E-2</v>
      </c>
      <c r="C14" s="41">
        <v>0.21207052083333333</v>
      </c>
      <c r="D14" s="41">
        <v>5.3333333333333337E-2</v>
      </c>
      <c r="E14" s="41">
        <v>4.8898611111111108E-2</v>
      </c>
      <c r="F14" s="41">
        <v>0.24257020833333334</v>
      </c>
      <c r="G14" s="41">
        <v>5.9166666666666666E-2</v>
      </c>
      <c r="H14" s="41">
        <v>0.10368437500000001</v>
      </c>
      <c r="I14" s="41">
        <v>0.331078125</v>
      </c>
      <c r="J14" s="41">
        <v>9.8393750000000002E-2</v>
      </c>
      <c r="K14" s="41">
        <v>0.28775562500000001</v>
      </c>
      <c r="L14" s="41">
        <v>0.54730156250000006</v>
      </c>
      <c r="M14" s="41">
        <v>0.19117562500000004</v>
      </c>
      <c r="N14" s="619" t="s">
        <v>1886</v>
      </c>
      <c r="O14" s="41">
        <v>0.23060208333333335</v>
      </c>
      <c r="P14" s="41">
        <v>0.28789062500000001</v>
      </c>
      <c r="Q14" s="41">
        <v>0.19963549999999999</v>
      </c>
      <c r="R14" s="41">
        <v>0.2548333333333333</v>
      </c>
      <c r="S14" s="41">
        <v>0.41539350876666664</v>
      </c>
      <c r="T14" s="41">
        <v>0.2763631944444444</v>
      </c>
      <c r="U14" s="41">
        <v>0.39922916666666658</v>
      </c>
      <c r="V14" s="41">
        <v>0.48461499999999996</v>
      </c>
      <c r="W14" s="41">
        <v>0.38448833333333332</v>
      </c>
      <c r="X14" s="41">
        <v>0.6540076388888888</v>
      </c>
      <c r="Y14" s="41">
        <v>0.80578854166666669</v>
      </c>
      <c r="Z14" s="41">
        <v>0.50327416666666669</v>
      </c>
      <c r="AA14" s="619" t="s">
        <v>1886</v>
      </c>
      <c r="AB14" s="41">
        <v>0.90791666666666659</v>
      </c>
      <c r="AC14" s="41">
        <v>0.38708333333333339</v>
      </c>
      <c r="AD14" s="41">
        <v>0.45583333333333326</v>
      </c>
      <c r="AE14" s="41">
        <v>1.1558333333333335</v>
      </c>
      <c r="AF14" s="41">
        <v>0.53583333333333349</v>
      </c>
      <c r="AG14" s="41">
        <v>0.66000000000000014</v>
      </c>
      <c r="AH14" s="41">
        <v>1.1683333333333334</v>
      </c>
      <c r="AI14" s="41">
        <v>0.61583333333333323</v>
      </c>
      <c r="AJ14" s="41">
        <v>0.76750000000000007</v>
      </c>
      <c r="AK14" s="41">
        <v>1.1204166666666668</v>
      </c>
      <c r="AL14" s="41">
        <v>0.79604166666666665</v>
      </c>
      <c r="AM14" s="41">
        <v>1.1550000000000002</v>
      </c>
    </row>
    <row r="15" spans="1:39" s="861" customFormat="1" ht="13.9" customHeight="1">
      <c r="A15" s="1431" t="s">
        <v>2017</v>
      </c>
      <c r="B15" s="1275">
        <v>6.0833333333333323E-2</v>
      </c>
      <c r="C15" s="1275">
        <v>0.2014565555</v>
      </c>
      <c r="D15" s="1275">
        <v>0</v>
      </c>
      <c r="E15" s="1275">
        <v>3.8953055555555553E-2</v>
      </c>
      <c r="F15" s="1275">
        <v>0.25167252783333338</v>
      </c>
      <c r="G15" s="1275">
        <v>1.7500000000000002E-2</v>
      </c>
      <c r="H15" s="1275">
        <v>8.435333333333335E-2</v>
      </c>
      <c r="I15" s="1275">
        <v>0.36996055550000001</v>
      </c>
      <c r="J15" s="1275">
        <v>1.0833333333333334E-2</v>
      </c>
      <c r="K15" s="1275">
        <v>0.25765302783333327</v>
      </c>
      <c r="L15" s="1275">
        <v>0.57783030549999992</v>
      </c>
      <c r="M15" s="1275">
        <v>5.1990729166666673E-2</v>
      </c>
      <c r="N15" s="1431" t="s">
        <v>2017</v>
      </c>
      <c r="O15" s="1275">
        <v>0.417658549951267</v>
      </c>
      <c r="P15" s="1275">
        <v>0.42778127485021789</v>
      </c>
      <c r="Q15" s="1275">
        <v>0.25705915530303031</v>
      </c>
      <c r="R15" s="1275">
        <v>0.39406351697994985</v>
      </c>
      <c r="S15" s="1275">
        <v>0.5138648752314815</v>
      </c>
      <c r="T15" s="1275">
        <v>0.27559262629540598</v>
      </c>
      <c r="U15" s="1275">
        <v>0.71116524939227155</v>
      </c>
      <c r="V15" s="1275">
        <v>0.68667745396825397</v>
      </c>
      <c r="W15" s="1275">
        <v>0.4250588182539683</v>
      </c>
      <c r="X15" s="1275">
        <v>0.81893196351991071</v>
      </c>
      <c r="Y15" s="1275">
        <v>1.0508996562908497</v>
      </c>
      <c r="Z15" s="1275">
        <v>0.52704765201465198</v>
      </c>
      <c r="AA15" s="1431" t="s">
        <v>2017</v>
      </c>
      <c r="AB15" s="1275">
        <v>1.0156928895833335</v>
      </c>
      <c r="AC15" s="1275">
        <v>0.41749176666666665</v>
      </c>
      <c r="AD15" s="1275">
        <v>0.46336752083333338</v>
      </c>
      <c r="AE15" s="1275">
        <v>1.1542176916666664</v>
      </c>
      <c r="AF15" s="1275">
        <v>0.57261966666666686</v>
      </c>
      <c r="AG15" s="1275">
        <v>0.58483106666666662</v>
      </c>
      <c r="AH15" s="1275">
        <v>0.76716723611111093</v>
      </c>
      <c r="AI15" s="1275">
        <v>0.67324468055555553</v>
      </c>
      <c r="AJ15" s="1275">
        <v>0.98999999999999988</v>
      </c>
      <c r="AK15" s="1275">
        <v>0.94661391388888882</v>
      </c>
      <c r="AL15" s="1275">
        <v>0.87057560555555547</v>
      </c>
      <c r="AM15" s="1275">
        <v>1.0833333333333333</v>
      </c>
    </row>
    <row r="16" spans="1:39" s="459" customFormat="1" ht="13.9" customHeight="1">
      <c r="A16" s="772" t="s">
        <v>2226</v>
      </c>
      <c r="B16" s="976">
        <f>AVERAGE(B17:B28)</f>
        <v>0.13249999999999998</v>
      </c>
      <c r="C16" s="976">
        <f t="shared" ref="C16:M16" si="0">AVERAGE(C17:C28)</f>
        <v>0.18583333333333332</v>
      </c>
      <c r="D16" s="976">
        <f t="shared" si="0"/>
        <v>0</v>
      </c>
      <c r="E16" s="976">
        <f t="shared" si="0"/>
        <v>0.19583333333333333</v>
      </c>
      <c r="F16" s="976">
        <f t="shared" si="0"/>
        <v>0.24333333333333332</v>
      </c>
      <c r="G16" s="976">
        <f t="shared" si="0"/>
        <v>0</v>
      </c>
      <c r="H16" s="976">
        <f t="shared" si="0"/>
        <v>0.34833333333333333</v>
      </c>
      <c r="I16" s="976">
        <f t="shared" si="0"/>
        <v>0.36833333333333335</v>
      </c>
      <c r="J16" s="976">
        <f t="shared" si="0"/>
        <v>0</v>
      </c>
      <c r="K16" s="976">
        <f t="shared" si="0"/>
        <v>0.53416666666666668</v>
      </c>
      <c r="L16" s="976">
        <f t="shared" si="0"/>
        <v>0.53833333333333333</v>
      </c>
      <c r="M16" s="976">
        <f t="shared" si="0"/>
        <v>0</v>
      </c>
      <c r="N16" s="772" t="s">
        <v>2226</v>
      </c>
      <c r="O16" s="976">
        <f t="shared" ref="O16:Z16" si="1">AVERAGE(O17:O28)</f>
        <v>0.43916666666666665</v>
      </c>
      <c r="P16" s="976">
        <f t="shared" si="1"/>
        <v>0.4283333333333334</v>
      </c>
      <c r="Q16" s="976">
        <f t="shared" si="1"/>
        <v>0.29750000000000004</v>
      </c>
      <c r="R16" s="976">
        <f t="shared" si="1"/>
        <v>0.47166666666666668</v>
      </c>
      <c r="S16" s="976">
        <f t="shared" si="1"/>
        <v>0.50166666666666659</v>
      </c>
      <c r="T16" s="976">
        <f t="shared" si="1"/>
        <v>0.3066666666666667</v>
      </c>
      <c r="U16" s="976">
        <f t="shared" si="1"/>
        <v>1.1066666666666667</v>
      </c>
      <c r="V16" s="976">
        <f t="shared" si="1"/>
        <v>0.70416666666666661</v>
      </c>
      <c r="W16" s="976">
        <f t="shared" si="1"/>
        <v>0.48750000000000004</v>
      </c>
      <c r="X16" s="976">
        <f t="shared" si="1"/>
        <v>1.1833333333333333</v>
      </c>
      <c r="Y16" s="976">
        <f t="shared" si="1"/>
        <v>0.90083333333333326</v>
      </c>
      <c r="Z16" s="976">
        <f t="shared" si="1"/>
        <v>0.51250000000000007</v>
      </c>
      <c r="AA16" s="772" t="s">
        <v>2226</v>
      </c>
      <c r="AB16" s="976">
        <f t="shared" ref="AB16:AM16" si="2">AVERAGE(AB17:AB28)</f>
        <v>1.0274999999999999</v>
      </c>
      <c r="AC16" s="976">
        <f t="shared" si="2"/>
        <v>0.43500000000000005</v>
      </c>
      <c r="AD16" s="976">
        <f t="shared" si="2"/>
        <v>0.51666666666666672</v>
      </c>
      <c r="AE16" s="976">
        <f t="shared" si="2"/>
        <v>1.1783333333333332</v>
      </c>
      <c r="AF16" s="976">
        <f t="shared" si="2"/>
        <v>0.65</v>
      </c>
      <c r="AG16" s="976">
        <f t="shared" si="2"/>
        <v>0.63166666666666671</v>
      </c>
      <c r="AH16" s="976">
        <f t="shared" si="2"/>
        <v>0.83250000000000002</v>
      </c>
      <c r="AI16" s="976">
        <f t="shared" si="2"/>
        <v>0.71166666666666656</v>
      </c>
      <c r="AJ16" s="976">
        <f t="shared" si="2"/>
        <v>0.9</v>
      </c>
      <c r="AK16" s="976">
        <f t="shared" si="2"/>
        <v>0.9558333333333332</v>
      </c>
      <c r="AL16" s="976">
        <f t="shared" si="2"/>
        <v>0.89583333333333337</v>
      </c>
      <c r="AM16" s="976">
        <f t="shared" si="2"/>
        <v>1.0983333333333334</v>
      </c>
    </row>
    <row r="17" spans="1:39" s="459" customFormat="1" ht="13.9" customHeight="1">
      <c r="A17" s="1433" t="s">
        <v>954</v>
      </c>
      <c r="B17" s="777">
        <v>0.09</v>
      </c>
      <c r="C17" s="777">
        <v>0.19</v>
      </c>
      <c r="D17" s="777">
        <v>0</v>
      </c>
      <c r="E17" s="777">
        <v>0.04</v>
      </c>
      <c r="F17" s="777">
        <v>0.24</v>
      </c>
      <c r="G17" s="777">
        <v>0</v>
      </c>
      <c r="H17" s="777">
        <v>0.14000000000000001</v>
      </c>
      <c r="I17" s="777">
        <v>0.37</v>
      </c>
      <c r="J17" s="777">
        <v>0</v>
      </c>
      <c r="K17" s="777">
        <v>0.33</v>
      </c>
      <c r="L17" s="777">
        <v>0.55000000000000004</v>
      </c>
      <c r="M17" s="777">
        <v>0</v>
      </c>
      <c r="N17" s="1433" t="s">
        <v>954</v>
      </c>
      <c r="O17" s="777">
        <v>0.39</v>
      </c>
      <c r="P17" s="777">
        <v>0.42</v>
      </c>
      <c r="Q17" s="777">
        <v>0.28999999999999998</v>
      </c>
      <c r="R17" s="777">
        <v>0.39</v>
      </c>
      <c r="S17" s="777">
        <v>0.51</v>
      </c>
      <c r="T17" s="777">
        <v>0.32</v>
      </c>
      <c r="U17" s="777">
        <v>0.7</v>
      </c>
      <c r="V17" s="777">
        <v>0.69</v>
      </c>
      <c r="W17" s="777">
        <v>0.4</v>
      </c>
      <c r="X17" s="777">
        <v>0.86</v>
      </c>
      <c r="Y17" s="777">
        <v>1.07</v>
      </c>
      <c r="Z17" s="777">
        <v>0.5</v>
      </c>
      <c r="AA17" s="1433" t="s">
        <v>954</v>
      </c>
      <c r="AB17" s="777">
        <v>1.03</v>
      </c>
      <c r="AC17" s="777">
        <v>0.38</v>
      </c>
      <c r="AD17" s="777">
        <v>0.54</v>
      </c>
      <c r="AE17" s="777">
        <v>1.1299999999999999</v>
      </c>
      <c r="AF17" s="777">
        <v>0.61</v>
      </c>
      <c r="AG17" s="777">
        <v>0.72</v>
      </c>
      <c r="AH17" s="777">
        <v>0.73</v>
      </c>
      <c r="AI17" s="777">
        <v>0.72</v>
      </c>
      <c r="AJ17" s="777">
        <v>0.94</v>
      </c>
      <c r="AK17" s="777">
        <v>0.95</v>
      </c>
      <c r="AL17" s="777">
        <v>0.88</v>
      </c>
      <c r="AM17" s="777">
        <v>1.25</v>
      </c>
    </row>
    <row r="18" spans="1:39" s="459" customFormat="1" ht="13.9" customHeight="1">
      <c r="A18" s="1432" t="s">
        <v>955</v>
      </c>
      <c r="B18" s="986">
        <v>0.09</v>
      </c>
      <c r="C18" s="986">
        <v>0.19</v>
      </c>
      <c r="D18" s="986">
        <v>0</v>
      </c>
      <c r="E18" s="986">
        <v>0.05</v>
      </c>
      <c r="F18" s="986">
        <v>0.25</v>
      </c>
      <c r="G18" s="986">
        <v>0</v>
      </c>
      <c r="H18" s="986">
        <v>0.17</v>
      </c>
      <c r="I18" s="986">
        <v>0.38</v>
      </c>
      <c r="J18" s="986">
        <v>0</v>
      </c>
      <c r="K18" s="986">
        <v>0.37</v>
      </c>
      <c r="L18" s="986">
        <v>0.56999999999999995</v>
      </c>
      <c r="M18" s="986">
        <v>0</v>
      </c>
      <c r="N18" s="1432" t="s">
        <v>955</v>
      </c>
      <c r="O18" s="986">
        <v>0.39</v>
      </c>
      <c r="P18" s="986">
        <v>0.43</v>
      </c>
      <c r="Q18" s="986">
        <v>0.3</v>
      </c>
      <c r="R18" s="986">
        <v>0.39</v>
      </c>
      <c r="S18" s="986">
        <v>0.52</v>
      </c>
      <c r="T18" s="986">
        <v>0.32</v>
      </c>
      <c r="U18" s="986">
        <v>0.68</v>
      </c>
      <c r="V18" s="986">
        <v>0.69</v>
      </c>
      <c r="W18" s="986">
        <v>0.4</v>
      </c>
      <c r="X18" s="986">
        <v>0.87</v>
      </c>
      <c r="Y18" s="986">
        <v>1.06</v>
      </c>
      <c r="Z18" s="986">
        <v>0.5</v>
      </c>
      <c r="AA18" s="1432" t="s">
        <v>955</v>
      </c>
      <c r="AB18" s="986">
        <v>1.07</v>
      </c>
      <c r="AC18" s="986">
        <v>0.48</v>
      </c>
      <c r="AD18" s="986">
        <v>0.35</v>
      </c>
      <c r="AE18" s="986">
        <v>1.1299999999999999</v>
      </c>
      <c r="AF18" s="986">
        <v>0.7</v>
      </c>
      <c r="AG18" s="986">
        <v>0.72</v>
      </c>
      <c r="AH18" s="986">
        <v>0.77</v>
      </c>
      <c r="AI18" s="986">
        <v>0.69</v>
      </c>
      <c r="AJ18" s="986">
        <v>0.94</v>
      </c>
      <c r="AK18" s="986">
        <v>0.95</v>
      </c>
      <c r="AL18" s="986">
        <v>0.88</v>
      </c>
      <c r="AM18" s="986">
        <v>1.25</v>
      </c>
    </row>
    <row r="19" spans="1:39" s="459" customFormat="1" ht="13.9" customHeight="1">
      <c r="A19" s="1433" t="s">
        <v>949</v>
      </c>
      <c r="B19" s="777">
        <v>0.1</v>
      </c>
      <c r="C19" s="777">
        <v>0.19</v>
      </c>
      <c r="D19" s="777">
        <v>0</v>
      </c>
      <c r="E19" s="777">
        <v>7.0000000000000007E-2</v>
      </c>
      <c r="F19" s="777">
        <v>0.25</v>
      </c>
      <c r="G19" s="777">
        <v>0</v>
      </c>
      <c r="H19" s="777">
        <v>0.21</v>
      </c>
      <c r="I19" s="777">
        <v>0.38</v>
      </c>
      <c r="J19" s="777">
        <v>0</v>
      </c>
      <c r="K19" s="777">
        <v>0.39</v>
      </c>
      <c r="L19" s="777">
        <v>0.56000000000000005</v>
      </c>
      <c r="M19" s="777">
        <v>0</v>
      </c>
      <c r="N19" s="1433" t="s">
        <v>949</v>
      </c>
      <c r="O19" s="777">
        <v>0.41</v>
      </c>
      <c r="P19" s="777">
        <v>0.43</v>
      </c>
      <c r="Q19" s="777">
        <v>0.3</v>
      </c>
      <c r="R19" s="777">
        <v>0.4</v>
      </c>
      <c r="S19" s="777">
        <v>0.53</v>
      </c>
      <c r="T19" s="777">
        <v>0.32</v>
      </c>
      <c r="U19" s="777">
        <v>0.71</v>
      </c>
      <c r="V19" s="777">
        <v>0.71</v>
      </c>
      <c r="W19" s="777">
        <v>0.42</v>
      </c>
      <c r="X19" s="777">
        <v>0.88</v>
      </c>
      <c r="Y19" s="777">
        <v>1.08</v>
      </c>
      <c r="Z19" s="777">
        <v>0.52</v>
      </c>
      <c r="AA19" s="1433" t="s">
        <v>949</v>
      </c>
      <c r="AB19" s="777">
        <v>1</v>
      </c>
      <c r="AC19" s="777">
        <v>0.36</v>
      </c>
      <c r="AD19" s="777">
        <v>0.54</v>
      </c>
      <c r="AE19" s="777">
        <v>1.18</v>
      </c>
      <c r="AF19" s="777">
        <v>0.65</v>
      </c>
      <c r="AG19" s="777">
        <v>0.75</v>
      </c>
      <c r="AH19" s="777">
        <v>0.75</v>
      </c>
      <c r="AI19" s="777">
        <v>0.69</v>
      </c>
      <c r="AJ19" s="777">
        <v>0.94</v>
      </c>
      <c r="AK19" s="777">
        <v>0.95</v>
      </c>
      <c r="AL19" s="777">
        <v>0.88</v>
      </c>
      <c r="AM19" s="777">
        <v>1.25</v>
      </c>
    </row>
    <row r="20" spans="1:39" s="459" customFormat="1" ht="13.9" customHeight="1">
      <c r="A20" s="1432" t="s">
        <v>956</v>
      </c>
      <c r="B20" s="986">
        <v>0.09</v>
      </c>
      <c r="C20" s="986">
        <v>0.19</v>
      </c>
      <c r="D20" s="986">
        <v>0</v>
      </c>
      <c r="E20" s="986">
        <v>7.0000000000000007E-2</v>
      </c>
      <c r="F20" s="986">
        <v>0.24</v>
      </c>
      <c r="G20" s="986">
        <v>0</v>
      </c>
      <c r="H20" s="986">
        <v>0.2</v>
      </c>
      <c r="I20" s="986">
        <v>0.38</v>
      </c>
      <c r="J20" s="986">
        <v>0</v>
      </c>
      <c r="K20" s="986">
        <v>0.39</v>
      </c>
      <c r="L20" s="986">
        <v>0.55000000000000004</v>
      </c>
      <c r="M20" s="986">
        <v>0</v>
      </c>
      <c r="N20" s="1432" t="s">
        <v>956</v>
      </c>
      <c r="O20" s="986">
        <v>0.4</v>
      </c>
      <c r="P20" s="986">
        <v>0.42</v>
      </c>
      <c r="Q20" s="986">
        <v>0.3</v>
      </c>
      <c r="R20" s="986">
        <v>0.39</v>
      </c>
      <c r="S20" s="986">
        <v>0.5</v>
      </c>
      <c r="T20" s="986">
        <v>0.31</v>
      </c>
      <c r="U20" s="986">
        <v>0.68</v>
      </c>
      <c r="V20" s="986">
        <v>0.75</v>
      </c>
      <c r="W20" s="986">
        <v>0.44</v>
      </c>
      <c r="X20" s="986">
        <v>0.86</v>
      </c>
      <c r="Y20" s="986">
        <v>1.02</v>
      </c>
      <c r="Z20" s="986">
        <v>0.42</v>
      </c>
      <c r="AA20" s="1432" t="s">
        <v>956</v>
      </c>
      <c r="AB20" s="986">
        <v>1.02</v>
      </c>
      <c r="AC20" s="986">
        <v>0.53</v>
      </c>
      <c r="AD20" s="986">
        <v>0.59</v>
      </c>
      <c r="AE20" s="986">
        <v>1.1100000000000001</v>
      </c>
      <c r="AF20" s="986">
        <v>0.62</v>
      </c>
      <c r="AG20" s="986">
        <v>0.69</v>
      </c>
      <c r="AH20" s="986">
        <v>0.79</v>
      </c>
      <c r="AI20" s="986">
        <v>0.72</v>
      </c>
      <c r="AJ20" s="986">
        <v>1</v>
      </c>
      <c r="AK20" s="986">
        <v>0.95</v>
      </c>
      <c r="AL20" s="986">
        <v>0.87</v>
      </c>
      <c r="AM20" s="986">
        <v>1.25</v>
      </c>
    </row>
    <row r="21" spans="1:39" s="459" customFormat="1" ht="13.9" customHeight="1">
      <c r="A21" s="1433" t="s">
        <v>957</v>
      </c>
      <c r="B21" s="777">
        <v>0.11</v>
      </c>
      <c r="C21" s="777">
        <v>0.19</v>
      </c>
      <c r="D21" s="777">
        <v>0</v>
      </c>
      <c r="E21" s="777">
        <v>0.09</v>
      </c>
      <c r="F21" s="777">
        <v>0.24</v>
      </c>
      <c r="G21" s="777">
        <v>0</v>
      </c>
      <c r="H21" s="777">
        <v>0.24</v>
      </c>
      <c r="I21" s="777">
        <v>0.37</v>
      </c>
      <c r="J21" s="777">
        <v>0</v>
      </c>
      <c r="K21" s="777">
        <v>0.43</v>
      </c>
      <c r="L21" s="777">
        <v>0.55000000000000004</v>
      </c>
      <c r="M21" s="777">
        <v>0</v>
      </c>
      <c r="N21" s="1433" t="s">
        <v>957</v>
      </c>
      <c r="O21" s="777">
        <v>0.43</v>
      </c>
      <c r="P21" s="777">
        <v>0.48</v>
      </c>
      <c r="Q21" s="777">
        <v>0.32</v>
      </c>
      <c r="R21" s="777">
        <v>0.47</v>
      </c>
      <c r="S21" s="777">
        <v>0.53</v>
      </c>
      <c r="T21" s="777">
        <v>0.31</v>
      </c>
      <c r="U21" s="777">
        <v>0.75</v>
      </c>
      <c r="V21" s="777">
        <v>0.76</v>
      </c>
      <c r="W21" s="777">
        <v>0.56000000000000005</v>
      </c>
      <c r="X21" s="777">
        <v>0.9</v>
      </c>
      <c r="Y21" s="777">
        <v>1.0900000000000001</v>
      </c>
      <c r="Z21" s="777">
        <v>0.51</v>
      </c>
      <c r="AA21" s="1433" t="s">
        <v>957</v>
      </c>
      <c r="AB21" s="777">
        <v>1</v>
      </c>
      <c r="AC21" s="777">
        <v>0.44</v>
      </c>
      <c r="AD21" s="777">
        <v>0.59</v>
      </c>
      <c r="AE21" s="777">
        <v>1.1200000000000001</v>
      </c>
      <c r="AF21" s="777">
        <v>0.68</v>
      </c>
      <c r="AG21" s="777">
        <v>0.69</v>
      </c>
      <c r="AH21" s="777">
        <v>0.76</v>
      </c>
      <c r="AI21" s="777">
        <v>0.73</v>
      </c>
      <c r="AJ21" s="777">
        <v>1</v>
      </c>
      <c r="AK21" s="777">
        <v>0.97</v>
      </c>
      <c r="AL21" s="777">
        <v>0.88</v>
      </c>
      <c r="AM21" s="777">
        <v>1.25</v>
      </c>
    </row>
    <row r="22" spans="1:39" s="459" customFormat="1" ht="13.9" customHeight="1">
      <c r="A22" s="1432" t="s">
        <v>950</v>
      </c>
      <c r="B22" s="986">
        <v>0.05</v>
      </c>
      <c r="C22" s="986">
        <v>0.18</v>
      </c>
      <c r="D22" s="986">
        <v>0</v>
      </c>
      <c r="E22" s="986">
        <v>0.16</v>
      </c>
      <c r="F22" s="986">
        <v>0.24</v>
      </c>
      <c r="G22" s="986">
        <v>0</v>
      </c>
      <c r="H22" s="986">
        <v>0.32</v>
      </c>
      <c r="I22" s="986">
        <v>0.37</v>
      </c>
      <c r="J22" s="986">
        <v>0</v>
      </c>
      <c r="K22" s="986">
        <v>0.51</v>
      </c>
      <c r="L22" s="986">
        <v>0.55000000000000004</v>
      </c>
      <c r="M22" s="986">
        <v>0</v>
      </c>
      <c r="N22" s="1432" t="s">
        <v>950</v>
      </c>
      <c r="O22" s="986">
        <v>0.49</v>
      </c>
      <c r="P22" s="986">
        <v>0.49</v>
      </c>
      <c r="Q22" s="986">
        <v>0.3</v>
      </c>
      <c r="R22" s="986">
        <v>0.53</v>
      </c>
      <c r="S22" s="986">
        <v>0.54</v>
      </c>
      <c r="T22" s="986">
        <v>0.31</v>
      </c>
      <c r="U22" s="986">
        <v>1.37</v>
      </c>
      <c r="V22" s="986">
        <v>0.69</v>
      </c>
      <c r="W22" s="986">
        <v>0.56000000000000005</v>
      </c>
      <c r="X22" s="986">
        <v>1.39</v>
      </c>
      <c r="Y22" s="986">
        <v>0.86</v>
      </c>
      <c r="Z22" s="986">
        <v>0.48</v>
      </c>
      <c r="AA22" s="1432" t="s">
        <v>950</v>
      </c>
      <c r="AB22" s="986">
        <v>1.01</v>
      </c>
      <c r="AC22" s="986">
        <v>0.47</v>
      </c>
      <c r="AD22" s="986">
        <v>0.57999999999999996</v>
      </c>
      <c r="AE22" s="986">
        <v>1.2</v>
      </c>
      <c r="AF22" s="986">
        <v>0.62</v>
      </c>
      <c r="AG22" s="986">
        <v>0.75</v>
      </c>
      <c r="AH22" s="986">
        <v>0.76</v>
      </c>
      <c r="AI22" s="986">
        <v>0.73</v>
      </c>
      <c r="AJ22" s="986">
        <v>1</v>
      </c>
      <c r="AK22" s="986">
        <v>0.97</v>
      </c>
      <c r="AL22" s="986">
        <v>0.88</v>
      </c>
      <c r="AM22" s="986">
        <v>1.25</v>
      </c>
    </row>
    <row r="23" spans="1:39" s="459" customFormat="1" ht="13.9" customHeight="1">
      <c r="A23" s="1433" t="s">
        <v>958</v>
      </c>
      <c r="B23" s="777">
        <v>0.16</v>
      </c>
      <c r="C23" s="777">
        <v>0.18</v>
      </c>
      <c r="D23" s="777">
        <v>0</v>
      </c>
      <c r="E23" s="777">
        <v>0.28999999999999998</v>
      </c>
      <c r="F23" s="777">
        <v>0.25</v>
      </c>
      <c r="G23" s="777">
        <v>0</v>
      </c>
      <c r="H23" s="777">
        <v>0.44</v>
      </c>
      <c r="I23" s="777">
        <v>0.38</v>
      </c>
      <c r="J23" s="777">
        <v>0</v>
      </c>
      <c r="K23" s="777">
        <v>0.63</v>
      </c>
      <c r="L23" s="777">
        <v>0.56000000000000005</v>
      </c>
      <c r="M23" s="777">
        <v>0</v>
      </c>
      <c r="N23" s="1433" t="s">
        <v>958</v>
      </c>
      <c r="O23" s="777">
        <v>0.47</v>
      </c>
      <c r="P23" s="777">
        <v>0.43</v>
      </c>
      <c r="Q23" s="777">
        <v>0.37</v>
      </c>
      <c r="R23" s="777">
        <v>0.53</v>
      </c>
      <c r="S23" s="777">
        <v>0.51</v>
      </c>
      <c r="T23" s="777">
        <v>0.37</v>
      </c>
      <c r="U23" s="777">
        <v>1.36</v>
      </c>
      <c r="V23" s="777">
        <v>0.73</v>
      </c>
      <c r="W23" s="777">
        <v>0.62</v>
      </c>
      <c r="X23" s="777">
        <v>1.34</v>
      </c>
      <c r="Y23" s="777">
        <v>0.78</v>
      </c>
      <c r="Z23" s="777">
        <v>0.47</v>
      </c>
      <c r="AA23" s="1433" t="s">
        <v>958</v>
      </c>
      <c r="AB23" s="777">
        <v>1.1299999999999999</v>
      </c>
      <c r="AC23" s="777">
        <v>0.43</v>
      </c>
      <c r="AD23" s="777">
        <v>0.54</v>
      </c>
      <c r="AE23" s="777">
        <v>1.19</v>
      </c>
      <c r="AF23" s="777">
        <v>0.61</v>
      </c>
      <c r="AG23" s="777">
        <v>0.53</v>
      </c>
      <c r="AH23" s="777">
        <v>0.93</v>
      </c>
      <c r="AI23" s="777">
        <v>0.73</v>
      </c>
      <c r="AJ23" s="777">
        <v>0.73</v>
      </c>
      <c r="AK23" s="777">
        <v>0.77</v>
      </c>
      <c r="AL23" s="777">
        <v>0.76</v>
      </c>
      <c r="AM23" s="777">
        <v>0.72</v>
      </c>
    </row>
    <row r="24" spans="1:39" s="459" customFormat="1" ht="13.9" customHeight="1">
      <c r="A24" s="1432" t="s">
        <v>959</v>
      </c>
      <c r="B24" s="986">
        <v>0.17</v>
      </c>
      <c r="C24" s="986">
        <v>0.19</v>
      </c>
      <c r="D24" s="986">
        <v>0</v>
      </c>
      <c r="E24" s="986">
        <v>0.3</v>
      </c>
      <c r="F24" s="986">
        <v>0.25</v>
      </c>
      <c r="G24" s="986">
        <v>0</v>
      </c>
      <c r="H24" s="986">
        <v>0.47</v>
      </c>
      <c r="I24" s="986">
        <v>0.37</v>
      </c>
      <c r="J24" s="986">
        <v>0</v>
      </c>
      <c r="K24" s="986">
        <v>0.63</v>
      </c>
      <c r="L24" s="986">
        <v>0.52</v>
      </c>
      <c r="M24" s="986">
        <v>0</v>
      </c>
      <c r="N24" s="1432" t="s">
        <v>959</v>
      </c>
      <c r="O24" s="986">
        <v>0.48</v>
      </c>
      <c r="P24" s="986">
        <v>0.41</v>
      </c>
      <c r="Q24" s="986">
        <v>0.28999999999999998</v>
      </c>
      <c r="R24" s="986">
        <v>0.53</v>
      </c>
      <c r="S24" s="986">
        <v>0.47</v>
      </c>
      <c r="T24" s="986">
        <v>0.3</v>
      </c>
      <c r="U24" s="986">
        <v>1.43</v>
      </c>
      <c r="V24" s="986">
        <v>0.73</v>
      </c>
      <c r="W24" s="986">
        <v>0.55000000000000004</v>
      </c>
      <c r="X24" s="986">
        <v>1.4</v>
      </c>
      <c r="Y24" s="986">
        <v>0.77</v>
      </c>
      <c r="Z24" s="986">
        <v>0.57999999999999996</v>
      </c>
      <c r="AA24" s="1432" t="s">
        <v>959</v>
      </c>
      <c r="AB24" s="986">
        <v>1.08</v>
      </c>
      <c r="AC24" s="986">
        <v>0.48</v>
      </c>
      <c r="AD24" s="986">
        <v>0.59</v>
      </c>
      <c r="AE24" s="986">
        <v>1.18</v>
      </c>
      <c r="AF24" s="986">
        <v>0.7</v>
      </c>
      <c r="AG24" s="986">
        <v>0.57999999999999996</v>
      </c>
      <c r="AH24" s="986">
        <v>0.86</v>
      </c>
      <c r="AI24" s="986">
        <v>0.68</v>
      </c>
      <c r="AJ24" s="986">
        <v>1</v>
      </c>
      <c r="AK24" s="986">
        <v>0.97</v>
      </c>
      <c r="AL24" s="986">
        <v>0.88</v>
      </c>
      <c r="AM24" s="986">
        <v>1.07</v>
      </c>
    </row>
    <row r="25" spans="1:39" s="459" customFormat="1" ht="13.9" customHeight="1">
      <c r="A25" s="1433" t="s">
        <v>951</v>
      </c>
      <c r="B25" s="774">
        <v>0.18</v>
      </c>
      <c r="C25" s="774">
        <v>0.19</v>
      </c>
      <c r="D25" s="777">
        <v>0</v>
      </c>
      <c r="E25" s="774">
        <v>0.32</v>
      </c>
      <c r="F25" s="774">
        <v>0.25</v>
      </c>
      <c r="G25" s="777">
        <v>0</v>
      </c>
      <c r="H25" s="774">
        <v>0.49</v>
      </c>
      <c r="I25" s="774">
        <v>0.37</v>
      </c>
      <c r="J25" s="777">
        <v>0</v>
      </c>
      <c r="K25" s="774">
        <v>0.67</v>
      </c>
      <c r="L25" s="774">
        <v>0.53</v>
      </c>
      <c r="M25" s="777">
        <v>0</v>
      </c>
      <c r="N25" s="1433" t="s">
        <v>951</v>
      </c>
      <c r="O25" s="774">
        <v>0.47</v>
      </c>
      <c r="P25" s="774">
        <v>0.39</v>
      </c>
      <c r="Q25" s="774">
        <v>0.28000000000000003</v>
      </c>
      <c r="R25" s="774">
        <v>0.47</v>
      </c>
      <c r="S25" s="774">
        <v>0.47</v>
      </c>
      <c r="T25" s="774">
        <v>0.28999999999999998</v>
      </c>
      <c r="U25" s="774">
        <v>1.39</v>
      </c>
      <c r="V25" s="774">
        <v>0.64</v>
      </c>
      <c r="W25" s="774">
        <v>0.49</v>
      </c>
      <c r="X25" s="774">
        <v>1.39</v>
      </c>
      <c r="Y25" s="774">
        <v>0.76</v>
      </c>
      <c r="Z25" s="774">
        <v>0.52</v>
      </c>
      <c r="AA25" s="1433" t="s">
        <v>951</v>
      </c>
      <c r="AB25" s="774">
        <v>1.03</v>
      </c>
      <c r="AC25" s="774">
        <v>0.36</v>
      </c>
      <c r="AD25" s="774">
        <v>0.54</v>
      </c>
      <c r="AE25" s="774">
        <v>1.21</v>
      </c>
      <c r="AF25" s="774">
        <v>0.66</v>
      </c>
      <c r="AG25" s="774">
        <v>0.75</v>
      </c>
      <c r="AH25" s="774">
        <v>0.86</v>
      </c>
      <c r="AI25" s="774">
        <v>0.69</v>
      </c>
      <c r="AJ25" s="777">
        <v>1</v>
      </c>
      <c r="AK25" s="774">
        <v>0.99</v>
      </c>
      <c r="AL25" s="774">
        <v>0.87</v>
      </c>
      <c r="AM25" s="774">
        <v>1.07</v>
      </c>
    </row>
    <row r="26" spans="1:39" s="459" customFormat="1" ht="13.9" customHeight="1">
      <c r="A26" s="1432" t="s">
        <v>960</v>
      </c>
      <c r="B26" s="808">
        <v>0.18</v>
      </c>
      <c r="C26" s="808">
        <v>0.17</v>
      </c>
      <c r="D26" s="986">
        <v>0</v>
      </c>
      <c r="E26" s="808">
        <v>0.3</v>
      </c>
      <c r="F26" s="808">
        <v>0.23</v>
      </c>
      <c r="G26" s="986">
        <v>0</v>
      </c>
      <c r="H26" s="808">
        <v>0.46</v>
      </c>
      <c r="I26" s="808">
        <v>0.34</v>
      </c>
      <c r="J26" s="986">
        <v>0</v>
      </c>
      <c r="K26" s="808">
        <v>0.62</v>
      </c>
      <c r="L26" s="808">
        <v>0.48</v>
      </c>
      <c r="M26" s="986">
        <v>0</v>
      </c>
      <c r="N26" s="1432" t="s">
        <v>960</v>
      </c>
      <c r="O26" s="808">
        <v>0.42</v>
      </c>
      <c r="P26" s="808">
        <v>0.41</v>
      </c>
      <c r="Q26" s="808">
        <v>0.28000000000000003</v>
      </c>
      <c r="R26" s="808">
        <v>0.51</v>
      </c>
      <c r="S26" s="808">
        <v>0.48</v>
      </c>
      <c r="T26" s="808">
        <v>0.28999999999999998</v>
      </c>
      <c r="U26" s="808">
        <v>1.34</v>
      </c>
      <c r="V26" s="808">
        <v>0.71</v>
      </c>
      <c r="W26" s="808">
        <v>0.49</v>
      </c>
      <c r="X26" s="808">
        <v>1.39</v>
      </c>
      <c r="Y26" s="808">
        <v>0.78</v>
      </c>
      <c r="Z26" s="808">
        <v>0.59</v>
      </c>
      <c r="AA26" s="1432" t="s">
        <v>960</v>
      </c>
      <c r="AB26" s="808">
        <v>0.94</v>
      </c>
      <c r="AC26" s="986">
        <v>0.4</v>
      </c>
      <c r="AD26" s="808">
        <v>0.46</v>
      </c>
      <c r="AE26" s="808">
        <v>1.24</v>
      </c>
      <c r="AF26" s="808">
        <v>0.66</v>
      </c>
      <c r="AG26" s="808">
        <v>0.45</v>
      </c>
      <c r="AH26" s="808">
        <v>0.88</v>
      </c>
      <c r="AI26" s="808">
        <v>0.69</v>
      </c>
      <c r="AJ26" s="986">
        <v>0.75</v>
      </c>
      <c r="AK26" s="986">
        <v>1</v>
      </c>
      <c r="AL26" s="808">
        <v>0.99</v>
      </c>
      <c r="AM26" s="808">
        <v>0.94</v>
      </c>
    </row>
    <row r="27" spans="1:39" s="459" customFormat="1" ht="13.9" customHeight="1">
      <c r="A27" s="1433" t="s">
        <v>961</v>
      </c>
      <c r="B27" s="774">
        <v>0.18</v>
      </c>
      <c r="C27" s="774">
        <v>0.19</v>
      </c>
      <c r="D27" s="777">
        <v>0</v>
      </c>
      <c r="E27" s="774">
        <v>0.32</v>
      </c>
      <c r="F27" s="774">
        <v>0.25</v>
      </c>
      <c r="G27" s="777">
        <v>0</v>
      </c>
      <c r="H27" s="774">
        <v>0.51</v>
      </c>
      <c r="I27" s="774">
        <v>0.37</v>
      </c>
      <c r="J27" s="777">
        <v>0</v>
      </c>
      <c r="K27" s="777">
        <v>0.7</v>
      </c>
      <c r="L27" s="774">
        <v>0.54</v>
      </c>
      <c r="M27" s="777">
        <v>0</v>
      </c>
      <c r="N27" s="1433" t="s">
        <v>961</v>
      </c>
      <c r="O27" s="774">
        <v>0.46</v>
      </c>
      <c r="P27" s="774">
        <v>0.4</v>
      </c>
      <c r="Q27" s="774">
        <v>0.27</v>
      </c>
      <c r="R27" s="774">
        <v>0.51</v>
      </c>
      <c r="S27" s="774">
        <v>0.47</v>
      </c>
      <c r="T27" s="774">
        <v>0.27</v>
      </c>
      <c r="U27" s="774">
        <v>1.41</v>
      </c>
      <c r="V27" s="774">
        <v>0.62</v>
      </c>
      <c r="W27" s="774">
        <v>0.46</v>
      </c>
      <c r="X27" s="774">
        <v>1.43</v>
      </c>
      <c r="Y27" s="774">
        <v>0.76</v>
      </c>
      <c r="Z27" s="774">
        <v>0.53</v>
      </c>
      <c r="AA27" s="1433" t="s">
        <v>961</v>
      </c>
      <c r="AB27" s="774">
        <v>0.98</v>
      </c>
      <c r="AC27" s="777">
        <v>0.49</v>
      </c>
      <c r="AD27" s="774">
        <v>0.46</v>
      </c>
      <c r="AE27" s="774">
        <v>1.19</v>
      </c>
      <c r="AF27" s="774">
        <v>0.68</v>
      </c>
      <c r="AG27" s="774">
        <v>0.45</v>
      </c>
      <c r="AH27" s="774">
        <v>1.07</v>
      </c>
      <c r="AI27" s="774">
        <v>0.73</v>
      </c>
      <c r="AJ27" s="777">
        <v>0.75</v>
      </c>
      <c r="AK27" s="777">
        <v>1</v>
      </c>
      <c r="AL27" s="774">
        <v>0.99</v>
      </c>
      <c r="AM27" s="774">
        <v>0.94</v>
      </c>
    </row>
    <row r="28" spans="1:39" s="459" customFormat="1" ht="13.9" customHeight="1">
      <c r="A28" s="1432" t="s">
        <v>952</v>
      </c>
      <c r="B28" s="808">
        <v>0.19</v>
      </c>
      <c r="C28" s="808">
        <v>0.18</v>
      </c>
      <c r="D28" s="986">
        <v>0</v>
      </c>
      <c r="E28" s="808">
        <v>0.34</v>
      </c>
      <c r="F28" s="808">
        <v>0.23</v>
      </c>
      <c r="G28" s="986">
        <v>0</v>
      </c>
      <c r="H28" s="808">
        <v>0.53</v>
      </c>
      <c r="I28" s="808">
        <v>0.34</v>
      </c>
      <c r="J28" s="986">
        <v>0</v>
      </c>
      <c r="K28" s="986">
        <v>0.74</v>
      </c>
      <c r="L28" s="986">
        <v>0.5</v>
      </c>
      <c r="M28" s="986">
        <v>0</v>
      </c>
      <c r="N28" s="1432" t="s">
        <v>952</v>
      </c>
      <c r="O28" s="808">
        <v>0.46</v>
      </c>
      <c r="P28" s="808">
        <v>0.43</v>
      </c>
      <c r="Q28" s="808">
        <v>0.27</v>
      </c>
      <c r="R28" s="808">
        <v>0.54</v>
      </c>
      <c r="S28" s="808">
        <v>0.49</v>
      </c>
      <c r="T28" s="808">
        <v>0.27</v>
      </c>
      <c r="U28" s="808">
        <v>1.46</v>
      </c>
      <c r="V28" s="808">
        <v>0.73</v>
      </c>
      <c r="W28" s="808">
        <v>0.46</v>
      </c>
      <c r="X28" s="808">
        <v>1.49</v>
      </c>
      <c r="Y28" s="808">
        <v>0.78</v>
      </c>
      <c r="Z28" s="808">
        <v>0.53</v>
      </c>
      <c r="AA28" s="1432" t="s">
        <v>952</v>
      </c>
      <c r="AB28" s="808">
        <v>1.04</v>
      </c>
      <c r="AC28" s="986">
        <v>0.4</v>
      </c>
      <c r="AD28" s="808">
        <v>0.42</v>
      </c>
      <c r="AE28" s="808">
        <v>1.26</v>
      </c>
      <c r="AF28" s="808">
        <v>0.61</v>
      </c>
      <c r="AG28" s="808">
        <v>0.5</v>
      </c>
      <c r="AH28" s="808">
        <v>0.83</v>
      </c>
      <c r="AI28" s="808">
        <v>0.74</v>
      </c>
      <c r="AJ28" s="986">
        <v>0.75</v>
      </c>
      <c r="AK28" s="986">
        <v>1</v>
      </c>
      <c r="AL28" s="808">
        <v>0.99</v>
      </c>
      <c r="AM28" s="808">
        <v>0.94</v>
      </c>
    </row>
    <row r="29" spans="1:39" s="459" customFormat="1" ht="13.9" customHeight="1">
      <c r="A29" s="1431" t="s">
        <v>2384</v>
      </c>
      <c r="B29" s="1275">
        <f>AVERAGE(B30:B41)</f>
        <v>0.46749999999999997</v>
      </c>
      <c r="C29" s="1275">
        <f t="shared" ref="C29:M29" si="3">AVERAGE(C30:C41)</f>
        <v>3.1666666666666676E-2</v>
      </c>
      <c r="D29" s="1275">
        <f t="shared" si="3"/>
        <v>0</v>
      </c>
      <c r="E29" s="1275">
        <f t="shared" si="3"/>
        <v>0.56916666666666671</v>
      </c>
      <c r="F29" s="1275">
        <f t="shared" si="3"/>
        <v>0.2525</v>
      </c>
      <c r="G29" s="1275">
        <f t="shared" si="3"/>
        <v>0</v>
      </c>
      <c r="H29" s="1275">
        <f t="shared" si="3"/>
        <v>0.86916666666666675</v>
      </c>
      <c r="I29" s="1275">
        <f t="shared" si="3"/>
        <v>0.21083333333333334</v>
      </c>
      <c r="J29" s="1275">
        <f t="shared" si="3"/>
        <v>0</v>
      </c>
      <c r="K29" s="1275">
        <f t="shared" si="3"/>
        <v>1.095</v>
      </c>
      <c r="L29" s="1275">
        <f t="shared" si="3"/>
        <v>0.36166666666666664</v>
      </c>
      <c r="M29" s="1275">
        <f t="shared" si="3"/>
        <v>0</v>
      </c>
      <c r="N29" s="1431" t="s">
        <v>2384</v>
      </c>
      <c r="O29" s="1275">
        <f t="shared" ref="O29:Z29" si="4">AVERAGE(O30:O41)</f>
        <v>0.48500000000000004</v>
      </c>
      <c r="P29" s="1275">
        <f t="shared" si="4"/>
        <v>0.30583333333333335</v>
      </c>
      <c r="Q29" s="1275">
        <f t="shared" si="4"/>
        <v>0.32083333333333336</v>
      </c>
      <c r="R29" s="1275">
        <f t="shared" si="4"/>
        <v>0.85083333333333344</v>
      </c>
      <c r="S29" s="1275">
        <f t="shared" si="4"/>
        <v>0.37666666666666665</v>
      </c>
      <c r="T29" s="1275">
        <f t="shared" si="4"/>
        <v>0.25500000000000006</v>
      </c>
      <c r="U29" s="1275">
        <f t="shared" si="4"/>
        <v>0.90499999999999992</v>
      </c>
      <c r="V29" s="1275">
        <f t="shared" si="4"/>
        <v>0.50666666666666671</v>
      </c>
      <c r="W29" s="1275">
        <f t="shared" si="4"/>
        <v>0.38333333333333336</v>
      </c>
      <c r="X29" s="1275">
        <f t="shared" si="4"/>
        <v>1.0366666666666666</v>
      </c>
      <c r="Y29" s="1275">
        <f t="shared" si="4"/>
        <v>0.62916666666666676</v>
      </c>
      <c r="Z29" s="1275">
        <f t="shared" si="4"/>
        <v>0.46416666666666662</v>
      </c>
      <c r="AA29" s="1431" t="s">
        <v>2384</v>
      </c>
      <c r="AB29" s="1275">
        <f t="shared" ref="AB29:AM29" si="5">AVERAGE(AB30:AB41)</f>
        <v>1.01</v>
      </c>
      <c r="AC29" s="1275">
        <f t="shared" si="5"/>
        <v>0.44416666666666665</v>
      </c>
      <c r="AD29" s="1275">
        <f t="shared" si="5"/>
        <v>0.49166666666666664</v>
      </c>
      <c r="AE29" s="1275">
        <f t="shared" si="5"/>
        <v>1.1283333333333334</v>
      </c>
      <c r="AF29" s="1275">
        <f t="shared" si="5"/>
        <v>0.58333333333333337</v>
      </c>
      <c r="AG29" s="1275">
        <f t="shared" si="5"/>
        <v>0.47666666666666657</v>
      </c>
      <c r="AH29" s="1275">
        <f t="shared" si="5"/>
        <v>0.86666666666666659</v>
      </c>
      <c r="AI29" s="1275">
        <f t="shared" si="5"/>
        <v>0.67249999999999999</v>
      </c>
      <c r="AJ29" s="1275">
        <f t="shared" si="5"/>
        <v>0.72916666666666663</v>
      </c>
      <c r="AK29" s="1275">
        <f t="shared" si="5"/>
        <v>1.0458333333333332</v>
      </c>
      <c r="AL29" s="1275">
        <f t="shared" si="5"/>
        <v>0.80000000000000016</v>
      </c>
      <c r="AM29" s="1275">
        <f t="shared" si="5"/>
        <v>0.9291666666666667</v>
      </c>
    </row>
    <row r="30" spans="1:39" s="459" customFormat="1" ht="13.9" customHeight="1">
      <c r="A30" s="1432" t="s">
        <v>954</v>
      </c>
      <c r="B30" s="808">
        <v>0.19</v>
      </c>
      <c r="C30" s="808">
        <v>0.18</v>
      </c>
      <c r="D30" s="986">
        <v>0</v>
      </c>
      <c r="E30" s="808">
        <v>0.32</v>
      </c>
      <c r="F30" s="808">
        <v>0.18</v>
      </c>
      <c r="G30" s="986">
        <v>0</v>
      </c>
      <c r="H30" s="808">
        <v>0.51</v>
      </c>
      <c r="I30" s="808">
        <v>0.25</v>
      </c>
      <c r="J30" s="986">
        <v>0</v>
      </c>
      <c r="K30" s="986">
        <v>0.52</v>
      </c>
      <c r="L30" s="986">
        <v>0.39</v>
      </c>
      <c r="M30" s="986">
        <v>0</v>
      </c>
      <c r="N30" s="1432" t="s">
        <v>954</v>
      </c>
      <c r="O30" s="808">
        <v>0.46</v>
      </c>
      <c r="P30" s="808">
        <v>0.39</v>
      </c>
      <c r="Q30" s="808">
        <v>0.32</v>
      </c>
      <c r="R30" s="808">
        <v>0.53</v>
      </c>
      <c r="S30" s="808">
        <v>0.45</v>
      </c>
      <c r="T30" s="808">
        <v>0.32</v>
      </c>
      <c r="U30" s="808">
        <v>0.87</v>
      </c>
      <c r="V30" s="808">
        <v>0.59</v>
      </c>
      <c r="W30" s="808">
        <v>0.49</v>
      </c>
      <c r="X30" s="808">
        <v>0.92</v>
      </c>
      <c r="Y30" s="808">
        <v>0.74</v>
      </c>
      <c r="Z30" s="808">
        <v>0.55000000000000004</v>
      </c>
      <c r="AA30" s="1432" t="s">
        <v>954</v>
      </c>
      <c r="AB30" s="808">
        <v>1.1200000000000001</v>
      </c>
      <c r="AC30" s="986">
        <v>0.56999999999999995</v>
      </c>
      <c r="AD30" s="808">
        <v>0.46</v>
      </c>
      <c r="AE30" s="808">
        <v>1.18</v>
      </c>
      <c r="AF30" s="808">
        <v>0.61</v>
      </c>
      <c r="AG30" s="808">
        <v>0.45</v>
      </c>
      <c r="AH30" s="808">
        <v>0.83</v>
      </c>
      <c r="AI30" s="808">
        <v>0.74</v>
      </c>
      <c r="AJ30" s="986">
        <v>0.82</v>
      </c>
      <c r="AK30" s="986">
        <v>1.01</v>
      </c>
      <c r="AL30" s="808">
        <v>0.82</v>
      </c>
      <c r="AM30" s="986">
        <v>1</v>
      </c>
    </row>
    <row r="31" spans="1:39" s="459" customFormat="1" ht="13.9" customHeight="1">
      <c r="A31" s="1433" t="s">
        <v>955</v>
      </c>
      <c r="B31" s="774">
        <v>0.21</v>
      </c>
      <c r="C31" s="777">
        <v>0.1</v>
      </c>
      <c r="D31" s="777">
        <v>0</v>
      </c>
      <c r="E31" s="774">
        <v>0.42</v>
      </c>
      <c r="F31" s="774">
        <v>0.13</v>
      </c>
      <c r="G31" s="777">
        <v>0</v>
      </c>
      <c r="H31" s="774">
        <v>0.71</v>
      </c>
      <c r="I31" s="774">
        <v>0.22</v>
      </c>
      <c r="J31" s="777">
        <v>0</v>
      </c>
      <c r="K31" s="777">
        <v>0.9</v>
      </c>
      <c r="L31" s="777">
        <v>0.35</v>
      </c>
      <c r="M31" s="777">
        <v>0</v>
      </c>
      <c r="N31" s="1433" t="s">
        <v>955</v>
      </c>
      <c r="O31" s="774">
        <v>0.46</v>
      </c>
      <c r="P31" s="774">
        <v>0.33</v>
      </c>
      <c r="Q31" s="774">
        <v>0.31</v>
      </c>
      <c r="R31" s="774">
        <v>3.94</v>
      </c>
      <c r="S31" s="774">
        <v>0.41</v>
      </c>
      <c r="T31" s="777">
        <v>0.3</v>
      </c>
      <c r="U31" s="774">
        <v>1.45</v>
      </c>
      <c r="V31" s="774">
        <v>0.53</v>
      </c>
      <c r="W31" s="774">
        <v>0.51</v>
      </c>
      <c r="X31" s="774">
        <v>1.65</v>
      </c>
      <c r="Y31" s="774">
        <v>0.67</v>
      </c>
      <c r="Z31" s="774">
        <v>0.61</v>
      </c>
      <c r="AA31" s="1433" t="s">
        <v>955</v>
      </c>
      <c r="AB31" s="774">
        <v>0.98</v>
      </c>
      <c r="AC31" s="777">
        <v>0.46</v>
      </c>
      <c r="AD31" s="774">
        <v>0.46</v>
      </c>
      <c r="AE31" s="774">
        <v>1.17</v>
      </c>
      <c r="AF31" s="774">
        <v>0.67</v>
      </c>
      <c r="AG31" s="774">
        <v>0.45</v>
      </c>
      <c r="AH31" s="774">
        <v>0.89</v>
      </c>
      <c r="AI31" s="774">
        <v>0.7</v>
      </c>
      <c r="AJ31" s="777">
        <v>0.82</v>
      </c>
      <c r="AK31" s="777">
        <v>1.01</v>
      </c>
      <c r="AL31" s="774">
        <v>0.82</v>
      </c>
      <c r="AM31" s="777">
        <v>1</v>
      </c>
    </row>
    <row r="32" spans="1:39" s="459" customFormat="1" ht="13.9" customHeight="1">
      <c r="A32" s="1432" t="s">
        <v>949</v>
      </c>
      <c r="B32" s="808">
        <v>0.21</v>
      </c>
      <c r="C32" s="808">
        <v>0.02</v>
      </c>
      <c r="D32" s="986">
        <v>0</v>
      </c>
      <c r="E32" s="808">
        <v>0.45</v>
      </c>
      <c r="F32" s="986">
        <v>0.1</v>
      </c>
      <c r="G32" s="986">
        <v>0</v>
      </c>
      <c r="H32" s="808">
        <v>0.75</v>
      </c>
      <c r="I32" s="808">
        <v>0.21</v>
      </c>
      <c r="J32" s="986">
        <v>0</v>
      </c>
      <c r="K32" s="986">
        <v>0.98</v>
      </c>
      <c r="L32" s="986">
        <v>0.37</v>
      </c>
      <c r="M32" s="986">
        <v>0</v>
      </c>
      <c r="N32" s="1432" t="s">
        <v>949</v>
      </c>
      <c r="O32" s="808">
        <v>0.51</v>
      </c>
      <c r="P32" s="808">
        <v>0.42</v>
      </c>
      <c r="Q32" s="808">
        <v>0.28999999999999998</v>
      </c>
      <c r="R32" s="808">
        <v>0.54</v>
      </c>
      <c r="S32" s="808">
        <v>0.49</v>
      </c>
      <c r="T32" s="808">
        <v>0.28999999999999998</v>
      </c>
      <c r="U32" s="808">
        <v>0.87</v>
      </c>
      <c r="V32" s="808">
        <v>0.79</v>
      </c>
      <c r="W32" s="808">
        <v>0.51</v>
      </c>
      <c r="X32" s="808">
        <v>0.92</v>
      </c>
      <c r="Y32" s="808">
        <v>0.75</v>
      </c>
      <c r="Z32" s="808">
        <v>0.56000000000000005</v>
      </c>
      <c r="AA32" s="1432" t="s">
        <v>949</v>
      </c>
      <c r="AB32" s="808">
        <v>1.1100000000000001</v>
      </c>
      <c r="AC32" s="986">
        <v>0.33</v>
      </c>
      <c r="AD32" s="808">
        <v>0.25</v>
      </c>
      <c r="AE32" s="808">
        <v>1.46</v>
      </c>
      <c r="AF32" s="986">
        <v>0.5</v>
      </c>
      <c r="AG32" s="986">
        <v>0.5</v>
      </c>
      <c r="AH32" s="808">
        <v>1.0900000000000001</v>
      </c>
      <c r="AI32" s="808">
        <v>0.65</v>
      </c>
      <c r="AJ32" s="986">
        <v>0.75</v>
      </c>
      <c r="AK32" s="986">
        <v>1.22</v>
      </c>
      <c r="AL32" s="808">
        <v>0.74</v>
      </c>
      <c r="AM32" s="986">
        <v>1</v>
      </c>
    </row>
    <row r="33" spans="1:39" s="459" customFormat="1" ht="13.9" customHeight="1">
      <c r="A33" s="1433" t="s">
        <v>956</v>
      </c>
      <c r="B33" s="774">
        <v>0.24</v>
      </c>
      <c r="C33" s="774">
        <v>0.01</v>
      </c>
      <c r="D33" s="777">
        <v>0</v>
      </c>
      <c r="E33" s="774">
        <v>0.49</v>
      </c>
      <c r="F33" s="774">
        <v>1.08</v>
      </c>
      <c r="G33" s="777">
        <v>0</v>
      </c>
      <c r="H33" s="774">
        <v>0.78</v>
      </c>
      <c r="I33" s="774">
        <v>0.22</v>
      </c>
      <c r="J33" s="777">
        <v>0</v>
      </c>
      <c r="K33" s="777">
        <v>0.98</v>
      </c>
      <c r="L33" s="777">
        <v>0.36</v>
      </c>
      <c r="M33" s="777">
        <v>0</v>
      </c>
      <c r="N33" s="1433" t="s">
        <v>956</v>
      </c>
      <c r="O33" s="774">
        <v>0.47</v>
      </c>
      <c r="P33" s="774">
        <v>0.32</v>
      </c>
      <c r="Q33" s="774">
        <v>0.32</v>
      </c>
      <c r="R33" s="777">
        <v>0.6</v>
      </c>
      <c r="S33" s="774">
        <v>0.41</v>
      </c>
      <c r="T33" s="774">
        <v>0.31</v>
      </c>
      <c r="U33" s="777">
        <v>1.6</v>
      </c>
      <c r="V33" s="774">
        <v>0.55000000000000004</v>
      </c>
      <c r="W33" s="774">
        <v>0.47</v>
      </c>
      <c r="X33" s="777">
        <v>1.6</v>
      </c>
      <c r="Y33" s="774">
        <v>0.69</v>
      </c>
      <c r="Z33" s="774">
        <v>0.53</v>
      </c>
      <c r="AA33" s="1433" t="s">
        <v>956</v>
      </c>
      <c r="AB33" s="777">
        <v>0.96</v>
      </c>
      <c r="AC33" s="777">
        <v>0.55000000000000004</v>
      </c>
      <c r="AD33" s="777">
        <v>0.46</v>
      </c>
      <c r="AE33" s="777">
        <v>1.1499999999999999</v>
      </c>
      <c r="AF33" s="777">
        <v>0.57999999999999996</v>
      </c>
      <c r="AG33" s="777">
        <v>0.56999999999999995</v>
      </c>
      <c r="AH33" s="777">
        <v>0.9</v>
      </c>
      <c r="AI33" s="777">
        <v>0.66</v>
      </c>
      <c r="AJ33" s="777">
        <v>0.75</v>
      </c>
      <c r="AK33" s="777">
        <v>1.04</v>
      </c>
      <c r="AL33" s="777">
        <v>0.82</v>
      </c>
      <c r="AM33" s="777">
        <v>1</v>
      </c>
    </row>
    <row r="34" spans="1:39" s="459" customFormat="1" ht="13.9" customHeight="1">
      <c r="A34" s="1432" t="s">
        <v>957</v>
      </c>
      <c r="B34" s="808">
        <v>0.25</v>
      </c>
      <c r="C34" s="808">
        <v>0.01</v>
      </c>
      <c r="D34" s="986">
        <v>0</v>
      </c>
      <c r="E34" s="808">
        <v>0.51</v>
      </c>
      <c r="F34" s="808">
        <v>0.69</v>
      </c>
      <c r="G34" s="986">
        <v>0</v>
      </c>
      <c r="H34" s="808">
        <v>0.61</v>
      </c>
      <c r="I34" s="808">
        <v>0.23</v>
      </c>
      <c r="J34" s="986">
        <v>0</v>
      </c>
      <c r="K34" s="986">
        <v>0.99</v>
      </c>
      <c r="L34" s="986">
        <v>0.38</v>
      </c>
      <c r="M34" s="986">
        <v>0</v>
      </c>
      <c r="N34" s="1432" t="s">
        <v>957</v>
      </c>
      <c r="O34" s="808">
        <v>0.47</v>
      </c>
      <c r="P34" s="808">
        <v>0.32</v>
      </c>
      <c r="Q34" s="808">
        <v>0.31</v>
      </c>
      <c r="R34" s="986">
        <v>0.57999999999999996</v>
      </c>
      <c r="S34" s="808">
        <v>0.41</v>
      </c>
      <c r="T34" s="808">
        <v>0.26</v>
      </c>
      <c r="U34" s="986">
        <v>0.88</v>
      </c>
      <c r="V34" s="808">
        <v>0.56000000000000005</v>
      </c>
      <c r="W34" s="808">
        <v>0.4</v>
      </c>
      <c r="X34" s="986">
        <v>0.99</v>
      </c>
      <c r="Y34" s="808">
        <v>0.67</v>
      </c>
      <c r="Z34" s="808">
        <v>0.49</v>
      </c>
      <c r="AA34" s="1432" t="s">
        <v>957</v>
      </c>
      <c r="AB34" s="986">
        <v>1</v>
      </c>
      <c r="AC34" s="986">
        <v>0.44</v>
      </c>
      <c r="AD34" s="986">
        <v>0.46</v>
      </c>
      <c r="AE34" s="986">
        <v>1.1499999999999999</v>
      </c>
      <c r="AF34" s="986">
        <v>0.65</v>
      </c>
      <c r="AG34" s="986">
        <v>0.56999999999999995</v>
      </c>
      <c r="AH34" s="986">
        <v>0.93</v>
      </c>
      <c r="AI34" s="986">
        <v>0.65</v>
      </c>
      <c r="AJ34" s="986">
        <v>0.75</v>
      </c>
      <c r="AK34" s="986">
        <v>1.0900000000000001</v>
      </c>
      <c r="AL34" s="986">
        <v>0.82</v>
      </c>
      <c r="AM34" s="986">
        <v>1</v>
      </c>
    </row>
    <row r="35" spans="1:39" s="459" customFormat="1" ht="13.9" customHeight="1">
      <c r="A35" s="1433" t="s">
        <v>950</v>
      </c>
      <c r="B35" s="774">
        <v>0.34</v>
      </c>
      <c r="C35" s="774">
        <v>0.01</v>
      </c>
      <c r="D35" s="777">
        <v>0</v>
      </c>
      <c r="E35" s="774">
        <v>0.56000000000000005</v>
      </c>
      <c r="F35" s="774">
        <v>0.48</v>
      </c>
      <c r="G35" s="777">
        <v>0</v>
      </c>
      <c r="H35" s="774">
        <v>0.82</v>
      </c>
      <c r="I35" s="774">
        <v>0.22</v>
      </c>
      <c r="J35" s="777">
        <v>0</v>
      </c>
      <c r="K35" s="777">
        <v>1.03</v>
      </c>
      <c r="L35" s="777">
        <v>0.36</v>
      </c>
      <c r="M35" s="777">
        <v>0</v>
      </c>
      <c r="N35" s="1433" t="s">
        <v>950</v>
      </c>
      <c r="O35" s="774">
        <v>0.52</v>
      </c>
      <c r="P35" s="774">
        <v>0.32</v>
      </c>
      <c r="Q35" s="774">
        <v>0.38</v>
      </c>
      <c r="R35" s="777">
        <v>0.6</v>
      </c>
      <c r="S35" s="774">
        <v>0.45</v>
      </c>
      <c r="T35" s="774">
        <v>0.28999999999999998</v>
      </c>
      <c r="U35" s="777">
        <v>0.9</v>
      </c>
      <c r="V35" s="774">
        <v>0.56000000000000005</v>
      </c>
      <c r="W35" s="774">
        <v>0.47</v>
      </c>
      <c r="X35" s="777">
        <v>1.02</v>
      </c>
      <c r="Y35" s="774">
        <v>0.71</v>
      </c>
      <c r="Z35" s="774">
        <v>0.56999999999999995</v>
      </c>
      <c r="AA35" s="1433" t="s">
        <v>950</v>
      </c>
      <c r="AB35" s="777">
        <v>0.92</v>
      </c>
      <c r="AC35" s="777">
        <v>0.54</v>
      </c>
      <c r="AD35" s="777">
        <v>0.45</v>
      </c>
      <c r="AE35" s="777">
        <v>1.21</v>
      </c>
      <c r="AF35" s="777">
        <v>0.59</v>
      </c>
      <c r="AG35" s="777">
        <v>0.5</v>
      </c>
      <c r="AH35" s="777">
        <v>0.93</v>
      </c>
      <c r="AI35" s="777">
        <v>0.7</v>
      </c>
      <c r="AJ35" s="777">
        <v>0.75</v>
      </c>
      <c r="AK35" s="777">
        <v>1.0900000000000001</v>
      </c>
      <c r="AL35" s="777">
        <v>0.82</v>
      </c>
      <c r="AM35" s="777">
        <v>1</v>
      </c>
    </row>
    <row r="36" spans="1:39" s="459" customFormat="1" ht="13.9" customHeight="1">
      <c r="A36" s="1432" t="s">
        <v>958</v>
      </c>
      <c r="B36" s="808">
        <v>0.43</v>
      </c>
      <c r="C36" s="808">
        <v>0.01</v>
      </c>
      <c r="D36" s="986">
        <v>0</v>
      </c>
      <c r="E36" s="986">
        <v>0.6</v>
      </c>
      <c r="F36" s="808">
        <v>7.0000000000000007E-2</v>
      </c>
      <c r="G36" s="986">
        <v>0</v>
      </c>
      <c r="H36" s="808">
        <v>0.85</v>
      </c>
      <c r="I36" s="986">
        <v>0.2</v>
      </c>
      <c r="J36" s="986">
        <v>0</v>
      </c>
      <c r="K36" s="986">
        <v>1.07</v>
      </c>
      <c r="L36" s="986">
        <v>0.35</v>
      </c>
      <c r="M36" s="986">
        <v>0</v>
      </c>
      <c r="N36" s="1432" t="s">
        <v>958</v>
      </c>
      <c r="O36" s="808">
        <v>0.53</v>
      </c>
      <c r="P36" s="808">
        <v>0.28999999999999998</v>
      </c>
      <c r="Q36" s="808">
        <v>0.45</v>
      </c>
      <c r="R36" s="986">
        <v>0.63</v>
      </c>
      <c r="S36" s="808">
        <v>0.43</v>
      </c>
      <c r="T36" s="808">
        <v>0.36</v>
      </c>
      <c r="U36" s="986">
        <v>0.93</v>
      </c>
      <c r="V36" s="808">
        <v>0.56999999999999995</v>
      </c>
      <c r="W36" s="808">
        <v>0.55000000000000004</v>
      </c>
      <c r="X36" s="986">
        <v>1.1000000000000001</v>
      </c>
      <c r="Y36" s="808">
        <v>0.75</v>
      </c>
      <c r="Z36" s="808">
        <v>0.63</v>
      </c>
      <c r="AA36" s="1432" t="s">
        <v>958</v>
      </c>
      <c r="AB36" s="986">
        <v>1.02</v>
      </c>
      <c r="AC36" s="986">
        <v>0.53</v>
      </c>
      <c r="AD36" s="986">
        <v>0.46</v>
      </c>
      <c r="AE36" s="986">
        <v>1.1599999999999999</v>
      </c>
      <c r="AF36" s="986">
        <v>0.57999999999999996</v>
      </c>
      <c r="AG36" s="986">
        <v>0.45</v>
      </c>
      <c r="AH36" s="986">
        <v>0.92</v>
      </c>
      <c r="AI36" s="986">
        <v>0.7</v>
      </c>
      <c r="AJ36" s="986">
        <v>0.75</v>
      </c>
      <c r="AK36" s="986">
        <v>1.0900000000000001</v>
      </c>
      <c r="AL36" s="986">
        <v>0.82</v>
      </c>
      <c r="AM36" s="986">
        <v>0.94</v>
      </c>
    </row>
    <row r="37" spans="1:39" s="459" customFormat="1" ht="13.9" customHeight="1">
      <c r="A37" s="1433" t="s">
        <v>959</v>
      </c>
      <c r="B37" s="774">
        <v>1.39</v>
      </c>
      <c r="C37" s="774">
        <v>0.01</v>
      </c>
      <c r="D37" s="777">
        <v>0</v>
      </c>
      <c r="E37" s="777">
        <v>0.62</v>
      </c>
      <c r="F37" s="774">
        <v>7.0000000000000007E-2</v>
      </c>
      <c r="G37" s="777">
        <v>0</v>
      </c>
      <c r="H37" s="774">
        <v>0.86</v>
      </c>
      <c r="I37" s="777">
        <v>0.2</v>
      </c>
      <c r="J37" s="777">
        <v>0</v>
      </c>
      <c r="K37" s="777">
        <v>1.08</v>
      </c>
      <c r="L37" s="777">
        <v>0.34</v>
      </c>
      <c r="M37" s="777">
        <v>0</v>
      </c>
      <c r="N37" s="1433" t="s">
        <v>959</v>
      </c>
      <c r="O37" s="777">
        <v>0.4</v>
      </c>
      <c r="P37" s="774">
        <v>0.17</v>
      </c>
      <c r="Q37" s="774">
        <v>0.17</v>
      </c>
      <c r="R37" s="777">
        <v>0.5</v>
      </c>
      <c r="S37" s="777">
        <v>0.3</v>
      </c>
      <c r="T37" s="774">
        <v>0.17</v>
      </c>
      <c r="U37" s="777">
        <v>0.68</v>
      </c>
      <c r="V37" s="774">
        <v>0.39</v>
      </c>
      <c r="W37" s="774">
        <v>0.22</v>
      </c>
      <c r="X37" s="777">
        <v>0.87</v>
      </c>
      <c r="Y37" s="774">
        <v>0.54</v>
      </c>
      <c r="Z37" s="774">
        <v>0.28000000000000003</v>
      </c>
      <c r="AA37" s="1433" t="s">
        <v>959</v>
      </c>
      <c r="AB37" s="777">
        <v>1.01</v>
      </c>
      <c r="AC37" s="777">
        <v>0.48</v>
      </c>
      <c r="AD37" s="777">
        <v>0.59</v>
      </c>
      <c r="AE37" s="777">
        <v>1.18</v>
      </c>
      <c r="AF37" s="777">
        <v>0.54</v>
      </c>
      <c r="AG37" s="777">
        <v>0.57999999999999996</v>
      </c>
      <c r="AH37" s="777">
        <v>0.94</v>
      </c>
      <c r="AI37" s="777">
        <v>0.7</v>
      </c>
      <c r="AJ37" s="777">
        <v>1</v>
      </c>
      <c r="AK37" s="777">
        <v>1.0900000000000001</v>
      </c>
      <c r="AL37" s="777">
        <v>0.82</v>
      </c>
      <c r="AM37" s="777">
        <v>1.07</v>
      </c>
    </row>
    <row r="38" spans="1:39" s="459" customFormat="1" ht="13.9" customHeight="1">
      <c r="A38" s="1432" t="s">
        <v>951</v>
      </c>
      <c r="B38" s="808">
        <v>0.47</v>
      </c>
      <c r="C38" s="808">
        <v>0.01</v>
      </c>
      <c r="D38" s="986">
        <v>0</v>
      </c>
      <c r="E38" s="986">
        <v>0.65</v>
      </c>
      <c r="F38" s="808">
        <v>0.06</v>
      </c>
      <c r="G38" s="986">
        <v>0</v>
      </c>
      <c r="H38" s="808">
        <v>1.1100000000000001</v>
      </c>
      <c r="I38" s="986">
        <v>0.23</v>
      </c>
      <c r="J38" s="986">
        <v>0</v>
      </c>
      <c r="K38" s="986">
        <v>1.39</v>
      </c>
      <c r="L38" s="986">
        <v>0.4</v>
      </c>
      <c r="M38" s="986">
        <v>0</v>
      </c>
      <c r="N38" s="1432" t="s">
        <v>951</v>
      </c>
      <c r="O38" s="986">
        <v>0.45</v>
      </c>
      <c r="P38" s="808">
        <v>0.22</v>
      </c>
      <c r="Q38" s="808">
        <v>0.48</v>
      </c>
      <c r="R38" s="986">
        <v>0.54</v>
      </c>
      <c r="S38" s="986">
        <v>0.31</v>
      </c>
      <c r="T38" s="808">
        <v>0.22</v>
      </c>
      <c r="U38" s="986">
        <v>0.62</v>
      </c>
      <c r="V38" s="808">
        <v>0.41</v>
      </c>
      <c r="W38" s="808">
        <v>0.27</v>
      </c>
      <c r="X38" s="986">
        <v>0.79</v>
      </c>
      <c r="Y38" s="808">
        <v>0.52</v>
      </c>
      <c r="Z38" s="986">
        <v>0.4</v>
      </c>
      <c r="AA38" s="1432" t="s">
        <v>951</v>
      </c>
      <c r="AB38" s="986">
        <v>0.93</v>
      </c>
      <c r="AC38" s="986">
        <v>0.33</v>
      </c>
      <c r="AD38" s="986">
        <v>0.59</v>
      </c>
      <c r="AE38" s="986">
        <v>1.05</v>
      </c>
      <c r="AF38" s="986">
        <v>0.59</v>
      </c>
      <c r="AG38" s="986">
        <v>0.39</v>
      </c>
      <c r="AH38" s="986">
        <v>0.79</v>
      </c>
      <c r="AI38" s="986">
        <v>0.63</v>
      </c>
      <c r="AJ38" s="986">
        <v>0.65</v>
      </c>
      <c r="AK38" s="986">
        <v>1.01</v>
      </c>
      <c r="AL38" s="986">
        <v>0.79</v>
      </c>
      <c r="AM38" s="986">
        <v>0.84</v>
      </c>
    </row>
    <row r="39" spans="1:39" s="459" customFormat="1" ht="13.9" customHeight="1">
      <c r="A39" s="1480" t="s">
        <v>960</v>
      </c>
      <c r="B39" s="777">
        <v>0.6</v>
      </c>
      <c r="C39" s="774">
        <v>0.01</v>
      </c>
      <c r="D39" s="777">
        <v>0</v>
      </c>
      <c r="E39" s="777">
        <v>0.72</v>
      </c>
      <c r="F39" s="774">
        <v>7.0000000000000007E-2</v>
      </c>
      <c r="G39" s="777">
        <v>0</v>
      </c>
      <c r="H39" s="774">
        <v>1.1399999999999999</v>
      </c>
      <c r="I39" s="777">
        <v>0.21</v>
      </c>
      <c r="J39" s="777">
        <v>0</v>
      </c>
      <c r="K39" s="777">
        <v>1.43</v>
      </c>
      <c r="L39" s="777">
        <v>0.38</v>
      </c>
      <c r="M39" s="777">
        <v>0</v>
      </c>
      <c r="N39" s="1480" t="s">
        <v>960</v>
      </c>
      <c r="O39" s="777">
        <v>0.46</v>
      </c>
      <c r="P39" s="774">
        <v>0.23</v>
      </c>
      <c r="Q39" s="774">
        <v>0.48</v>
      </c>
      <c r="R39" s="777">
        <v>0.54</v>
      </c>
      <c r="S39" s="777">
        <v>0.32</v>
      </c>
      <c r="T39" s="774">
        <v>0.18</v>
      </c>
      <c r="U39" s="777">
        <v>0.62</v>
      </c>
      <c r="V39" s="774">
        <v>0.41</v>
      </c>
      <c r="W39" s="774">
        <v>0.23</v>
      </c>
      <c r="X39" s="777">
        <v>0.78</v>
      </c>
      <c r="Y39" s="774">
        <v>0.53</v>
      </c>
      <c r="Z39" s="777">
        <v>0.33</v>
      </c>
      <c r="AA39" s="1480" t="s">
        <v>960</v>
      </c>
      <c r="AB39" s="777">
        <v>1.04</v>
      </c>
      <c r="AC39" s="777">
        <v>0.33</v>
      </c>
      <c r="AD39" s="777">
        <v>0.59</v>
      </c>
      <c r="AE39" s="777">
        <v>0.89</v>
      </c>
      <c r="AF39" s="777">
        <v>0.56999999999999995</v>
      </c>
      <c r="AG39" s="777">
        <v>0.39</v>
      </c>
      <c r="AH39" s="777">
        <v>0.69</v>
      </c>
      <c r="AI39" s="777">
        <v>0.62</v>
      </c>
      <c r="AJ39" s="777">
        <v>0.53</v>
      </c>
      <c r="AK39" s="777">
        <v>0.94</v>
      </c>
      <c r="AL39" s="777">
        <v>0.77</v>
      </c>
      <c r="AM39" s="777">
        <v>0.73</v>
      </c>
    </row>
    <row r="40" spans="1:39" s="459" customFormat="1" ht="13.9" customHeight="1">
      <c r="A40" s="1488" t="s">
        <v>961</v>
      </c>
      <c r="B40" s="986">
        <v>0.61</v>
      </c>
      <c r="C40" s="808">
        <v>0.01</v>
      </c>
      <c r="D40" s="986">
        <v>0</v>
      </c>
      <c r="E40" s="986">
        <v>0.73</v>
      </c>
      <c r="F40" s="808">
        <v>0.06</v>
      </c>
      <c r="G40" s="986">
        <v>0</v>
      </c>
      <c r="H40" s="808">
        <v>1.1499999999999999</v>
      </c>
      <c r="I40" s="986">
        <v>0.18</v>
      </c>
      <c r="J40" s="986">
        <v>0</v>
      </c>
      <c r="K40" s="986">
        <v>1.4</v>
      </c>
      <c r="L40" s="986">
        <v>0.34</v>
      </c>
      <c r="M40" s="986">
        <v>0</v>
      </c>
      <c r="N40" s="1488" t="s">
        <v>961</v>
      </c>
      <c r="O40" s="986">
        <v>0.52</v>
      </c>
      <c r="P40" s="808">
        <v>0.32</v>
      </c>
      <c r="Q40" s="808">
        <v>0.17</v>
      </c>
      <c r="R40" s="986">
        <v>0.56999999999999995</v>
      </c>
      <c r="S40" s="986">
        <v>0.27</v>
      </c>
      <c r="T40" s="808">
        <v>0.18</v>
      </c>
      <c r="U40" s="986">
        <v>0.71</v>
      </c>
      <c r="V40" s="808">
        <v>0.36</v>
      </c>
      <c r="W40" s="808">
        <v>0.24</v>
      </c>
      <c r="X40" s="986">
        <v>0.9</v>
      </c>
      <c r="Y40" s="808">
        <v>0.49</v>
      </c>
      <c r="Z40" s="986">
        <v>0.31</v>
      </c>
      <c r="AA40" s="1488" t="s">
        <v>961</v>
      </c>
      <c r="AB40" s="986">
        <v>1.05</v>
      </c>
      <c r="AC40" s="986">
        <v>0.44</v>
      </c>
      <c r="AD40" s="986">
        <v>0.59</v>
      </c>
      <c r="AE40" s="986">
        <v>0.89</v>
      </c>
      <c r="AF40" s="986">
        <v>0.57999999999999996</v>
      </c>
      <c r="AG40" s="986">
        <v>0.39</v>
      </c>
      <c r="AH40" s="986">
        <v>0.7</v>
      </c>
      <c r="AI40" s="986">
        <v>0.65</v>
      </c>
      <c r="AJ40" s="986">
        <v>0.53</v>
      </c>
      <c r="AK40" s="986">
        <v>0.94</v>
      </c>
      <c r="AL40" s="986">
        <v>0.77</v>
      </c>
      <c r="AM40" s="986">
        <v>0.73</v>
      </c>
    </row>
    <row r="41" spans="1:39" s="459" customFormat="1" ht="13.9" customHeight="1">
      <c r="A41" s="1537" t="s">
        <v>952</v>
      </c>
      <c r="B41" s="777">
        <v>0.67</v>
      </c>
      <c r="C41" s="777">
        <v>0</v>
      </c>
      <c r="D41" s="777">
        <v>0</v>
      </c>
      <c r="E41" s="777">
        <v>0.76</v>
      </c>
      <c r="F41" s="774">
        <v>0.04</v>
      </c>
      <c r="G41" s="777">
        <v>0</v>
      </c>
      <c r="H41" s="774">
        <v>1.1399999999999999</v>
      </c>
      <c r="I41" s="777">
        <v>0.16</v>
      </c>
      <c r="J41" s="777">
        <v>0</v>
      </c>
      <c r="K41" s="777">
        <v>1.37</v>
      </c>
      <c r="L41" s="777">
        <v>0.32</v>
      </c>
      <c r="M41" s="777">
        <v>0</v>
      </c>
      <c r="N41" s="1537" t="s">
        <v>952</v>
      </c>
      <c r="O41" s="777">
        <v>0.56999999999999995</v>
      </c>
      <c r="P41" s="774">
        <v>0.34</v>
      </c>
      <c r="Q41" s="774">
        <v>0.17</v>
      </c>
      <c r="R41" s="777">
        <v>0.64</v>
      </c>
      <c r="S41" s="777">
        <v>0.27</v>
      </c>
      <c r="T41" s="774">
        <v>0.18</v>
      </c>
      <c r="U41" s="777">
        <v>0.73</v>
      </c>
      <c r="V41" s="774">
        <v>0.36</v>
      </c>
      <c r="W41" s="774">
        <v>0.24</v>
      </c>
      <c r="X41" s="777">
        <v>0.9</v>
      </c>
      <c r="Y41" s="774">
        <v>0.49</v>
      </c>
      <c r="Z41" s="777">
        <v>0.31</v>
      </c>
      <c r="AA41" s="1537" t="s">
        <v>952</v>
      </c>
      <c r="AB41" s="777">
        <v>0.98</v>
      </c>
      <c r="AC41" s="777">
        <v>0.33</v>
      </c>
      <c r="AD41" s="777">
        <v>0.54</v>
      </c>
      <c r="AE41" s="777">
        <v>1.05</v>
      </c>
      <c r="AF41" s="777">
        <v>0.54</v>
      </c>
      <c r="AG41" s="777">
        <v>0.48</v>
      </c>
      <c r="AH41" s="777">
        <v>0.79</v>
      </c>
      <c r="AI41" s="777">
        <v>0.67</v>
      </c>
      <c r="AJ41" s="777">
        <v>0.65</v>
      </c>
      <c r="AK41" s="777">
        <v>1.02</v>
      </c>
      <c r="AL41" s="777">
        <v>0.79</v>
      </c>
      <c r="AM41" s="777">
        <v>0.84</v>
      </c>
    </row>
    <row r="42" spans="1:39" s="459" customFormat="1" ht="13.9" customHeight="1">
      <c r="A42" s="772" t="s">
        <v>2755</v>
      </c>
      <c r="B42" s="986"/>
      <c r="C42" s="986"/>
      <c r="D42" s="986"/>
      <c r="E42" s="986"/>
      <c r="F42" s="808"/>
      <c r="G42" s="986"/>
      <c r="H42" s="808"/>
      <c r="I42" s="986"/>
      <c r="J42" s="986"/>
      <c r="K42" s="986"/>
      <c r="L42" s="986"/>
      <c r="M42" s="986"/>
      <c r="N42" s="772" t="s">
        <v>2755</v>
      </c>
      <c r="O42" s="986"/>
      <c r="P42" s="808"/>
      <c r="Q42" s="808"/>
      <c r="R42" s="986"/>
      <c r="S42" s="986"/>
      <c r="T42" s="808"/>
      <c r="U42" s="986"/>
      <c r="V42" s="808"/>
      <c r="W42" s="808"/>
      <c r="X42" s="986"/>
      <c r="Y42" s="808"/>
      <c r="Z42" s="986"/>
      <c r="AA42" s="772" t="s">
        <v>2755</v>
      </c>
      <c r="AB42" s="986"/>
      <c r="AC42" s="986"/>
      <c r="AD42" s="986"/>
      <c r="AE42" s="986"/>
      <c r="AF42" s="986"/>
      <c r="AG42" s="986"/>
      <c r="AH42" s="986"/>
      <c r="AI42" s="986"/>
      <c r="AJ42" s="986"/>
      <c r="AK42" s="986"/>
      <c r="AL42" s="986"/>
      <c r="AM42" s="986"/>
    </row>
    <row r="43" spans="1:39" s="459" customFormat="1" ht="13.9" customHeight="1" thickBot="1">
      <c r="A43" s="1386" t="s">
        <v>954</v>
      </c>
      <c r="B43" s="1502">
        <v>0.79</v>
      </c>
      <c r="C43" s="1502">
        <v>0</v>
      </c>
      <c r="D43" s="1502">
        <v>0</v>
      </c>
      <c r="E43" s="1502">
        <v>0.84</v>
      </c>
      <c r="F43" s="1330">
        <v>0.04</v>
      </c>
      <c r="G43" s="1502">
        <v>0</v>
      </c>
      <c r="H43" s="1330">
        <v>1.18</v>
      </c>
      <c r="I43" s="1502">
        <v>0.17</v>
      </c>
      <c r="J43" s="1502">
        <v>0</v>
      </c>
      <c r="K43" s="1502">
        <v>1.4</v>
      </c>
      <c r="L43" s="1502">
        <v>0.33</v>
      </c>
      <c r="M43" s="1502">
        <v>0</v>
      </c>
      <c r="N43" s="1386" t="s">
        <v>954</v>
      </c>
      <c r="O43" s="1502">
        <v>0.57999999999999996</v>
      </c>
      <c r="P43" s="1330">
        <v>0.33</v>
      </c>
      <c r="Q43" s="1330">
        <v>0.17</v>
      </c>
      <c r="R43" s="1502">
        <v>1.1000000000000001</v>
      </c>
      <c r="S43" s="1502">
        <v>0.27</v>
      </c>
      <c r="T43" s="1330">
        <v>0.18</v>
      </c>
      <c r="U43" s="1502">
        <v>0.74</v>
      </c>
      <c r="V43" s="1330">
        <v>0.35</v>
      </c>
      <c r="W43" s="1330">
        <v>0.24</v>
      </c>
      <c r="X43" s="1502">
        <v>0.9</v>
      </c>
      <c r="Y43" s="1330">
        <v>0.49</v>
      </c>
      <c r="Z43" s="1502">
        <v>0.31</v>
      </c>
      <c r="AA43" s="1386" t="s">
        <v>954</v>
      </c>
      <c r="AB43" s="1502">
        <v>1.05</v>
      </c>
      <c r="AC43" s="1502">
        <v>0.53</v>
      </c>
      <c r="AD43" s="1502">
        <v>0.59</v>
      </c>
      <c r="AE43" s="1502">
        <v>1.01</v>
      </c>
      <c r="AF43" s="1502">
        <v>0.54</v>
      </c>
      <c r="AG43" s="1502">
        <v>0.45</v>
      </c>
      <c r="AH43" s="1502">
        <v>0.8</v>
      </c>
      <c r="AI43" s="1502">
        <v>0.67</v>
      </c>
      <c r="AJ43" s="1502">
        <v>0.73</v>
      </c>
      <c r="AK43" s="1502">
        <v>1.02</v>
      </c>
      <c r="AL43" s="1502">
        <v>0.76</v>
      </c>
      <c r="AM43" s="1502">
        <v>0.83</v>
      </c>
    </row>
    <row r="44" spans="1:39">
      <c r="A44" s="193" t="s">
        <v>736</v>
      </c>
      <c r="B44" s="2060" t="s">
        <v>2508</v>
      </c>
      <c r="C44" s="2060"/>
      <c r="D44" s="2060"/>
      <c r="E44" s="2060"/>
      <c r="F44" s="2060"/>
      <c r="G44" s="80"/>
      <c r="H44" s="36"/>
      <c r="I44" s="36"/>
      <c r="J44" s="36"/>
      <c r="K44" s="36"/>
      <c r="L44" s="36"/>
      <c r="M44" s="36"/>
      <c r="N44" s="193" t="s">
        <v>736</v>
      </c>
      <c r="O44" s="2060" t="s">
        <v>2508</v>
      </c>
      <c r="P44" s="2060"/>
      <c r="Q44" s="2060"/>
      <c r="R44" s="2060"/>
      <c r="S44" s="2060"/>
      <c r="T44" s="2060"/>
      <c r="AA44" s="193" t="s">
        <v>735</v>
      </c>
      <c r="AB44" s="1723" t="s">
        <v>2508</v>
      </c>
      <c r="AC44" s="1723"/>
      <c r="AD44" s="1723"/>
      <c r="AE44" s="1723"/>
      <c r="AF44" s="1723"/>
      <c r="AG44" s="39"/>
      <c r="AH44" s="39"/>
      <c r="AI44" s="39"/>
      <c r="AJ44" s="39"/>
      <c r="AK44" s="39"/>
      <c r="AL44" s="39"/>
    </row>
    <row r="45" spans="1:39" ht="9.75" customHeight="1">
      <c r="A45" s="64" t="s">
        <v>737</v>
      </c>
      <c r="B45" s="1773" t="s">
        <v>738</v>
      </c>
      <c r="C45" s="1773"/>
      <c r="D45" s="1773"/>
      <c r="E45" s="1773"/>
      <c r="F45" s="1773"/>
      <c r="G45" s="1773"/>
      <c r="H45" s="36"/>
      <c r="I45" s="36"/>
      <c r="J45" s="36"/>
      <c r="K45" s="36"/>
      <c r="L45" s="36"/>
      <c r="M45" s="36"/>
      <c r="N45" s="190" t="s">
        <v>359</v>
      </c>
      <c r="O45" s="2059" t="s">
        <v>739</v>
      </c>
      <c r="P45" s="2059"/>
      <c r="Q45" s="2059"/>
      <c r="R45" s="2059"/>
      <c r="S45" s="2059"/>
      <c r="T45" s="194"/>
      <c r="U45" s="192"/>
      <c r="V45" s="192"/>
      <c r="W45" s="192"/>
      <c r="X45" s="192"/>
      <c r="Y45" s="192"/>
      <c r="Z45" s="192"/>
      <c r="AA45" s="24" t="s">
        <v>733</v>
      </c>
      <c r="AB45" s="2057" t="s">
        <v>734</v>
      </c>
      <c r="AC45" s="2057"/>
      <c r="AD45" s="2057"/>
      <c r="AE45" s="128"/>
      <c r="AF45" s="128"/>
      <c r="AG45" s="39"/>
      <c r="AH45" s="39"/>
      <c r="AI45" s="39"/>
      <c r="AJ45" s="39"/>
      <c r="AK45" s="39"/>
      <c r="AL45" s="39"/>
    </row>
    <row r="46" spans="1:39"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1:39">
      <c r="N47" s="10"/>
      <c r="AA47" s="10"/>
    </row>
    <row r="48" spans="1:39">
      <c r="O48" s="24"/>
      <c r="AC48" s="24"/>
    </row>
    <row r="49" spans="2:39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25"/>
      <c r="O49" s="125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25"/>
      <c r="AB49" s="16"/>
      <c r="AC49" s="125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1" spans="2:39">
      <c r="O51" s="24"/>
      <c r="AC51" s="24"/>
    </row>
    <row r="52" spans="2:39"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</row>
    <row r="53" spans="2:39"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</row>
  </sheetData>
  <mergeCells count="33">
    <mergeCell ref="B1:I1"/>
    <mergeCell ref="O1:V1"/>
    <mergeCell ref="AB1:AI1"/>
    <mergeCell ref="A3:A5"/>
    <mergeCell ref="B3:M3"/>
    <mergeCell ref="N3:N5"/>
    <mergeCell ref="O3:Z3"/>
    <mergeCell ref="B4:D4"/>
    <mergeCell ref="O4:Q4"/>
    <mergeCell ref="K4:M4"/>
    <mergeCell ref="K2:M2"/>
    <mergeCell ref="X2:Z2"/>
    <mergeCell ref="AK2:AM2"/>
    <mergeCell ref="K1:M1"/>
    <mergeCell ref="X1:Z1"/>
    <mergeCell ref="U4:W4"/>
    <mergeCell ref="X4:Z4"/>
    <mergeCell ref="AB3:AM3"/>
    <mergeCell ref="AK1:AM1"/>
    <mergeCell ref="AA3:AA5"/>
    <mergeCell ref="R4:T4"/>
    <mergeCell ref="B45:G45"/>
    <mergeCell ref="O45:S45"/>
    <mergeCell ref="O44:T44"/>
    <mergeCell ref="H4:J4"/>
    <mergeCell ref="E4:G4"/>
    <mergeCell ref="B44:F44"/>
    <mergeCell ref="AB45:AD45"/>
    <mergeCell ref="AK4:AM4"/>
    <mergeCell ref="AB4:AD4"/>
    <mergeCell ref="AB44:AF44"/>
    <mergeCell ref="AH4:AJ4"/>
    <mergeCell ref="AE4:AG4"/>
  </mergeCells>
  <phoneticPr fontId="47" type="noConversion"/>
  <pageMargins left="0.59055118110236204" right="0.511811023622047" top="0.511811023622047" bottom="0.511811023622047" header="0" footer="0.43307086614173201"/>
  <pageSetup paperSize="151" firstPageNumber="75" orientation="portrait" useFirstPageNumber="1" r:id="rId1"/>
  <headerFooter>
    <oddFooter>&amp;C&amp;"Times New Roman,Regular"&amp;8&amp;P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P51"/>
  <sheetViews>
    <sheetView showWhiteSpace="0" topLeftCell="A25" zoomScaleNormal="100" workbookViewId="0">
      <selection activeCell="K13" sqref="K13"/>
    </sheetView>
  </sheetViews>
  <sheetFormatPr defaultColWidth="9.140625" defaultRowHeight="11.25"/>
  <cols>
    <col min="1" max="1" width="8.5703125" style="10" customWidth="1"/>
    <col min="2" max="2" width="1.7109375" style="10" customWidth="1"/>
    <col min="3" max="3" width="9.42578125" style="10" customWidth="1"/>
    <col min="4" max="5" width="11.7109375" style="10" customWidth="1"/>
    <col min="6" max="6" width="12" style="10" customWidth="1"/>
    <col min="7" max="7" width="11.85546875" style="10" customWidth="1"/>
    <col min="8" max="8" width="11.140625" style="10" customWidth="1"/>
    <col min="9" max="16384" width="9.140625" style="10"/>
  </cols>
  <sheetData>
    <row r="1" spans="1:8" s="48" customFormat="1" ht="36" customHeight="1">
      <c r="B1" s="2064" t="s">
        <v>1942</v>
      </c>
      <c r="C1" s="2064"/>
      <c r="D1" s="2064"/>
      <c r="E1" s="2064"/>
      <c r="F1" s="2064"/>
      <c r="G1" s="2065" t="s">
        <v>711</v>
      </c>
      <c r="H1" s="2065"/>
    </row>
    <row r="2" spans="1:8" ht="11.25" customHeight="1">
      <c r="A2" s="2053"/>
      <c r="B2" s="2053"/>
      <c r="C2" s="2053"/>
      <c r="D2" s="2053"/>
      <c r="E2" s="2053"/>
      <c r="F2" s="2053"/>
      <c r="G2" s="2066" t="s">
        <v>902</v>
      </c>
      <c r="H2" s="2066"/>
    </row>
    <row r="3" spans="1:8" s="55" customFormat="1" ht="15.75" customHeight="1">
      <c r="A3" s="2067" t="s">
        <v>875</v>
      </c>
      <c r="B3" s="182"/>
      <c r="C3" s="2068" t="s">
        <v>904</v>
      </c>
      <c r="D3" s="1909"/>
      <c r="E3" s="1909"/>
      <c r="F3" s="1909" t="s">
        <v>907</v>
      </c>
      <c r="G3" s="1909"/>
      <c r="H3" s="1909"/>
    </row>
    <row r="4" spans="1:8" s="55" customFormat="1" ht="15.75" customHeight="1">
      <c r="A4" s="1983"/>
      <c r="B4" s="138"/>
      <c r="C4" s="181" t="s">
        <v>905</v>
      </c>
      <c r="D4" s="183" t="s">
        <v>906</v>
      </c>
      <c r="E4" s="29" t="s">
        <v>874</v>
      </c>
      <c r="F4" s="28" t="s">
        <v>905</v>
      </c>
      <c r="G4" s="28" t="s">
        <v>906</v>
      </c>
      <c r="H4" s="28" t="s">
        <v>874</v>
      </c>
    </row>
    <row r="5" spans="1:8" ht="13.15" customHeight="1">
      <c r="A5" s="595">
        <v>2006</v>
      </c>
      <c r="B5" s="595"/>
      <c r="C5" s="551">
        <v>120</v>
      </c>
      <c r="D5" s="551">
        <v>3</v>
      </c>
      <c r="E5" s="551">
        <v>11.113333333333335</v>
      </c>
      <c r="F5" s="551">
        <v>120</v>
      </c>
      <c r="G5" s="551">
        <v>3</v>
      </c>
      <c r="H5" s="551">
        <v>11.113333333333335</v>
      </c>
    </row>
    <row r="6" spans="1:8" ht="13.15" customHeight="1">
      <c r="A6" s="443">
        <v>2007</v>
      </c>
      <c r="B6" s="443"/>
      <c r="C6" s="19">
        <v>18</v>
      </c>
      <c r="D6" s="19">
        <v>6</v>
      </c>
      <c r="E6" s="19">
        <v>7.3691666666666666</v>
      </c>
      <c r="F6" s="19">
        <v>18</v>
      </c>
      <c r="G6" s="19">
        <v>6</v>
      </c>
      <c r="H6" s="19">
        <v>7.3691666666666666</v>
      </c>
    </row>
    <row r="7" spans="1:8" ht="13.15" customHeight="1">
      <c r="A7" s="595">
        <v>2008</v>
      </c>
      <c r="B7" s="595"/>
      <c r="C7" s="551">
        <v>22</v>
      </c>
      <c r="D7" s="551">
        <v>1</v>
      </c>
      <c r="E7" s="551">
        <v>10.24</v>
      </c>
      <c r="F7" s="551">
        <v>22</v>
      </c>
      <c r="G7" s="551">
        <v>1</v>
      </c>
      <c r="H7" s="551">
        <v>10.24</v>
      </c>
    </row>
    <row r="8" spans="1:8" ht="13.15" customHeight="1">
      <c r="A8" s="443">
        <v>2009</v>
      </c>
      <c r="B8" s="443"/>
      <c r="C8" s="19">
        <v>19</v>
      </c>
      <c r="D8" s="19">
        <v>0.05</v>
      </c>
      <c r="E8" s="19">
        <v>4.3883333333333336</v>
      </c>
      <c r="F8" s="19">
        <v>19</v>
      </c>
      <c r="G8" s="19">
        <v>0.05</v>
      </c>
      <c r="H8" s="19">
        <v>4.3883333333333336</v>
      </c>
    </row>
    <row r="9" spans="1:8" ht="13.15" customHeight="1">
      <c r="A9" s="595">
        <v>2010</v>
      </c>
      <c r="B9" s="595"/>
      <c r="C9" s="551">
        <v>190</v>
      </c>
      <c r="D9" s="551">
        <v>2</v>
      </c>
      <c r="E9" s="551">
        <v>8.0549999999999997</v>
      </c>
      <c r="F9" s="551">
        <v>190</v>
      </c>
      <c r="G9" s="551">
        <v>2</v>
      </c>
      <c r="H9" s="551">
        <v>8.0549999999999997</v>
      </c>
    </row>
    <row r="10" spans="1:8" s="300" customFormat="1" ht="13.15" customHeight="1">
      <c r="A10" s="835">
        <v>2011</v>
      </c>
      <c r="B10" s="835"/>
      <c r="C10" s="20">
        <v>24</v>
      </c>
      <c r="D10" s="20">
        <v>3</v>
      </c>
      <c r="E10" s="20">
        <v>11.16</v>
      </c>
      <c r="F10" s="20">
        <v>24</v>
      </c>
      <c r="G10" s="20">
        <v>3</v>
      </c>
      <c r="H10" s="20">
        <v>11.16</v>
      </c>
    </row>
    <row r="11" spans="1:8" s="300" customFormat="1" ht="13.15" customHeight="1">
      <c r="A11" s="1100">
        <v>2012</v>
      </c>
      <c r="B11" s="1100"/>
      <c r="C11" s="551">
        <v>22</v>
      </c>
      <c r="D11" s="551">
        <v>3</v>
      </c>
      <c r="E11" s="551">
        <v>12.822499999999998</v>
      </c>
      <c r="F11" s="551">
        <v>22</v>
      </c>
      <c r="G11" s="551">
        <v>3</v>
      </c>
      <c r="H11" s="551">
        <v>12.822499999999998</v>
      </c>
    </row>
    <row r="12" spans="1:8" s="298" customFormat="1" ht="13.15" customHeight="1">
      <c r="A12" s="243">
        <v>2013</v>
      </c>
      <c r="C12" s="41">
        <v>13</v>
      </c>
      <c r="D12" s="41">
        <v>5.0999999999999996</v>
      </c>
      <c r="E12" s="41">
        <v>7.775833333333332</v>
      </c>
      <c r="F12" s="41">
        <v>13</v>
      </c>
      <c r="G12" s="41">
        <v>5.0999999999999996</v>
      </c>
      <c r="H12" s="41">
        <v>7.775833333333332</v>
      </c>
    </row>
    <row r="13" spans="1:8" s="298" customFormat="1" ht="13.15" customHeight="1">
      <c r="A13" s="529">
        <v>2014</v>
      </c>
      <c r="B13" s="519"/>
      <c r="C13" s="516">
        <v>9.9</v>
      </c>
      <c r="D13" s="516">
        <v>5</v>
      </c>
      <c r="E13" s="516">
        <v>7.1399999999999979</v>
      </c>
      <c r="F13" s="516">
        <v>9.9</v>
      </c>
      <c r="G13" s="516">
        <v>5</v>
      </c>
      <c r="H13" s="516">
        <v>7.1399999999999979</v>
      </c>
    </row>
    <row r="14" spans="1:8" s="298" customFormat="1" ht="13.15" customHeight="1">
      <c r="A14" s="163">
        <v>2015</v>
      </c>
      <c r="B14" s="336"/>
      <c r="C14" s="245">
        <f>MAX(C15:C48)</f>
        <v>9.9</v>
      </c>
      <c r="D14" s="245">
        <f>MIN(D15:D48)</f>
        <v>1</v>
      </c>
      <c r="E14" s="245">
        <f>AVERAGE(E15:E48)</f>
        <v>4.6253618421052645</v>
      </c>
      <c r="F14" s="245">
        <f>MAX(F15:F48)</f>
        <v>9.9</v>
      </c>
      <c r="G14" s="245">
        <f>MIN(G15:G48)</f>
        <v>1</v>
      </c>
      <c r="H14" s="245">
        <f>AVERAGE(H15:H48)</f>
        <v>4.6056743421052646</v>
      </c>
    </row>
    <row r="15" spans="1:8" s="298" customFormat="1" ht="13.15" customHeight="1">
      <c r="A15" s="528" t="s">
        <v>958</v>
      </c>
      <c r="B15" s="517"/>
      <c r="C15" s="511">
        <v>9.9</v>
      </c>
      <c r="D15" s="511">
        <v>5.6</v>
      </c>
      <c r="E15" s="511">
        <v>8.57</v>
      </c>
      <c r="F15" s="511">
        <v>9.9</v>
      </c>
      <c r="G15" s="511">
        <v>5.5</v>
      </c>
      <c r="H15" s="511">
        <v>7.93</v>
      </c>
    </row>
    <row r="16" spans="1:8" s="298" customFormat="1" ht="13.15" customHeight="1">
      <c r="A16" s="243" t="s">
        <v>959</v>
      </c>
      <c r="C16" s="41">
        <v>9.25</v>
      </c>
      <c r="D16" s="41">
        <v>6.75</v>
      </c>
      <c r="E16" s="41">
        <v>8.2100000000000009</v>
      </c>
      <c r="F16" s="41">
        <v>9.25</v>
      </c>
      <c r="G16" s="41">
        <v>6.75</v>
      </c>
      <c r="H16" s="41">
        <v>8.2100000000000009</v>
      </c>
    </row>
    <row r="17" spans="1:16" s="298" customFormat="1" ht="13.15" customHeight="1">
      <c r="A17" s="528" t="s">
        <v>951</v>
      </c>
      <c r="B17" s="517"/>
      <c r="C17" s="511">
        <v>8</v>
      </c>
      <c r="D17" s="511">
        <v>6.75</v>
      </c>
      <c r="E17" s="511">
        <v>7.66</v>
      </c>
      <c r="F17" s="511">
        <v>8</v>
      </c>
      <c r="G17" s="511">
        <v>6.75</v>
      </c>
      <c r="H17" s="511">
        <v>7.66</v>
      </c>
    </row>
    <row r="18" spans="1:16" s="298" customFormat="1" ht="13.15" customHeight="1">
      <c r="A18" s="243" t="s">
        <v>960</v>
      </c>
      <c r="C18" s="41">
        <v>8</v>
      </c>
      <c r="D18" s="41">
        <v>6.5</v>
      </c>
      <c r="E18" s="41">
        <v>7.57</v>
      </c>
      <c r="F18" s="41">
        <v>8</v>
      </c>
      <c r="G18" s="41">
        <v>6.5</v>
      </c>
      <c r="H18" s="41">
        <v>7.57</v>
      </c>
    </row>
    <row r="19" spans="1:16" s="797" customFormat="1" ht="13.15" customHeight="1">
      <c r="A19" s="714" t="s">
        <v>961</v>
      </c>
      <c r="B19" s="574"/>
      <c r="C19" s="505">
        <v>8</v>
      </c>
      <c r="D19" s="505">
        <v>5.05</v>
      </c>
      <c r="E19" s="505">
        <v>6.4</v>
      </c>
      <c r="F19" s="505">
        <v>8</v>
      </c>
      <c r="G19" s="505">
        <v>5.05</v>
      </c>
      <c r="H19" s="505">
        <v>6.41</v>
      </c>
      <c r="I19" s="298"/>
      <c r="J19" s="298"/>
      <c r="K19" s="298"/>
      <c r="L19" s="298"/>
      <c r="M19" s="298"/>
      <c r="N19" s="298"/>
      <c r="O19" s="298"/>
      <c r="P19" s="298"/>
    </row>
    <row r="20" spans="1:16" s="797" customFormat="1" ht="13.15" customHeight="1">
      <c r="A20" s="700" t="s">
        <v>952</v>
      </c>
      <c r="B20" s="457"/>
      <c r="C20" s="460">
        <v>6.75</v>
      </c>
      <c r="D20" s="460">
        <v>5</v>
      </c>
      <c r="E20" s="460">
        <v>5.79</v>
      </c>
      <c r="F20" s="460">
        <v>6.75</v>
      </c>
      <c r="G20" s="460">
        <v>5</v>
      </c>
      <c r="H20" s="460">
        <v>5.79</v>
      </c>
      <c r="I20" s="298"/>
      <c r="J20" s="298"/>
      <c r="K20" s="298"/>
      <c r="L20" s="298"/>
      <c r="M20" s="298"/>
      <c r="N20" s="298"/>
      <c r="O20" s="298"/>
      <c r="P20" s="298"/>
    </row>
    <row r="21" spans="1:16" s="797" customFormat="1" ht="13.15" customHeight="1">
      <c r="A21" s="714" t="s">
        <v>954</v>
      </c>
      <c r="B21" s="574"/>
      <c r="C21" s="505">
        <v>6.5</v>
      </c>
      <c r="D21" s="505">
        <v>5</v>
      </c>
      <c r="E21" s="505">
        <v>5.67</v>
      </c>
      <c r="F21" s="505">
        <v>6.5</v>
      </c>
      <c r="G21" s="505">
        <v>5</v>
      </c>
      <c r="H21" s="505">
        <v>5.67</v>
      </c>
      <c r="I21" s="298"/>
      <c r="J21" s="298"/>
      <c r="K21" s="298"/>
      <c r="L21" s="298"/>
      <c r="M21" s="298"/>
      <c r="N21" s="298"/>
      <c r="O21" s="298"/>
      <c r="P21" s="298"/>
    </row>
    <row r="22" spans="1:16" s="797" customFormat="1" ht="13.15" customHeight="1">
      <c r="A22" s="700" t="s">
        <v>955</v>
      </c>
      <c r="B22" s="457"/>
      <c r="C22" s="460">
        <v>6.5</v>
      </c>
      <c r="D22" s="460">
        <v>5.25</v>
      </c>
      <c r="E22" s="460">
        <v>5.63</v>
      </c>
      <c r="F22" s="460">
        <v>6.5</v>
      </c>
      <c r="G22" s="460">
        <v>5.25</v>
      </c>
      <c r="H22" s="460">
        <v>5.63</v>
      </c>
      <c r="I22" s="298"/>
      <c r="J22" s="298"/>
      <c r="K22" s="298"/>
      <c r="L22" s="298"/>
      <c r="M22" s="298"/>
      <c r="N22" s="298"/>
      <c r="O22" s="298"/>
      <c r="P22" s="298"/>
    </row>
    <row r="23" spans="1:16" s="797" customFormat="1" ht="13.15" customHeight="1">
      <c r="A23" s="714" t="s">
        <v>949</v>
      </c>
      <c r="B23" s="574"/>
      <c r="C23" s="505">
        <v>6.5</v>
      </c>
      <c r="D23" s="505">
        <v>5.25</v>
      </c>
      <c r="E23" s="505">
        <v>5.71</v>
      </c>
      <c r="F23" s="505">
        <v>6.5</v>
      </c>
      <c r="G23" s="505">
        <v>5.25</v>
      </c>
      <c r="H23" s="505">
        <v>5.71</v>
      </c>
      <c r="I23" s="298"/>
      <c r="J23" s="298"/>
      <c r="K23" s="298"/>
      <c r="L23" s="298"/>
      <c r="M23" s="298"/>
      <c r="N23" s="298"/>
      <c r="O23" s="298"/>
      <c r="P23" s="298"/>
    </row>
    <row r="24" spans="1:16" s="797" customFormat="1" ht="13.15" customHeight="1">
      <c r="A24" s="700" t="s">
        <v>956</v>
      </c>
      <c r="B24" s="457"/>
      <c r="C24" s="460">
        <v>6.5</v>
      </c>
      <c r="D24" s="460">
        <v>3</v>
      </c>
      <c r="E24" s="460">
        <v>5.63</v>
      </c>
      <c r="F24" s="460">
        <v>6.5</v>
      </c>
      <c r="G24" s="460">
        <v>3</v>
      </c>
      <c r="H24" s="460">
        <v>5.63</v>
      </c>
      <c r="I24" s="298"/>
      <c r="J24" s="298"/>
      <c r="K24" s="298"/>
      <c r="L24" s="298"/>
      <c r="M24" s="298"/>
      <c r="N24" s="298"/>
      <c r="O24" s="298"/>
      <c r="P24" s="298"/>
    </row>
    <row r="25" spans="1:16" s="797" customFormat="1" ht="13.15" customHeight="1">
      <c r="A25" s="714" t="s">
        <v>957</v>
      </c>
      <c r="B25" s="574"/>
      <c r="C25" s="505">
        <v>5.5</v>
      </c>
      <c r="D25" s="505">
        <v>2.25</v>
      </c>
      <c r="E25" s="505">
        <v>3.85</v>
      </c>
      <c r="F25" s="505">
        <v>5.5</v>
      </c>
      <c r="G25" s="505">
        <v>2.25</v>
      </c>
      <c r="H25" s="505">
        <v>3.85</v>
      </c>
      <c r="I25" s="298"/>
      <c r="J25" s="298"/>
      <c r="K25" s="298"/>
      <c r="L25" s="298"/>
      <c r="M25" s="298"/>
      <c r="N25" s="298"/>
      <c r="O25" s="298"/>
      <c r="P25" s="298"/>
    </row>
    <row r="26" spans="1:16" s="797" customFormat="1" ht="13.15" customHeight="1">
      <c r="A26" s="700" t="s">
        <v>950</v>
      </c>
      <c r="B26" s="457"/>
      <c r="C26" s="460">
        <v>4.5</v>
      </c>
      <c r="D26" s="460">
        <v>1.25</v>
      </c>
      <c r="E26" s="460">
        <v>3.69</v>
      </c>
      <c r="F26" s="460">
        <v>4.5</v>
      </c>
      <c r="G26" s="460">
        <v>1.25</v>
      </c>
      <c r="H26" s="460">
        <v>3.69</v>
      </c>
      <c r="I26" s="298"/>
      <c r="J26" s="298"/>
      <c r="K26" s="298"/>
      <c r="L26" s="298"/>
      <c r="M26" s="298"/>
      <c r="N26" s="298"/>
      <c r="O26" s="298"/>
      <c r="P26" s="298"/>
    </row>
    <row r="27" spans="1:16" s="797" customFormat="1" ht="13.15" customHeight="1">
      <c r="A27" s="966">
        <v>2016</v>
      </c>
      <c r="B27" s="574"/>
      <c r="C27" s="516">
        <f>MAX(C28:C61)</f>
        <v>5</v>
      </c>
      <c r="D27" s="516">
        <f>MIN(D28:D61)</f>
        <v>1</v>
      </c>
      <c r="E27" s="516">
        <f>AVERAGE(E28:E61)</f>
        <v>3.6815789473684211</v>
      </c>
      <c r="F27" s="516">
        <f>MAX(F28:F61)</f>
        <v>5</v>
      </c>
      <c r="G27" s="516">
        <f>MIN(G28:G61)</f>
        <v>1</v>
      </c>
      <c r="H27" s="516">
        <f>AVERAGE(H28:H61)</f>
        <v>3.6815789473684211</v>
      </c>
      <c r="I27" s="298"/>
      <c r="J27" s="298"/>
      <c r="K27" s="298"/>
      <c r="L27" s="298"/>
      <c r="M27" s="298"/>
      <c r="N27" s="298"/>
      <c r="O27" s="298"/>
      <c r="P27" s="298"/>
    </row>
    <row r="28" spans="1:16" s="797" customFormat="1" ht="13.15" customHeight="1">
      <c r="A28" s="700" t="s">
        <v>958</v>
      </c>
      <c r="B28" s="457"/>
      <c r="C28" s="460">
        <v>5</v>
      </c>
      <c r="D28" s="460">
        <v>1.25</v>
      </c>
      <c r="E28" s="460">
        <v>3.9</v>
      </c>
      <c r="F28" s="460">
        <v>5</v>
      </c>
      <c r="G28" s="460">
        <v>1.25</v>
      </c>
      <c r="H28" s="460">
        <v>3.9</v>
      </c>
      <c r="I28" s="298"/>
      <c r="J28" s="298"/>
      <c r="K28" s="298"/>
      <c r="L28" s="298"/>
      <c r="M28" s="298"/>
      <c r="N28" s="298"/>
      <c r="O28" s="298"/>
      <c r="P28" s="298"/>
    </row>
    <row r="29" spans="1:16" s="797" customFormat="1" ht="13.15" customHeight="1">
      <c r="A29" s="714" t="s">
        <v>2300</v>
      </c>
      <c r="B29" s="574"/>
      <c r="C29" s="505">
        <v>4.5</v>
      </c>
      <c r="D29" s="505">
        <v>1.5</v>
      </c>
      <c r="E29" s="505">
        <v>3.73</v>
      </c>
      <c r="F29" s="505">
        <v>4.5</v>
      </c>
      <c r="G29" s="505">
        <v>1.5</v>
      </c>
      <c r="H29" s="505">
        <v>3.73</v>
      </c>
      <c r="I29" s="298"/>
      <c r="J29" s="298"/>
      <c r="K29" s="298"/>
      <c r="L29" s="298"/>
      <c r="M29" s="298"/>
      <c r="N29" s="298"/>
      <c r="O29" s="298"/>
      <c r="P29" s="298"/>
    </row>
    <row r="30" spans="1:16" s="797" customFormat="1" ht="13.15" customHeight="1">
      <c r="A30" s="700" t="s">
        <v>951</v>
      </c>
      <c r="B30" s="457"/>
      <c r="C30" s="460">
        <v>4.5</v>
      </c>
      <c r="D30" s="460">
        <v>1</v>
      </c>
      <c r="E30" s="460">
        <v>3.68</v>
      </c>
      <c r="F30" s="460">
        <v>4.5</v>
      </c>
      <c r="G30" s="460">
        <v>1</v>
      </c>
      <c r="H30" s="460">
        <v>3.68</v>
      </c>
      <c r="I30" s="298"/>
      <c r="J30" s="298"/>
      <c r="K30" s="298"/>
      <c r="L30" s="298"/>
      <c r="M30" s="298"/>
      <c r="N30" s="298"/>
      <c r="O30" s="298"/>
      <c r="P30" s="298"/>
    </row>
    <row r="31" spans="1:16" s="797" customFormat="1" ht="13.15" customHeight="1">
      <c r="A31" s="714" t="s">
        <v>960</v>
      </c>
      <c r="B31" s="574"/>
      <c r="C31" s="505">
        <v>4.5</v>
      </c>
      <c r="D31" s="505">
        <v>1.5</v>
      </c>
      <c r="E31" s="505">
        <v>3.68</v>
      </c>
      <c r="F31" s="505">
        <v>4.5</v>
      </c>
      <c r="G31" s="505">
        <v>1.5</v>
      </c>
      <c r="H31" s="505">
        <v>3.68</v>
      </c>
      <c r="I31" s="298"/>
      <c r="J31" s="298"/>
      <c r="K31" s="298"/>
      <c r="L31" s="298"/>
      <c r="M31" s="298"/>
      <c r="N31" s="298"/>
      <c r="O31" s="298"/>
      <c r="P31" s="298"/>
    </row>
    <row r="32" spans="1:16" s="797" customFormat="1" ht="13.15" customHeight="1">
      <c r="A32" s="700" t="s">
        <v>961</v>
      </c>
      <c r="B32" s="457"/>
      <c r="C32" s="460">
        <v>4.5</v>
      </c>
      <c r="D32" s="460">
        <v>1.1000000000000001</v>
      </c>
      <c r="E32" s="460">
        <v>3.67</v>
      </c>
      <c r="F32" s="460">
        <v>4.5</v>
      </c>
      <c r="G32" s="460">
        <v>1.1000000000000001</v>
      </c>
      <c r="H32" s="460">
        <v>3.67</v>
      </c>
      <c r="I32" s="298"/>
      <c r="J32" s="298"/>
      <c r="K32" s="298"/>
      <c r="L32" s="298"/>
      <c r="M32" s="298"/>
      <c r="N32" s="298"/>
      <c r="O32" s="298"/>
      <c r="P32" s="298"/>
    </row>
    <row r="33" spans="1:16" s="797" customFormat="1" ht="13.15" customHeight="1">
      <c r="A33" s="714" t="s">
        <v>952</v>
      </c>
      <c r="B33" s="574"/>
      <c r="C33" s="505">
        <v>4.5</v>
      </c>
      <c r="D33" s="505">
        <v>1.1000000000000001</v>
      </c>
      <c r="E33" s="505">
        <v>3.7</v>
      </c>
      <c r="F33" s="505">
        <v>4.5</v>
      </c>
      <c r="G33" s="505">
        <v>1.1000000000000001</v>
      </c>
      <c r="H33" s="505">
        <v>3.7</v>
      </c>
      <c r="I33" s="298"/>
      <c r="J33" s="298"/>
      <c r="K33" s="298"/>
      <c r="L33" s="298"/>
      <c r="M33" s="298"/>
      <c r="N33" s="298"/>
      <c r="O33" s="298"/>
      <c r="P33" s="298"/>
    </row>
    <row r="34" spans="1:16" s="797" customFormat="1" ht="13.15" customHeight="1">
      <c r="A34" s="700" t="s">
        <v>954</v>
      </c>
      <c r="B34" s="457"/>
      <c r="C34" s="460">
        <v>4.5</v>
      </c>
      <c r="D34" s="460">
        <v>1</v>
      </c>
      <c r="E34" s="460">
        <v>3.68</v>
      </c>
      <c r="F34" s="460">
        <v>4.5</v>
      </c>
      <c r="G34" s="460">
        <v>1</v>
      </c>
      <c r="H34" s="460">
        <v>3.68</v>
      </c>
      <c r="I34" s="298"/>
      <c r="J34" s="298"/>
      <c r="K34" s="298"/>
      <c r="L34" s="298"/>
      <c r="M34" s="298"/>
      <c r="N34" s="298"/>
      <c r="O34" s="298"/>
      <c r="P34" s="298"/>
    </row>
    <row r="35" spans="1:16" s="797" customFormat="1" ht="13.15" customHeight="1">
      <c r="A35" s="714" t="s">
        <v>955</v>
      </c>
      <c r="B35" s="574"/>
      <c r="C35" s="505">
        <v>4.5</v>
      </c>
      <c r="D35" s="505">
        <v>1</v>
      </c>
      <c r="E35" s="505">
        <v>3.65</v>
      </c>
      <c r="F35" s="505">
        <v>4.5</v>
      </c>
      <c r="G35" s="505">
        <v>1</v>
      </c>
      <c r="H35" s="505">
        <v>3.65</v>
      </c>
      <c r="I35" s="298"/>
      <c r="J35" s="298"/>
      <c r="K35" s="298"/>
      <c r="L35" s="298"/>
      <c r="M35" s="298"/>
      <c r="N35" s="298"/>
      <c r="O35" s="298"/>
      <c r="P35" s="298"/>
    </row>
    <row r="36" spans="1:16" s="797" customFormat="1" ht="13.15" customHeight="1">
      <c r="A36" s="700" t="s">
        <v>949</v>
      </c>
      <c r="B36" s="457"/>
      <c r="C36" s="460">
        <v>4.5</v>
      </c>
      <c r="D36" s="460">
        <v>1.5</v>
      </c>
      <c r="E36" s="460">
        <v>3.64</v>
      </c>
      <c r="F36" s="460">
        <v>4.5</v>
      </c>
      <c r="G36" s="460">
        <v>1.5</v>
      </c>
      <c r="H36" s="460">
        <v>3.64</v>
      </c>
      <c r="I36" s="298"/>
      <c r="J36" s="298"/>
      <c r="K36" s="298"/>
      <c r="L36" s="298"/>
      <c r="M36" s="298"/>
      <c r="N36" s="298"/>
      <c r="O36" s="298"/>
      <c r="P36" s="298"/>
    </row>
    <row r="37" spans="1:16" s="797" customFormat="1" ht="13.15" customHeight="1">
      <c r="A37" s="714" t="s">
        <v>956</v>
      </c>
      <c r="B37" s="574"/>
      <c r="C37" s="505">
        <v>4.5</v>
      </c>
      <c r="D37" s="505">
        <v>2</v>
      </c>
      <c r="E37" s="505">
        <v>3.52</v>
      </c>
      <c r="F37" s="505">
        <v>4.5</v>
      </c>
      <c r="G37" s="505">
        <v>2</v>
      </c>
      <c r="H37" s="505">
        <v>3.52</v>
      </c>
      <c r="I37" s="298"/>
      <c r="J37" s="298"/>
      <c r="K37" s="298"/>
      <c r="L37" s="298"/>
      <c r="M37" s="298"/>
      <c r="N37" s="298"/>
      <c r="O37" s="298"/>
      <c r="P37" s="298"/>
    </row>
    <row r="38" spans="1:16" s="797" customFormat="1" ht="13.15" customHeight="1">
      <c r="A38" s="700" t="s">
        <v>957</v>
      </c>
      <c r="B38" s="700"/>
      <c r="C38" s="460">
        <v>4.5</v>
      </c>
      <c r="D38" s="459">
        <v>2.25</v>
      </c>
      <c r="E38" s="459">
        <v>3.56</v>
      </c>
      <c r="F38" s="460">
        <v>4.5</v>
      </c>
      <c r="G38" s="459">
        <v>2.25</v>
      </c>
      <c r="H38" s="459">
        <v>3.56</v>
      </c>
      <c r="I38" s="298"/>
      <c r="J38" s="298"/>
      <c r="K38" s="298"/>
      <c r="L38" s="298"/>
      <c r="M38" s="298"/>
      <c r="N38" s="298"/>
      <c r="O38" s="298"/>
      <c r="P38" s="298"/>
    </row>
    <row r="39" spans="1:16" s="797" customFormat="1" ht="13.15" customHeight="1">
      <c r="A39" s="714" t="s">
        <v>950</v>
      </c>
      <c r="B39" s="714"/>
      <c r="C39" s="505">
        <v>4.5</v>
      </c>
      <c r="D39" s="504">
        <v>2.25</v>
      </c>
      <c r="E39" s="504">
        <v>3.62</v>
      </c>
      <c r="F39" s="505">
        <v>4.5</v>
      </c>
      <c r="G39" s="504">
        <v>2.25</v>
      </c>
      <c r="H39" s="504">
        <v>3.62</v>
      </c>
      <c r="I39" s="298"/>
      <c r="J39" s="298"/>
      <c r="K39" s="298"/>
      <c r="L39" s="298"/>
      <c r="M39" s="298"/>
      <c r="N39" s="298"/>
      <c r="O39" s="298"/>
      <c r="P39" s="298"/>
    </row>
    <row r="40" spans="1:16" s="797" customFormat="1" ht="13.15" customHeight="1">
      <c r="A40" s="874">
        <v>2017</v>
      </c>
      <c r="B40" s="700"/>
      <c r="C40" s="460"/>
      <c r="D40" s="459"/>
      <c r="E40" s="459"/>
      <c r="F40" s="460"/>
      <c r="G40" s="459"/>
      <c r="H40" s="459"/>
      <c r="I40" s="298"/>
      <c r="J40" s="298"/>
      <c r="K40" s="298"/>
      <c r="L40" s="298"/>
      <c r="M40" s="298"/>
      <c r="N40" s="298"/>
      <c r="O40" s="298"/>
      <c r="P40" s="298"/>
    </row>
    <row r="41" spans="1:16" s="797" customFormat="1" ht="13.15" customHeight="1">
      <c r="A41" s="714" t="s">
        <v>958</v>
      </c>
      <c r="B41" s="714"/>
      <c r="C41" s="505">
        <v>4.5</v>
      </c>
      <c r="D41" s="504">
        <v>2.25</v>
      </c>
      <c r="E41" s="504">
        <v>3.54</v>
      </c>
      <c r="F41" s="505">
        <v>4.5</v>
      </c>
      <c r="G41" s="504">
        <v>2.25</v>
      </c>
      <c r="H41" s="504">
        <v>3.54</v>
      </c>
      <c r="I41" s="298"/>
      <c r="J41" s="298"/>
      <c r="K41" s="298"/>
      <c r="L41" s="298"/>
      <c r="M41" s="298"/>
      <c r="N41" s="298"/>
      <c r="O41" s="298"/>
      <c r="P41" s="298"/>
    </row>
    <row r="42" spans="1:16" s="797" customFormat="1" ht="13.15" customHeight="1">
      <c r="A42" s="700" t="s">
        <v>959</v>
      </c>
      <c r="B42" s="700"/>
      <c r="C42" s="460">
        <v>4.5</v>
      </c>
      <c r="D42" s="459">
        <v>2.75</v>
      </c>
      <c r="E42" s="460">
        <v>3.5</v>
      </c>
      <c r="F42" s="460">
        <v>4.5</v>
      </c>
      <c r="G42" s="459">
        <v>2.75</v>
      </c>
      <c r="H42" s="460">
        <v>3.5</v>
      </c>
      <c r="I42" s="298"/>
      <c r="J42" s="298"/>
      <c r="K42" s="298"/>
      <c r="L42" s="298"/>
      <c r="M42" s="298"/>
      <c r="N42" s="298"/>
      <c r="O42" s="298"/>
      <c r="P42" s="298"/>
    </row>
    <row r="43" spans="1:16" s="797" customFormat="1" ht="13.15" customHeight="1">
      <c r="A43" s="714" t="s">
        <v>951</v>
      </c>
      <c r="B43" s="714"/>
      <c r="C43" s="505">
        <v>4.5</v>
      </c>
      <c r="D43" s="504">
        <v>2.25</v>
      </c>
      <c r="E43" s="505">
        <v>3.66</v>
      </c>
      <c r="F43" s="505">
        <v>4.5</v>
      </c>
      <c r="G43" s="504">
        <v>2.25</v>
      </c>
      <c r="H43" s="505">
        <v>3.66</v>
      </c>
      <c r="I43" s="298"/>
      <c r="J43" s="298"/>
      <c r="K43" s="298"/>
      <c r="L43" s="298"/>
      <c r="M43" s="298"/>
      <c r="N43" s="298"/>
      <c r="O43" s="298"/>
      <c r="P43" s="298"/>
    </row>
    <row r="44" spans="1:16" s="797" customFormat="1" ht="13.15" customHeight="1">
      <c r="A44" s="700" t="s">
        <v>960</v>
      </c>
      <c r="B44" s="700"/>
      <c r="C44" s="460">
        <v>4.5</v>
      </c>
      <c r="D44" s="460">
        <v>1.8</v>
      </c>
      <c r="E44" s="460">
        <v>3.76</v>
      </c>
      <c r="F44" s="460">
        <v>4.5</v>
      </c>
      <c r="G44" s="460">
        <v>1.8</v>
      </c>
      <c r="H44" s="460">
        <v>3.76</v>
      </c>
      <c r="I44" s="298"/>
      <c r="J44" s="298"/>
      <c r="K44" s="298"/>
      <c r="L44" s="298"/>
      <c r="M44" s="298"/>
      <c r="N44" s="298"/>
      <c r="O44" s="298"/>
      <c r="P44" s="298"/>
    </row>
    <row r="45" spans="1:16" s="797" customFormat="1" ht="13.15" customHeight="1">
      <c r="A45" s="714" t="s">
        <v>961</v>
      </c>
      <c r="B45" s="714"/>
      <c r="C45" s="505">
        <v>4.5</v>
      </c>
      <c r="D45" s="505">
        <v>1.75</v>
      </c>
      <c r="E45" s="505">
        <v>3.81</v>
      </c>
      <c r="F45" s="505">
        <v>4.5</v>
      </c>
      <c r="G45" s="505">
        <v>1.75</v>
      </c>
      <c r="H45" s="505">
        <v>3.81</v>
      </c>
      <c r="I45" s="298"/>
      <c r="J45" s="298"/>
      <c r="K45" s="298"/>
      <c r="L45" s="298"/>
      <c r="M45" s="298"/>
      <c r="N45" s="298"/>
      <c r="O45" s="298"/>
      <c r="P45" s="298"/>
    </row>
    <row r="46" spans="1:16" s="797" customFormat="1" ht="13.15" customHeight="1">
      <c r="A46" s="700" t="s">
        <v>952</v>
      </c>
      <c r="B46" s="700"/>
      <c r="C46" s="460">
        <v>4.5</v>
      </c>
      <c r="D46" s="460">
        <v>1.8</v>
      </c>
      <c r="E46" s="460">
        <v>3.93</v>
      </c>
      <c r="F46" s="460">
        <v>4.5</v>
      </c>
      <c r="G46" s="460">
        <v>1.8</v>
      </c>
      <c r="H46" s="460">
        <v>3.93</v>
      </c>
      <c r="I46" s="298"/>
      <c r="J46" s="298"/>
      <c r="K46" s="298"/>
      <c r="L46" s="298"/>
      <c r="M46" s="298"/>
      <c r="N46" s="298"/>
      <c r="O46" s="298"/>
      <c r="P46" s="298"/>
    </row>
    <row r="47" spans="1:16" s="797" customFormat="1" ht="13.15" customHeight="1" thickBot="1">
      <c r="A47" s="1545" t="s">
        <v>954</v>
      </c>
      <c r="B47" s="1545"/>
      <c r="C47" s="837">
        <v>4.5</v>
      </c>
      <c r="D47" s="837">
        <v>1.5</v>
      </c>
      <c r="E47" s="837">
        <v>3.72</v>
      </c>
      <c r="F47" s="837">
        <v>4.5</v>
      </c>
      <c r="G47" s="837">
        <v>1.5</v>
      </c>
      <c r="H47" s="837">
        <v>3.72</v>
      </c>
      <c r="I47" s="298"/>
      <c r="J47" s="298"/>
      <c r="K47" s="298"/>
      <c r="L47" s="298"/>
      <c r="M47" s="298"/>
      <c r="N47" s="298"/>
      <c r="O47" s="298"/>
      <c r="P47" s="298"/>
    </row>
    <row r="48" spans="1:16" s="11" customFormat="1">
      <c r="A48" s="193" t="s">
        <v>741</v>
      </c>
      <c r="B48" s="2060" t="s">
        <v>2523</v>
      </c>
      <c r="C48" s="2060"/>
      <c r="D48" s="2060"/>
      <c r="E48" s="2060"/>
      <c r="F48" s="2060"/>
      <c r="G48" s="103"/>
    </row>
    <row r="51" spans="4:4">
      <c r="D51" s="131"/>
    </row>
  </sheetData>
  <mergeCells count="8">
    <mergeCell ref="B1:F1"/>
    <mergeCell ref="G1:H1"/>
    <mergeCell ref="A2:F2"/>
    <mergeCell ref="G2:H2"/>
    <mergeCell ref="B48:F48"/>
    <mergeCell ref="A3:A4"/>
    <mergeCell ref="C3:E3"/>
    <mergeCell ref="F3:H3"/>
  </mergeCells>
  <phoneticPr fontId="47" type="noConversion"/>
  <pageMargins left="0.62992125984252001" right="0.511811023622047" top="0.39370078740157499" bottom="0.118110236220472" header="0.25" footer="0"/>
  <pageSetup paperSize="151" firstPageNumber="78" orientation="portrait" useFirstPageNumber="1" r:id="rId1"/>
  <headerFooter alignWithMargins="0">
    <oddFooter>&amp;C&amp;"Times New Roman,Regular"&amp;8 78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CH101"/>
  <sheetViews>
    <sheetView topLeftCell="BU1" zoomScale="130" zoomScaleNormal="130" workbookViewId="0">
      <pane ySplit="7" topLeftCell="A14" activePane="bottomLeft" state="frozen"/>
      <selection activeCell="I1" sqref="I1"/>
      <selection pane="bottomLeft" activeCell="CH20" sqref="CH20"/>
    </sheetView>
  </sheetViews>
  <sheetFormatPr defaultColWidth="9.140625" defaultRowHeight="11.25"/>
  <cols>
    <col min="1" max="8" width="9.140625" style="10"/>
    <col min="9" max="9" width="8.42578125" style="10" customWidth="1"/>
    <col min="10" max="10" width="1.28515625" style="10" customWidth="1"/>
    <col min="11" max="11" width="9" style="10" customWidth="1"/>
    <col min="12" max="12" width="9.5703125" style="10" customWidth="1"/>
    <col min="13" max="14" width="8.5703125" style="10" customWidth="1"/>
    <col min="15" max="15" width="8.85546875" style="10" customWidth="1"/>
    <col min="16" max="16" width="7.85546875" style="10" customWidth="1"/>
    <col min="17" max="17" width="8.42578125" style="10" customWidth="1"/>
    <col min="18" max="18" width="8" style="10" customWidth="1"/>
    <col min="19" max="20" width="9.42578125" style="10" customWidth="1"/>
    <col min="21" max="21" width="9" style="10" customWidth="1"/>
    <col min="22" max="22" width="9.140625" style="10" customWidth="1"/>
    <col min="23" max="23" width="9.7109375" style="10" customWidth="1"/>
    <col min="24" max="24" width="9.85546875" style="10" customWidth="1"/>
    <col min="25" max="25" width="9.140625" style="10"/>
    <col min="26" max="26" width="9.28515625" style="10" customWidth="1"/>
    <col min="27" max="27" width="8.85546875" style="10" customWidth="1"/>
    <col min="28" max="28" width="6.85546875" style="10" customWidth="1"/>
    <col min="29" max="29" width="7.7109375" style="10" customWidth="1"/>
    <col min="30" max="30" width="8.5703125" style="10" customWidth="1"/>
    <col min="31" max="31" width="10.28515625" style="10" customWidth="1"/>
    <col min="32" max="32" width="8.7109375" style="10" customWidth="1"/>
    <col min="33" max="33" width="8.5703125" style="10" customWidth="1"/>
    <col min="34" max="34" width="9" style="10" customWidth="1"/>
    <col min="35" max="35" width="9.28515625" style="10" customWidth="1"/>
    <col min="36" max="36" width="8.85546875" style="10" customWidth="1"/>
    <col min="37" max="37" width="9" style="10" customWidth="1"/>
    <col min="38" max="38" width="8.5703125" style="10" customWidth="1"/>
    <col min="39" max="39" width="11.42578125" style="10" customWidth="1"/>
    <col min="40" max="40" width="9.5703125" style="10" customWidth="1"/>
    <col min="41" max="41" width="9.28515625" style="10" customWidth="1"/>
    <col min="42" max="42" width="10.140625" style="10" customWidth="1"/>
    <col min="43" max="43" width="11" style="10" customWidth="1"/>
    <col min="44" max="44" width="9" style="10" customWidth="1"/>
    <col min="45" max="45" width="9.28515625" style="10" bestFit="1" customWidth="1"/>
    <col min="46" max="46" width="10.28515625" style="10" customWidth="1"/>
    <col min="47" max="47" width="9.28515625" style="10" customWidth="1"/>
    <col min="48" max="48" width="9.5703125" style="10" customWidth="1"/>
    <col min="49" max="49" width="10" style="10" customWidth="1"/>
    <col min="50" max="51" width="10.5703125" style="10" customWidth="1"/>
    <col min="52" max="52" width="8.28515625" style="10" customWidth="1"/>
    <col min="53" max="53" width="7.85546875" style="10" customWidth="1"/>
    <col min="54" max="54" width="7.28515625" style="10" customWidth="1"/>
    <col min="55" max="55" width="8.7109375" style="10" customWidth="1"/>
    <col min="56" max="56" width="7.42578125" style="10" customWidth="1"/>
    <col min="57" max="57" width="7.7109375" style="10" customWidth="1"/>
    <col min="58" max="58" width="7.42578125" style="10" customWidth="1"/>
    <col min="59" max="59" width="7.28515625" style="10" customWidth="1"/>
    <col min="60" max="60" width="8" style="10" customWidth="1"/>
    <col min="61" max="61" width="8.42578125" style="10" customWidth="1"/>
    <col min="62" max="62" width="7.5703125" style="10" customWidth="1"/>
    <col min="63" max="63" width="1.28515625" style="10" customWidth="1"/>
    <col min="64" max="64" width="6.28515625" style="10" customWidth="1"/>
    <col min="65" max="66" width="6" style="10" customWidth="1"/>
    <col min="67" max="67" width="7.28515625" style="10" customWidth="1"/>
    <col min="68" max="68" width="5.85546875" style="10" customWidth="1"/>
    <col min="69" max="69" width="6.5703125" style="10" customWidth="1"/>
    <col min="70" max="70" width="8.85546875" style="10" customWidth="1"/>
    <col min="71" max="71" width="8.5703125" style="10" customWidth="1"/>
    <col min="72" max="72" width="7.85546875" style="10" customWidth="1"/>
    <col min="73" max="73" width="7.140625" style="10" customWidth="1"/>
    <col min="74" max="74" width="6.7109375" style="10" customWidth="1"/>
    <col min="75" max="76" width="6.42578125" style="10" customWidth="1"/>
    <col min="77" max="77" width="8.85546875" style="10" customWidth="1"/>
    <col min="78" max="78" width="5.42578125" style="10" customWidth="1"/>
    <col min="79" max="79" width="6.5703125" style="10" customWidth="1"/>
    <col min="80" max="80" width="7.7109375" style="10" customWidth="1"/>
    <col min="81" max="81" width="6.85546875" style="10" customWidth="1"/>
    <col min="82" max="82" width="6.7109375" style="10" customWidth="1"/>
    <col min="83" max="83" width="7.42578125" style="10" customWidth="1"/>
    <col min="84" max="84" width="6.85546875" style="10" customWidth="1"/>
    <col min="85" max="16384" width="9.140625" style="10"/>
  </cols>
  <sheetData>
    <row r="1" spans="2:86" s="48" customFormat="1" ht="13.5" customHeight="1">
      <c r="I1" s="1663" t="s">
        <v>210</v>
      </c>
      <c r="J1" s="1663"/>
      <c r="K1" s="1663"/>
      <c r="L1" s="1663"/>
      <c r="M1" s="1663"/>
      <c r="N1" s="1663"/>
      <c r="O1" s="1663"/>
      <c r="P1" s="1663"/>
      <c r="Q1" s="1663"/>
      <c r="R1" s="1663"/>
      <c r="S1" s="379" t="s">
        <v>211</v>
      </c>
      <c r="X1" s="1676" t="s">
        <v>632</v>
      </c>
      <c r="Y1" s="1676"/>
      <c r="Z1" s="1676"/>
      <c r="AA1" s="380"/>
      <c r="AF1" s="1674" t="s">
        <v>210</v>
      </c>
      <c r="AG1" s="1674"/>
      <c r="AH1" s="1674"/>
      <c r="AI1" s="1674"/>
      <c r="AJ1" s="1682" t="s">
        <v>631</v>
      </c>
      <c r="AK1" s="1617"/>
      <c r="AO1" s="1676" t="s">
        <v>632</v>
      </c>
      <c r="AP1" s="1676"/>
      <c r="AQ1" s="1676"/>
      <c r="AR1" s="381"/>
      <c r="AS1" s="382"/>
      <c r="AT1" s="382"/>
      <c r="AU1" s="382"/>
      <c r="AV1" s="382"/>
      <c r="AW1" s="1630" t="s">
        <v>210</v>
      </c>
      <c r="AX1" s="1630"/>
      <c r="AY1" s="1630"/>
      <c r="AZ1" s="1629" t="s">
        <v>631</v>
      </c>
      <c r="BA1" s="1629"/>
      <c r="BB1" s="1629"/>
      <c r="BC1" s="1629"/>
      <c r="BD1" s="1629"/>
      <c r="BE1" s="1629"/>
      <c r="BF1" s="1629"/>
      <c r="BG1" s="1676" t="s">
        <v>632</v>
      </c>
      <c r="BH1" s="1676"/>
      <c r="BI1" s="1676"/>
      <c r="BL1" s="380"/>
      <c r="BM1" s="380"/>
      <c r="BN1" s="380"/>
      <c r="BO1" s="380"/>
      <c r="BP1" s="380"/>
      <c r="BQ1" s="380"/>
      <c r="BR1" s="1630" t="s">
        <v>210</v>
      </c>
      <c r="BS1" s="1630"/>
      <c r="BT1" s="1630"/>
      <c r="BU1" s="1630"/>
      <c r="BV1" s="1629" t="s">
        <v>631</v>
      </c>
      <c r="BW1" s="1629"/>
      <c r="BX1" s="1629"/>
      <c r="BY1" s="201"/>
      <c r="BZ1" s="201"/>
      <c r="CC1" s="201"/>
      <c r="CD1" s="1628" t="s">
        <v>967</v>
      </c>
      <c r="CE1" s="1628"/>
      <c r="CF1" s="1628"/>
    </row>
    <row r="2" spans="2:86" s="55" customFormat="1" ht="11.25" customHeight="1">
      <c r="I2" s="383"/>
      <c r="J2" s="383"/>
      <c r="K2" s="383"/>
      <c r="L2" s="383"/>
      <c r="M2" s="383"/>
      <c r="N2" s="383"/>
      <c r="O2" s="383"/>
      <c r="P2" s="383"/>
      <c r="Q2" s="1640" t="s">
        <v>2597</v>
      </c>
      <c r="R2" s="1640"/>
      <c r="S2" s="55" t="s">
        <v>630</v>
      </c>
      <c r="X2" s="384"/>
      <c r="Y2" s="1640" t="s">
        <v>41</v>
      </c>
      <c r="Z2" s="1640"/>
      <c r="AA2" s="384"/>
      <c r="AG2" s="384"/>
      <c r="AH2" s="1675" t="s">
        <v>2597</v>
      </c>
      <c r="AI2" s="1675"/>
      <c r="AJ2" s="55" t="s">
        <v>630</v>
      </c>
      <c r="AO2" s="384"/>
      <c r="AP2" s="1675" t="s">
        <v>41</v>
      </c>
      <c r="AQ2" s="1680"/>
      <c r="AR2" s="385"/>
      <c r="AS2" s="385"/>
      <c r="AT2" s="385"/>
      <c r="AU2" s="385"/>
      <c r="AV2" s="385"/>
      <c r="AW2" s="385"/>
      <c r="AX2" s="1640" t="s">
        <v>2598</v>
      </c>
      <c r="AY2" s="1640"/>
      <c r="AZ2" s="386" t="s">
        <v>630</v>
      </c>
      <c r="BA2" s="384"/>
      <c r="BB2" s="384"/>
      <c r="BC2" s="384"/>
      <c r="BD2" s="384"/>
      <c r="BE2" s="384"/>
      <c r="BF2" s="384"/>
      <c r="BG2" s="384"/>
      <c r="BH2" s="1675" t="s">
        <v>41</v>
      </c>
      <c r="BI2" s="1680"/>
      <c r="BL2" s="384"/>
      <c r="BM2" s="384"/>
      <c r="BN2" s="384"/>
      <c r="BO2" s="384"/>
      <c r="BP2" s="384"/>
      <c r="BQ2" s="384"/>
      <c r="BR2" s="385"/>
      <c r="BT2" s="1618" t="s">
        <v>2599</v>
      </c>
      <c r="BU2" s="1618"/>
      <c r="BV2" s="1631" t="s">
        <v>630</v>
      </c>
      <c r="BW2" s="1631"/>
      <c r="BX2" s="384"/>
      <c r="BY2" s="384"/>
      <c r="BZ2" s="384"/>
      <c r="CC2" s="868"/>
      <c r="CD2" s="165"/>
      <c r="CE2" s="1618" t="s">
        <v>41</v>
      </c>
      <c r="CF2" s="1618"/>
    </row>
    <row r="3" spans="2:86" s="55" customFormat="1" ht="3.75" customHeight="1">
      <c r="P3" s="385"/>
      <c r="Q3" s="1618"/>
      <c r="R3" s="1618"/>
      <c r="S3" s="1642"/>
      <c r="T3" s="1642"/>
      <c r="U3" s="1642"/>
      <c r="V3" s="1641"/>
      <c r="W3" s="1641"/>
      <c r="X3" s="387"/>
      <c r="AA3" s="388"/>
      <c r="AB3" s="1641" t="s">
        <v>1051</v>
      </c>
      <c r="AC3" s="1641"/>
      <c r="AD3" s="1641"/>
      <c r="AE3" s="1641"/>
      <c r="AF3" s="1641"/>
      <c r="AG3" s="387"/>
      <c r="AH3" s="1677"/>
      <c r="AI3" s="1677"/>
      <c r="AJ3" s="1683"/>
      <c r="AK3" s="1683"/>
      <c r="AL3" s="1683"/>
      <c r="AM3" s="1683"/>
      <c r="AN3" s="1683"/>
      <c r="AO3" s="387"/>
      <c r="AP3" s="1675"/>
      <c r="AQ3" s="1680"/>
      <c r="AR3" s="388"/>
      <c r="AS3" s="1641"/>
      <c r="AT3" s="1641"/>
      <c r="AU3" s="1641"/>
      <c r="AV3" s="1641"/>
      <c r="AW3" s="1641"/>
      <c r="AX3" s="1641"/>
      <c r="AY3" s="1641"/>
      <c r="AZ3" s="1641"/>
      <c r="BA3" s="1641"/>
      <c r="BB3" s="1641"/>
      <c r="BC3" s="1641"/>
      <c r="BD3" s="1641"/>
      <c r="BE3" s="1641"/>
      <c r="BF3" s="1641"/>
      <c r="BH3" s="1675"/>
      <c r="BI3" s="1680"/>
      <c r="BL3" s="1641"/>
      <c r="BM3" s="1641"/>
      <c r="BN3" s="1641"/>
      <c r="BO3" s="1641"/>
      <c r="BP3" s="1641"/>
      <c r="BQ3" s="1641"/>
      <c r="BR3" s="1641"/>
      <c r="BU3" s="1641"/>
      <c r="BV3" s="1642"/>
      <c r="BW3" s="1642"/>
      <c r="BX3" s="1642"/>
      <c r="BY3" s="1642"/>
      <c r="BZ3" s="1642"/>
      <c r="CB3" s="1640"/>
      <c r="CC3" s="1640"/>
    </row>
    <row r="4" spans="2:86" s="410" customFormat="1" ht="24.75" customHeight="1">
      <c r="I4" s="1668" t="s">
        <v>1764</v>
      </c>
      <c r="J4" s="1669"/>
      <c r="K4" s="1657" t="s">
        <v>203</v>
      </c>
      <c r="L4" s="1658"/>
      <c r="M4" s="1659"/>
      <c r="N4" s="1634" t="s">
        <v>292</v>
      </c>
      <c r="O4" s="1634" t="s">
        <v>1763</v>
      </c>
      <c r="P4" s="1650" t="s">
        <v>1052</v>
      </c>
      <c r="Q4" s="1651"/>
      <c r="R4" s="1652"/>
      <c r="S4" s="1653" t="s">
        <v>293</v>
      </c>
      <c r="T4" s="1653"/>
      <c r="U4" s="1654"/>
      <c r="V4" s="1661" t="s">
        <v>752</v>
      </c>
      <c r="W4" s="1638" t="s">
        <v>207</v>
      </c>
      <c r="X4" s="1638"/>
      <c r="Y4" s="1638"/>
      <c r="Z4" s="1638"/>
      <c r="AA4" s="1664" t="s">
        <v>1764</v>
      </c>
      <c r="AB4" s="1638" t="s">
        <v>753</v>
      </c>
      <c r="AC4" s="1638"/>
      <c r="AD4" s="1638"/>
      <c r="AE4" s="1638"/>
      <c r="AF4" s="1622" t="s">
        <v>2554</v>
      </c>
      <c r="AG4" s="1622"/>
      <c r="AH4" s="1622"/>
      <c r="AI4" s="1622"/>
      <c r="AJ4" s="1638" t="s">
        <v>754</v>
      </c>
      <c r="AK4" s="1638"/>
      <c r="AL4" s="1638"/>
      <c r="AM4" s="1638"/>
      <c r="AN4" s="1622" t="s">
        <v>1781</v>
      </c>
      <c r="AO4" s="1622"/>
      <c r="AP4" s="1622"/>
      <c r="AQ4" s="1622"/>
      <c r="AR4" s="1684" t="s">
        <v>1764</v>
      </c>
      <c r="AS4" s="1638" t="s">
        <v>39</v>
      </c>
      <c r="AT4" s="1638"/>
      <c r="AU4" s="1638"/>
      <c r="AV4" s="1638"/>
      <c r="AW4" s="1638" t="s">
        <v>252</v>
      </c>
      <c r="AX4" s="1638"/>
      <c r="AY4" s="1638"/>
      <c r="AZ4" s="1638" t="s">
        <v>1435</v>
      </c>
      <c r="BA4" s="1638"/>
      <c r="BB4" s="1638"/>
      <c r="BC4" s="1624" t="s">
        <v>586</v>
      </c>
      <c r="BD4" s="1624" t="s">
        <v>1339</v>
      </c>
      <c r="BE4" s="1622" t="s">
        <v>1109</v>
      </c>
      <c r="BF4" s="1622"/>
      <c r="BG4" s="1622"/>
      <c r="BH4" s="1622"/>
      <c r="BI4" s="1622"/>
      <c r="BJ4" s="1668" t="s">
        <v>1764</v>
      </c>
      <c r="BK4" s="1669"/>
      <c r="BL4" s="1622" t="s">
        <v>215</v>
      </c>
      <c r="BM4" s="1622"/>
      <c r="BN4" s="1622"/>
      <c r="BO4" s="1679"/>
      <c r="BP4" s="1622"/>
      <c r="BQ4" s="1624" t="s">
        <v>216</v>
      </c>
      <c r="BR4" s="1636" t="s">
        <v>1058</v>
      </c>
      <c r="BS4" s="1636"/>
      <c r="BT4" s="1624" t="s">
        <v>301</v>
      </c>
      <c r="BU4" s="1637" t="s">
        <v>1882</v>
      </c>
      <c r="BV4" s="1622" t="s">
        <v>313</v>
      </c>
      <c r="BW4" s="1622"/>
      <c r="BX4" s="1622"/>
      <c r="BY4" s="1622"/>
      <c r="BZ4" s="1622"/>
      <c r="CA4" s="1622"/>
      <c r="CB4" s="1622"/>
      <c r="CC4" s="1622"/>
      <c r="CD4" s="1622"/>
      <c r="CE4" s="1622"/>
      <c r="CF4" s="1622"/>
    </row>
    <row r="5" spans="2:86" s="410" customFormat="1" ht="27" customHeight="1">
      <c r="I5" s="1670"/>
      <c r="J5" s="1671"/>
      <c r="K5" s="1624" t="s">
        <v>2692</v>
      </c>
      <c r="L5" s="1624" t="s">
        <v>2499</v>
      </c>
      <c r="M5" s="1634" t="s">
        <v>1693</v>
      </c>
      <c r="N5" s="1665"/>
      <c r="O5" s="1666"/>
      <c r="P5" s="1634" t="s">
        <v>1765</v>
      </c>
      <c r="Q5" s="1634" t="s">
        <v>311</v>
      </c>
      <c r="R5" s="1354" t="s">
        <v>204</v>
      </c>
      <c r="S5" s="1648" t="s">
        <v>884</v>
      </c>
      <c r="T5" s="1649"/>
      <c r="U5" s="1660" t="s">
        <v>1365</v>
      </c>
      <c r="V5" s="1662"/>
      <c r="W5" s="1624" t="s">
        <v>1768</v>
      </c>
      <c r="X5" s="1655" t="s">
        <v>1769</v>
      </c>
      <c r="Y5" s="1624" t="s">
        <v>1770</v>
      </c>
      <c r="Z5" s="1624" t="s">
        <v>1103</v>
      </c>
      <c r="AA5" s="1664"/>
      <c r="AB5" s="1624" t="s">
        <v>312</v>
      </c>
      <c r="AC5" s="1624" t="s">
        <v>295</v>
      </c>
      <c r="AD5" s="1624" t="s">
        <v>294</v>
      </c>
      <c r="AE5" s="1624" t="s">
        <v>1104</v>
      </c>
      <c r="AF5" s="1624" t="s">
        <v>1771</v>
      </c>
      <c r="AG5" s="1624" t="s">
        <v>296</v>
      </c>
      <c r="AH5" s="1624" t="s">
        <v>1772</v>
      </c>
      <c r="AI5" s="1624" t="s">
        <v>1105</v>
      </c>
      <c r="AJ5" s="1624" t="s">
        <v>1773</v>
      </c>
      <c r="AK5" s="1624" t="s">
        <v>1774</v>
      </c>
      <c r="AL5" s="1624" t="s">
        <v>1775</v>
      </c>
      <c r="AM5" s="1624" t="s">
        <v>1106</v>
      </c>
      <c r="AN5" s="1624" t="s">
        <v>1107</v>
      </c>
      <c r="AO5" s="1637" t="s">
        <v>1776</v>
      </c>
      <c r="AP5" s="1624" t="s">
        <v>1777</v>
      </c>
      <c r="AQ5" s="1624" t="s">
        <v>1363</v>
      </c>
      <c r="AR5" s="1685"/>
      <c r="AS5" s="1624" t="s">
        <v>1778</v>
      </c>
      <c r="AT5" s="1624" t="s">
        <v>1779</v>
      </c>
      <c r="AU5" s="1624" t="s">
        <v>1782</v>
      </c>
      <c r="AV5" s="1624" t="s">
        <v>1780</v>
      </c>
      <c r="AW5" s="1624" t="s">
        <v>40</v>
      </c>
      <c r="AX5" s="1624" t="s">
        <v>1977</v>
      </c>
      <c r="AY5" s="1624" t="s">
        <v>1108</v>
      </c>
      <c r="AZ5" s="1624" t="s">
        <v>298</v>
      </c>
      <c r="BA5" s="1624" t="s">
        <v>2623</v>
      </c>
      <c r="BB5" s="1678" t="s">
        <v>871</v>
      </c>
      <c r="BC5" s="1624"/>
      <c r="BD5" s="1624"/>
      <c r="BE5" s="1678" t="s">
        <v>212</v>
      </c>
      <c r="BF5" s="1678"/>
      <c r="BG5" s="1678" t="s">
        <v>213</v>
      </c>
      <c r="BH5" s="1678"/>
      <c r="BI5" s="1624" t="s">
        <v>1437</v>
      </c>
      <c r="BJ5" s="1670"/>
      <c r="BK5" s="1671"/>
      <c r="BL5" s="1624" t="s">
        <v>218</v>
      </c>
      <c r="BM5" s="1624" t="s">
        <v>219</v>
      </c>
      <c r="BN5" s="1625" t="s">
        <v>300</v>
      </c>
      <c r="BO5" s="1626" t="s">
        <v>225</v>
      </c>
      <c r="BP5" s="1634" t="s">
        <v>1880</v>
      </c>
      <c r="BQ5" s="1624"/>
      <c r="BR5" s="1624" t="s">
        <v>220</v>
      </c>
      <c r="BS5" s="1637" t="s">
        <v>1881</v>
      </c>
      <c r="BT5" s="1624"/>
      <c r="BU5" s="1637"/>
      <c r="BV5" s="1632" t="s">
        <v>1390</v>
      </c>
      <c r="BW5" s="1632" t="s">
        <v>302</v>
      </c>
      <c r="BX5" s="1632" t="s">
        <v>1364</v>
      </c>
      <c r="BY5" s="1643" t="s">
        <v>1883</v>
      </c>
      <c r="BZ5" s="1635" t="s">
        <v>221</v>
      </c>
      <c r="CA5" s="1619" t="s">
        <v>2412</v>
      </c>
      <c r="CB5" s="1620"/>
      <c r="CC5" s="1621"/>
      <c r="CD5" s="1619" t="s">
        <v>2413</v>
      </c>
      <c r="CE5" s="1620"/>
      <c r="CF5" s="1621"/>
    </row>
    <row r="6" spans="2:86" s="410" customFormat="1" ht="45.6" customHeight="1">
      <c r="H6" s="310"/>
      <c r="I6" s="1670"/>
      <c r="J6" s="1671"/>
      <c r="K6" s="1624"/>
      <c r="L6" s="1624"/>
      <c r="M6" s="1635"/>
      <c r="N6" s="1635"/>
      <c r="O6" s="1667"/>
      <c r="P6" s="1635"/>
      <c r="Q6" s="1635"/>
      <c r="R6" s="1356" t="s">
        <v>966</v>
      </c>
      <c r="S6" s="1356" t="s">
        <v>1766</v>
      </c>
      <c r="T6" s="1356" t="s">
        <v>1767</v>
      </c>
      <c r="U6" s="1624"/>
      <c r="V6" s="1662"/>
      <c r="W6" s="1624"/>
      <c r="X6" s="1656"/>
      <c r="Y6" s="1624"/>
      <c r="Z6" s="1624"/>
      <c r="AA6" s="1664"/>
      <c r="AB6" s="1624"/>
      <c r="AC6" s="1624"/>
      <c r="AD6" s="1624"/>
      <c r="AE6" s="1624"/>
      <c r="AF6" s="1624"/>
      <c r="AG6" s="1624"/>
      <c r="AH6" s="1624"/>
      <c r="AI6" s="1624"/>
      <c r="AJ6" s="1624"/>
      <c r="AK6" s="1624"/>
      <c r="AL6" s="1624"/>
      <c r="AM6" s="1624"/>
      <c r="AN6" s="1624"/>
      <c r="AO6" s="1637"/>
      <c r="AP6" s="1624"/>
      <c r="AQ6" s="1624"/>
      <c r="AR6" s="1685"/>
      <c r="AS6" s="1624"/>
      <c r="AT6" s="1624"/>
      <c r="AU6" s="1624"/>
      <c r="AV6" s="1624"/>
      <c r="AW6" s="1624"/>
      <c r="AX6" s="1624"/>
      <c r="AY6" s="1624"/>
      <c r="AZ6" s="1624"/>
      <c r="BA6" s="1624"/>
      <c r="BB6" s="1678"/>
      <c r="BC6" s="1624"/>
      <c r="BD6" s="1624"/>
      <c r="BE6" s="1323" t="s">
        <v>1438</v>
      </c>
      <c r="BF6" s="1355" t="s">
        <v>299</v>
      </c>
      <c r="BG6" s="1323" t="s">
        <v>214</v>
      </c>
      <c r="BH6" s="1355" t="s">
        <v>299</v>
      </c>
      <c r="BI6" s="1624"/>
      <c r="BJ6" s="1670"/>
      <c r="BK6" s="1671"/>
      <c r="BL6" s="1624"/>
      <c r="BM6" s="1624"/>
      <c r="BN6" s="1625"/>
      <c r="BO6" s="1627"/>
      <c r="BP6" s="1635"/>
      <c r="BQ6" s="1624"/>
      <c r="BR6" s="1624"/>
      <c r="BS6" s="1637"/>
      <c r="BT6" s="1624"/>
      <c r="BU6" s="1637"/>
      <c r="BV6" s="1633"/>
      <c r="BW6" s="1633"/>
      <c r="BX6" s="1633"/>
      <c r="BY6" s="1632"/>
      <c r="BZ6" s="1624"/>
      <c r="CA6" s="1563" t="s">
        <v>222</v>
      </c>
      <c r="CB6" s="1564" t="s">
        <v>223</v>
      </c>
      <c r="CC6" s="1564" t="s">
        <v>2251</v>
      </c>
      <c r="CD6" s="1562" t="s">
        <v>222</v>
      </c>
      <c r="CE6" s="1562" t="s">
        <v>223</v>
      </c>
      <c r="CF6" s="1562" t="s">
        <v>2252</v>
      </c>
    </row>
    <row r="7" spans="2:86" s="217" customFormat="1" ht="9.1999999999999993" customHeight="1">
      <c r="I7" s="1672"/>
      <c r="J7" s="1673"/>
      <c r="K7" s="216">
        <v>1</v>
      </c>
      <c r="L7" s="216">
        <v>2</v>
      </c>
      <c r="M7" s="216">
        <v>3</v>
      </c>
      <c r="N7" s="216">
        <v>4</v>
      </c>
      <c r="O7" s="216">
        <v>5</v>
      </c>
      <c r="P7" s="216">
        <v>6</v>
      </c>
      <c r="Q7" s="216">
        <v>7</v>
      </c>
      <c r="R7" s="216">
        <v>8</v>
      </c>
      <c r="S7" s="216">
        <v>9</v>
      </c>
      <c r="T7" s="216">
        <v>10</v>
      </c>
      <c r="U7" s="216">
        <v>11</v>
      </c>
      <c r="V7" s="216">
        <v>12</v>
      </c>
      <c r="W7" s="216">
        <v>13</v>
      </c>
      <c r="X7" s="216">
        <v>14</v>
      </c>
      <c r="Y7" s="216">
        <v>15</v>
      </c>
      <c r="Z7" s="216">
        <v>16</v>
      </c>
      <c r="AA7" s="1664"/>
      <c r="AB7" s="216">
        <v>17</v>
      </c>
      <c r="AC7" s="216">
        <v>18</v>
      </c>
      <c r="AD7" s="216">
        <v>19</v>
      </c>
      <c r="AE7" s="216">
        <v>20</v>
      </c>
      <c r="AF7" s="216">
        <v>21</v>
      </c>
      <c r="AG7" s="216">
        <v>22</v>
      </c>
      <c r="AH7" s="216">
        <v>23</v>
      </c>
      <c r="AI7" s="216">
        <v>24</v>
      </c>
      <c r="AJ7" s="216">
        <v>25</v>
      </c>
      <c r="AK7" s="216">
        <v>26</v>
      </c>
      <c r="AL7" s="216">
        <v>27</v>
      </c>
      <c r="AM7" s="216">
        <v>28</v>
      </c>
      <c r="AN7" s="216">
        <v>29</v>
      </c>
      <c r="AO7" s="216">
        <v>30</v>
      </c>
      <c r="AP7" s="216">
        <v>31</v>
      </c>
      <c r="AQ7" s="216">
        <v>32</v>
      </c>
      <c r="AR7" s="1686"/>
      <c r="AS7" s="216">
        <v>33</v>
      </c>
      <c r="AT7" s="216">
        <v>34</v>
      </c>
      <c r="AU7" s="216">
        <v>35</v>
      </c>
      <c r="AV7" s="216">
        <v>36</v>
      </c>
      <c r="AW7" s="216">
        <v>37</v>
      </c>
      <c r="AX7" s="216">
        <v>38</v>
      </c>
      <c r="AY7" s="216">
        <v>39</v>
      </c>
      <c r="AZ7" s="216">
        <v>40</v>
      </c>
      <c r="BA7" s="216">
        <v>41</v>
      </c>
      <c r="BB7" s="216">
        <v>42</v>
      </c>
      <c r="BC7" s="216">
        <v>43</v>
      </c>
      <c r="BD7" s="216">
        <v>44</v>
      </c>
      <c r="BE7" s="216">
        <v>45</v>
      </c>
      <c r="BF7" s="216">
        <v>46</v>
      </c>
      <c r="BG7" s="216">
        <v>47</v>
      </c>
      <c r="BH7" s="216">
        <v>48</v>
      </c>
      <c r="BI7" s="216">
        <v>49</v>
      </c>
      <c r="BJ7" s="1672"/>
      <c r="BK7" s="1673"/>
      <c r="BL7" s="158">
        <v>50</v>
      </c>
      <c r="BM7" s="158">
        <v>51</v>
      </c>
      <c r="BN7" s="158">
        <v>52</v>
      </c>
      <c r="BO7" s="158">
        <v>53</v>
      </c>
      <c r="BP7" s="158">
        <v>54</v>
      </c>
      <c r="BQ7" s="158">
        <v>55</v>
      </c>
      <c r="BR7" s="158">
        <v>56</v>
      </c>
      <c r="BS7" s="158">
        <v>57</v>
      </c>
      <c r="BT7" s="158">
        <v>58</v>
      </c>
      <c r="BU7" s="158">
        <v>59</v>
      </c>
      <c r="BV7" s="158">
        <v>60</v>
      </c>
      <c r="BW7" s="158">
        <v>61</v>
      </c>
      <c r="BX7" s="158">
        <v>62</v>
      </c>
      <c r="BY7" s="158">
        <v>63</v>
      </c>
      <c r="BZ7" s="158">
        <v>64</v>
      </c>
      <c r="CA7" s="158">
        <v>65</v>
      </c>
      <c r="CB7" s="158">
        <v>66</v>
      </c>
      <c r="CC7" s="216">
        <v>67</v>
      </c>
      <c r="CD7" s="158">
        <v>68</v>
      </c>
      <c r="CE7" s="216">
        <v>69</v>
      </c>
      <c r="CF7" s="158">
        <v>70</v>
      </c>
    </row>
    <row r="8" spans="2:86" s="25" customFormat="1" ht="13.9" customHeight="1">
      <c r="B8" s="810"/>
      <c r="C8" s="810"/>
      <c r="D8" s="810"/>
      <c r="E8" s="810"/>
      <c r="F8" s="810"/>
      <c r="G8" s="810"/>
      <c r="I8" s="403" t="s">
        <v>953</v>
      </c>
      <c r="J8" s="404"/>
      <c r="K8" s="404">
        <v>24496.3</v>
      </c>
      <c r="L8" s="404">
        <v>397.8</v>
      </c>
      <c r="M8" s="404">
        <f t="shared" ref="M8:M10" si="0">K8+L8</f>
        <v>24894.1</v>
      </c>
      <c r="N8" s="404">
        <v>2032</v>
      </c>
      <c r="O8" s="404">
        <f t="shared" ref="O8:O10" si="1">M8-N8</f>
        <v>22862.1</v>
      </c>
      <c r="P8" s="404">
        <v>3438.5</v>
      </c>
      <c r="Q8" s="404">
        <v>11227.8</v>
      </c>
      <c r="R8" s="404">
        <v>19739.599999999999</v>
      </c>
      <c r="S8" s="404">
        <v>138021.9</v>
      </c>
      <c r="T8" s="405">
        <f t="shared" ref="T8:T10" si="2">R8+S8</f>
        <v>157761.5</v>
      </c>
      <c r="U8" s="405">
        <f t="shared" ref="U8:U10" si="3">Q8+T8</f>
        <v>168989.3</v>
      </c>
      <c r="V8" s="404">
        <v>50.6</v>
      </c>
      <c r="W8" s="404">
        <f t="shared" ref="W8:W10" si="4">O8+R8+V8</f>
        <v>42652.299999999996</v>
      </c>
      <c r="X8" s="404">
        <f t="shared" ref="X8" si="5">S8+W8</f>
        <v>180674.19999999998</v>
      </c>
      <c r="Y8" s="404">
        <v>5027.7</v>
      </c>
      <c r="Z8" s="404">
        <f t="shared" ref="Z8" si="6">X8+Y8</f>
        <v>185701.9</v>
      </c>
      <c r="AA8" s="403" t="s">
        <v>953</v>
      </c>
      <c r="AB8" s="404">
        <v>0</v>
      </c>
      <c r="AC8" s="404">
        <v>7606.1</v>
      </c>
      <c r="AD8" s="404">
        <v>122042</v>
      </c>
      <c r="AE8" s="404">
        <f t="shared" ref="AE8:AE10" si="7">AC8+AD8</f>
        <v>129648.1</v>
      </c>
      <c r="AF8" s="404">
        <v>0</v>
      </c>
      <c r="AG8" s="404">
        <v>6170.5</v>
      </c>
      <c r="AH8" s="404">
        <v>8137.4</v>
      </c>
      <c r="AI8" s="404">
        <f t="shared" ref="AI8" si="8">AG8+AH8</f>
        <v>14307.9</v>
      </c>
      <c r="AJ8" s="404">
        <v>1783.8</v>
      </c>
      <c r="AK8" s="404">
        <v>18178.599999999999</v>
      </c>
      <c r="AL8" s="404">
        <v>708.1</v>
      </c>
      <c r="AM8" s="404">
        <f t="shared" ref="AM8" si="9">AK8+AL8</f>
        <v>18886.699999999997</v>
      </c>
      <c r="AN8" s="405">
        <f t="shared" ref="AN8:AQ9" si="10">AB8+AF8+AJ8</f>
        <v>1783.8</v>
      </c>
      <c r="AO8" s="405">
        <f t="shared" si="10"/>
        <v>31955.199999999997</v>
      </c>
      <c r="AP8" s="405">
        <f t="shared" si="10"/>
        <v>130887.5</v>
      </c>
      <c r="AQ8" s="405">
        <f t="shared" si="10"/>
        <v>162842.70000000001</v>
      </c>
      <c r="AR8" s="403" t="s">
        <v>953</v>
      </c>
      <c r="AS8" s="404">
        <v>626.20000000000005</v>
      </c>
      <c r="AT8" s="404">
        <v>7046.6</v>
      </c>
      <c r="AU8" s="404">
        <v>2590.5</v>
      </c>
      <c r="AV8" s="404">
        <v>656.1</v>
      </c>
      <c r="AW8" s="404">
        <v>169001</v>
      </c>
      <c r="AX8" s="404">
        <v>3452.4</v>
      </c>
      <c r="AY8" s="404">
        <f t="shared" ref="AY8:AY10" si="11">AW8+AX8</f>
        <v>172453.4</v>
      </c>
      <c r="AZ8" s="35">
        <f>AY8*0.05</f>
        <v>8622.67</v>
      </c>
      <c r="BA8" s="404">
        <f t="shared" ref="BA8:BA12" si="12">BB8-AZ8</f>
        <v>387.32999999999993</v>
      </c>
      <c r="BB8" s="35">
        <v>9010</v>
      </c>
      <c r="BC8" s="404">
        <v>661370</v>
      </c>
      <c r="BD8" s="404">
        <f t="shared" ref="BD8:BD10" si="13">M8+BB8</f>
        <v>33904.1</v>
      </c>
      <c r="BE8" s="404">
        <v>69.099999999999994</v>
      </c>
      <c r="BF8" s="404">
        <v>24581.599999999999</v>
      </c>
      <c r="BG8" s="404">
        <v>765.6</v>
      </c>
      <c r="BH8" s="404">
        <v>17060</v>
      </c>
      <c r="BI8" s="404">
        <f t="shared" ref="BI8" si="14">BE8+BF8+BG8+BH8</f>
        <v>42476.299999999996</v>
      </c>
      <c r="BJ8" s="403" t="s">
        <v>953</v>
      </c>
      <c r="BK8" s="404"/>
      <c r="BL8" s="393">
        <v>21.95</v>
      </c>
      <c r="BM8" s="393">
        <v>34.72</v>
      </c>
      <c r="BN8" s="393">
        <v>18.27</v>
      </c>
      <c r="BO8" s="393">
        <v>20.16</v>
      </c>
      <c r="BP8" s="393">
        <v>19.510000000000002</v>
      </c>
      <c r="BQ8" s="393">
        <v>2.67</v>
      </c>
      <c r="BR8" s="393">
        <v>103555.4</v>
      </c>
      <c r="BS8" s="406">
        <v>18857164</v>
      </c>
      <c r="BT8" s="407">
        <v>6425</v>
      </c>
      <c r="BU8" s="392">
        <v>3389</v>
      </c>
      <c r="BV8" s="393">
        <v>96.36</v>
      </c>
      <c r="BW8" s="393">
        <v>26.3</v>
      </c>
      <c r="BX8" s="392">
        <v>25.35</v>
      </c>
      <c r="BY8" s="392">
        <v>9.9499999999999993</v>
      </c>
      <c r="BZ8" s="393">
        <v>5</v>
      </c>
      <c r="CA8" s="393">
        <v>6.68</v>
      </c>
      <c r="CB8" s="392">
        <v>12.06</v>
      </c>
      <c r="CC8" s="394">
        <f t="shared" ref="CC8:CC15" si="15">CB8-CA8</f>
        <v>5.3800000000000008</v>
      </c>
      <c r="CD8" s="404" t="s">
        <v>603</v>
      </c>
      <c r="CE8" s="408" t="s">
        <v>603</v>
      </c>
      <c r="CF8" s="25" t="s">
        <v>603</v>
      </c>
    </row>
    <row r="9" spans="2:86" s="25" customFormat="1" ht="13.9" customHeight="1">
      <c r="B9" s="810"/>
      <c r="C9" s="810"/>
      <c r="D9" s="810"/>
      <c r="E9" s="810"/>
      <c r="F9" s="810"/>
      <c r="G9" s="810"/>
      <c r="I9" s="496" t="s">
        <v>962</v>
      </c>
      <c r="J9" s="497"/>
      <c r="K9" s="498">
        <v>28363</v>
      </c>
      <c r="L9" s="504">
        <v>424.4</v>
      </c>
      <c r="M9" s="497">
        <f t="shared" si="0"/>
        <v>28787.4</v>
      </c>
      <c r="N9" s="504">
        <v>2143.6</v>
      </c>
      <c r="O9" s="497">
        <f t="shared" si="1"/>
        <v>26643.800000000003</v>
      </c>
      <c r="P9" s="498">
        <v>5100</v>
      </c>
      <c r="Q9" s="504">
        <v>12157.6</v>
      </c>
      <c r="R9" s="504">
        <v>23462.5</v>
      </c>
      <c r="S9" s="504">
        <v>161336.20000000001</v>
      </c>
      <c r="T9" s="504">
        <f>R9+S9</f>
        <v>184798.7</v>
      </c>
      <c r="U9" s="504">
        <f>Q9+T9</f>
        <v>196956.30000000002</v>
      </c>
      <c r="V9" s="504">
        <v>61.7</v>
      </c>
      <c r="W9" s="498">
        <f t="shared" si="4"/>
        <v>50168</v>
      </c>
      <c r="X9" s="504">
        <f>S9+W9</f>
        <v>211504.2</v>
      </c>
      <c r="Y9" s="504">
        <v>5619.3</v>
      </c>
      <c r="Z9" s="498">
        <f>X9+Y9</f>
        <v>217123.5</v>
      </c>
      <c r="AA9" s="496" t="s">
        <v>962</v>
      </c>
      <c r="AB9" s="497">
        <v>0</v>
      </c>
      <c r="AC9" s="504">
        <v>7653.6</v>
      </c>
      <c r="AD9" s="504">
        <v>140776.20000000001</v>
      </c>
      <c r="AE9" s="504">
        <f>AC9+AD9</f>
        <v>148429.80000000002</v>
      </c>
      <c r="AF9" s="497">
        <v>0</v>
      </c>
      <c r="AG9" s="504">
        <v>7575.7</v>
      </c>
      <c r="AH9" s="504">
        <v>8889.2000000000007</v>
      </c>
      <c r="AI9" s="504">
        <f>AG9+AH9</f>
        <v>16464.900000000001</v>
      </c>
      <c r="AJ9" s="504">
        <v>845.8</v>
      </c>
      <c r="AK9" s="504">
        <v>23560.799999999999</v>
      </c>
      <c r="AL9" s="504">
        <v>935.6</v>
      </c>
      <c r="AM9" s="504">
        <f>AK9+AL9</f>
        <v>24496.399999999998</v>
      </c>
      <c r="AN9" s="498">
        <f>AB9+AF9+AJ9</f>
        <v>845.8</v>
      </c>
      <c r="AO9" s="504">
        <f t="shared" si="10"/>
        <v>38790.1</v>
      </c>
      <c r="AP9" s="498">
        <f>AD9+AH9+AL9</f>
        <v>150601.00000000003</v>
      </c>
      <c r="AQ9" s="504">
        <f>AE9+AI9+AM9</f>
        <v>189391.1</v>
      </c>
      <c r="AR9" s="496" t="s">
        <v>962</v>
      </c>
      <c r="AS9" s="504">
        <v>602.1</v>
      </c>
      <c r="AT9" s="504">
        <v>5735.6</v>
      </c>
      <c r="AU9" s="504">
        <v>1613.8</v>
      </c>
      <c r="AV9" s="504">
        <v>661.8</v>
      </c>
      <c r="AW9" s="504">
        <v>197000.3</v>
      </c>
      <c r="AX9" s="504">
        <v>3203.4</v>
      </c>
      <c r="AY9" s="504">
        <f t="shared" si="11"/>
        <v>200203.69999999998</v>
      </c>
      <c r="AZ9" s="503">
        <f>AY9*0.05</f>
        <v>10010.184999999999</v>
      </c>
      <c r="BA9" s="497">
        <f t="shared" si="12"/>
        <v>563.41500000000087</v>
      </c>
      <c r="BB9" s="503">
        <v>10573.6</v>
      </c>
      <c r="BC9" s="504">
        <v>592845.69999999995</v>
      </c>
      <c r="BD9" s="497">
        <f t="shared" si="13"/>
        <v>39361</v>
      </c>
      <c r="BE9" s="504">
        <v>1005.1</v>
      </c>
      <c r="BF9" s="504">
        <v>24550.1</v>
      </c>
      <c r="BG9" s="504">
        <v>920.4</v>
      </c>
      <c r="BH9" s="504">
        <v>21346.1</v>
      </c>
      <c r="BI9" s="504">
        <f>BE9+BF9+BG9+BH9</f>
        <v>47821.7</v>
      </c>
      <c r="BJ9" s="496" t="s">
        <v>962</v>
      </c>
      <c r="BK9" s="497"/>
      <c r="BL9" s="499">
        <v>13.94</v>
      </c>
      <c r="BM9" s="505">
        <v>15.05</v>
      </c>
      <c r="BN9" s="505">
        <v>15.12</v>
      </c>
      <c r="BO9" s="505">
        <v>14.9</v>
      </c>
      <c r="BP9" s="505">
        <v>17.02</v>
      </c>
      <c r="BQ9" s="505">
        <v>2.6</v>
      </c>
      <c r="BR9" s="505">
        <v>415323.09</v>
      </c>
      <c r="BS9" s="506">
        <v>22431225</v>
      </c>
      <c r="BT9" s="506">
        <v>6596</v>
      </c>
      <c r="BU9" s="504">
        <v>3383</v>
      </c>
      <c r="BV9" s="505">
        <f>AQ9/AW9*100</f>
        <v>96.137467810962733</v>
      </c>
      <c r="BW9" s="505">
        <v>29.94</v>
      </c>
      <c r="BX9" s="505">
        <v>28.79</v>
      </c>
      <c r="BY9" s="505">
        <f>(N9+BB9)/AW9*100</f>
        <v>6.4554216414898864</v>
      </c>
      <c r="BZ9" s="505">
        <v>5</v>
      </c>
      <c r="CA9" s="505">
        <v>6.85</v>
      </c>
      <c r="CB9" s="504">
        <v>12.78</v>
      </c>
      <c r="CC9" s="502">
        <f t="shared" si="15"/>
        <v>5.93</v>
      </c>
      <c r="CD9" s="497" t="s">
        <v>603</v>
      </c>
      <c r="CE9" s="865" t="s">
        <v>603</v>
      </c>
      <c r="CF9" s="866" t="s">
        <v>603</v>
      </c>
    </row>
    <row r="10" spans="2:86" s="39" customFormat="1" ht="13.9" customHeight="1">
      <c r="I10" s="418" t="s">
        <v>675</v>
      </c>
      <c r="J10" s="418"/>
      <c r="K10" s="35">
        <v>35188.300000000003</v>
      </c>
      <c r="L10" s="36">
        <v>460.2</v>
      </c>
      <c r="M10" s="38">
        <f t="shared" si="0"/>
        <v>35648.5</v>
      </c>
      <c r="N10" s="36">
        <v>2958.6</v>
      </c>
      <c r="O10" s="38">
        <f t="shared" si="1"/>
        <v>32689.9</v>
      </c>
      <c r="P10" s="35">
        <v>5221.6000000000004</v>
      </c>
      <c r="Q10" s="36">
        <v>15680.8</v>
      </c>
      <c r="R10" s="36">
        <v>26517.599999999999</v>
      </c>
      <c r="S10" s="36">
        <v>189480.5</v>
      </c>
      <c r="T10" s="36">
        <f t="shared" si="2"/>
        <v>215998.1</v>
      </c>
      <c r="U10" s="35">
        <f t="shared" si="3"/>
        <v>231678.9</v>
      </c>
      <c r="V10" s="36">
        <v>106.9</v>
      </c>
      <c r="W10" s="35">
        <f t="shared" si="4"/>
        <v>59314.400000000001</v>
      </c>
      <c r="X10" s="35">
        <f>S10+W10</f>
        <v>248794.9</v>
      </c>
      <c r="Y10" s="36">
        <v>5031.3</v>
      </c>
      <c r="Z10" s="36">
        <v>253826.3</v>
      </c>
      <c r="AA10" s="418" t="s">
        <v>675</v>
      </c>
      <c r="AB10" s="38">
        <v>0</v>
      </c>
      <c r="AC10" s="36">
        <v>7117.1</v>
      </c>
      <c r="AD10" s="36">
        <v>175997.3</v>
      </c>
      <c r="AE10" s="36">
        <f t="shared" si="7"/>
        <v>183114.4</v>
      </c>
      <c r="AF10" s="38">
        <v>0</v>
      </c>
      <c r="AG10" s="35">
        <v>2638.4</v>
      </c>
      <c r="AH10" s="36">
        <v>10887.8</v>
      </c>
      <c r="AI10" s="36">
        <f>AG10+AH10</f>
        <v>13526.199999999999</v>
      </c>
      <c r="AJ10" s="36">
        <v>2148.6999999999998</v>
      </c>
      <c r="AK10" s="36">
        <v>37538.400000000001</v>
      </c>
      <c r="AL10" s="35">
        <v>1553.9</v>
      </c>
      <c r="AM10" s="36">
        <f>AK10+AL10</f>
        <v>39092.300000000003</v>
      </c>
      <c r="AN10" s="35">
        <f>AB10+AF10+AJ10</f>
        <v>2148.6999999999998</v>
      </c>
      <c r="AO10" s="36">
        <f>AC10+AG10+AK10</f>
        <v>47293.9</v>
      </c>
      <c r="AP10" s="35">
        <f>AD10+AH10+AL10</f>
        <v>188438.99999999997</v>
      </c>
      <c r="AQ10" s="35">
        <f>AE10+AI10+AM10</f>
        <v>235732.90000000002</v>
      </c>
      <c r="AR10" s="418" t="s">
        <v>675</v>
      </c>
      <c r="AS10" s="36">
        <v>758.8</v>
      </c>
      <c r="AT10" s="36">
        <v>6684.7</v>
      </c>
      <c r="AU10" s="36">
        <v>4086.1</v>
      </c>
      <c r="AV10" s="36">
        <v>1564.7</v>
      </c>
      <c r="AW10" s="36">
        <v>231718.2</v>
      </c>
      <c r="AX10" s="36">
        <v>3287.2</v>
      </c>
      <c r="AY10" s="36">
        <f t="shared" si="11"/>
        <v>235005.40000000002</v>
      </c>
      <c r="AZ10" s="35">
        <f>AY10*0.05</f>
        <v>11750.270000000002</v>
      </c>
      <c r="BA10" s="404">
        <f t="shared" si="12"/>
        <v>56.429999999998472</v>
      </c>
      <c r="BB10" s="35">
        <v>11806.7</v>
      </c>
      <c r="BC10" s="36">
        <v>601032.80000000005</v>
      </c>
      <c r="BD10" s="38">
        <f t="shared" si="13"/>
        <v>47455.199999999997</v>
      </c>
      <c r="BE10" s="36">
        <v>2271.4</v>
      </c>
      <c r="BF10" s="36">
        <v>23252.400000000001</v>
      </c>
      <c r="BG10" s="36">
        <v>1119.9000000000001</v>
      </c>
      <c r="BH10" s="36">
        <v>35472.699999999997</v>
      </c>
      <c r="BI10" s="36">
        <f>BE10+BF10+BG10+BH10</f>
        <v>62116.4</v>
      </c>
      <c r="BJ10" s="418" t="s">
        <v>675</v>
      </c>
      <c r="BK10" s="418"/>
      <c r="BL10" s="419">
        <v>30.41</v>
      </c>
      <c r="BM10" s="21">
        <v>-32.17</v>
      </c>
      <c r="BN10" s="21">
        <v>25.15</v>
      </c>
      <c r="BO10" s="21">
        <v>21.18</v>
      </c>
      <c r="BP10" s="21">
        <v>17.59</v>
      </c>
      <c r="BQ10" s="36">
        <v>2.5299999999999998</v>
      </c>
      <c r="BR10" s="41">
        <v>479057.4</v>
      </c>
      <c r="BS10" s="40">
        <v>24375719</v>
      </c>
      <c r="BT10" s="42">
        <v>6747</v>
      </c>
      <c r="BU10" s="36">
        <v>3383</v>
      </c>
      <c r="BV10" s="21">
        <f>AQ10/AW10*100</f>
        <v>101.7325786235177</v>
      </c>
      <c r="BW10" s="21">
        <f>AW10/BT10</f>
        <v>34.343886171631837</v>
      </c>
      <c r="BX10" s="21">
        <f>AQ10/BT10</f>
        <v>34.938921001926786</v>
      </c>
      <c r="BY10" s="21">
        <f>(N10+BB10)/AW10*100</f>
        <v>6.3720933444157604</v>
      </c>
      <c r="BZ10" s="21">
        <v>5</v>
      </c>
      <c r="CA10" s="21">
        <v>6.95</v>
      </c>
      <c r="CB10" s="47">
        <v>12.29</v>
      </c>
      <c r="CC10" s="37">
        <f t="shared" si="15"/>
        <v>5.339999999999999</v>
      </c>
      <c r="CD10" s="404" t="s">
        <v>603</v>
      </c>
      <c r="CE10" s="408" t="s">
        <v>603</v>
      </c>
      <c r="CF10" s="25" t="s">
        <v>603</v>
      </c>
    </row>
    <row r="11" spans="2:86" s="39" customFormat="1" ht="13.9" customHeight="1">
      <c r="C11" s="1623" t="s">
        <v>671</v>
      </c>
      <c r="D11" s="1623"/>
      <c r="E11" s="1623"/>
      <c r="F11" s="1623"/>
      <c r="G11" s="1623"/>
      <c r="I11" s="507" t="s">
        <v>141</v>
      </c>
      <c r="J11" s="507"/>
      <c r="K11" s="503">
        <v>38970</v>
      </c>
      <c r="L11" s="508">
        <v>478.7</v>
      </c>
      <c r="M11" s="509">
        <v>39448.699999999997</v>
      </c>
      <c r="N11" s="508">
        <v>3399.5</v>
      </c>
      <c r="O11" s="509">
        <v>36049.199999999997</v>
      </c>
      <c r="P11" s="503">
        <v>7076.3</v>
      </c>
      <c r="Q11" s="508">
        <v>18312.599999999999</v>
      </c>
      <c r="R11" s="508">
        <v>30236.5</v>
      </c>
      <c r="S11" s="503">
        <v>230073</v>
      </c>
      <c r="T11" s="508">
        <v>260309.5</v>
      </c>
      <c r="U11" s="503">
        <v>278622.09999999998</v>
      </c>
      <c r="V11" s="508">
        <v>141.19999999999999</v>
      </c>
      <c r="W11" s="503">
        <v>66426.899999999994</v>
      </c>
      <c r="X11" s="503">
        <v>296499.90000000002</v>
      </c>
      <c r="Y11" s="508">
        <v>6084.7</v>
      </c>
      <c r="Z11" s="508">
        <v>302584.60000000003</v>
      </c>
      <c r="AA11" s="507" t="s">
        <v>141</v>
      </c>
      <c r="AB11" s="509">
        <v>0</v>
      </c>
      <c r="AC11" s="503">
        <v>9644</v>
      </c>
      <c r="AD11" s="508">
        <v>204574.6</v>
      </c>
      <c r="AE11" s="508">
        <v>214218.6</v>
      </c>
      <c r="AF11" s="509">
        <v>0</v>
      </c>
      <c r="AG11" s="503">
        <v>2611.9</v>
      </c>
      <c r="AH11" s="508">
        <v>9103.2000000000007</v>
      </c>
      <c r="AI11" s="508">
        <v>11715.1</v>
      </c>
      <c r="AJ11" s="508">
        <v>1545.7</v>
      </c>
      <c r="AK11" s="508">
        <v>46863.8</v>
      </c>
      <c r="AL11" s="503">
        <v>2227.6</v>
      </c>
      <c r="AM11" s="508">
        <v>49091.4</v>
      </c>
      <c r="AN11" s="503">
        <v>1545.7</v>
      </c>
      <c r="AO11" s="508">
        <v>59119.700000000004</v>
      </c>
      <c r="AP11" s="503">
        <v>215905.40000000002</v>
      </c>
      <c r="AQ11" s="503">
        <v>275025.10000000003</v>
      </c>
      <c r="AR11" s="507" t="s">
        <v>141</v>
      </c>
      <c r="AS11" s="508">
        <v>1208.5</v>
      </c>
      <c r="AT11" s="503">
        <v>6102</v>
      </c>
      <c r="AU11" s="508">
        <v>2594.1999999999998</v>
      </c>
      <c r="AV11" s="508">
        <v>1213.5999999999999</v>
      </c>
      <c r="AW11" s="508">
        <v>278680.39999999997</v>
      </c>
      <c r="AX11" s="508">
        <v>3960.4</v>
      </c>
      <c r="AY11" s="508">
        <v>282640.8</v>
      </c>
      <c r="AZ11" s="503">
        <f>AY11*0.05</f>
        <v>14132.04</v>
      </c>
      <c r="BA11" s="497">
        <f t="shared" si="12"/>
        <v>9027.4599999999991</v>
      </c>
      <c r="BB11" s="503">
        <v>23159.5</v>
      </c>
      <c r="BC11" s="508">
        <v>704068.7</v>
      </c>
      <c r="BD11" s="509">
        <v>69424.600000000006</v>
      </c>
      <c r="BE11" s="503">
        <v>3973</v>
      </c>
      <c r="BF11" s="508">
        <v>28474.1</v>
      </c>
      <c r="BG11" s="508">
        <v>2797.6</v>
      </c>
      <c r="BH11" s="508">
        <v>44754.700000000004</v>
      </c>
      <c r="BI11" s="508">
        <v>79999.399999999994</v>
      </c>
      <c r="BJ11" s="507" t="s">
        <v>141</v>
      </c>
      <c r="BK11" s="507"/>
      <c r="BL11" s="510">
        <v>24.04</v>
      </c>
      <c r="BM11" s="511">
        <v>6.55</v>
      </c>
      <c r="BN11" s="511">
        <v>14.62</v>
      </c>
      <c r="BO11" s="511">
        <v>16.02</v>
      </c>
      <c r="BP11" s="511">
        <v>19.170000000000002</v>
      </c>
      <c r="BQ11" s="508">
        <v>2.38</v>
      </c>
      <c r="BR11" s="511">
        <v>615413.53</v>
      </c>
      <c r="BS11" s="508">
        <v>25624044</v>
      </c>
      <c r="BT11" s="512">
        <v>6936</v>
      </c>
      <c r="BU11" s="508">
        <v>3387</v>
      </c>
      <c r="BV11" s="511">
        <v>98.688354114605858</v>
      </c>
      <c r="BW11" s="511">
        <v>40.178835063437134</v>
      </c>
      <c r="BX11" s="511">
        <v>39.651831026528264</v>
      </c>
      <c r="BY11" s="511">
        <v>11.976227965798817</v>
      </c>
      <c r="BZ11" s="511">
        <v>5</v>
      </c>
      <c r="CA11" s="511">
        <v>7.01</v>
      </c>
      <c r="CB11" s="513">
        <v>11.87</v>
      </c>
      <c r="CC11" s="502">
        <f t="shared" si="15"/>
        <v>4.8599999999999994</v>
      </c>
      <c r="CD11" s="497" t="s">
        <v>603</v>
      </c>
      <c r="CE11" s="865" t="s">
        <v>603</v>
      </c>
      <c r="CF11" s="866" t="s">
        <v>603</v>
      </c>
    </row>
    <row r="12" spans="2:86" s="39" customFormat="1" ht="13.9" customHeight="1">
      <c r="C12" s="1623"/>
      <c r="D12" s="1623"/>
      <c r="E12" s="1623"/>
      <c r="F12" s="1623"/>
      <c r="G12" s="1623"/>
      <c r="I12" s="418" t="s">
        <v>136</v>
      </c>
      <c r="J12" s="418"/>
      <c r="K12" s="35">
        <v>49947.3</v>
      </c>
      <c r="L12" s="36">
        <v>518.1</v>
      </c>
      <c r="M12" s="38">
        <v>50465.4</v>
      </c>
      <c r="N12" s="36">
        <v>4308.3</v>
      </c>
      <c r="O12" s="38">
        <v>46157.1</v>
      </c>
      <c r="P12" s="35">
        <v>7971.5</v>
      </c>
      <c r="Q12" s="36">
        <v>20181.099999999999</v>
      </c>
      <c r="R12" s="36">
        <v>41621.800000000003</v>
      </c>
      <c r="S12" s="35">
        <v>275042.8</v>
      </c>
      <c r="T12" s="36">
        <v>316664.59999999998</v>
      </c>
      <c r="U12" s="35">
        <v>336845.69999999995</v>
      </c>
      <c r="V12" s="36">
        <v>209.4</v>
      </c>
      <c r="W12" s="35">
        <v>87988.299999999988</v>
      </c>
      <c r="X12" s="35">
        <v>363031.1</v>
      </c>
      <c r="Y12" s="36">
        <v>6935.3</v>
      </c>
      <c r="Z12" s="36">
        <v>369966.39999999997</v>
      </c>
      <c r="AA12" s="418" t="s">
        <v>136</v>
      </c>
      <c r="AB12" s="38">
        <v>0</v>
      </c>
      <c r="AC12" s="35">
        <v>10726.3</v>
      </c>
      <c r="AD12" s="36">
        <v>253455.9</v>
      </c>
      <c r="AE12" s="36">
        <v>264182.2</v>
      </c>
      <c r="AF12" s="38">
        <v>0</v>
      </c>
      <c r="AG12" s="35">
        <v>3865.2</v>
      </c>
      <c r="AH12" s="36">
        <v>10202.4</v>
      </c>
      <c r="AI12" s="36">
        <v>14067.599999999999</v>
      </c>
      <c r="AJ12" s="36">
        <v>2127.4</v>
      </c>
      <c r="AK12" s="36">
        <v>51891.3</v>
      </c>
      <c r="AL12" s="35">
        <v>4513.7</v>
      </c>
      <c r="AM12" s="35">
        <v>56405</v>
      </c>
      <c r="AN12" s="35">
        <v>2127.4</v>
      </c>
      <c r="AO12" s="36">
        <v>66482.8</v>
      </c>
      <c r="AP12" s="35">
        <v>268172</v>
      </c>
      <c r="AQ12" s="35">
        <v>334654.8</v>
      </c>
      <c r="AR12" s="418" t="s">
        <v>136</v>
      </c>
      <c r="AS12" s="36">
        <v>1749.5</v>
      </c>
      <c r="AT12" s="35">
        <v>5852.1</v>
      </c>
      <c r="AU12" s="36">
        <v>5087.3</v>
      </c>
      <c r="AV12" s="36">
        <v>1561.7</v>
      </c>
      <c r="AW12" s="36">
        <v>336869.7</v>
      </c>
      <c r="AX12" s="36">
        <v>3885.6</v>
      </c>
      <c r="AY12" s="36">
        <v>340755.3</v>
      </c>
      <c r="AZ12" s="35">
        <f>AY12*0.055</f>
        <v>18741.541499999999</v>
      </c>
      <c r="BA12" s="404">
        <f t="shared" si="12"/>
        <v>4726.4585000000006</v>
      </c>
      <c r="BB12" s="35">
        <v>23468</v>
      </c>
      <c r="BC12" s="36">
        <v>863330.4</v>
      </c>
      <c r="BD12" s="38">
        <v>81350</v>
      </c>
      <c r="BE12" s="35">
        <v>5.0999999999999996</v>
      </c>
      <c r="BF12" s="36">
        <v>21788.2</v>
      </c>
      <c r="BG12" s="36">
        <v>3141.2</v>
      </c>
      <c r="BH12" s="36">
        <v>49111.5</v>
      </c>
      <c r="BI12" s="35">
        <v>74046</v>
      </c>
      <c r="BJ12" s="418" t="s">
        <v>136</v>
      </c>
      <c r="BK12" s="418"/>
      <c r="BL12" s="419">
        <v>-6.52</v>
      </c>
      <c r="BM12" s="21">
        <v>20.77</v>
      </c>
      <c r="BN12" s="21">
        <v>24.24</v>
      </c>
      <c r="BO12" s="21">
        <v>17.89</v>
      </c>
      <c r="BP12" s="21">
        <v>22.44</v>
      </c>
      <c r="BQ12" s="21">
        <v>2.2000000000000002</v>
      </c>
      <c r="BR12" s="41">
        <v>933097.39000000013</v>
      </c>
      <c r="BS12" s="40">
        <v>30670124</v>
      </c>
      <c r="BT12" s="42">
        <v>7246</v>
      </c>
      <c r="BU12" s="36">
        <v>3394</v>
      </c>
      <c r="BV12" s="21">
        <v>99.342505425688316</v>
      </c>
      <c r="BW12" s="21">
        <v>46.490436102677343</v>
      </c>
      <c r="BX12" s="21">
        <v>46.184764007728397</v>
      </c>
      <c r="BY12" s="21">
        <v>10.447036346694286</v>
      </c>
      <c r="BZ12" s="21">
        <v>5</v>
      </c>
      <c r="CA12" s="21">
        <v>6.01</v>
      </c>
      <c r="CB12" s="47">
        <v>11.31</v>
      </c>
      <c r="CC12" s="37">
        <f t="shared" si="15"/>
        <v>5.3000000000000007</v>
      </c>
      <c r="CD12" s="404" t="s">
        <v>603</v>
      </c>
      <c r="CE12" s="408" t="s">
        <v>603</v>
      </c>
      <c r="CF12" s="25" t="s">
        <v>603</v>
      </c>
    </row>
    <row r="13" spans="2:86" s="36" customFormat="1" ht="13.9" customHeight="1">
      <c r="I13" s="507" t="s">
        <v>317</v>
      </c>
      <c r="J13" s="507"/>
      <c r="K13" s="503">
        <v>59915.5</v>
      </c>
      <c r="L13" s="503">
        <v>611.4</v>
      </c>
      <c r="M13" s="509">
        <v>60526.9</v>
      </c>
      <c r="N13" s="503">
        <v>5731.8</v>
      </c>
      <c r="O13" s="509">
        <v>54795.1</v>
      </c>
      <c r="P13" s="503">
        <v>9482</v>
      </c>
      <c r="Q13" s="503">
        <v>24919.8</v>
      </c>
      <c r="R13" s="503">
        <v>48106.2</v>
      </c>
      <c r="S13" s="503">
        <v>337418.9</v>
      </c>
      <c r="T13" s="508">
        <v>385525.10000000003</v>
      </c>
      <c r="U13" s="503">
        <v>410444.9</v>
      </c>
      <c r="V13" s="503">
        <v>199.8</v>
      </c>
      <c r="W13" s="503">
        <v>103101.09999999999</v>
      </c>
      <c r="X13" s="503">
        <v>440520</v>
      </c>
      <c r="Y13" s="503">
        <v>4976</v>
      </c>
      <c r="Z13" s="503">
        <v>445496</v>
      </c>
      <c r="AA13" s="507" t="s">
        <v>317</v>
      </c>
      <c r="AB13" s="503">
        <v>0</v>
      </c>
      <c r="AC13" s="503">
        <v>13830.7</v>
      </c>
      <c r="AD13" s="503">
        <v>312803.5</v>
      </c>
      <c r="AE13" s="503">
        <v>326634.2</v>
      </c>
      <c r="AF13" s="503">
        <v>0</v>
      </c>
      <c r="AG13" s="503">
        <v>4371.8999999999996</v>
      </c>
      <c r="AH13" s="503">
        <v>16670.400000000001</v>
      </c>
      <c r="AI13" s="503">
        <v>21042.300000000003</v>
      </c>
      <c r="AJ13" s="503">
        <v>3080.3</v>
      </c>
      <c r="AK13" s="503">
        <v>66704</v>
      </c>
      <c r="AL13" s="503">
        <v>8095.2</v>
      </c>
      <c r="AM13" s="503">
        <v>74799.199999999997</v>
      </c>
      <c r="AN13" s="503">
        <v>3080.3</v>
      </c>
      <c r="AO13" s="503">
        <v>84906.6</v>
      </c>
      <c r="AP13" s="503">
        <v>337569.10000000003</v>
      </c>
      <c r="AQ13" s="503">
        <v>422475.7</v>
      </c>
      <c r="AR13" s="507" t="s">
        <v>317</v>
      </c>
      <c r="AS13" s="503">
        <v>1959.3</v>
      </c>
      <c r="AT13" s="503">
        <v>17833.400000000001</v>
      </c>
      <c r="AU13" s="503">
        <v>3960.3</v>
      </c>
      <c r="AV13" s="503">
        <v>2329.1999999999998</v>
      </c>
      <c r="AW13" s="503">
        <v>410470.7</v>
      </c>
      <c r="AX13" s="503">
        <v>5461.7</v>
      </c>
      <c r="AY13" s="503">
        <v>415932.4</v>
      </c>
      <c r="AZ13" s="503">
        <v>24955.944</v>
      </c>
      <c r="BA13" s="497">
        <v>4051.7560000000012</v>
      </c>
      <c r="BB13" s="509">
        <v>29007.7</v>
      </c>
      <c r="BC13" s="503">
        <v>1087850.3</v>
      </c>
      <c r="BD13" s="509">
        <v>89534.6</v>
      </c>
      <c r="BE13" s="503">
        <v>10732.9</v>
      </c>
      <c r="BF13" s="503">
        <v>20625.2</v>
      </c>
      <c r="BG13" s="503">
        <v>2591</v>
      </c>
      <c r="BH13" s="503">
        <v>63715.1</v>
      </c>
      <c r="BI13" s="503">
        <v>97664.2</v>
      </c>
      <c r="BJ13" s="507" t="s">
        <v>317</v>
      </c>
      <c r="BK13" s="507"/>
      <c r="BL13" s="511">
        <v>34.89</v>
      </c>
      <c r="BM13" s="511">
        <v>28.72</v>
      </c>
      <c r="BN13" s="511">
        <v>25.84</v>
      </c>
      <c r="BO13" s="511">
        <v>27.41</v>
      </c>
      <c r="BP13" s="511">
        <v>21.34</v>
      </c>
      <c r="BQ13" s="511">
        <v>2.08</v>
      </c>
      <c r="BR13" s="511">
        <v>1149439.29</v>
      </c>
      <c r="BS13" s="512">
        <v>26162053</v>
      </c>
      <c r="BT13" s="512">
        <v>7712</v>
      </c>
      <c r="BU13" s="512">
        <v>3414</v>
      </c>
      <c r="BV13" s="511">
        <v>102.92469109244581</v>
      </c>
      <c r="BW13" s="511">
        <v>53.224935165975104</v>
      </c>
      <c r="BX13" s="511">
        <v>54.781600103734441</v>
      </c>
      <c r="BY13" s="511">
        <v>8.4633324619759698</v>
      </c>
      <c r="BZ13" s="511">
        <v>5</v>
      </c>
      <c r="CA13" s="511">
        <v>7.27</v>
      </c>
      <c r="CB13" s="511">
        <v>12.42</v>
      </c>
      <c r="CC13" s="502">
        <f t="shared" si="15"/>
        <v>5.15</v>
      </c>
      <c r="CD13" s="497" t="s">
        <v>603</v>
      </c>
      <c r="CE13" s="865" t="s">
        <v>603</v>
      </c>
      <c r="CF13" s="866" t="s">
        <v>603</v>
      </c>
    </row>
    <row r="14" spans="2:86" s="40" customFormat="1" ht="13.9" customHeight="1">
      <c r="I14" s="889" t="s">
        <v>1540</v>
      </c>
      <c r="J14" s="889"/>
      <c r="K14" s="86">
        <v>64200.7</v>
      </c>
      <c r="L14" s="86">
        <v>695.8</v>
      </c>
      <c r="M14" s="420">
        <v>64896.5</v>
      </c>
      <c r="N14" s="86">
        <v>6479.4</v>
      </c>
      <c r="O14" s="420">
        <v>58417.1</v>
      </c>
      <c r="P14" s="86">
        <v>11992.2</v>
      </c>
      <c r="Q14" s="86">
        <v>31574.2</v>
      </c>
      <c r="R14" s="86">
        <v>51060.4</v>
      </c>
      <c r="S14" s="86">
        <v>407388.1</v>
      </c>
      <c r="T14" s="40">
        <v>458448.5</v>
      </c>
      <c r="U14" s="86">
        <v>490022.7</v>
      </c>
      <c r="V14" s="86">
        <v>243.9</v>
      </c>
      <c r="W14" s="86">
        <v>109721.4</v>
      </c>
      <c r="X14" s="86">
        <v>517109.5</v>
      </c>
      <c r="Y14" s="86">
        <v>2533.6999999999998</v>
      </c>
      <c r="Z14" s="86">
        <v>519643.2</v>
      </c>
      <c r="AA14" s="889" t="s">
        <v>1540</v>
      </c>
      <c r="AB14" s="86">
        <v>0</v>
      </c>
      <c r="AC14" s="86">
        <v>14190.3</v>
      </c>
      <c r="AD14" s="86">
        <v>373614.6</v>
      </c>
      <c r="AE14" s="86">
        <v>387804.89999999997</v>
      </c>
      <c r="AF14" s="86">
        <v>0</v>
      </c>
      <c r="AG14" s="86">
        <v>2534.6999999999998</v>
      </c>
      <c r="AH14" s="86">
        <v>21317.5</v>
      </c>
      <c r="AI14" s="86">
        <v>23852.2</v>
      </c>
      <c r="AJ14" s="86">
        <v>5173</v>
      </c>
      <c r="AK14" s="86">
        <v>86057.1</v>
      </c>
      <c r="AL14" s="86">
        <v>9370.7999999999993</v>
      </c>
      <c r="AM14" s="86">
        <v>95427.900000000009</v>
      </c>
      <c r="AN14" s="86">
        <v>5173</v>
      </c>
      <c r="AO14" s="86">
        <v>102782.1</v>
      </c>
      <c r="AP14" s="86">
        <v>404302.89999999997</v>
      </c>
      <c r="AQ14" s="86">
        <v>507085</v>
      </c>
      <c r="AR14" s="889" t="s">
        <v>1540</v>
      </c>
      <c r="AS14" s="86">
        <v>2320</v>
      </c>
      <c r="AT14" s="86">
        <v>21671.599999999999</v>
      </c>
      <c r="AU14" s="86">
        <v>9197</v>
      </c>
      <c r="AV14" s="86">
        <v>3377.7</v>
      </c>
      <c r="AW14" s="86">
        <v>490038.80000000005</v>
      </c>
      <c r="AX14" s="86">
        <v>7141.5</v>
      </c>
      <c r="AY14" s="86">
        <v>497180.30000000005</v>
      </c>
      <c r="AZ14" s="86">
        <v>29830.818000000003</v>
      </c>
      <c r="BA14" s="412">
        <v>2831.4819999999963</v>
      </c>
      <c r="BB14" s="420">
        <v>32662.3</v>
      </c>
      <c r="BC14" s="86">
        <v>1296703.2</v>
      </c>
      <c r="BD14" s="420">
        <v>97558.8</v>
      </c>
      <c r="BE14" s="86">
        <v>9829.8000000000011</v>
      </c>
      <c r="BF14" s="86">
        <v>27482.100000000002</v>
      </c>
      <c r="BG14" s="86">
        <v>3379.1</v>
      </c>
      <c r="BH14" s="86">
        <v>82057.899999999994</v>
      </c>
      <c r="BI14" s="86">
        <v>122748.9</v>
      </c>
      <c r="BJ14" s="889" t="s">
        <v>1540</v>
      </c>
      <c r="BK14" s="889"/>
      <c r="BL14" s="41">
        <v>25.15</v>
      </c>
      <c r="BM14" s="41">
        <v>-5.01</v>
      </c>
      <c r="BN14" s="41">
        <v>19.72</v>
      </c>
      <c r="BO14" s="41">
        <v>19.53</v>
      </c>
      <c r="BP14" s="41">
        <v>17.39</v>
      </c>
      <c r="BQ14" s="41">
        <v>2.04</v>
      </c>
      <c r="BR14" s="41">
        <v>1032945.5599999999</v>
      </c>
      <c r="BS14" s="242">
        <v>22064500</v>
      </c>
      <c r="BT14" s="242">
        <v>8059</v>
      </c>
      <c r="BU14" s="242">
        <v>3449</v>
      </c>
      <c r="BV14" s="41">
        <v>103.47854088288517</v>
      </c>
      <c r="BW14" s="41">
        <v>60.806402779501184</v>
      </c>
      <c r="BX14" s="41">
        <v>62.921578359597966</v>
      </c>
      <c r="BY14" s="41">
        <v>7.9874695636345514</v>
      </c>
      <c r="BZ14" s="41">
        <v>5</v>
      </c>
      <c r="CA14" s="41">
        <v>8.15</v>
      </c>
      <c r="CB14" s="41">
        <v>13.75</v>
      </c>
      <c r="CC14" s="37">
        <f t="shared" si="15"/>
        <v>5.6</v>
      </c>
      <c r="CD14" s="412" t="s">
        <v>603</v>
      </c>
      <c r="CE14" s="890" t="s">
        <v>603</v>
      </c>
      <c r="CF14" s="410" t="s">
        <v>603</v>
      </c>
    </row>
    <row r="15" spans="2:86" s="40" customFormat="1" ht="13.9" customHeight="1">
      <c r="I15" s="507" t="s">
        <v>1505</v>
      </c>
      <c r="J15" s="507"/>
      <c r="K15" s="503">
        <v>74633.600000000006</v>
      </c>
      <c r="L15" s="503">
        <v>738.7</v>
      </c>
      <c r="M15" s="509">
        <v>75372.3</v>
      </c>
      <c r="N15" s="503">
        <v>7819.4</v>
      </c>
      <c r="O15" s="509">
        <v>67552.899999999994</v>
      </c>
      <c r="P15" s="503">
        <v>16749.2</v>
      </c>
      <c r="Q15" s="503">
        <v>37251.699999999997</v>
      </c>
      <c r="R15" s="503">
        <v>55736.5</v>
      </c>
      <c r="S15" s="503">
        <v>479902.3</v>
      </c>
      <c r="T15" s="508">
        <v>535638.80000000005</v>
      </c>
      <c r="U15" s="503">
        <v>572890.5</v>
      </c>
      <c r="V15" s="503">
        <v>313.7</v>
      </c>
      <c r="W15" s="503">
        <v>123603.09999999999</v>
      </c>
      <c r="X15" s="503">
        <v>603505.4</v>
      </c>
      <c r="Y15" s="503">
        <v>52.2</v>
      </c>
      <c r="Z15" s="503">
        <v>603557.6</v>
      </c>
      <c r="AA15" s="507" t="s">
        <v>1505</v>
      </c>
      <c r="AB15" s="503">
        <v>0</v>
      </c>
      <c r="AC15" s="503">
        <v>10424.6</v>
      </c>
      <c r="AD15" s="503">
        <v>417890.5</v>
      </c>
      <c r="AE15" s="503">
        <v>428315.1</v>
      </c>
      <c r="AF15" s="503">
        <v>0</v>
      </c>
      <c r="AG15" s="503">
        <v>939.6</v>
      </c>
      <c r="AH15" s="503">
        <v>18961.2</v>
      </c>
      <c r="AI15" s="503">
        <v>19900.8</v>
      </c>
      <c r="AJ15" s="503">
        <v>6677.8</v>
      </c>
      <c r="AK15" s="503">
        <v>123736.6</v>
      </c>
      <c r="AL15" s="503">
        <v>11125.2</v>
      </c>
      <c r="AM15" s="503">
        <v>134861.80000000002</v>
      </c>
      <c r="AN15" s="503">
        <v>6677.8</v>
      </c>
      <c r="AO15" s="503">
        <v>135100.80000000002</v>
      </c>
      <c r="AP15" s="503">
        <v>447976.9</v>
      </c>
      <c r="AQ15" s="503">
        <v>583077.69999999995</v>
      </c>
      <c r="AR15" s="507" t="s">
        <v>1505</v>
      </c>
      <c r="AS15" s="503">
        <v>9784.5</v>
      </c>
      <c r="AT15" s="503">
        <v>9441.9</v>
      </c>
      <c r="AU15" s="503">
        <v>9640.7999999999993</v>
      </c>
      <c r="AV15" s="503">
        <v>147</v>
      </c>
      <c r="AW15" s="503">
        <v>572957.5</v>
      </c>
      <c r="AX15" s="503">
        <v>6509</v>
      </c>
      <c r="AY15" s="503">
        <v>579466.5</v>
      </c>
      <c r="AZ15" s="503">
        <v>34767.99</v>
      </c>
      <c r="BA15" s="497">
        <v>2035.4100000000035</v>
      </c>
      <c r="BB15" s="509">
        <v>36803.4</v>
      </c>
      <c r="BC15" s="503">
        <v>1462258.7</v>
      </c>
      <c r="BD15" s="509">
        <v>112175.70000000001</v>
      </c>
      <c r="BE15" s="503">
        <v>9204.5</v>
      </c>
      <c r="BF15" s="503">
        <v>21263.200000000001</v>
      </c>
      <c r="BG15" s="503">
        <v>3720.1000000000004</v>
      </c>
      <c r="BH15" s="503">
        <v>123280</v>
      </c>
      <c r="BI15" s="503">
        <v>157467.79999999999</v>
      </c>
      <c r="BJ15" s="507" t="s">
        <v>1505</v>
      </c>
      <c r="BK15" s="507"/>
      <c r="BL15" s="511">
        <v>19.91</v>
      </c>
      <c r="BM15" s="511">
        <v>9.06</v>
      </c>
      <c r="BN15" s="511">
        <v>10.85</v>
      </c>
      <c r="BO15" s="511">
        <v>12.4</v>
      </c>
      <c r="BP15" s="511">
        <v>16.71</v>
      </c>
      <c r="BQ15" s="511">
        <v>1.99</v>
      </c>
      <c r="BR15" s="511">
        <v>1206241.4000000001</v>
      </c>
      <c r="BS15" s="512">
        <v>23019773</v>
      </c>
      <c r="BT15" s="512">
        <v>8427</v>
      </c>
      <c r="BU15" s="512">
        <v>3499</v>
      </c>
      <c r="BV15" s="511">
        <v>101.76630901942988</v>
      </c>
      <c r="BW15" s="511">
        <v>67.990684703927855</v>
      </c>
      <c r="BX15" s="511">
        <v>69.191610300225463</v>
      </c>
      <c r="BY15" s="511">
        <v>7.7881518262698375</v>
      </c>
      <c r="BZ15" s="511">
        <v>5</v>
      </c>
      <c r="CA15" s="511">
        <v>8.5399999999999991</v>
      </c>
      <c r="CB15" s="511">
        <v>13.67</v>
      </c>
      <c r="CC15" s="502">
        <f t="shared" si="15"/>
        <v>5.1300000000000008</v>
      </c>
      <c r="CD15" s="497">
        <v>14.21</v>
      </c>
      <c r="CE15" s="865">
        <v>17.440000000000001</v>
      </c>
      <c r="CF15" s="502">
        <f>CE15-CD15</f>
        <v>3.2300000000000004</v>
      </c>
      <c r="CG15" s="41"/>
      <c r="CH15" s="41"/>
    </row>
    <row r="16" spans="2:86" s="459" customFormat="1" ht="13.9" customHeight="1">
      <c r="C16" s="40"/>
      <c r="D16" s="40"/>
      <c r="E16" s="40"/>
      <c r="F16" s="40"/>
      <c r="G16" s="40"/>
      <c r="I16" s="411" t="s">
        <v>1886</v>
      </c>
      <c r="J16" s="412"/>
      <c r="K16" s="413">
        <v>84714.1</v>
      </c>
      <c r="L16" s="413">
        <v>771.1</v>
      </c>
      <c r="M16" s="413">
        <v>85485.200000000012</v>
      </c>
      <c r="N16" s="413">
        <v>8576.7999999999993</v>
      </c>
      <c r="O16" s="413">
        <v>76908.400000000009</v>
      </c>
      <c r="P16" s="413">
        <v>14653.7</v>
      </c>
      <c r="Q16" s="413">
        <v>39217.699999999997</v>
      </c>
      <c r="R16" s="413">
        <v>64344.3</v>
      </c>
      <c r="S16" s="413">
        <v>558978.4</v>
      </c>
      <c r="T16" s="413">
        <v>623322.70000000007</v>
      </c>
      <c r="U16" s="413">
        <v>662540.4</v>
      </c>
      <c r="V16" s="413">
        <v>392.4</v>
      </c>
      <c r="W16" s="413">
        <v>141645.1</v>
      </c>
      <c r="X16" s="413">
        <v>700623.5</v>
      </c>
      <c r="Y16" s="413" t="s">
        <v>603</v>
      </c>
      <c r="Z16" s="413" t="s">
        <v>603</v>
      </c>
      <c r="AA16" s="411" t="s">
        <v>1886</v>
      </c>
      <c r="AB16" s="413">
        <v>0</v>
      </c>
      <c r="AC16" s="413">
        <v>12682.9</v>
      </c>
      <c r="AD16" s="413">
        <v>472716.79999999999</v>
      </c>
      <c r="AE16" s="413">
        <v>485399.7</v>
      </c>
      <c r="AF16" s="413">
        <v>0</v>
      </c>
      <c r="AG16" s="413">
        <v>1119.4000000000001</v>
      </c>
      <c r="AH16" s="413">
        <v>18229.8</v>
      </c>
      <c r="AI16" s="413">
        <v>19349.2</v>
      </c>
      <c r="AJ16" s="413">
        <v>7694</v>
      </c>
      <c r="AK16" s="413">
        <v>152996.79999999999</v>
      </c>
      <c r="AL16" s="413">
        <v>12420.6</v>
      </c>
      <c r="AM16" s="413">
        <v>165417.4</v>
      </c>
      <c r="AN16" s="413">
        <v>7694</v>
      </c>
      <c r="AO16" s="413">
        <v>166799.09999999998</v>
      </c>
      <c r="AP16" s="413">
        <v>503367.19999999995</v>
      </c>
      <c r="AQ16" s="413">
        <v>670166.30000000005</v>
      </c>
      <c r="AR16" s="411" t="s">
        <v>1886</v>
      </c>
      <c r="AS16" s="413">
        <v>5706.9</v>
      </c>
      <c r="AT16" s="413">
        <v>5526.6</v>
      </c>
      <c r="AU16" s="413">
        <v>9945.7000000000007</v>
      </c>
      <c r="AV16" s="413">
        <v>26.2</v>
      </c>
      <c r="AW16" s="413">
        <v>662559.30000000005</v>
      </c>
      <c r="AX16" s="413">
        <v>6612.1</v>
      </c>
      <c r="AY16" s="413">
        <v>669171.4</v>
      </c>
      <c r="AZ16" s="413">
        <v>43496.141000000003</v>
      </c>
      <c r="BA16" s="413">
        <v>501.55899999999383</v>
      </c>
      <c r="BB16" s="413">
        <v>43997.7</v>
      </c>
      <c r="BC16" s="413">
        <v>1689948.5</v>
      </c>
      <c r="BD16" s="413">
        <v>129482.90000000001</v>
      </c>
      <c r="BE16" s="413">
        <v>78.099999999999994</v>
      </c>
      <c r="BF16" s="413">
        <v>16886.2</v>
      </c>
      <c r="BG16" s="413">
        <v>2769.5</v>
      </c>
      <c r="BH16" s="413">
        <v>152495.40000000002</v>
      </c>
      <c r="BI16" s="413">
        <v>172229.2</v>
      </c>
      <c r="BJ16" s="411" t="s">
        <v>1886</v>
      </c>
      <c r="BK16" s="412"/>
      <c r="BL16" s="460">
        <v>6.72</v>
      </c>
      <c r="BM16" s="460">
        <v>34.71</v>
      </c>
      <c r="BN16" s="460">
        <v>12.27</v>
      </c>
      <c r="BO16" s="460">
        <v>11.57</v>
      </c>
      <c r="BP16" s="460">
        <v>15.46</v>
      </c>
      <c r="BQ16" s="41">
        <v>1.92</v>
      </c>
      <c r="BR16" s="460">
        <v>1349860.7500000002</v>
      </c>
      <c r="BS16" s="696">
        <v>25358417</v>
      </c>
      <c r="BT16" s="696">
        <v>8794</v>
      </c>
      <c r="BU16" s="696">
        <v>3536</v>
      </c>
      <c r="BV16" s="460">
        <v>101.14812364719657</v>
      </c>
      <c r="BW16" s="460">
        <v>75.342199226745507</v>
      </c>
      <c r="BX16" s="460">
        <v>76.20722083238573</v>
      </c>
      <c r="BY16" s="460">
        <v>7.9350633218792641</v>
      </c>
      <c r="BZ16" s="460">
        <v>5</v>
      </c>
      <c r="CA16" s="460">
        <v>7.79</v>
      </c>
      <c r="CB16" s="460">
        <v>13.1</v>
      </c>
      <c r="CC16" s="460">
        <v>5.31</v>
      </c>
      <c r="CD16" s="460">
        <v>12.52</v>
      </c>
      <c r="CE16" s="460">
        <v>16.899999999999999</v>
      </c>
      <c r="CF16" s="460">
        <v>4.38</v>
      </c>
    </row>
    <row r="17" spans="9:86" s="459" customFormat="1" ht="13.9" customHeight="1">
      <c r="I17" s="606" t="s">
        <v>2017</v>
      </c>
      <c r="J17" s="497"/>
      <c r="K17" s="981">
        <v>97361.5</v>
      </c>
      <c r="L17" s="981">
        <v>792.4</v>
      </c>
      <c r="M17" s="981">
        <v>98153.9</v>
      </c>
      <c r="N17" s="981">
        <v>10213.1</v>
      </c>
      <c r="O17" s="981">
        <v>87940.799999999988</v>
      </c>
      <c r="P17" s="981">
        <v>13317.8</v>
      </c>
      <c r="Q17" s="981">
        <v>47116.6</v>
      </c>
      <c r="R17" s="981">
        <v>72383.7</v>
      </c>
      <c r="S17" s="981">
        <v>626799.9</v>
      </c>
      <c r="T17" s="981">
        <v>699183.6</v>
      </c>
      <c r="U17" s="981">
        <v>746300.2</v>
      </c>
      <c r="V17" s="981">
        <v>489.7</v>
      </c>
      <c r="W17" s="981">
        <v>160814.20000000001</v>
      </c>
      <c r="X17" s="981">
        <v>787614.10000000009</v>
      </c>
      <c r="Y17" s="1127" t="s">
        <v>603</v>
      </c>
      <c r="Z17" s="1127" t="s">
        <v>603</v>
      </c>
      <c r="AA17" s="606" t="s">
        <v>2017</v>
      </c>
      <c r="AB17" s="607">
        <v>0</v>
      </c>
      <c r="AC17" s="607">
        <v>15343.1</v>
      </c>
      <c r="AD17" s="607">
        <v>537605.1</v>
      </c>
      <c r="AE17" s="607">
        <v>552948.19999999995</v>
      </c>
      <c r="AF17" s="607">
        <v>0</v>
      </c>
      <c r="AG17" s="607">
        <v>1250.4000000000001</v>
      </c>
      <c r="AH17" s="607">
        <v>18779.3</v>
      </c>
      <c r="AI17" s="607">
        <v>20029.7</v>
      </c>
      <c r="AJ17" s="607">
        <v>7130.6</v>
      </c>
      <c r="AK17" s="607">
        <v>157018.4</v>
      </c>
      <c r="AL17" s="607">
        <v>13569.3</v>
      </c>
      <c r="AM17" s="607">
        <v>170587.69999999998</v>
      </c>
      <c r="AN17" s="607">
        <v>7130.6</v>
      </c>
      <c r="AO17" s="607">
        <v>173611.9</v>
      </c>
      <c r="AP17" s="607">
        <v>569953.70000000007</v>
      </c>
      <c r="AQ17" s="607">
        <v>743565.59999999986</v>
      </c>
      <c r="AR17" s="606" t="s">
        <v>2017</v>
      </c>
      <c r="AS17" s="981">
        <v>5604.1</v>
      </c>
      <c r="AT17" s="981">
        <v>4823.6000000000004</v>
      </c>
      <c r="AU17" s="981">
        <v>7890.2</v>
      </c>
      <c r="AV17" s="981">
        <v>217.9</v>
      </c>
      <c r="AW17" s="981">
        <v>746329.9</v>
      </c>
      <c r="AX17" s="981">
        <v>6653.4</v>
      </c>
      <c r="AY17" s="981">
        <v>752983.3</v>
      </c>
      <c r="AZ17" s="981">
        <v>48943.914500000006</v>
      </c>
      <c r="BA17" s="981">
        <v>894.98549999999523</v>
      </c>
      <c r="BB17" s="981">
        <v>49838.9</v>
      </c>
      <c r="BC17" s="981">
        <v>1962638.4</v>
      </c>
      <c r="BD17" s="981">
        <v>147992.79999999999</v>
      </c>
      <c r="BE17" s="981">
        <v>2435.4</v>
      </c>
      <c r="BF17" s="981">
        <v>8796.4</v>
      </c>
      <c r="BG17" s="981">
        <v>3334.2</v>
      </c>
      <c r="BH17" s="981">
        <v>155768.70000000001</v>
      </c>
      <c r="BI17" s="981">
        <v>170334.7</v>
      </c>
      <c r="BJ17" s="606" t="s">
        <v>2017</v>
      </c>
      <c r="BK17" s="497"/>
      <c r="BL17" s="608">
        <v>-6.19</v>
      </c>
      <c r="BM17" s="608">
        <v>34.71</v>
      </c>
      <c r="BN17" s="608">
        <v>12.27</v>
      </c>
      <c r="BO17" s="608">
        <v>11.57</v>
      </c>
      <c r="BP17" s="608">
        <v>16.09</v>
      </c>
      <c r="BQ17" s="516">
        <v>1.92</v>
      </c>
      <c r="BR17" s="608" t="s">
        <v>603</v>
      </c>
      <c r="BS17" s="850" t="s">
        <v>603</v>
      </c>
      <c r="BT17" s="850">
        <v>9131</v>
      </c>
      <c r="BU17" s="850">
        <v>3669</v>
      </c>
      <c r="BV17" s="608">
        <v>99.629614196081363</v>
      </c>
      <c r="BW17" s="608">
        <v>81.735833972182675</v>
      </c>
      <c r="BX17" s="608">
        <v>81.43309604643521</v>
      </c>
      <c r="BY17" s="608">
        <v>8.0463076717146134</v>
      </c>
      <c r="BZ17" s="608">
        <v>5</v>
      </c>
      <c r="CA17" s="608">
        <v>6.8</v>
      </c>
      <c r="CB17" s="608">
        <v>11.67</v>
      </c>
      <c r="CC17" s="608">
        <v>4.87</v>
      </c>
      <c r="CD17" s="608">
        <v>10.61</v>
      </c>
      <c r="CE17" s="608">
        <v>15.12</v>
      </c>
      <c r="CF17" s="608">
        <v>4.51</v>
      </c>
    </row>
    <row r="18" spans="9:86" s="459" customFormat="1" ht="13.9" customHeight="1">
      <c r="I18" s="872" t="s">
        <v>2226</v>
      </c>
      <c r="J18" s="412"/>
      <c r="K18" s="977">
        <f>K30</f>
        <v>130728.7</v>
      </c>
      <c r="L18" s="977">
        <f t="shared" ref="L18:X18" si="16">L30</f>
        <v>1576.5</v>
      </c>
      <c r="M18" s="977">
        <f t="shared" si="16"/>
        <v>132305.20000000001</v>
      </c>
      <c r="N18" s="977">
        <f t="shared" si="16"/>
        <v>10230.700000000001</v>
      </c>
      <c r="O18" s="977">
        <f t="shared" si="16"/>
        <v>122074.50000000001</v>
      </c>
      <c r="P18" s="977">
        <f t="shared" si="16"/>
        <v>17126.2</v>
      </c>
      <c r="Q18" s="977">
        <f t="shared" si="16"/>
        <v>55874.7</v>
      </c>
      <c r="R18" s="977">
        <f t="shared" si="16"/>
        <v>89759.1</v>
      </c>
      <c r="S18" s="977">
        <f t="shared" si="16"/>
        <v>703947.2</v>
      </c>
      <c r="T18" s="977">
        <f t="shared" si="16"/>
        <v>793706.29999999993</v>
      </c>
      <c r="U18" s="977">
        <f t="shared" si="16"/>
        <v>849580.99999999988</v>
      </c>
      <c r="V18" s="977">
        <f t="shared" si="16"/>
        <v>597.1</v>
      </c>
      <c r="W18" s="977">
        <f t="shared" si="16"/>
        <v>212430.70000000004</v>
      </c>
      <c r="X18" s="977">
        <f t="shared" si="16"/>
        <v>916377.9</v>
      </c>
      <c r="Y18" s="1541" t="s">
        <v>603</v>
      </c>
      <c r="Z18" s="1541" t="s">
        <v>603</v>
      </c>
      <c r="AA18" s="872" t="s">
        <v>2226</v>
      </c>
      <c r="AB18" s="977">
        <f t="shared" ref="AB18:BI18" si="17">AB30</f>
        <v>0</v>
      </c>
      <c r="AC18" s="977">
        <f t="shared" si="17"/>
        <v>14977.5</v>
      </c>
      <c r="AD18" s="977">
        <f t="shared" si="17"/>
        <v>627918.19999999995</v>
      </c>
      <c r="AE18" s="977">
        <f t="shared" si="17"/>
        <v>642895.69999999995</v>
      </c>
      <c r="AF18" s="977">
        <f t="shared" si="17"/>
        <v>0</v>
      </c>
      <c r="AG18" s="977">
        <f t="shared" si="17"/>
        <v>1589</v>
      </c>
      <c r="AH18" s="977">
        <f t="shared" si="17"/>
        <v>22461</v>
      </c>
      <c r="AI18" s="977">
        <f t="shared" si="17"/>
        <v>24050</v>
      </c>
      <c r="AJ18" s="977">
        <f t="shared" si="17"/>
        <v>8613</v>
      </c>
      <c r="AK18" s="977">
        <f t="shared" si="17"/>
        <v>157964.29999999999</v>
      </c>
      <c r="AL18" s="977">
        <f t="shared" si="17"/>
        <v>15663.2</v>
      </c>
      <c r="AM18" s="977">
        <f t="shared" si="17"/>
        <v>173627.5</v>
      </c>
      <c r="AN18" s="977">
        <f t="shared" si="17"/>
        <v>8613</v>
      </c>
      <c r="AO18" s="977">
        <f t="shared" si="17"/>
        <v>174530.8</v>
      </c>
      <c r="AP18" s="977">
        <f t="shared" si="17"/>
        <v>666042.39999999991</v>
      </c>
      <c r="AQ18" s="977">
        <f t="shared" si="17"/>
        <v>840573.2</v>
      </c>
      <c r="AR18" s="872" t="s">
        <v>2226</v>
      </c>
      <c r="AS18" s="977">
        <f t="shared" si="17"/>
        <v>5436.7</v>
      </c>
      <c r="AT18" s="977">
        <f t="shared" si="17"/>
        <v>18388.400000000001</v>
      </c>
      <c r="AU18" s="977">
        <f t="shared" si="17"/>
        <v>12975.5</v>
      </c>
      <c r="AV18" s="977">
        <f t="shared" si="17"/>
        <v>50.7</v>
      </c>
      <c r="AW18" s="977">
        <f t="shared" si="17"/>
        <v>849617.20000000007</v>
      </c>
      <c r="AX18" s="977">
        <f t="shared" si="17"/>
        <v>6908.3</v>
      </c>
      <c r="AY18" s="977">
        <f t="shared" si="17"/>
        <v>856525.50000000012</v>
      </c>
      <c r="AZ18" s="977">
        <f t="shared" si="17"/>
        <v>55674.157500000008</v>
      </c>
      <c r="BA18" s="977">
        <f t="shared" si="17"/>
        <v>4624.8424999999916</v>
      </c>
      <c r="BB18" s="977">
        <f t="shared" si="17"/>
        <v>60299</v>
      </c>
      <c r="BC18" s="977">
        <f t="shared" si="17"/>
        <v>2370730.1</v>
      </c>
      <c r="BD18" s="977">
        <f t="shared" si="17"/>
        <v>192604.2</v>
      </c>
      <c r="BE18" s="977">
        <f t="shared" si="17"/>
        <v>4000</v>
      </c>
      <c r="BF18" s="977">
        <f t="shared" si="17"/>
        <v>15984.8</v>
      </c>
      <c r="BG18" s="977">
        <f t="shared" si="17"/>
        <v>3911.6</v>
      </c>
      <c r="BH18" s="977">
        <f t="shared" si="17"/>
        <v>156583.5</v>
      </c>
      <c r="BI18" s="977">
        <f t="shared" si="17"/>
        <v>180479.9</v>
      </c>
      <c r="BJ18" s="872" t="s">
        <v>2226</v>
      </c>
      <c r="BK18" s="412"/>
      <c r="BL18" s="976">
        <f>BL30</f>
        <v>3.59</v>
      </c>
      <c r="BM18" s="976">
        <f>BM30</f>
        <v>-3.71</v>
      </c>
      <c r="BN18" s="976">
        <f>BN30</f>
        <v>16.78</v>
      </c>
      <c r="BO18" s="976">
        <f>BO30</f>
        <v>14.22</v>
      </c>
      <c r="BP18" s="976">
        <f>BP30</f>
        <v>16.350000000000001</v>
      </c>
      <c r="BQ18" s="622">
        <v>1.8909927880190038</v>
      </c>
      <c r="BR18" s="622" t="s">
        <v>603</v>
      </c>
      <c r="BS18" s="623" t="s">
        <v>603</v>
      </c>
      <c r="BT18" s="1277">
        <f t="shared" ref="BT18:CF18" si="18">BT30</f>
        <v>9453</v>
      </c>
      <c r="BU18" s="1277">
        <f t="shared" si="18"/>
        <v>3700</v>
      </c>
      <c r="BV18" s="976">
        <f t="shared" si="18"/>
        <v>98.935520608575231</v>
      </c>
      <c r="BW18" s="976">
        <f t="shared" si="18"/>
        <v>89.878049296519634</v>
      </c>
      <c r="BX18" s="976">
        <f t="shared" si="18"/>
        <v>88.921315984343593</v>
      </c>
      <c r="BY18" s="976">
        <f t="shared" si="18"/>
        <v>8.3013503022302277</v>
      </c>
      <c r="BZ18" s="976">
        <f t="shared" si="18"/>
        <v>5</v>
      </c>
      <c r="CA18" s="976">
        <f t="shared" si="18"/>
        <v>5.54</v>
      </c>
      <c r="CB18" s="976">
        <f t="shared" si="18"/>
        <v>10.39</v>
      </c>
      <c r="CC18" s="976">
        <f t="shared" si="18"/>
        <v>4.8500000000000005</v>
      </c>
      <c r="CD18" s="976">
        <f t="shared" si="18"/>
        <v>8.9499999999999993</v>
      </c>
      <c r="CE18" s="976">
        <f t="shared" si="18"/>
        <v>13.07</v>
      </c>
      <c r="CF18" s="976">
        <f t="shared" si="18"/>
        <v>4.120000000000001</v>
      </c>
    </row>
    <row r="19" spans="9:86" s="459" customFormat="1" ht="13.9" customHeight="1">
      <c r="I19" s="496" t="s">
        <v>954</v>
      </c>
      <c r="J19" s="497"/>
      <c r="K19" s="798">
        <v>102507.2</v>
      </c>
      <c r="L19" s="798">
        <v>802.9</v>
      </c>
      <c r="M19" s="798">
        <f t="shared" ref="M19:M29" si="19">K19+L19</f>
        <v>103310.09999999999</v>
      </c>
      <c r="N19" s="798">
        <v>9408.7000000000007</v>
      </c>
      <c r="O19" s="798">
        <f t="shared" ref="O19:O29" si="20">M19-N19</f>
        <v>93901.4</v>
      </c>
      <c r="P19" s="798">
        <v>12303.5</v>
      </c>
      <c r="Q19" s="798">
        <v>44761.8</v>
      </c>
      <c r="R19" s="798">
        <v>70229</v>
      </c>
      <c r="S19" s="774">
        <v>640066.6</v>
      </c>
      <c r="T19" s="498">
        <f t="shared" ref="T19:T29" si="21">R19+S19</f>
        <v>710295.6</v>
      </c>
      <c r="U19" s="498">
        <f t="shared" ref="U19:U29" si="22">Q19+T19</f>
        <v>755057.4</v>
      </c>
      <c r="V19" s="798">
        <v>484.6</v>
      </c>
      <c r="W19" s="498">
        <f t="shared" ref="W19:W29" si="23">O19+R19+V19</f>
        <v>164615</v>
      </c>
      <c r="X19" s="498">
        <f t="shared" ref="X19:X29" si="24">S19+W19</f>
        <v>804681.6</v>
      </c>
      <c r="Y19" s="774" t="s">
        <v>603</v>
      </c>
      <c r="Z19" s="774" t="s">
        <v>603</v>
      </c>
      <c r="AA19" s="496" t="s">
        <v>954</v>
      </c>
      <c r="AB19" s="498">
        <v>0</v>
      </c>
      <c r="AC19" s="798">
        <v>14006.4</v>
      </c>
      <c r="AD19" s="798">
        <v>535433.5</v>
      </c>
      <c r="AE19" s="498">
        <f t="shared" ref="AE19:AE29" si="25">AC19+AD19</f>
        <v>549439.9</v>
      </c>
      <c r="AF19" s="498">
        <v>0</v>
      </c>
      <c r="AG19" s="798">
        <v>1372.7</v>
      </c>
      <c r="AH19" s="798">
        <v>19482.8</v>
      </c>
      <c r="AI19" s="498">
        <f t="shared" ref="AI19:AI29" si="26">AG19+AH19</f>
        <v>20855.5</v>
      </c>
      <c r="AJ19" s="802">
        <v>7285.3</v>
      </c>
      <c r="AK19" s="802">
        <v>164516.9</v>
      </c>
      <c r="AL19" s="689">
        <v>14144.8</v>
      </c>
      <c r="AM19" s="803">
        <f t="shared" ref="AM19:AM29" si="27">AK19+AL19</f>
        <v>178661.69999999998</v>
      </c>
      <c r="AN19" s="498">
        <f t="shared" ref="AN19:AQ23" si="28">AB19+AF19+AJ19</f>
        <v>7285.3</v>
      </c>
      <c r="AO19" s="498">
        <f t="shared" si="28"/>
        <v>179896</v>
      </c>
      <c r="AP19" s="498">
        <f t="shared" si="28"/>
        <v>569061.10000000009</v>
      </c>
      <c r="AQ19" s="498">
        <f t="shared" si="28"/>
        <v>748957.1</v>
      </c>
      <c r="AR19" s="496" t="s">
        <v>954</v>
      </c>
      <c r="AS19" s="798">
        <v>6144.9</v>
      </c>
      <c r="AT19" s="798">
        <v>5261.2</v>
      </c>
      <c r="AU19" s="774">
        <v>8215.7000000000007</v>
      </c>
      <c r="AV19" s="798">
        <v>48.6</v>
      </c>
      <c r="AW19" s="798">
        <f>755097.8-8.7</f>
        <v>755089.10000000009</v>
      </c>
      <c r="AX19" s="798">
        <v>6890.9</v>
      </c>
      <c r="AY19" s="498">
        <f t="shared" ref="AY19:AY29" si="29">AW19+AX19</f>
        <v>761980.00000000012</v>
      </c>
      <c r="AZ19" s="498">
        <f t="shared" ref="AZ19:AZ28" si="30">0.065*AY19</f>
        <v>49528.700000000012</v>
      </c>
      <c r="BA19" s="497">
        <f t="shared" ref="BA19:BA28" si="31">BB19-AZ19</f>
        <v>2310.5999999999913</v>
      </c>
      <c r="BB19" s="774">
        <v>51839.3</v>
      </c>
      <c r="BC19" s="798">
        <v>1991775.2</v>
      </c>
      <c r="BD19" s="497">
        <f t="shared" ref="BD19:BD29" si="32">M19+BB19</f>
        <v>155149.4</v>
      </c>
      <c r="BE19" s="798">
        <v>4000</v>
      </c>
      <c r="BF19" s="798">
        <v>11095.7</v>
      </c>
      <c r="BG19" s="798">
        <f>1295+1033+1039.1</f>
        <v>3367.1</v>
      </c>
      <c r="BH19" s="798">
        <f>159403.1+3824.7</f>
        <v>163227.80000000002</v>
      </c>
      <c r="BI19" s="498">
        <f t="shared" ref="BI19:BI29" si="33">BH19+BG19+BF19+BE19</f>
        <v>181690.60000000003</v>
      </c>
      <c r="BJ19" s="496" t="s">
        <v>954</v>
      </c>
      <c r="BK19" s="497"/>
      <c r="BL19" s="505">
        <v>10.41</v>
      </c>
      <c r="BM19" s="505">
        <v>-6.78</v>
      </c>
      <c r="BN19" s="505">
        <v>-0.16</v>
      </c>
      <c r="BO19" s="505">
        <v>1.34</v>
      </c>
      <c r="BP19" s="505">
        <v>2.17</v>
      </c>
      <c r="BQ19" s="505" t="s">
        <v>603</v>
      </c>
      <c r="BR19" s="505" t="s">
        <v>603</v>
      </c>
      <c r="BS19" s="506" t="s">
        <v>603</v>
      </c>
      <c r="BT19" s="506">
        <v>9155</v>
      </c>
      <c r="BU19" s="506">
        <v>3670</v>
      </c>
      <c r="BV19" s="505">
        <f t="shared" ref="BV19:BV24" si="34">AQ19/AW19*100</f>
        <v>99.18791040686456</v>
      </c>
      <c r="BW19" s="505">
        <f t="shared" ref="BW19:BW24" si="35">AW19/BT19</f>
        <v>82.478328782086308</v>
      </c>
      <c r="BX19" s="505">
        <f t="shared" ref="BX19:BX24" si="36">AQ19/BT19</f>
        <v>81.80853085745494</v>
      </c>
      <c r="BY19" s="505">
        <f t="shared" ref="BY19:BY24" si="37">(N19+BB19)/AW19*100</f>
        <v>8.1113606328047894</v>
      </c>
      <c r="BZ19" s="505">
        <v>5</v>
      </c>
      <c r="CA19" s="505">
        <v>6.78</v>
      </c>
      <c r="CB19" s="505">
        <v>11.57</v>
      </c>
      <c r="CC19" s="505">
        <f>CB19-CA19</f>
        <v>4.79</v>
      </c>
      <c r="CD19" s="505">
        <v>10.54</v>
      </c>
      <c r="CE19" s="505">
        <v>14.7</v>
      </c>
      <c r="CF19" s="505">
        <f>CE19-CD19</f>
        <v>4.16</v>
      </c>
      <c r="CG19" s="460"/>
      <c r="CH19" s="460"/>
    </row>
    <row r="20" spans="9:86" s="459" customFormat="1" ht="13.9" customHeight="1">
      <c r="I20" s="411" t="s">
        <v>955</v>
      </c>
      <c r="J20" s="412"/>
      <c r="K20" s="804">
        <v>97803.7</v>
      </c>
      <c r="L20" s="804">
        <v>802</v>
      </c>
      <c r="M20" s="804">
        <f t="shared" si="19"/>
        <v>98605.7</v>
      </c>
      <c r="N20" s="804">
        <v>9355.4</v>
      </c>
      <c r="O20" s="804">
        <f t="shared" si="20"/>
        <v>89250.3</v>
      </c>
      <c r="P20" s="804">
        <v>11241.7</v>
      </c>
      <c r="Q20" s="804">
        <v>47070.1</v>
      </c>
      <c r="R20" s="804">
        <v>69174.399999999994</v>
      </c>
      <c r="S20" s="808">
        <v>646455.5</v>
      </c>
      <c r="T20" s="413">
        <f t="shared" si="21"/>
        <v>715629.9</v>
      </c>
      <c r="U20" s="413">
        <f t="shared" si="22"/>
        <v>762700</v>
      </c>
      <c r="V20" s="804">
        <v>497.8</v>
      </c>
      <c r="W20" s="413">
        <f t="shared" si="23"/>
        <v>158922.5</v>
      </c>
      <c r="X20" s="413">
        <f t="shared" si="24"/>
        <v>805378</v>
      </c>
      <c r="Y20" s="808" t="s">
        <v>603</v>
      </c>
      <c r="Z20" s="808" t="s">
        <v>603</v>
      </c>
      <c r="AA20" s="411" t="s">
        <v>955</v>
      </c>
      <c r="AB20" s="413">
        <v>0</v>
      </c>
      <c r="AC20" s="804">
        <v>13920.9</v>
      </c>
      <c r="AD20" s="804">
        <v>540137.6</v>
      </c>
      <c r="AE20" s="413">
        <f t="shared" si="25"/>
        <v>554058.5</v>
      </c>
      <c r="AF20" s="413">
        <v>0</v>
      </c>
      <c r="AG20" s="804">
        <v>1319.5</v>
      </c>
      <c r="AH20" s="804">
        <v>19193</v>
      </c>
      <c r="AI20" s="413">
        <f t="shared" si="26"/>
        <v>20512.5</v>
      </c>
      <c r="AJ20" s="833">
        <v>6912.7</v>
      </c>
      <c r="AK20" s="833">
        <v>169831.7</v>
      </c>
      <c r="AL20" s="657">
        <v>14250.6</v>
      </c>
      <c r="AM20" s="778">
        <f t="shared" si="27"/>
        <v>184082.30000000002</v>
      </c>
      <c r="AN20" s="413">
        <f t="shared" si="28"/>
        <v>6912.7</v>
      </c>
      <c r="AO20" s="413">
        <f t="shared" si="28"/>
        <v>185072.1</v>
      </c>
      <c r="AP20" s="413">
        <f t="shared" si="28"/>
        <v>573581.19999999995</v>
      </c>
      <c r="AQ20" s="413">
        <f t="shared" si="28"/>
        <v>758653.3</v>
      </c>
      <c r="AR20" s="411" t="s">
        <v>955</v>
      </c>
      <c r="AS20" s="804">
        <v>5212.8</v>
      </c>
      <c r="AT20" s="804">
        <v>4992.7</v>
      </c>
      <c r="AU20" s="808">
        <v>7750.5</v>
      </c>
      <c r="AV20" s="804">
        <v>37.6</v>
      </c>
      <c r="AW20" s="804">
        <f>762740.6-9.6</f>
        <v>762731</v>
      </c>
      <c r="AX20" s="804">
        <v>6532.6</v>
      </c>
      <c r="AY20" s="413">
        <f t="shared" si="29"/>
        <v>769263.6</v>
      </c>
      <c r="AZ20" s="413">
        <f t="shared" si="30"/>
        <v>50002.133999999998</v>
      </c>
      <c r="BA20" s="412">
        <f t="shared" si="31"/>
        <v>2728.4660000000003</v>
      </c>
      <c r="BB20" s="808">
        <v>52730.6</v>
      </c>
      <c r="BC20" s="804">
        <v>2020941.4</v>
      </c>
      <c r="BD20" s="412">
        <f t="shared" si="32"/>
        <v>151336.29999999999</v>
      </c>
      <c r="BE20" s="804">
        <v>0</v>
      </c>
      <c r="BF20" s="804">
        <v>8798</v>
      </c>
      <c r="BG20" s="804">
        <v>3017.5</v>
      </c>
      <c r="BH20" s="804">
        <v>168541.5</v>
      </c>
      <c r="BI20" s="413">
        <f t="shared" si="33"/>
        <v>180357</v>
      </c>
      <c r="BJ20" s="411" t="s">
        <v>955</v>
      </c>
      <c r="BK20" s="412"/>
      <c r="BL20" s="460">
        <v>4.92</v>
      </c>
      <c r="BM20" s="460">
        <v>-5.89</v>
      </c>
      <c r="BN20" s="460">
        <v>0.62</v>
      </c>
      <c r="BO20" s="460">
        <v>1.1399999999999999</v>
      </c>
      <c r="BP20" s="460">
        <v>2.2599999999999998</v>
      </c>
      <c r="BQ20" s="460" t="s">
        <v>603</v>
      </c>
      <c r="BR20" s="460" t="s">
        <v>603</v>
      </c>
      <c r="BS20" s="696" t="s">
        <v>603</v>
      </c>
      <c r="BT20" s="696">
        <v>9177</v>
      </c>
      <c r="BU20" s="696">
        <v>3671</v>
      </c>
      <c r="BV20" s="460">
        <f t="shared" si="34"/>
        <v>99.465381635202974</v>
      </c>
      <c r="BW20" s="460">
        <f t="shared" si="35"/>
        <v>83.113326795248994</v>
      </c>
      <c r="BX20" s="460">
        <f t="shared" si="36"/>
        <v>82.668987686607835</v>
      </c>
      <c r="BY20" s="460">
        <f t="shared" si="37"/>
        <v>8.1399602218868772</v>
      </c>
      <c r="BZ20" s="460">
        <v>5</v>
      </c>
      <c r="CA20" s="460">
        <v>6.74</v>
      </c>
      <c r="CB20" s="460">
        <v>11.51</v>
      </c>
      <c r="CC20" s="460">
        <f t="shared" ref="CC20:CC30" si="38">CB20-CA20</f>
        <v>4.7699999999999996</v>
      </c>
      <c r="CD20" s="460">
        <v>10.41</v>
      </c>
      <c r="CE20" s="460">
        <v>14.52</v>
      </c>
      <c r="CF20" s="460">
        <f t="shared" ref="CF20:CF30" si="39">CE20-CD20</f>
        <v>4.1099999999999994</v>
      </c>
      <c r="CG20" s="460"/>
      <c r="CH20" s="460"/>
    </row>
    <row r="21" spans="9:86" s="459" customFormat="1" ht="13.9" customHeight="1">
      <c r="I21" s="496" t="s">
        <v>949</v>
      </c>
      <c r="J21" s="497"/>
      <c r="K21" s="798">
        <v>111598.9</v>
      </c>
      <c r="L21" s="798">
        <v>804.6</v>
      </c>
      <c r="M21" s="798">
        <f t="shared" si="19"/>
        <v>112403.5</v>
      </c>
      <c r="N21" s="798">
        <v>10148.299999999999</v>
      </c>
      <c r="O21" s="798">
        <f t="shared" si="20"/>
        <v>102255.2</v>
      </c>
      <c r="P21" s="798">
        <v>11154.6</v>
      </c>
      <c r="Q21" s="798">
        <v>46330.1</v>
      </c>
      <c r="R21" s="798">
        <v>69915.7</v>
      </c>
      <c r="S21" s="774">
        <v>648804.19999999995</v>
      </c>
      <c r="T21" s="498">
        <f t="shared" si="21"/>
        <v>718719.89999999991</v>
      </c>
      <c r="U21" s="498">
        <f t="shared" si="22"/>
        <v>765049.99999999988</v>
      </c>
      <c r="V21" s="798">
        <v>498</v>
      </c>
      <c r="W21" s="498">
        <f t="shared" si="23"/>
        <v>172668.9</v>
      </c>
      <c r="X21" s="498">
        <f t="shared" si="24"/>
        <v>821473.1</v>
      </c>
      <c r="Y21" s="774" t="s">
        <v>603</v>
      </c>
      <c r="Z21" s="774" t="s">
        <v>603</v>
      </c>
      <c r="AA21" s="496" t="s">
        <v>949</v>
      </c>
      <c r="AB21" s="498">
        <v>0</v>
      </c>
      <c r="AC21" s="798">
        <v>14422</v>
      </c>
      <c r="AD21" s="798">
        <v>549757.19999999995</v>
      </c>
      <c r="AE21" s="498">
        <f t="shared" si="25"/>
        <v>564179.19999999995</v>
      </c>
      <c r="AF21" s="498">
        <v>0</v>
      </c>
      <c r="AG21" s="798">
        <v>1434.4</v>
      </c>
      <c r="AH21" s="798">
        <v>20177.900000000001</v>
      </c>
      <c r="AI21" s="498">
        <f t="shared" si="26"/>
        <v>21612.300000000003</v>
      </c>
      <c r="AJ21" s="802">
        <v>8981.5</v>
      </c>
      <c r="AK21" s="802">
        <v>169308.7</v>
      </c>
      <c r="AL21" s="689">
        <v>15048.9</v>
      </c>
      <c r="AM21" s="803">
        <f t="shared" si="27"/>
        <v>184357.6</v>
      </c>
      <c r="AN21" s="498">
        <f t="shared" si="28"/>
        <v>8981.5</v>
      </c>
      <c r="AO21" s="498">
        <f t="shared" si="28"/>
        <v>185165.1</v>
      </c>
      <c r="AP21" s="498">
        <f t="shared" si="28"/>
        <v>584984</v>
      </c>
      <c r="AQ21" s="498">
        <f t="shared" si="28"/>
        <v>770149.1</v>
      </c>
      <c r="AR21" s="496" t="s">
        <v>949</v>
      </c>
      <c r="AS21" s="798">
        <v>5376.1</v>
      </c>
      <c r="AT21" s="798">
        <v>5202.2</v>
      </c>
      <c r="AU21" s="774">
        <v>10062.1</v>
      </c>
      <c r="AV21" s="798">
        <v>87.6</v>
      </c>
      <c r="AW21" s="798">
        <f>765101-8.9</f>
        <v>765092.1</v>
      </c>
      <c r="AX21" s="798">
        <v>6989.6</v>
      </c>
      <c r="AY21" s="498">
        <f t="shared" si="29"/>
        <v>772081.7</v>
      </c>
      <c r="AZ21" s="498">
        <f t="shared" si="30"/>
        <v>50185.3105</v>
      </c>
      <c r="BA21" s="497">
        <f t="shared" si="31"/>
        <v>-431.1105000000025</v>
      </c>
      <c r="BB21" s="774">
        <v>49754.2</v>
      </c>
      <c r="BC21" s="798">
        <v>2053819.9</v>
      </c>
      <c r="BD21" s="497">
        <f t="shared" si="32"/>
        <v>162157.70000000001</v>
      </c>
      <c r="BE21" s="798">
        <v>0</v>
      </c>
      <c r="BF21" s="798">
        <v>8794.2999999999993</v>
      </c>
      <c r="BG21" s="798">
        <v>3494.4</v>
      </c>
      <c r="BH21" s="798">
        <v>168014.5</v>
      </c>
      <c r="BI21" s="498">
        <f t="shared" si="33"/>
        <v>180303.19999999998</v>
      </c>
      <c r="BJ21" s="496" t="s">
        <v>949</v>
      </c>
      <c r="BK21" s="497"/>
      <c r="BL21" s="505">
        <v>7.18</v>
      </c>
      <c r="BM21" s="505">
        <v>-5.31</v>
      </c>
      <c r="BN21" s="505">
        <v>2.63</v>
      </c>
      <c r="BO21" s="505">
        <v>3.15</v>
      </c>
      <c r="BP21" s="505">
        <v>4.3</v>
      </c>
      <c r="BQ21" s="505" t="s">
        <v>603</v>
      </c>
      <c r="BR21" s="505" t="s">
        <v>603</v>
      </c>
      <c r="BS21" s="506" t="s">
        <v>603</v>
      </c>
      <c r="BT21" s="506">
        <v>9197</v>
      </c>
      <c r="BU21" s="506">
        <v>3673</v>
      </c>
      <c r="BV21" s="505">
        <f t="shared" si="34"/>
        <v>100.66096617649039</v>
      </c>
      <c r="BW21" s="505">
        <f t="shared" si="35"/>
        <v>83.189311732086551</v>
      </c>
      <c r="BX21" s="505">
        <f t="shared" si="36"/>
        <v>83.739164945090792</v>
      </c>
      <c r="BY21" s="505">
        <f t="shared" si="37"/>
        <v>7.8294495525440668</v>
      </c>
      <c r="BZ21" s="505">
        <v>5</v>
      </c>
      <c r="CA21" s="505">
        <v>6.66</v>
      </c>
      <c r="CB21" s="505">
        <v>11.48</v>
      </c>
      <c r="CC21" s="505">
        <f t="shared" si="38"/>
        <v>4.82</v>
      </c>
      <c r="CD21" s="505">
        <v>10.34</v>
      </c>
      <c r="CE21" s="505">
        <v>14.45</v>
      </c>
      <c r="CF21" s="505">
        <f t="shared" si="39"/>
        <v>4.1099999999999994</v>
      </c>
      <c r="CG21" s="460"/>
      <c r="CH21" s="460"/>
    </row>
    <row r="22" spans="9:86" s="459" customFormat="1" ht="13.9" customHeight="1">
      <c r="I22" s="411" t="s">
        <v>956</v>
      </c>
      <c r="J22" s="412"/>
      <c r="K22" s="804">
        <v>101663.7</v>
      </c>
      <c r="L22" s="804">
        <v>802.8</v>
      </c>
      <c r="M22" s="804">
        <f t="shared" si="19"/>
        <v>102466.5</v>
      </c>
      <c r="N22" s="804">
        <v>8578</v>
      </c>
      <c r="O22" s="804">
        <f t="shared" si="20"/>
        <v>93888.5</v>
      </c>
      <c r="P22" s="804">
        <v>10048.6</v>
      </c>
      <c r="Q22" s="804">
        <v>49194.2</v>
      </c>
      <c r="R22" s="804">
        <v>69997</v>
      </c>
      <c r="S22" s="808">
        <v>655862.5</v>
      </c>
      <c r="T22" s="413">
        <f t="shared" si="21"/>
        <v>725859.5</v>
      </c>
      <c r="U22" s="413">
        <f t="shared" si="22"/>
        <v>775053.7</v>
      </c>
      <c r="V22" s="804">
        <v>509.1</v>
      </c>
      <c r="W22" s="413">
        <f t="shared" si="23"/>
        <v>164394.6</v>
      </c>
      <c r="X22" s="413">
        <f t="shared" si="24"/>
        <v>820257.1</v>
      </c>
      <c r="Y22" s="808" t="s">
        <v>603</v>
      </c>
      <c r="Z22" s="808" t="s">
        <v>603</v>
      </c>
      <c r="AA22" s="411" t="s">
        <v>956</v>
      </c>
      <c r="AB22" s="413">
        <v>0</v>
      </c>
      <c r="AC22" s="804">
        <v>14861.3</v>
      </c>
      <c r="AD22" s="804">
        <v>555758.30000000005</v>
      </c>
      <c r="AE22" s="413">
        <f t="shared" si="25"/>
        <v>570619.60000000009</v>
      </c>
      <c r="AF22" s="413">
        <v>0</v>
      </c>
      <c r="AG22" s="804">
        <v>1376.7</v>
      </c>
      <c r="AH22" s="804">
        <v>19584.7</v>
      </c>
      <c r="AI22" s="413">
        <f t="shared" si="26"/>
        <v>20961.400000000001</v>
      </c>
      <c r="AJ22" s="833">
        <v>7983.3</v>
      </c>
      <c r="AK22" s="833">
        <v>167033.4</v>
      </c>
      <c r="AL22" s="657">
        <v>14558.2</v>
      </c>
      <c r="AM22" s="778">
        <f t="shared" si="27"/>
        <v>181591.6</v>
      </c>
      <c r="AN22" s="413">
        <f t="shared" si="28"/>
        <v>7983.3</v>
      </c>
      <c r="AO22" s="413">
        <f t="shared" si="28"/>
        <v>183271.4</v>
      </c>
      <c r="AP22" s="413">
        <f t="shared" si="28"/>
        <v>589901.19999999995</v>
      </c>
      <c r="AQ22" s="413">
        <f t="shared" si="28"/>
        <v>773172.60000000009</v>
      </c>
      <c r="AR22" s="411" t="s">
        <v>956</v>
      </c>
      <c r="AS22" s="804">
        <v>5305.9</v>
      </c>
      <c r="AT22" s="804">
        <v>5199.6000000000004</v>
      </c>
      <c r="AU22" s="808">
        <v>7721.8</v>
      </c>
      <c r="AV22" s="804">
        <v>37.6</v>
      </c>
      <c r="AW22" s="804">
        <f>775104.7-10.2</f>
        <v>775094.5</v>
      </c>
      <c r="AX22" s="804">
        <v>6523.8</v>
      </c>
      <c r="AY22" s="413">
        <f t="shared" si="29"/>
        <v>781618.3</v>
      </c>
      <c r="AZ22" s="413">
        <f t="shared" si="30"/>
        <v>50805.189500000008</v>
      </c>
      <c r="BA22" s="412">
        <f t="shared" si="31"/>
        <v>10218.910499999991</v>
      </c>
      <c r="BB22" s="808">
        <v>61024.1</v>
      </c>
      <c r="BC22" s="804">
        <v>2092935.8</v>
      </c>
      <c r="BD22" s="412">
        <f t="shared" si="32"/>
        <v>163490.6</v>
      </c>
      <c r="BE22" s="804">
        <v>0</v>
      </c>
      <c r="BF22" s="804">
        <v>8795.1</v>
      </c>
      <c r="BG22" s="804">
        <v>3509.7</v>
      </c>
      <c r="BH22" s="804">
        <v>165739.1</v>
      </c>
      <c r="BI22" s="413">
        <f t="shared" si="33"/>
        <v>178043.90000000002</v>
      </c>
      <c r="BJ22" s="411" t="s">
        <v>956</v>
      </c>
      <c r="BK22" s="412"/>
      <c r="BL22" s="460">
        <v>2.15</v>
      </c>
      <c r="BM22" s="460">
        <v>-3.14</v>
      </c>
      <c r="BN22" s="460">
        <v>3.49</v>
      </c>
      <c r="BO22" s="460">
        <v>3.13</v>
      </c>
      <c r="BP22" s="460">
        <v>4.1399999999999997</v>
      </c>
      <c r="BQ22" s="460" t="s">
        <v>603</v>
      </c>
      <c r="BR22" s="460" t="s">
        <v>603</v>
      </c>
      <c r="BS22" s="696" t="s">
        <v>603</v>
      </c>
      <c r="BT22" s="696">
        <v>9219</v>
      </c>
      <c r="BU22" s="696">
        <v>3673</v>
      </c>
      <c r="BV22" s="460">
        <f t="shared" si="34"/>
        <v>99.752043137965771</v>
      </c>
      <c r="BW22" s="460">
        <f t="shared" si="35"/>
        <v>84.075767436815269</v>
      </c>
      <c r="BX22" s="460">
        <f t="shared" si="36"/>
        <v>83.867295802147751</v>
      </c>
      <c r="BY22" s="460">
        <f t="shared" si="37"/>
        <v>8.9798211701927961</v>
      </c>
      <c r="BZ22" s="460">
        <v>5</v>
      </c>
      <c r="CA22" s="460">
        <v>6.58</v>
      </c>
      <c r="CB22" s="460">
        <v>11.35</v>
      </c>
      <c r="CC22" s="460">
        <f t="shared" si="38"/>
        <v>4.7699999999999996</v>
      </c>
      <c r="CD22" s="460">
        <v>10.16</v>
      </c>
      <c r="CE22" s="460">
        <v>14.32</v>
      </c>
      <c r="CF22" s="460">
        <f t="shared" si="39"/>
        <v>4.16</v>
      </c>
      <c r="CG22" s="460"/>
      <c r="CH22" s="460"/>
    </row>
    <row r="23" spans="9:86" s="459" customFormat="1" ht="13.9" customHeight="1">
      <c r="I23" s="496" t="s">
        <v>957</v>
      </c>
      <c r="J23" s="497"/>
      <c r="K23" s="798">
        <v>99915.5</v>
      </c>
      <c r="L23" s="798">
        <v>800.8</v>
      </c>
      <c r="M23" s="798">
        <f t="shared" si="19"/>
        <v>100716.3</v>
      </c>
      <c r="N23" s="798">
        <v>9161.6</v>
      </c>
      <c r="O23" s="798">
        <f t="shared" si="20"/>
        <v>91554.7</v>
      </c>
      <c r="P23" s="798">
        <v>9574.2999999999993</v>
      </c>
      <c r="Q23" s="798">
        <v>49998.7</v>
      </c>
      <c r="R23" s="798">
        <v>71131.399999999994</v>
      </c>
      <c r="S23" s="798">
        <v>661983</v>
      </c>
      <c r="T23" s="498">
        <f t="shared" si="21"/>
        <v>733114.4</v>
      </c>
      <c r="U23" s="498">
        <f t="shared" si="22"/>
        <v>783113.1</v>
      </c>
      <c r="V23" s="798">
        <v>512.9</v>
      </c>
      <c r="W23" s="498">
        <f t="shared" si="23"/>
        <v>163198.99999999997</v>
      </c>
      <c r="X23" s="498">
        <f t="shared" si="24"/>
        <v>825182</v>
      </c>
      <c r="Y23" s="774" t="s">
        <v>603</v>
      </c>
      <c r="Z23" s="774" t="s">
        <v>603</v>
      </c>
      <c r="AA23" s="496" t="s">
        <v>957</v>
      </c>
      <c r="AB23" s="498">
        <v>0</v>
      </c>
      <c r="AC23" s="798">
        <v>14774.1</v>
      </c>
      <c r="AD23" s="798">
        <v>565375.1</v>
      </c>
      <c r="AE23" s="498">
        <f t="shared" si="25"/>
        <v>580149.19999999995</v>
      </c>
      <c r="AF23" s="498">
        <v>0</v>
      </c>
      <c r="AG23" s="798">
        <v>1356.7</v>
      </c>
      <c r="AH23" s="798">
        <v>19077.8</v>
      </c>
      <c r="AI23" s="498">
        <f t="shared" si="26"/>
        <v>20434.5</v>
      </c>
      <c r="AJ23" s="802">
        <v>10124.200000000001</v>
      </c>
      <c r="AK23" s="802">
        <v>164531</v>
      </c>
      <c r="AL23" s="689">
        <v>14652.4</v>
      </c>
      <c r="AM23" s="803">
        <f t="shared" si="27"/>
        <v>179183.4</v>
      </c>
      <c r="AN23" s="498">
        <f t="shared" si="28"/>
        <v>10124.200000000001</v>
      </c>
      <c r="AO23" s="498">
        <f t="shared" si="28"/>
        <v>180661.8</v>
      </c>
      <c r="AP23" s="498">
        <f t="shared" si="28"/>
        <v>599105.30000000005</v>
      </c>
      <c r="AQ23" s="498">
        <f t="shared" si="28"/>
        <v>779767.1</v>
      </c>
      <c r="AR23" s="496" t="s">
        <v>957</v>
      </c>
      <c r="AS23" s="798">
        <v>4836.3999999999996</v>
      </c>
      <c r="AT23" s="798">
        <v>5166.8999999999996</v>
      </c>
      <c r="AU23" s="774">
        <v>11382.8</v>
      </c>
      <c r="AV23" s="798">
        <v>37.6</v>
      </c>
      <c r="AW23" s="798">
        <f>783163.9-12.3</f>
        <v>783151.6</v>
      </c>
      <c r="AX23" s="798">
        <v>6446.9</v>
      </c>
      <c r="AY23" s="498">
        <f t="shared" si="29"/>
        <v>789598.5</v>
      </c>
      <c r="AZ23" s="498">
        <f t="shared" si="30"/>
        <v>51323.902500000004</v>
      </c>
      <c r="BA23" s="497">
        <f t="shared" si="31"/>
        <v>5097.3974999999991</v>
      </c>
      <c r="BB23" s="774">
        <v>56421.3</v>
      </c>
      <c r="BC23" s="798">
        <v>2175033.6</v>
      </c>
      <c r="BD23" s="497">
        <f t="shared" si="32"/>
        <v>157137.60000000001</v>
      </c>
      <c r="BE23" s="798">
        <v>0</v>
      </c>
      <c r="BF23" s="798">
        <v>8795.7000000000007</v>
      </c>
      <c r="BG23" s="798">
        <v>3297.2</v>
      </c>
      <c r="BH23" s="798">
        <v>163237.70000000001</v>
      </c>
      <c r="BI23" s="498">
        <f t="shared" si="33"/>
        <v>175330.60000000003</v>
      </c>
      <c r="BJ23" s="496" t="s">
        <v>957</v>
      </c>
      <c r="BK23" s="497"/>
      <c r="BL23" s="505">
        <v>-0.13</v>
      </c>
      <c r="BM23" s="505">
        <v>-2.56</v>
      </c>
      <c r="BN23" s="505">
        <v>5.0999999999999996</v>
      </c>
      <c r="BO23" s="505">
        <v>4.0999999999999996</v>
      </c>
      <c r="BP23" s="505">
        <v>4.7699999999999996</v>
      </c>
      <c r="BQ23" s="505" t="s">
        <v>603</v>
      </c>
      <c r="BR23" s="505" t="s">
        <v>603</v>
      </c>
      <c r="BS23" s="506" t="s">
        <v>603</v>
      </c>
      <c r="BT23" s="506">
        <v>9271</v>
      </c>
      <c r="BU23" s="506">
        <v>3679</v>
      </c>
      <c r="BV23" s="505">
        <f t="shared" si="34"/>
        <v>99.567835908143451</v>
      </c>
      <c r="BW23" s="505">
        <f t="shared" si="35"/>
        <v>84.473260705425517</v>
      </c>
      <c r="BX23" s="505">
        <f t="shared" si="36"/>
        <v>84.108197605436303</v>
      </c>
      <c r="BY23" s="505">
        <f t="shared" si="37"/>
        <v>8.3742279272621047</v>
      </c>
      <c r="BZ23" s="505">
        <v>5</v>
      </c>
      <c r="CA23" s="505">
        <v>6.46</v>
      </c>
      <c r="CB23" s="505">
        <v>11.27</v>
      </c>
      <c r="CC23" s="505">
        <f t="shared" si="38"/>
        <v>4.8099999999999996</v>
      </c>
      <c r="CD23" s="505">
        <v>10.02</v>
      </c>
      <c r="CE23" s="505">
        <v>14.16</v>
      </c>
      <c r="CF23" s="505">
        <f t="shared" si="39"/>
        <v>4.1400000000000006</v>
      </c>
      <c r="CG23" s="460"/>
      <c r="CH23" s="460"/>
    </row>
    <row r="24" spans="9:86" s="459" customFormat="1" ht="13.9" customHeight="1">
      <c r="I24" s="411" t="s">
        <v>950</v>
      </c>
      <c r="J24" s="412"/>
      <c r="K24" s="804">
        <v>100513.1</v>
      </c>
      <c r="L24" s="804">
        <v>797.6</v>
      </c>
      <c r="M24" s="804">
        <f t="shared" si="19"/>
        <v>101310.70000000001</v>
      </c>
      <c r="N24" s="804">
        <v>8765.4</v>
      </c>
      <c r="O24" s="804">
        <f t="shared" si="20"/>
        <v>92545.300000000017</v>
      </c>
      <c r="P24" s="804">
        <v>14008.9</v>
      </c>
      <c r="Q24" s="804">
        <v>51916.4</v>
      </c>
      <c r="R24" s="804">
        <v>75228.2</v>
      </c>
      <c r="S24" s="808">
        <v>669794.9</v>
      </c>
      <c r="T24" s="413">
        <f t="shared" si="21"/>
        <v>745023.1</v>
      </c>
      <c r="U24" s="413">
        <f t="shared" si="22"/>
        <v>796939.5</v>
      </c>
      <c r="V24" s="804">
        <v>545.79999999999995</v>
      </c>
      <c r="W24" s="413">
        <f t="shared" si="23"/>
        <v>168319.3</v>
      </c>
      <c r="X24" s="413">
        <f t="shared" si="24"/>
        <v>838114.2</v>
      </c>
      <c r="Y24" s="808" t="s">
        <v>603</v>
      </c>
      <c r="Z24" s="808" t="s">
        <v>603</v>
      </c>
      <c r="AA24" s="411" t="s">
        <v>950</v>
      </c>
      <c r="AB24" s="413">
        <v>0</v>
      </c>
      <c r="AC24" s="804">
        <v>14876.6</v>
      </c>
      <c r="AD24" s="804">
        <v>582754</v>
      </c>
      <c r="AE24" s="413">
        <f t="shared" si="25"/>
        <v>597630.6</v>
      </c>
      <c r="AF24" s="413">
        <v>0</v>
      </c>
      <c r="AG24" s="804">
        <v>1221.7</v>
      </c>
      <c r="AH24" s="804">
        <v>18621.2</v>
      </c>
      <c r="AI24" s="413">
        <f t="shared" si="26"/>
        <v>19842.900000000001</v>
      </c>
      <c r="AJ24" s="833">
        <v>10017.6</v>
      </c>
      <c r="AK24" s="833">
        <v>159876.79999999999</v>
      </c>
      <c r="AL24" s="657">
        <v>14241.2</v>
      </c>
      <c r="AM24" s="778">
        <f t="shared" si="27"/>
        <v>174118</v>
      </c>
      <c r="AN24" s="413">
        <f t="shared" ref="AN24:AQ27" si="40">AB24+AF24+AJ24</f>
        <v>10017.6</v>
      </c>
      <c r="AO24" s="413">
        <f t="shared" si="40"/>
        <v>175975.09999999998</v>
      </c>
      <c r="AP24" s="413">
        <f t="shared" si="40"/>
        <v>615616.39999999991</v>
      </c>
      <c r="AQ24" s="413">
        <f t="shared" si="40"/>
        <v>791591.5</v>
      </c>
      <c r="AR24" s="411" t="s">
        <v>950</v>
      </c>
      <c r="AS24" s="804">
        <v>5308.6</v>
      </c>
      <c r="AT24" s="804">
        <v>5109</v>
      </c>
      <c r="AU24" s="808">
        <v>10654.3</v>
      </c>
      <c r="AV24" s="804">
        <v>37.6</v>
      </c>
      <c r="AW24" s="804">
        <f>796990.5-13.6</f>
        <v>796976.9</v>
      </c>
      <c r="AX24" s="804">
        <v>6546.6</v>
      </c>
      <c r="AY24" s="413">
        <f t="shared" si="29"/>
        <v>803523.5</v>
      </c>
      <c r="AZ24" s="413">
        <f t="shared" si="30"/>
        <v>52229.027500000004</v>
      </c>
      <c r="BA24" s="412">
        <f t="shared" si="31"/>
        <v>6129.2724999999991</v>
      </c>
      <c r="BB24" s="808">
        <v>58358.3</v>
      </c>
      <c r="BC24" s="804">
        <v>2134852.1</v>
      </c>
      <c r="BD24" s="412">
        <f t="shared" si="32"/>
        <v>159669</v>
      </c>
      <c r="BE24" s="804">
        <v>0</v>
      </c>
      <c r="BF24" s="804">
        <v>9626.1</v>
      </c>
      <c r="BG24" s="804">
        <v>2925.5</v>
      </c>
      <c r="BH24" s="804">
        <v>158510.70000000001</v>
      </c>
      <c r="BI24" s="413">
        <f t="shared" si="33"/>
        <v>171062.30000000002</v>
      </c>
      <c r="BJ24" s="411" t="s">
        <v>950</v>
      </c>
      <c r="BK24" s="412"/>
      <c r="BL24" s="460">
        <v>-6.14</v>
      </c>
      <c r="BM24" s="460">
        <v>-0.13</v>
      </c>
      <c r="BN24" s="460">
        <v>7.99</v>
      </c>
      <c r="BO24" s="460">
        <v>5.58</v>
      </c>
      <c r="BP24" s="460">
        <v>6.41</v>
      </c>
      <c r="BQ24" s="460" t="s">
        <v>603</v>
      </c>
      <c r="BR24" s="460" t="s">
        <v>603</v>
      </c>
      <c r="BS24" s="696" t="s">
        <v>603</v>
      </c>
      <c r="BT24" s="696">
        <v>9397</v>
      </c>
      <c r="BU24" s="696">
        <v>3690</v>
      </c>
      <c r="BV24" s="460">
        <f t="shared" si="34"/>
        <v>99.324271506489083</v>
      </c>
      <c r="BW24" s="460">
        <f t="shared" si="35"/>
        <v>84.811844205597538</v>
      </c>
      <c r="BX24" s="460">
        <f t="shared" si="36"/>
        <v>84.238746408428227</v>
      </c>
      <c r="BY24" s="460">
        <f t="shared" si="37"/>
        <v>8.4222892783969012</v>
      </c>
      <c r="BZ24" s="460">
        <v>5</v>
      </c>
      <c r="CA24" s="460">
        <v>6.34</v>
      </c>
      <c r="CB24" s="460">
        <v>11.18</v>
      </c>
      <c r="CC24" s="460">
        <f t="shared" si="38"/>
        <v>4.84</v>
      </c>
      <c r="CD24" s="460">
        <v>9.8699999999999992</v>
      </c>
      <c r="CE24" s="460">
        <v>14.03</v>
      </c>
      <c r="CF24" s="460">
        <f t="shared" si="39"/>
        <v>4.16</v>
      </c>
      <c r="CG24" s="460"/>
      <c r="CH24" s="460"/>
    </row>
    <row r="25" spans="9:86" s="459" customFormat="1" ht="13.9" customHeight="1">
      <c r="I25" s="496" t="s">
        <v>958</v>
      </c>
      <c r="J25" s="497"/>
      <c r="K25" s="798">
        <v>101705</v>
      </c>
      <c r="L25" s="798">
        <v>794.4</v>
      </c>
      <c r="M25" s="798">
        <f t="shared" si="19"/>
        <v>102499.4</v>
      </c>
      <c r="N25" s="798">
        <v>9829.7000000000007</v>
      </c>
      <c r="O25" s="798">
        <f t="shared" si="20"/>
        <v>92669.7</v>
      </c>
      <c r="P25" s="798">
        <v>12739.9</v>
      </c>
      <c r="Q25" s="798">
        <v>50370.9</v>
      </c>
      <c r="R25" s="798">
        <v>73565.899999999994</v>
      </c>
      <c r="S25" s="774">
        <v>667740.30000000005</v>
      </c>
      <c r="T25" s="498">
        <f t="shared" si="21"/>
        <v>741306.20000000007</v>
      </c>
      <c r="U25" s="498">
        <f t="shared" si="22"/>
        <v>791677.10000000009</v>
      </c>
      <c r="V25" s="798">
        <v>525.20000000000005</v>
      </c>
      <c r="W25" s="498">
        <f t="shared" si="23"/>
        <v>166760.79999999999</v>
      </c>
      <c r="X25" s="498">
        <f t="shared" si="24"/>
        <v>834501.10000000009</v>
      </c>
      <c r="Y25" s="774" t="s">
        <v>603</v>
      </c>
      <c r="Z25" s="774" t="s">
        <v>603</v>
      </c>
      <c r="AA25" s="496" t="s">
        <v>958</v>
      </c>
      <c r="AB25" s="498">
        <v>0</v>
      </c>
      <c r="AC25" s="798">
        <v>16427.8</v>
      </c>
      <c r="AD25" s="798">
        <v>585259.4</v>
      </c>
      <c r="AE25" s="498">
        <f t="shared" si="25"/>
        <v>601687.20000000007</v>
      </c>
      <c r="AF25" s="498">
        <v>0</v>
      </c>
      <c r="AG25" s="798">
        <v>1374.5</v>
      </c>
      <c r="AH25" s="798">
        <v>17926</v>
      </c>
      <c r="AI25" s="498">
        <f t="shared" si="26"/>
        <v>19300.5</v>
      </c>
      <c r="AJ25" s="802">
        <v>9055.2000000000007</v>
      </c>
      <c r="AK25" s="802">
        <v>156276.6</v>
      </c>
      <c r="AL25" s="689">
        <v>14163.9</v>
      </c>
      <c r="AM25" s="803">
        <f t="shared" si="27"/>
        <v>170440.5</v>
      </c>
      <c r="AN25" s="498">
        <f t="shared" si="40"/>
        <v>9055.2000000000007</v>
      </c>
      <c r="AO25" s="498">
        <f t="shared" si="40"/>
        <v>174078.9</v>
      </c>
      <c r="AP25" s="498">
        <f t="shared" si="40"/>
        <v>617349.30000000005</v>
      </c>
      <c r="AQ25" s="498">
        <f t="shared" si="40"/>
        <v>791428.20000000007</v>
      </c>
      <c r="AR25" s="496" t="s">
        <v>958</v>
      </c>
      <c r="AS25" s="798">
        <v>4724.3999999999996</v>
      </c>
      <c r="AT25" s="798">
        <v>15077.8</v>
      </c>
      <c r="AU25" s="774">
        <v>11355.8</v>
      </c>
      <c r="AV25" s="798">
        <v>37.799999999999997</v>
      </c>
      <c r="AW25" s="798">
        <f>791726.7-12.7</f>
        <v>791714</v>
      </c>
      <c r="AX25" s="798">
        <v>6716.1</v>
      </c>
      <c r="AY25" s="498">
        <f t="shared" si="29"/>
        <v>798430.1</v>
      </c>
      <c r="AZ25" s="498">
        <f t="shared" si="30"/>
        <v>51897.9565</v>
      </c>
      <c r="BA25" s="497">
        <f t="shared" si="31"/>
        <v>6845.8435000000027</v>
      </c>
      <c r="BB25" s="774">
        <v>58743.8</v>
      </c>
      <c r="BC25" s="798">
        <v>2149911.7999999998</v>
      </c>
      <c r="BD25" s="497">
        <f t="shared" si="32"/>
        <v>161243.20000000001</v>
      </c>
      <c r="BE25" s="798">
        <v>0</v>
      </c>
      <c r="BF25" s="798">
        <v>10715.5</v>
      </c>
      <c r="BG25" s="798">
        <v>3472.5</v>
      </c>
      <c r="BH25" s="798">
        <v>154904</v>
      </c>
      <c r="BI25" s="498">
        <f t="shared" si="33"/>
        <v>169092</v>
      </c>
      <c r="BJ25" s="496" t="s">
        <v>958</v>
      </c>
      <c r="BK25" s="497"/>
      <c r="BL25" s="505">
        <v>-9.2200000000000006</v>
      </c>
      <c r="BM25" s="505">
        <v>6.8</v>
      </c>
      <c r="BN25" s="505">
        <v>8.2799999999999994</v>
      </c>
      <c r="BO25" s="505">
        <v>5.5</v>
      </c>
      <c r="BP25" s="505">
        <v>5.95</v>
      </c>
      <c r="BQ25" s="505" t="s">
        <v>603</v>
      </c>
      <c r="BR25" s="505" t="s">
        <v>603</v>
      </c>
      <c r="BS25" s="506" t="s">
        <v>603</v>
      </c>
      <c r="BT25" s="506">
        <v>9398</v>
      </c>
      <c r="BU25" s="506">
        <v>3690</v>
      </c>
      <c r="BV25" s="505">
        <f t="shared" ref="BV25:BV30" si="41">AQ25/AW25*100</f>
        <v>99.96390110570232</v>
      </c>
      <c r="BW25" s="505">
        <f t="shared" ref="BW25:BW30" si="42">AW25/BT25</f>
        <v>84.242817620770381</v>
      </c>
      <c r="BX25" s="505">
        <f t="shared" ref="BX25:BX30" si="43">AQ25/BT25</f>
        <v>84.212406895084072</v>
      </c>
      <c r="BY25" s="505">
        <f t="shared" ref="BY25:BY30" si="44">(N25+BB25)/AW25*100</f>
        <v>8.6613979290501373</v>
      </c>
      <c r="BZ25" s="505">
        <v>5</v>
      </c>
      <c r="CA25" s="505">
        <v>6.21</v>
      </c>
      <c r="CB25" s="505">
        <v>11.05</v>
      </c>
      <c r="CC25" s="505">
        <f t="shared" si="38"/>
        <v>4.8400000000000007</v>
      </c>
      <c r="CD25" s="505">
        <v>9.7200000000000006</v>
      </c>
      <c r="CE25" s="505">
        <v>13.9</v>
      </c>
      <c r="CF25" s="505">
        <f t="shared" si="39"/>
        <v>4.18</v>
      </c>
      <c r="CG25" s="460"/>
      <c r="CH25" s="460"/>
    </row>
    <row r="26" spans="9:86" s="459" customFormat="1" ht="13.9" customHeight="1">
      <c r="I26" s="411" t="s">
        <v>959</v>
      </c>
      <c r="J26" s="412"/>
      <c r="K26" s="804">
        <v>102973.1</v>
      </c>
      <c r="L26" s="804">
        <v>791.7</v>
      </c>
      <c r="M26" s="804">
        <f t="shared" si="19"/>
        <v>103764.8</v>
      </c>
      <c r="N26" s="804">
        <v>9627.4</v>
      </c>
      <c r="O26" s="804">
        <f t="shared" si="20"/>
        <v>94137.400000000009</v>
      </c>
      <c r="P26" s="804">
        <v>12986.7</v>
      </c>
      <c r="Q26" s="804">
        <v>49137.599999999999</v>
      </c>
      <c r="R26" s="804">
        <v>74296.5</v>
      </c>
      <c r="S26" s="808">
        <v>676038.7</v>
      </c>
      <c r="T26" s="413">
        <f t="shared" si="21"/>
        <v>750335.2</v>
      </c>
      <c r="U26" s="413">
        <f t="shared" si="22"/>
        <v>799472.79999999993</v>
      </c>
      <c r="V26" s="804">
        <v>563.29999999999995</v>
      </c>
      <c r="W26" s="413">
        <f t="shared" si="23"/>
        <v>168997.2</v>
      </c>
      <c r="X26" s="413">
        <f t="shared" si="24"/>
        <v>845035.89999999991</v>
      </c>
      <c r="Y26" s="808" t="s">
        <v>603</v>
      </c>
      <c r="Z26" s="808" t="s">
        <v>603</v>
      </c>
      <c r="AA26" s="411" t="s">
        <v>959</v>
      </c>
      <c r="AB26" s="413">
        <v>0</v>
      </c>
      <c r="AC26" s="804">
        <v>15573.9</v>
      </c>
      <c r="AD26" s="804">
        <v>589432.19999999995</v>
      </c>
      <c r="AE26" s="413">
        <f t="shared" si="25"/>
        <v>605006.1</v>
      </c>
      <c r="AF26" s="413">
        <v>0</v>
      </c>
      <c r="AG26" s="804">
        <v>1405.3</v>
      </c>
      <c r="AH26" s="804">
        <v>19455.099999999999</v>
      </c>
      <c r="AI26" s="413">
        <f t="shared" si="26"/>
        <v>20860.399999999998</v>
      </c>
      <c r="AJ26" s="833">
        <v>9597.9</v>
      </c>
      <c r="AK26" s="833">
        <v>151757.70000000001</v>
      </c>
      <c r="AL26" s="657">
        <v>14249.8</v>
      </c>
      <c r="AM26" s="778">
        <f t="shared" si="27"/>
        <v>166007.5</v>
      </c>
      <c r="AN26" s="413">
        <f t="shared" si="40"/>
        <v>9597.9</v>
      </c>
      <c r="AO26" s="413">
        <f t="shared" ref="AO26:AQ27" si="45">AC26+AG26+AK26</f>
        <v>168736.90000000002</v>
      </c>
      <c r="AP26" s="413">
        <f t="shared" si="45"/>
        <v>623137.1</v>
      </c>
      <c r="AQ26" s="413">
        <f t="shared" si="45"/>
        <v>791874</v>
      </c>
      <c r="AR26" s="411" t="s">
        <v>959</v>
      </c>
      <c r="AS26" s="804">
        <v>4727.8</v>
      </c>
      <c r="AT26" s="804">
        <v>15991.8</v>
      </c>
      <c r="AU26" s="808">
        <v>11426.1</v>
      </c>
      <c r="AV26" s="804">
        <v>56.5</v>
      </c>
      <c r="AW26" s="804">
        <f>799522.2-14.5</f>
        <v>799507.7</v>
      </c>
      <c r="AX26" s="804">
        <v>6615.7</v>
      </c>
      <c r="AY26" s="413">
        <f t="shared" si="29"/>
        <v>806123.39999999991</v>
      </c>
      <c r="AZ26" s="413">
        <f t="shared" si="30"/>
        <v>52398.020999999993</v>
      </c>
      <c r="BA26" s="412">
        <f t="shared" si="31"/>
        <v>4996.8790000000081</v>
      </c>
      <c r="BB26" s="808">
        <v>57394.9</v>
      </c>
      <c r="BC26" s="804">
        <v>2179153</v>
      </c>
      <c r="BD26" s="412">
        <f t="shared" si="32"/>
        <v>161159.70000000001</v>
      </c>
      <c r="BE26" s="804">
        <v>0</v>
      </c>
      <c r="BF26" s="804">
        <v>10716.9</v>
      </c>
      <c r="BG26" s="804">
        <v>3413.4</v>
      </c>
      <c r="BH26" s="804">
        <v>150385</v>
      </c>
      <c r="BI26" s="413">
        <f t="shared" si="33"/>
        <v>164515.29999999999</v>
      </c>
      <c r="BJ26" s="411" t="s">
        <v>959</v>
      </c>
      <c r="BK26" s="412"/>
      <c r="BL26" s="460">
        <v>-6.86</v>
      </c>
      <c r="BM26" s="460">
        <v>2.1</v>
      </c>
      <c r="BN26" s="460">
        <v>9.2899999999999991</v>
      </c>
      <c r="BO26" s="460">
        <v>6.58</v>
      </c>
      <c r="BP26" s="460">
        <v>7.29</v>
      </c>
      <c r="BQ26" s="460" t="s">
        <v>603</v>
      </c>
      <c r="BR26" s="460" t="s">
        <v>603</v>
      </c>
      <c r="BS26" s="696" t="s">
        <v>603</v>
      </c>
      <c r="BT26" s="696">
        <v>9402</v>
      </c>
      <c r="BU26" s="696">
        <v>3690</v>
      </c>
      <c r="BV26" s="460">
        <f t="shared" si="41"/>
        <v>99.045199939913033</v>
      </c>
      <c r="BW26" s="460">
        <f t="shared" si="42"/>
        <v>85.035917889810676</v>
      </c>
      <c r="BX26" s="460">
        <f t="shared" si="43"/>
        <v>84.223994894703253</v>
      </c>
      <c r="BY26" s="460">
        <f t="shared" si="44"/>
        <v>8.3829461554904352</v>
      </c>
      <c r="BZ26" s="460">
        <v>5</v>
      </c>
      <c r="CA26" s="460">
        <v>6.1</v>
      </c>
      <c r="CB26" s="460">
        <v>10.91</v>
      </c>
      <c r="CC26" s="460">
        <f t="shared" si="38"/>
        <v>4.8100000000000005</v>
      </c>
      <c r="CD26" s="460">
        <v>9.5500000000000007</v>
      </c>
      <c r="CE26" s="460">
        <v>13.72</v>
      </c>
      <c r="CF26" s="460">
        <f t="shared" si="39"/>
        <v>4.17</v>
      </c>
      <c r="CG26" s="460"/>
      <c r="CH26" s="460"/>
    </row>
    <row r="27" spans="9:86" s="459" customFormat="1" ht="13.9" customHeight="1">
      <c r="I27" s="496" t="s">
        <v>951</v>
      </c>
      <c r="J27" s="497"/>
      <c r="K27" s="798">
        <v>104247.9</v>
      </c>
      <c r="L27" s="798">
        <v>788.8</v>
      </c>
      <c r="M27" s="798">
        <f t="shared" si="19"/>
        <v>105036.7</v>
      </c>
      <c r="N27" s="798">
        <v>8440.5</v>
      </c>
      <c r="O27" s="798">
        <f t="shared" si="20"/>
        <v>96596.2</v>
      </c>
      <c r="P27" s="798">
        <v>11686.5</v>
      </c>
      <c r="Q27" s="798">
        <v>52193.5</v>
      </c>
      <c r="R27" s="798">
        <v>74303.8</v>
      </c>
      <c r="S27" s="774">
        <v>681687.6</v>
      </c>
      <c r="T27" s="498">
        <f t="shared" si="21"/>
        <v>755991.4</v>
      </c>
      <c r="U27" s="498">
        <f t="shared" si="22"/>
        <v>808184.9</v>
      </c>
      <c r="V27" s="798">
        <v>597.20000000000005</v>
      </c>
      <c r="W27" s="498">
        <f t="shared" si="23"/>
        <v>171497.2</v>
      </c>
      <c r="X27" s="498">
        <f t="shared" si="24"/>
        <v>853184.8</v>
      </c>
      <c r="Y27" s="774" t="s">
        <v>603</v>
      </c>
      <c r="Z27" s="774" t="s">
        <v>603</v>
      </c>
      <c r="AA27" s="496" t="s">
        <v>951</v>
      </c>
      <c r="AB27" s="498">
        <v>0</v>
      </c>
      <c r="AC27" s="798">
        <v>15828.5</v>
      </c>
      <c r="AD27" s="798">
        <v>597031.19999999995</v>
      </c>
      <c r="AE27" s="498">
        <f t="shared" si="25"/>
        <v>612859.69999999995</v>
      </c>
      <c r="AF27" s="498">
        <v>0</v>
      </c>
      <c r="AG27" s="798">
        <v>1401.8</v>
      </c>
      <c r="AH27" s="798">
        <v>20101.599999999999</v>
      </c>
      <c r="AI27" s="498">
        <f t="shared" si="26"/>
        <v>21503.399999999998</v>
      </c>
      <c r="AJ27" s="802">
        <v>10192.5</v>
      </c>
      <c r="AK27" s="802">
        <v>148941.29999999999</v>
      </c>
      <c r="AL27" s="689">
        <v>14495.8</v>
      </c>
      <c r="AM27" s="803">
        <f t="shared" si="27"/>
        <v>163437.09999999998</v>
      </c>
      <c r="AN27" s="498">
        <f t="shared" si="40"/>
        <v>10192.5</v>
      </c>
      <c r="AO27" s="498">
        <f t="shared" si="45"/>
        <v>166171.59999999998</v>
      </c>
      <c r="AP27" s="498">
        <f t="shared" si="45"/>
        <v>631628.6</v>
      </c>
      <c r="AQ27" s="498">
        <f t="shared" si="45"/>
        <v>797800.2</v>
      </c>
      <c r="AR27" s="496" t="s">
        <v>951</v>
      </c>
      <c r="AS27" s="798">
        <v>5269.2</v>
      </c>
      <c r="AT27" s="798">
        <v>16992.7</v>
      </c>
      <c r="AU27" s="774">
        <v>13739.2</v>
      </c>
      <c r="AV27" s="798">
        <v>52.3</v>
      </c>
      <c r="AW27" s="798">
        <f>808233.9-14.1</f>
        <v>808219.8</v>
      </c>
      <c r="AX27" s="798">
        <v>7096.7</v>
      </c>
      <c r="AY27" s="498">
        <f t="shared" si="29"/>
        <v>815316.5</v>
      </c>
      <c r="AZ27" s="498">
        <f t="shared" si="30"/>
        <v>52995.572500000002</v>
      </c>
      <c r="BA27" s="497">
        <f t="shared" si="31"/>
        <v>3252.2275000000009</v>
      </c>
      <c r="BB27" s="774">
        <v>56247.8</v>
      </c>
      <c r="BC27" s="798">
        <v>2221508.1</v>
      </c>
      <c r="BD27" s="497">
        <f t="shared" si="32"/>
        <v>161284.5</v>
      </c>
      <c r="BE27" s="798">
        <v>1604.3</v>
      </c>
      <c r="BF27" s="798">
        <v>10710.9</v>
      </c>
      <c r="BG27" s="798">
        <v>3363.9</v>
      </c>
      <c r="BH27" s="798">
        <v>147568.70000000001</v>
      </c>
      <c r="BI27" s="498">
        <f t="shared" si="33"/>
        <v>163247.79999999999</v>
      </c>
      <c r="BJ27" s="496" t="s">
        <v>951</v>
      </c>
      <c r="BK27" s="497"/>
      <c r="BL27" s="505">
        <v>-9.5</v>
      </c>
      <c r="BM27" s="505">
        <v>3.6</v>
      </c>
      <c r="BN27" s="505">
        <v>10.76</v>
      </c>
      <c r="BO27" s="505">
        <v>7.41</v>
      </c>
      <c r="BP27" s="505">
        <v>8.33</v>
      </c>
      <c r="BQ27" s="505" t="s">
        <v>603</v>
      </c>
      <c r="BR27" s="505" t="s">
        <v>603</v>
      </c>
      <c r="BS27" s="506" t="s">
        <v>603</v>
      </c>
      <c r="BT27" s="506">
        <v>9410</v>
      </c>
      <c r="BU27" s="506">
        <v>3694</v>
      </c>
      <c r="BV27" s="505">
        <f t="shared" si="41"/>
        <v>98.710796246268643</v>
      </c>
      <c r="BW27" s="505">
        <f t="shared" si="42"/>
        <v>85.88945802337939</v>
      </c>
      <c r="BX27" s="505">
        <f t="shared" si="43"/>
        <v>84.782167906482456</v>
      </c>
      <c r="BY27" s="505">
        <f t="shared" si="44"/>
        <v>8.0038004513128733</v>
      </c>
      <c r="BZ27" s="505">
        <v>5</v>
      </c>
      <c r="CA27" s="505">
        <v>5.92</v>
      </c>
      <c r="CB27" s="505">
        <v>10.78</v>
      </c>
      <c r="CC27" s="505">
        <f t="shared" si="38"/>
        <v>4.8599999999999994</v>
      </c>
      <c r="CD27" s="505">
        <v>9.34</v>
      </c>
      <c r="CE27" s="505">
        <v>13.51</v>
      </c>
      <c r="CF27" s="505">
        <f t="shared" si="39"/>
        <v>4.17</v>
      </c>
      <c r="CG27" s="460"/>
      <c r="CH27" s="460"/>
    </row>
    <row r="28" spans="9:86" s="459" customFormat="1" ht="13.9" customHeight="1">
      <c r="I28" s="411" t="s">
        <v>960</v>
      </c>
      <c r="J28" s="412"/>
      <c r="K28" s="804">
        <v>106272.6</v>
      </c>
      <c r="L28" s="804">
        <v>786.2</v>
      </c>
      <c r="M28" s="804">
        <f t="shared" si="19"/>
        <v>107058.8</v>
      </c>
      <c r="N28" s="804">
        <v>8313.2000000000007</v>
      </c>
      <c r="O28" s="804">
        <f t="shared" si="20"/>
        <v>98745.600000000006</v>
      </c>
      <c r="P28" s="804">
        <v>12036.2</v>
      </c>
      <c r="Q28" s="804">
        <v>52994</v>
      </c>
      <c r="R28" s="804">
        <v>74736.800000000003</v>
      </c>
      <c r="S28" s="808">
        <v>687373.3</v>
      </c>
      <c r="T28" s="413">
        <f t="shared" si="21"/>
        <v>762110.10000000009</v>
      </c>
      <c r="U28" s="413">
        <f t="shared" si="22"/>
        <v>815104.10000000009</v>
      </c>
      <c r="V28" s="804">
        <v>559</v>
      </c>
      <c r="W28" s="413">
        <f t="shared" si="23"/>
        <v>174041.40000000002</v>
      </c>
      <c r="X28" s="413">
        <f t="shared" si="24"/>
        <v>861414.70000000007</v>
      </c>
      <c r="Y28" s="808" t="s">
        <v>603</v>
      </c>
      <c r="Z28" s="808" t="s">
        <v>603</v>
      </c>
      <c r="AA28" s="411" t="s">
        <v>960</v>
      </c>
      <c r="AB28" s="413">
        <v>0</v>
      </c>
      <c r="AC28" s="804">
        <v>15615.8</v>
      </c>
      <c r="AD28" s="804">
        <v>604683.19999999995</v>
      </c>
      <c r="AE28" s="413">
        <f t="shared" si="25"/>
        <v>620299</v>
      </c>
      <c r="AF28" s="413">
        <v>0</v>
      </c>
      <c r="AG28" s="804">
        <v>1518.5</v>
      </c>
      <c r="AH28" s="804">
        <v>20396.900000000001</v>
      </c>
      <c r="AI28" s="413">
        <f t="shared" si="26"/>
        <v>21915.4</v>
      </c>
      <c r="AJ28" s="833">
        <v>9116.4</v>
      </c>
      <c r="AK28" s="833">
        <v>151825.70000000001</v>
      </c>
      <c r="AL28" s="657">
        <v>14806.2</v>
      </c>
      <c r="AM28" s="778">
        <f t="shared" si="27"/>
        <v>166631.90000000002</v>
      </c>
      <c r="AN28" s="413">
        <f t="shared" ref="AN28:AQ29" si="46">AB28+AF28+AJ28</f>
        <v>9116.4</v>
      </c>
      <c r="AO28" s="413">
        <f t="shared" si="46"/>
        <v>168960</v>
      </c>
      <c r="AP28" s="413">
        <f t="shared" si="46"/>
        <v>639886.29999999993</v>
      </c>
      <c r="AQ28" s="413">
        <f t="shared" si="46"/>
        <v>808846.3</v>
      </c>
      <c r="AR28" s="411" t="s">
        <v>960</v>
      </c>
      <c r="AS28" s="804">
        <v>5755.3</v>
      </c>
      <c r="AT28" s="804">
        <v>15831.8</v>
      </c>
      <c r="AU28" s="808">
        <v>13017.7</v>
      </c>
      <c r="AV28" s="804">
        <v>67.099999999999994</v>
      </c>
      <c r="AW28" s="804">
        <f>815152.8-13.4</f>
        <v>815139.4</v>
      </c>
      <c r="AX28" s="804">
        <v>6520.6</v>
      </c>
      <c r="AY28" s="413">
        <f t="shared" si="29"/>
        <v>821660</v>
      </c>
      <c r="AZ28" s="413">
        <f t="shared" si="30"/>
        <v>53407.9</v>
      </c>
      <c r="BA28" s="412">
        <f t="shared" si="31"/>
        <v>4197.7999999999956</v>
      </c>
      <c r="BB28" s="808">
        <v>57605.7</v>
      </c>
      <c r="BC28" s="804">
        <v>2258123.7999999998</v>
      </c>
      <c r="BD28" s="412">
        <f t="shared" si="32"/>
        <v>164664.5</v>
      </c>
      <c r="BE28" s="804">
        <v>0</v>
      </c>
      <c r="BF28" s="804">
        <v>10721.1</v>
      </c>
      <c r="BG28" s="804">
        <v>3403.7</v>
      </c>
      <c r="BH28" s="804">
        <v>150452.20000000001</v>
      </c>
      <c r="BI28" s="413">
        <f t="shared" si="33"/>
        <v>164577.00000000003</v>
      </c>
      <c r="BJ28" s="411" t="s">
        <v>960</v>
      </c>
      <c r="BK28" s="412"/>
      <c r="BL28" s="460">
        <v>-11.53</v>
      </c>
      <c r="BM28" s="460">
        <v>2.82</v>
      </c>
      <c r="BN28" s="460">
        <v>12.21</v>
      </c>
      <c r="BO28" s="460">
        <v>8.25</v>
      </c>
      <c r="BP28" s="460">
        <v>9.3699999999999992</v>
      </c>
      <c r="BQ28" s="460" t="s">
        <v>603</v>
      </c>
      <c r="BR28" s="460" t="s">
        <v>603</v>
      </c>
      <c r="BS28" s="696" t="s">
        <v>603</v>
      </c>
      <c r="BT28" s="696">
        <v>9418</v>
      </c>
      <c r="BU28" s="696">
        <v>3696</v>
      </c>
      <c r="BV28" s="460">
        <f t="shared" si="41"/>
        <v>99.227972540647642</v>
      </c>
      <c r="BW28" s="460">
        <f t="shared" si="42"/>
        <v>86.551221066043752</v>
      </c>
      <c r="BX28" s="460">
        <f t="shared" si="43"/>
        <v>85.883021873009142</v>
      </c>
      <c r="BY28" s="460">
        <f t="shared" si="44"/>
        <v>8.0868253945276098</v>
      </c>
      <c r="BZ28" s="460">
        <v>5</v>
      </c>
      <c r="CA28" s="460">
        <v>5.77</v>
      </c>
      <c r="CB28" s="460">
        <v>10.64</v>
      </c>
      <c r="CC28" s="460">
        <f t="shared" si="38"/>
        <v>4.870000000000001</v>
      </c>
      <c r="CD28" s="460">
        <v>9.16</v>
      </c>
      <c r="CE28" s="460">
        <v>13.27</v>
      </c>
      <c r="CF28" s="460">
        <f t="shared" si="39"/>
        <v>4.1099999999999994</v>
      </c>
      <c r="CG28" s="460"/>
      <c r="CH28" s="460"/>
    </row>
    <row r="29" spans="9:86" s="459" customFormat="1" ht="13.9" customHeight="1">
      <c r="I29" s="496" t="s">
        <v>961</v>
      </c>
      <c r="J29" s="497"/>
      <c r="K29" s="798">
        <v>110659.2</v>
      </c>
      <c r="L29" s="798">
        <v>783.9</v>
      </c>
      <c r="M29" s="798">
        <f t="shared" si="19"/>
        <v>111443.09999999999</v>
      </c>
      <c r="N29" s="798">
        <v>9881.1</v>
      </c>
      <c r="O29" s="798">
        <f t="shared" si="20"/>
        <v>101561.99999999999</v>
      </c>
      <c r="P29" s="798">
        <v>13517.5</v>
      </c>
      <c r="Q29" s="798">
        <v>53173.2</v>
      </c>
      <c r="R29" s="798">
        <v>79201.8</v>
      </c>
      <c r="S29" s="798">
        <v>694771</v>
      </c>
      <c r="T29" s="498">
        <f t="shared" si="21"/>
        <v>773972.8</v>
      </c>
      <c r="U29" s="498">
        <f t="shared" si="22"/>
        <v>827146</v>
      </c>
      <c r="V29" s="798">
        <v>558.79999999999995</v>
      </c>
      <c r="W29" s="498">
        <f t="shared" si="23"/>
        <v>181322.59999999998</v>
      </c>
      <c r="X29" s="498">
        <f t="shared" si="24"/>
        <v>876093.6</v>
      </c>
      <c r="Y29" s="774" t="s">
        <v>603</v>
      </c>
      <c r="Z29" s="774" t="s">
        <v>603</v>
      </c>
      <c r="AA29" s="496" t="s">
        <v>961</v>
      </c>
      <c r="AB29" s="498">
        <v>0</v>
      </c>
      <c r="AC29" s="798">
        <v>16107.4</v>
      </c>
      <c r="AD29" s="798">
        <v>612797.4</v>
      </c>
      <c r="AE29" s="498">
        <f t="shared" si="25"/>
        <v>628904.80000000005</v>
      </c>
      <c r="AF29" s="498">
        <v>0</v>
      </c>
      <c r="AG29" s="798">
        <v>1467.8</v>
      </c>
      <c r="AH29" s="798">
        <v>20602</v>
      </c>
      <c r="AI29" s="498">
        <f t="shared" si="26"/>
        <v>22069.8</v>
      </c>
      <c r="AJ29" s="802">
        <v>9406</v>
      </c>
      <c r="AK29" s="802">
        <v>153755.5</v>
      </c>
      <c r="AL29" s="689">
        <v>15757.6</v>
      </c>
      <c r="AM29" s="803">
        <f t="shared" si="27"/>
        <v>169513.1</v>
      </c>
      <c r="AN29" s="498">
        <f t="shared" si="46"/>
        <v>9406</v>
      </c>
      <c r="AO29" s="498">
        <f t="shared" si="46"/>
        <v>171330.7</v>
      </c>
      <c r="AP29" s="498">
        <f t="shared" si="46"/>
        <v>649157</v>
      </c>
      <c r="AQ29" s="498">
        <f t="shared" si="46"/>
        <v>820487.70000000007</v>
      </c>
      <c r="AR29" s="496" t="s">
        <v>961</v>
      </c>
      <c r="AS29" s="798">
        <v>5376.9</v>
      </c>
      <c r="AT29" s="798">
        <v>15526.4</v>
      </c>
      <c r="AU29" s="774">
        <v>13331.2</v>
      </c>
      <c r="AV29" s="798">
        <v>36.9</v>
      </c>
      <c r="AW29" s="798">
        <f>827195.5-12.7</f>
        <v>827182.8</v>
      </c>
      <c r="AX29" s="798">
        <v>6765.4</v>
      </c>
      <c r="AY29" s="498">
        <f t="shared" si="29"/>
        <v>833948.20000000007</v>
      </c>
      <c r="AZ29" s="498">
        <f>0.065*AY29</f>
        <v>54206.633000000009</v>
      </c>
      <c r="BA29" s="497">
        <f>BB29-AZ29</f>
        <v>6694.3669999999911</v>
      </c>
      <c r="BB29" s="798">
        <v>60901</v>
      </c>
      <c r="BC29" s="798">
        <v>2304464.7000000002</v>
      </c>
      <c r="BD29" s="497">
        <f t="shared" si="32"/>
        <v>172344.09999999998</v>
      </c>
      <c r="BE29" s="798">
        <v>0</v>
      </c>
      <c r="BF29" s="798">
        <v>11656.9</v>
      </c>
      <c r="BG29" s="798">
        <v>3876.9</v>
      </c>
      <c r="BH29" s="798">
        <v>152385.5</v>
      </c>
      <c r="BI29" s="498">
        <f t="shared" si="33"/>
        <v>167919.3</v>
      </c>
      <c r="BJ29" s="496" t="s">
        <v>961</v>
      </c>
      <c r="BK29" s="497"/>
      <c r="BL29" s="505">
        <v>-7.39</v>
      </c>
      <c r="BM29" s="505">
        <v>2.48</v>
      </c>
      <c r="BN29" s="505">
        <v>13.82</v>
      </c>
      <c r="BO29" s="505">
        <v>10.220000000000001</v>
      </c>
      <c r="BP29" s="505">
        <v>11.23</v>
      </c>
      <c r="BQ29" s="505" t="s">
        <v>603</v>
      </c>
      <c r="BR29" s="505" t="s">
        <v>603</v>
      </c>
      <c r="BS29" s="506" t="s">
        <v>603</v>
      </c>
      <c r="BT29" s="506">
        <v>9433</v>
      </c>
      <c r="BU29" s="506">
        <v>3697</v>
      </c>
      <c r="BV29" s="505">
        <f t="shared" si="41"/>
        <v>99.190614214899057</v>
      </c>
      <c r="BW29" s="505">
        <f t="shared" si="42"/>
        <v>87.690321212763706</v>
      </c>
      <c r="BX29" s="505">
        <f t="shared" si="43"/>
        <v>86.980568217958236</v>
      </c>
      <c r="BY29" s="505">
        <f t="shared" si="44"/>
        <v>8.5570081969789502</v>
      </c>
      <c r="BZ29" s="505">
        <v>5</v>
      </c>
      <c r="CA29" s="505">
        <v>5.67</v>
      </c>
      <c r="CB29" s="505">
        <v>10.57</v>
      </c>
      <c r="CC29" s="505">
        <f t="shared" si="38"/>
        <v>4.9000000000000004</v>
      </c>
      <c r="CD29" s="505">
        <v>9.01</v>
      </c>
      <c r="CE29" s="505">
        <v>13.16</v>
      </c>
      <c r="CF29" s="505">
        <f t="shared" si="39"/>
        <v>4.1500000000000004</v>
      </c>
      <c r="CG29" s="460"/>
      <c r="CH29" s="460"/>
    </row>
    <row r="30" spans="9:86" s="459" customFormat="1" ht="13.9" customHeight="1">
      <c r="I30" s="411" t="s">
        <v>952</v>
      </c>
      <c r="J30" s="412"/>
      <c r="K30" s="804">
        <v>130728.7</v>
      </c>
      <c r="L30" s="804">
        <v>1576.5</v>
      </c>
      <c r="M30" s="804">
        <f>K30+L30</f>
        <v>132305.20000000001</v>
      </c>
      <c r="N30" s="804">
        <v>10230.700000000001</v>
      </c>
      <c r="O30" s="804">
        <f>M30-N30</f>
        <v>122074.50000000001</v>
      </c>
      <c r="P30" s="804">
        <v>17126.2</v>
      </c>
      <c r="Q30" s="804">
        <v>55874.7</v>
      </c>
      <c r="R30" s="804">
        <v>89759.1</v>
      </c>
      <c r="S30" s="808">
        <v>703947.2</v>
      </c>
      <c r="T30" s="413">
        <f>R30+S30</f>
        <v>793706.29999999993</v>
      </c>
      <c r="U30" s="413">
        <f>Q30+T30</f>
        <v>849580.99999999988</v>
      </c>
      <c r="V30" s="804">
        <v>597.1</v>
      </c>
      <c r="W30" s="413">
        <f>O30+R30+V30</f>
        <v>212430.70000000004</v>
      </c>
      <c r="X30" s="413">
        <f>S30+W30</f>
        <v>916377.9</v>
      </c>
      <c r="Y30" s="808" t="s">
        <v>603</v>
      </c>
      <c r="Z30" s="808" t="s">
        <v>603</v>
      </c>
      <c r="AA30" s="411" t="s">
        <v>952</v>
      </c>
      <c r="AB30" s="413">
        <v>0</v>
      </c>
      <c r="AC30" s="804">
        <v>14977.5</v>
      </c>
      <c r="AD30" s="804">
        <v>627918.19999999995</v>
      </c>
      <c r="AE30" s="413">
        <f>AC30+AD30</f>
        <v>642895.69999999995</v>
      </c>
      <c r="AF30" s="413">
        <v>0</v>
      </c>
      <c r="AG30" s="804">
        <v>1589</v>
      </c>
      <c r="AH30" s="804">
        <v>22461</v>
      </c>
      <c r="AI30" s="413">
        <f>AG30+AH30</f>
        <v>24050</v>
      </c>
      <c r="AJ30" s="833">
        <v>8613</v>
      </c>
      <c r="AK30" s="833">
        <v>157964.29999999999</v>
      </c>
      <c r="AL30" s="657">
        <v>15663.2</v>
      </c>
      <c r="AM30" s="778">
        <f>AK30+AL30</f>
        <v>173627.5</v>
      </c>
      <c r="AN30" s="413">
        <f>AB30+AF30+AJ30</f>
        <v>8613</v>
      </c>
      <c r="AO30" s="413">
        <f>AC30+AG30+AK30</f>
        <v>174530.8</v>
      </c>
      <c r="AP30" s="413">
        <f>AD30+AH30+AL30</f>
        <v>666042.39999999991</v>
      </c>
      <c r="AQ30" s="413">
        <f>AE30+AI30+AM30</f>
        <v>840573.2</v>
      </c>
      <c r="AR30" s="411" t="s">
        <v>952</v>
      </c>
      <c r="AS30" s="804">
        <v>5436.7</v>
      </c>
      <c r="AT30" s="804">
        <v>18388.400000000001</v>
      </c>
      <c r="AU30" s="808">
        <v>12975.5</v>
      </c>
      <c r="AV30" s="804">
        <v>50.7</v>
      </c>
      <c r="AW30" s="804">
        <f>849630.4-13.2</f>
        <v>849617.20000000007</v>
      </c>
      <c r="AX30" s="804">
        <v>6908.3</v>
      </c>
      <c r="AY30" s="413">
        <f>AW30+AX30</f>
        <v>856525.50000000012</v>
      </c>
      <c r="AZ30" s="413">
        <f>0.065*AY30</f>
        <v>55674.157500000008</v>
      </c>
      <c r="BA30" s="412">
        <f>BB30-AZ30</f>
        <v>4624.8424999999916</v>
      </c>
      <c r="BB30" s="804">
        <v>60299</v>
      </c>
      <c r="BC30" s="804">
        <v>2370730.1</v>
      </c>
      <c r="BD30" s="412">
        <f>M30+BB30</f>
        <v>192604.2</v>
      </c>
      <c r="BE30" s="804">
        <v>4000</v>
      </c>
      <c r="BF30" s="804">
        <v>15984.8</v>
      </c>
      <c r="BG30" s="804">
        <v>3911.6</v>
      </c>
      <c r="BH30" s="804">
        <v>156583.5</v>
      </c>
      <c r="BI30" s="413">
        <f>BH30+BG30+BF30+BE30</f>
        <v>180479.9</v>
      </c>
      <c r="BJ30" s="411" t="s">
        <v>952</v>
      </c>
      <c r="BK30" s="412"/>
      <c r="BL30" s="460">
        <v>3.59</v>
      </c>
      <c r="BM30" s="460">
        <v>-3.71</v>
      </c>
      <c r="BN30" s="460">
        <v>16.78</v>
      </c>
      <c r="BO30" s="460">
        <v>14.22</v>
      </c>
      <c r="BP30" s="460">
        <v>16.350000000000001</v>
      </c>
      <c r="BQ30" s="460" t="s">
        <v>603</v>
      </c>
      <c r="BR30" s="460" t="s">
        <v>603</v>
      </c>
      <c r="BS30" s="696" t="s">
        <v>603</v>
      </c>
      <c r="BT30" s="696">
        <v>9453</v>
      </c>
      <c r="BU30" s="696">
        <v>3700</v>
      </c>
      <c r="BV30" s="460">
        <f t="shared" si="41"/>
        <v>98.935520608575231</v>
      </c>
      <c r="BW30" s="460">
        <f t="shared" si="42"/>
        <v>89.878049296519634</v>
      </c>
      <c r="BX30" s="460">
        <f t="shared" si="43"/>
        <v>88.921315984343593</v>
      </c>
      <c r="BY30" s="460">
        <f t="shared" si="44"/>
        <v>8.3013503022302277</v>
      </c>
      <c r="BZ30" s="460">
        <v>5</v>
      </c>
      <c r="CA30" s="460">
        <v>5.54</v>
      </c>
      <c r="CB30" s="460">
        <v>10.39</v>
      </c>
      <c r="CC30" s="460">
        <f t="shared" si="38"/>
        <v>4.8500000000000005</v>
      </c>
      <c r="CD30" s="460">
        <v>8.9499999999999993</v>
      </c>
      <c r="CE30" s="460">
        <v>13.07</v>
      </c>
      <c r="CF30" s="460">
        <f t="shared" si="39"/>
        <v>4.120000000000001</v>
      </c>
      <c r="CG30" s="460"/>
      <c r="CH30" s="460"/>
    </row>
    <row r="31" spans="9:86" s="459" customFormat="1" ht="13.9" customHeight="1">
      <c r="I31" s="606" t="s">
        <v>2384</v>
      </c>
      <c r="J31" s="497"/>
      <c r="K31" s="981">
        <f>K43</f>
        <v>149724.70000000001</v>
      </c>
      <c r="L31" s="981">
        <f t="shared" ref="L31:X31" si="47">L43</f>
        <v>1540.5</v>
      </c>
      <c r="M31" s="981">
        <f t="shared" si="47"/>
        <v>151265.20000000001</v>
      </c>
      <c r="N31" s="981">
        <f t="shared" si="47"/>
        <v>13733.4</v>
      </c>
      <c r="O31" s="981">
        <f t="shared" si="47"/>
        <v>137531.80000000002</v>
      </c>
      <c r="P31" s="981">
        <f t="shared" si="47"/>
        <v>22096.9</v>
      </c>
      <c r="Q31" s="981">
        <f t="shared" si="47"/>
        <v>64651.3</v>
      </c>
      <c r="R31" s="981">
        <f t="shared" si="47"/>
        <v>101885.2</v>
      </c>
      <c r="S31" s="981">
        <f t="shared" si="47"/>
        <v>775997.6</v>
      </c>
      <c r="T31" s="981">
        <f t="shared" si="47"/>
        <v>877882.79999999993</v>
      </c>
      <c r="U31" s="981">
        <f t="shared" si="47"/>
        <v>942534.1</v>
      </c>
      <c r="V31" s="981">
        <f t="shared" si="47"/>
        <v>661.5</v>
      </c>
      <c r="W31" s="981">
        <f t="shared" si="47"/>
        <v>240078.5</v>
      </c>
      <c r="X31" s="981">
        <f t="shared" si="47"/>
        <v>1016076.1</v>
      </c>
      <c r="Y31" s="1127" t="s">
        <v>603</v>
      </c>
      <c r="Z31" s="1127" t="s">
        <v>603</v>
      </c>
      <c r="AA31" s="606" t="s">
        <v>2384</v>
      </c>
      <c r="AB31" s="981">
        <f t="shared" ref="AB31:AQ31" si="48">AB43</f>
        <v>0</v>
      </c>
      <c r="AC31" s="981">
        <f t="shared" si="48"/>
        <v>15533.2</v>
      </c>
      <c r="AD31" s="981">
        <f t="shared" si="48"/>
        <v>728117</v>
      </c>
      <c r="AE31" s="981">
        <f t="shared" si="48"/>
        <v>743650.2</v>
      </c>
      <c r="AF31" s="981">
        <f t="shared" si="48"/>
        <v>0</v>
      </c>
      <c r="AG31" s="981">
        <f t="shared" si="48"/>
        <v>1726.2</v>
      </c>
      <c r="AH31" s="981">
        <f t="shared" si="48"/>
        <v>27218.5</v>
      </c>
      <c r="AI31" s="981">
        <f t="shared" si="48"/>
        <v>28944.7</v>
      </c>
      <c r="AJ31" s="981">
        <f t="shared" si="48"/>
        <v>14073.4</v>
      </c>
      <c r="AK31" s="981">
        <f t="shared" si="48"/>
        <v>152329.70000000001</v>
      </c>
      <c r="AL31" s="981">
        <f t="shared" si="48"/>
        <v>15744.2</v>
      </c>
      <c r="AM31" s="981">
        <f t="shared" si="48"/>
        <v>168073.90000000002</v>
      </c>
      <c r="AN31" s="981">
        <f t="shared" si="48"/>
        <v>14073.4</v>
      </c>
      <c r="AO31" s="981">
        <f t="shared" si="48"/>
        <v>169589.1</v>
      </c>
      <c r="AP31" s="981">
        <f t="shared" si="48"/>
        <v>771079.7</v>
      </c>
      <c r="AQ31" s="981">
        <f t="shared" si="48"/>
        <v>940668.79999999993</v>
      </c>
      <c r="AR31" s="606" t="s">
        <v>2384</v>
      </c>
      <c r="AS31" s="981">
        <f t="shared" ref="AS31:BI31" si="49">AS43</f>
        <v>7470.4</v>
      </c>
      <c r="AT31" s="981">
        <f t="shared" si="49"/>
        <v>24394.1</v>
      </c>
      <c r="AU31" s="981">
        <f t="shared" si="49"/>
        <v>20759.3</v>
      </c>
      <c r="AV31" s="981">
        <f t="shared" si="49"/>
        <v>62.9</v>
      </c>
      <c r="AW31" s="981">
        <f t="shared" si="49"/>
        <v>942558.51</v>
      </c>
      <c r="AX31" s="981">
        <f t="shared" si="49"/>
        <v>5784.1</v>
      </c>
      <c r="AY31" s="981">
        <f t="shared" si="49"/>
        <v>948342.61</v>
      </c>
      <c r="AZ31" s="981">
        <f t="shared" si="49"/>
        <v>61642.269650000002</v>
      </c>
      <c r="BA31" s="981">
        <f t="shared" si="49"/>
        <v>11090.430349999995</v>
      </c>
      <c r="BB31" s="981">
        <f t="shared" si="49"/>
        <v>72732.7</v>
      </c>
      <c r="BC31" s="981">
        <f t="shared" si="49"/>
        <v>2223734.2999999998</v>
      </c>
      <c r="BD31" s="981">
        <f t="shared" si="49"/>
        <v>223997.90000000002</v>
      </c>
      <c r="BE31" s="981">
        <f t="shared" si="49"/>
        <v>3015.6</v>
      </c>
      <c r="BF31" s="981">
        <f t="shared" si="49"/>
        <v>10965</v>
      </c>
      <c r="BG31" s="981">
        <f t="shared" si="49"/>
        <v>3364.4</v>
      </c>
      <c r="BH31" s="981">
        <f t="shared" si="49"/>
        <v>151102.29999999999</v>
      </c>
      <c r="BI31" s="981">
        <f t="shared" si="49"/>
        <v>168447.3</v>
      </c>
      <c r="BJ31" s="606" t="s">
        <v>2384</v>
      </c>
      <c r="BK31" s="497"/>
      <c r="BL31" s="1275">
        <f>BL43</f>
        <v>-14.78</v>
      </c>
      <c r="BM31" s="1275">
        <f>BM43</f>
        <v>7.66</v>
      </c>
      <c r="BN31" s="1275">
        <f>BN43</f>
        <v>15.66</v>
      </c>
      <c r="BO31" s="1275">
        <f>BO43</f>
        <v>11.16</v>
      </c>
      <c r="BP31" s="1275">
        <f>BP43</f>
        <v>10.88</v>
      </c>
      <c r="BQ31" s="608">
        <v>1.93</v>
      </c>
      <c r="BR31" s="608" t="s">
        <v>603</v>
      </c>
      <c r="BS31" s="850" t="s">
        <v>603</v>
      </c>
      <c r="BT31" s="1540">
        <f t="shared" ref="BT31:CF31" si="50">BT43</f>
        <v>9720</v>
      </c>
      <c r="BU31" s="1540">
        <f t="shared" si="50"/>
        <v>3713</v>
      </c>
      <c r="BV31" s="1275">
        <f t="shared" si="50"/>
        <v>99.799512711417776</v>
      </c>
      <c r="BW31" s="1275">
        <f t="shared" si="50"/>
        <v>96.971040123456788</v>
      </c>
      <c r="BX31" s="1275">
        <f t="shared" si="50"/>
        <v>96.776625514403278</v>
      </c>
      <c r="BY31" s="1275">
        <f t="shared" si="50"/>
        <v>9.1735525256676098</v>
      </c>
      <c r="BZ31" s="1275">
        <f t="shared" si="50"/>
        <v>5</v>
      </c>
      <c r="CA31" s="1275">
        <f t="shared" si="50"/>
        <v>4.84</v>
      </c>
      <c r="CB31" s="1275">
        <f t="shared" si="50"/>
        <v>9.56</v>
      </c>
      <c r="CC31" s="1275">
        <f t="shared" si="50"/>
        <v>4.7200000000000006</v>
      </c>
      <c r="CD31" s="1275">
        <f t="shared" si="50"/>
        <v>8.3699999999999992</v>
      </c>
      <c r="CE31" s="1275">
        <f t="shared" si="50"/>
        <v>11.69</v>
      </c>
      <c r="CF31" s="1275">
        <f t="shared" si="50"/>
        <v>3.3200000000000003</v>
      </c>
    </row>
    <row r="32" spans="9:86" s="459" customFormat="1" ht="13.9" customHeight="1">
      <c r="I32" s="298" t="s">
        <v>954</v>
      </c>
      <c r="J32" s="412"/>
      <c r="K32" s="804">
        <v>118091.1</v>
      </c>
      <c r="L32" s="804">
        <v>1572.3</v>
      </c>
      <c r="M32" s="804">
        <f t="shared" ref="M32:M43" si="51">K32+L32</f>
        <v>119663.40000000001</v>
      </c>
      <c r="N32" s="804">
        <v>10638.4</v>
      </c>
      <c r="O32" s="804">
        <f t="shared" ref="O32:O43" si="52">M32-N32</f>
        <v>109025.00000000001</v>
      </c>
      <c r="P32" s="804">
        <v>12227.5</v>
      </c>
      <c r="Q32" s="804">
        <v>50841</v>
      </c>
      <c r="R32" s="804">
        <v>87334.8</v>
      </c>
      <c r="S32" s="808">
        <v>716365.2</v>
      </c>
      <c r="T32" s="413">
        <f t="shared" ref="T32:T43" si="53">R32+S32</f>
        <v>803700</v>
      </c>
      <c r="U32" s="413">
        <f t="shared" ref="U32:U43" si="54">Q32+T32</f>
        <v>854541</v>
      </c>
      <c r="V32" s="804">
        <v>579.79999999999995</v>
      </c>
      <c r="W32" s="413">
        <f t="shared" ref="W32:W43" si="55">O32+R32+V32</f>
        <v>196939.6</v>
      </c>
      <c r="X32" s="413">
        <f t="shared" ref="X32:X43" si="56">S32+W32</f>
        <v>913304.79999999993</v>
      </c>
      <c r="Y32" s="808" t="s">
        <v>603</v>
      </c>
      <c r="Z32" s="808" t="s">
        <v>603</v>
      </c>
      <c r="AA32" s="298" t="s">
        <v>954</v>
      </c>
      <c r="AB32" s="413">
        <v>0</v>
      </c>
      <c r="AC32" s="804">
        <v>15146.9</v>
      </c>
      <c r="AD32" s="804">
        <v>621769.9</v>
      </c>
      <c r="AE32" s="413">
        <f t="shared" ref="AE32:AE43" si="57">AC32+AD32</f>
        <v>636916.80000000005</v>
      </c>
      <c r="AF32" s="413">
        <v>0</v>
      </c>
      <c r="AG32" s="804">
        <v>1558.7</v>
      </c>
      <c r="AH32" s="804">
        <v>22009.8</v>
      </c>
      <c r="AI32" s="413">
        <f t="shared" ref="AI32:AI43" si="58">AG32+AH32</f>
        <v>23568.5</v>
      </c>
      <c r="AJ32" s="833">
        <v>8033.4</v>
      </c>
      <c r="AK32" s="833">
        <v>167339.5</v>
      </c>
      <c r="AL32" s="833">
        <v>16609</v>
      </c>
      <c r="AM32" s="778">
        <f t="shared" ref="AM32:AM43" si="59">AK32+AL32</f>
        <v>183948.5</v>
      </c>
      <c r="AN32" s="413">
        <f t="shared" ref="AN32:AQ33" si="60">AB32+AF32+AJ32</f>
        <v>8033.4</v>
      </c>
      <c r="AO32" s="413">
        <f t="shared" si="60"/>
        <v>184045.1</v>
      </c>
      <c r="AP32" s="413">
        <f t="shared" si="60"/>
        <v>660388.70000000007</v>
      </c>
      <c r="AQ32" s="413">
        <f t="shared" si="60"/>
        <v>844433.8</v>
      </c>
      <c r="AR32" s="298" t="s">
        <v>954</v>
      </c>
      <c r="AS32" s="804">
        <v>4063.9</v>
      </c>
      <c r="AT32" s="804">
        <v>16849.900000000001</v>
      </c>
      <c r="AU32" s="804">
        <v>9507</v>
      </c>
      <c r="AV32" s="804">
        <v>70.599999999999994</v>
      </c>
      <c r="AW32" s="804">
        <f>854592.3-13.2</f>
        <v>854579.10000000009</v>
      </c>
      <c r="AX32" s="804">
        <v>6858.8</v>
      </c>
      <c r="AY32" s="413">
        <f t="shared" ref="AY32:AY43" si="61">AW32+AX32</f>
        <v>861437.90000000014</v>
      </c>
      <c r="AZ32" s="413">
        <f t="shared" ref="AZ32:AZ43" si="62">0.065*AY32</f>
        <v>55993.463500000013</v>
      </c>
      <c r="BA32" s="412">
        <f t="shared" ref="BA32:BA43" si="63">BB32-AZ32</f>
        <v>5621.5364999999874</v>
      </c>
      <c r="BB32" s="804">
        <v>61615</v>
      </c>
      <c r="BC32" s="804">
        <v>2397613</v>
      </c>
      <c r="BD32" s="412">
        <f t="shared" ref="BD32:BD43" si="64">M32+BB32</f>
        <v>181278.40000000002</v>
      </c>
      <c r="BE32" s="804">
        <v>0</v>
      </c>
      <c r="BF32" s="804">
        <v>13234</v>
      </c>
      <c r="BG32" s="804">
        <v>4099.1000000000004</v>
      </c>
      <c r="BH32" s="804">
        <v>165954.20000000001</v>
      </c>
      <c r="BI32" s="413">
        <f t="shared" ref="BI32:BI43" si="65">BH32+BG32+BF32+BE32</f>
        <v>183287.30000000002</v>
      </c>
      <c r="BJ32" s="298" t="s">
        <v>954</v>
      </c>
      <c r="BK32" s="412"/>
      <c r="BL32" s="460">
        <v>2.13</v>
      </c>
      <c r="BM32" s="460">
        <v>-0.33</v>
      </c>
      <c r="BN32" s="460">
        <v>-0.85</v>
      </c>
      <c r="BO32" s="460">
        <v>-0.41</v>
      </c>
      <c r="BP32" s="460">
        <v>-0.34</v>
      </c>
      <c r="BQ32" s="460" t="s">
        <v>603</v>
      </c>
      <c r="BR32" s="460" t="s">
        <v>603</v>
      </c>
      <c r="BS32" s="696" t="s">
        <v>603</v>
      </c>
      <c r="BT32" s="696">
        <v>9480</v>
      </c>
      <c r="BU32" s="696">
        <v>3704</v>
      </c>
      <c r="BV32" s="460">
        <f t="shared" ref="BV32:BV37" si="66">AQ32/AW32*100</f>
        <v>98.812830784183689</v>
      </c>
      <c r="BW32" s="460">
        <f t="shared" ref="BW32:BW37" si="67">AW32/BT32</f>
        <v>90.145474683544307</v>
      </c>
      <c r="BX32" s="460">
        <f t="shared" ref="BX32:BX39" si="68">AQ32/BT32</f>
        <v>89.075295358649797</v>
      </c>
      <c r="BY32" s="460">
        <f t="shared" ref="BY32:BY43" si="69">(N32+BB32)/AW32*100</f>
        <v>8.4548522190631612</v>
      </c>
      <c r="BZ32" s="460">
        <v>5</v>
      </c>
      <c r="CA32" s="460">
        <v>5.48</v>
      </c>
      <c r="CB32" s="460">
        <v>10.32</v>
      </c>
      <c r="CC32" s="460">
        <f>CB32-CA32</f>
        <v>4.84</v>
      </c>
      <c r="CD32" s="460">
        <v>8.9</v>
      </c>
      <c r="CE32" s="460">
        <v>12.89</v>
      </c>
      <c r="CF32" s="460">
        <f>CE32-CD32</f>
        <v>3.99</v>
      </c>
      <c r="CG32" s="460"/>
      <c r="CH32" s="460"/>
    </row>
    <row r="33" spans="1:86" s="459" customFormat="1" ht="13.9" customHeight="1">
      <c r="I33" s="517" t="s">
        <v>955</v>
      </c>
      <c r="J33" s="497"/>
      <c r="K33" s="798">
        <v>120558.2</v>
      </c>
      <c r="L33" s="798">
        <v>1565.6</v>
      </c>
      <c r="M33" s="798">
        <f t="shared" si="51"/>
        <v>122123.8</v>
      </c>
      <c r="N33" s="798">
        <v>10010</v>
      </c>
      <c r="O33" s="798">
        <f t="shared" si="52"/>
        <v>112113.8</v>
      </c>
      <c r="P33" s="798">
        <v>11558.1</v>
      </c>
      <c r="Q33" s="798">
        <v>53439.8</v>
      </c>
      <c r="R33" s="798">
        <v>85653.9</v>
      </c>
      <c r="S33" s="774">
        <v>724519.6</v>
      </c>
      <c r="T33" s="498">
        <f t="shared" si="53"/>
        <v>810173.5</v>
      </c>
      <c r="U33" s="498">
        <f t="shared" si="54"/>
        <v>863613.3</v>
      </c>
      <c r="V33" s="798">
        <v>595.79999999999995</v>
      </c>
      <c r="W33" s="498">
        <f t="shared" si="55"/>
        <v>198363.5</v>
      </c>
      <c r="X33" s="498">
        <f t="shared" si="56"/>
        <v>922883.1</v>
      </c>
      <c r="Y33" s="774" t="s">
        <v>603</v>
      </c>
      <c r="Z33" s="774" t="s">
        <v>603</v>
      </c>
      <c r="AA33" s="517" t="s">
        <v>955</v>
      </c>
      <c r="AB33" s="498">
        <v>0</v>
      </c>
      <c r="AC33" s="798">
        <v>15296.3</v>
      </c>
      <c r="AD33" s="798">
        <v>629272.9</v>
      </c>
      <c r="AE33" s="498">
        <f t="shared" si="57"/>
        <v>644569.20000000007</v>
      </c>
      <c r="AF33" s="498">
        <v>0</v>
      </c>
      <c r="AG33" s="798">
        <v>1600.1</v>
      </c>
      <c r="AH33" s="798">
        <v>21455.4</v>
      </c>
      <c r="AI33" s="498">
        <f t="shared" si="58"/>
        <v>23055.5</v>
      </c>
      <c r="AJ33" s="802">
        <v>7729.7</v>
      </c>
      <c r="AK33" s="802">
        <v>167391.4</v>
      </c>
      <c r="AL33" s="802">
        <v>16375.6</v>
      </c>
      <c r="AM33" s="803">
        <f t="shared" si="59"/>
        <v>183767</v>
      </c>
      <c r="AN33" s="498">
        <f t="shared" si="60"/>
        <v>7729.7</v>
      </c>
      <c r="AO33" s="498">
        <f t="shared" si="60"/>
        <v>184287.8</v>
      </c>
      <c r="AP33" s="498">
        <f t="shared" si="60"/>
        <v>667103.9</v>
      </c>
      <c r="AQ33" s="498">
        <f t="shared" si="60"/>
        <v>851391.70000000007</v>
      </c>
      <c r="AR33" s="517" t="s">
        <v>955</v>
      </c>
      <c r="AS33" s="798">
        <v>3663.4</v>
      </c>
      <c r="AT33" s="798">
        <v>17593</v>
      </c>
      <c r="AU33" s="798">
        <v>9476.2000000000007</v>
      </c>
      <c r="AV33" s="798">
        <v>60.4</v>
      </c>
      <c r="AW33" s="798">
        <f>863661.8-14.2</f>
        <v>863647.60000000009</v>
      </c>
      <c r="AX33" s="798">
        <v>6832</v>
      </c>
      <c r="AY33" s="498">
        <f t="shared" si="61"/>
        <v>870479.60000000009</v>
      </c>
      <c r="AZ33" s="498">
        <f t="shared" si="62"/>
        <v>56581.174000000006</v>
      </c>
      <c r="BA33" s="497">
        <f t="shared" si="63"/>
        <v>3417.8259999999937</v>
      </c>
      <c r="BB33" s="798">
        <v>59999</v>
      </c>
      <c r="BC33" s="798">
        <v>2437927.2999999998</v>
      </c>
      <c r="BD33" s="497">
        <f t="shared" si="64"/>
        <v>182122.8</v>
      </c>
      <c r="BE33" s="798">
        <v>0</v>
      </c>
      <c r="BF33" s="798">
        <v>13256.8</v>
      </c>
      <c r="BG33" s="798">
        <v>4186.1000000000004</v>
      </c>
      <c r="BH33" s="798">
        <v>166001.5</v>
      </c>
      <c r="BI33" s="498">
        <f t="shared" si="65"/>
        <v>183444.4</v>
      </c>
      <c r="BJ33" s="517" t="s">
        <v>955</v>
      </c>
      <c r="BK33" s="497"/>
      <c r="BL33" s="505">
        <v>-0.78</v>
      </c>
      <c r="BM33" s="505">
        <v>0.37</v>
      </c>
      <c r="BN33" s="505">
        <v>0.14000000000000001</v>
      </c>
      <c r="BO33" s="505">
        <v>0.01</v>
      </c>
      <c r="BP33" s="505">
        <v>0.71</v>
      </c>
      <c r="BQ33" s="505" t="s">
        <v>603</v>
      </c>
      <c r="BR33" s="505" t="s">
        <v>603</v>
      </c>
      <c r="BS33" s="506" t="s">
        <v>603</v>
      </c>
      <c r="BT33" s="506">
        <v>9498</v>
      </c>
      <c r="BU33" s="506">
        <v>3704</v>
      </c>
      <c r="BV33" s="505">
        <f t="shared" si="66"/>
        <v>98.580914252526142</v>
      </c>
      <c r="BW33" s="505">
        <f t="shared" si="67"/>
        <v>90.929416719309344</v>
      </c>
      <c r="BX33" s="505">
        <f t="shared" si="68"/>
        <v>89.639050326384506</v>
      </c>
      <c r="BY33" s="505">
        <f t="shared" si="69"/>
        <v>8.1061997972321116</v>
      </c>
      <c r="BZ33" s="505">
        <v>5</v>
      </c>
      <c r="CA33" s="505">
        <v>5.44</v>
      </c>
      <c r="CB33" s="505">
        <v>10.24</v>
      </c>
      <c r="CC33" s="505">
        <f t="shared" ref="CC33:CC43" si="70">CB33-CA33</f>
        <v>4.8</v>
      </c>
      <c r="CD33" s="505">
        <v>8.84</v>
      </c>
      <c r="CE33" s="505">
        <v>12.8</v>
      </c>
      <c r="CF33" s="505">
        <f t="shared" ref="CF33:CF43" si="71">CE33-CD33</f>
        <v>3.9600000000000009</v>
      </c>
      <c r="CG33" s="460"/>
      <c r="CH33" s="460"/>
    </row>
    <row r="34" spans="1:86" s="459" customFormat="1" ht="13.9" customHeight="1">
      <c r="I34" s="298" t="s">
        <v>949</v>
      </c>
      <c r="J34" s="412"/>
      <c r="K34" s="804">
        <v>126687.4</v>
      </c>
      <c r="L34" s="804">
        <v>1562.2</v>
      </c>
      <c r="M34" s="804">
        <f t="shared" si="51"/>
        <v>128249.59999999999</v>
      </c>
      <c r="N34" s="804">
        <v>10120.299999999999</v>
      </c>
      <c r="O34" s="804">
        <f t="shared" si="52"/>
        <v>118129.29999999999</v>
      </c>
      <c r="P34" s="804">
        <v>11698.4</v>
      </c>
      <c r="Q34" s="804">
        <v>52756.4</v>
      </c>
      <c r="R34" s="804">
        <v>82620.3</v>
      </c>
      <c r="S34" s="808">
        <v>730134.7</v>
      </c>
      <c r="T34" s="413">
        <f t="shared" si="53"/>
        <v>812755</v>
      </c>
      <c r="U34" s="413">
        <f t="shared" si="54"/>
        <v>865511.4</v>
      </c>
      <c r="V34" s="804">
        <v>638.79999999999995</v>
      </c>
      <c r="W34" s="413">
        <f t="shared" si="55"/>
        <v>201388.39999999997</v>
      </c>
      <c r="X34" s="413">
        <f t="shared" si="56"/>
        <v>931523.09999999986</v>
      </c>
      <c r="Y34" s="808" t="s">
        <v>603</v>
      </c>
      <c r="Z34" s="808" t="s">
        <v>603</v>
      </c>
      <c r="AA34" s="298" t="s">
        <v>949</v>
      </c>
      <c r="AB34" s="413">
        <v>0</v>
      </c>
      <c r="AC34" s="804">
        <v>14914.6</v>
      </c>
      <c r="AD34" s="804">
        <v>636572.80000000005</v>
      </c>
      <c r="AE34" s="413">
        <f t="shared" si="57"/>
        <v>651487.4</v>
      </c>
      <c r="AF34" s="413">
        <v>0</v>
      </c>
      <c r="AG34" s="804">
        <v>1736.1</v>
      </c>
      <c r="AH34" s="804">
        <v>21916.1</v>
      </c>
      <c r="AI34" s="413">
        <f t="shared" si="58"/>
        <v>23652.199999999997</v>
      </c>
      <c r="AJ34" s="833">
        <v>8474.5</v>
      </c>
      <c r="AK34" s="833">
        <v>165355.29999999999</v>
      </c>
      <c r="AL34" s="833">
        <v>16817.3</v>
      </c>
      <c r="AM34" s="778">
        <f t="shared" si="59"/>
        <v>182172.59999999998</v>
      </c>
      <c r="AN34" s="413">
        <f t="shared" ref="AN34:AQ43" si="72">AB34+AF34+AJ34</f>
        <v>8474.5</v>
      </c>
      <c r="AO34" s="413">
        <f t="shared" si="72"/>
        <v>182006</v>
      </c>
      <c r="AP34" s="413">
        <f t="shared" si="72"/>
        <v>675306.20000000007</v>
      </c>
      <c r="AQ34" s="413">
        <f t="shared" si="72"/>
        <v>857312.2</v>
      </c>
      <c r="AR34" s="298" t="s">
        <v>949</v>
      </c>
      <c r="AS34" s="804">
        <v>4420.7</v>
      </c>
      <c r="AT34" s="804">
        <v>17923.400000000001</v>
      </c>
      <c r="AU34" s="804">
        <v>10963.6</v>
      </c>
      <c r="AV34" s="804">
        <v>120.4</v>
      </c>
      <c r="AW34" s="804">
        <f>865563.6-13.7</f>
        <v>865549.9</v>
      </c>
      <c r="AX34" s="804">
        <v>6938.1</v>
      </c>
      <c r="AY34" s="413">
        <f t="shared" si="61"/>
        <v>872488</v>
      </c>
      <c r="AZ34" s="413">
        <f t="shared" si="62"/>
        <v>56711.72</v>
      </c>
      <c r="BA34" s="412">
        <f t="shared" si="63"/>
        <v>4207.9799999999959</v>
      </c>
      <c r="BB34" s="804">
        <v>60919.7</v>
      </c>
      <c r="BC34" s="804">
        <v>2468283.2999999998</v>
      </c>
      <c r="BD34" s="412">
        <f t="shared" si="64"/>
        <v>189169.3</v>
      </c>
      <c r="BE34" s="804">
        <v>0</v>
      </c>
      <c r="BF34" s="804">
        <v>12689.2</v>
      </c>
      <c r="BG34" s="804">
        <v>4120.6000000000004</v>
      </c>
      <c r="BH34" s="804">
        <v>163959.29999999999</v>
      </c>
      <c r="BI34" s="413">
        <f t="shared" si="65"/>
        <v>180769.1</v>
      </c>
      <c r="BJ34" s="298" t="s">
        <v>949</v>
      </c>
      <c r="BK34" s="412"/>
      <c r="BL34" s="460">
        <v>-0.49</v>
      </c>
      <c r="BM34" s="460">
        <v>-0.86</v>
      </c>
      <c r="BN34" s="460">
        <v>1.36</v>
      </c>
      <c r="BO34" s="460">
        <v>1.05</v>
      </c>
      <c r="BP34" s="460">
        <v>1.65</v>
      </c>
      <c r="BQ34" s="460" t="s">
        <v>603</v>
      </c>
      <c r="BR34" s="460" t="s">
        <v>603</v>
      </c>
      <c r="BS34" s="696" t="s">
        <v>603</v>
      </c>
      <c r="BT34" s="696">
        <v>9515</v>
      </c>
      <c r="BU34" s="696">
        <v>3706</v>
      </c>
      <c r="BV34" s="460">
        <f t="shared" si="66"/>
        <v>99.048269776242819</v>
      </c>
      <c r="BW34" s="460">
        <f t="shared" si="67"/>
        <v>90.966883867577508</v>
      </c>
      <c r="BX34" s="460">
        <f t="shared" si="68"/>
        <v>90.101124540199677</v>
      </c>
      <c r="BY34" s="460">
        <f t="shared" si="69"/>
        <v>8.207499070821914</v>
      </c>
      <c r="BZ34" s="460">
        <v>5</v>
      </c>
      <c r="CA34" s="460">
        <v>5.39</v>
      </c>
      <c r="CB34" s="460">
        <v>10.11</v>
      </c>
      <c r="CC34" s="460">
        <f t="shared" si="70"/>
        <v>4.72</v>
      </c>
      <c r="CD34" s="460">
        <v>8.7100000000000009</v>
      </c>
      <c r="CE34" s="460">
        <v>12.68</v>
      </c>
      <c r="CF34" s="460">
        <f t="shared" si="71"/>
        <v>3.9699999999999989</v>
      </c>
      <c r="CG34" s="460"/>
      <c r="CH34" s="460"/>
    </row>
    <row r="35" spans="1:86" s="459" customFormat="1" ht="13.9" customHeight="1">
      <c r="I35" s="517" t="s">
        <v>956</v>
      </c>
      <c r="J35" s="497"/>
      <c r="K35" s="798">
        <v>121857.60000000001</v>
      </c>
      <c r="L35" s="798">
        <v>1556.6</v>
      </c>
      <c r="M35" s="798">
        <f t="shared" si="51"/>
        <v>123414.20000000001</v>
      </c>
      <c r="N35" s="798">
        <v>10709.7</v>
      </c>
      <c r="O35" s="798">
        <f t="shared" si="52"/>
        <v>112704.50000000001</v>
      </c>
      <c r="P35" s="798">
        <v>11232.2</v>
      </c>
      <c r="Q35" s="798">
        <v>54965.3</v>
      </c>
      <c r="R35" s="798">
        <v>84391.1</v>
      </c>
      <c r="S35" s="774">
        <v>735498.4</v>
      </c>
      <c r="T35" s="498">
        <f t="shared" si="53"/>
        <v>819889.5</v>
      </c>
      <c r="U35" s="498">
        <f t="shared" si="54"/>
        <v>874854.8</v>
      </c>
      <c r="V35" s="798">
        <v>632.6</v>
      </c>
      <c r="W35" s="498">
        <f t="shared" si="55"/>
        <v>197728.20000000004</v>
      </c>
      <c r="X35" s="498">
        <f t="shared" si="56"/>
        <v>933226.60000000009</v>
      </c>
      <c r="Y35" s="774" t="s">
        <v>603</v>
      </c>
      <c r="Z35" s="774" t="s">
        <v>603</v>
      </c>
      <c r="AA35" s="517" t="s">
        <v>956</v>
      </c>
      <c r="AB35" s="498">
        <v>0</v>
      </c>
      <c r="AC35" s="798">
        <v>14580.6</v>
      </c>
      <c r="AD35" s="798">
        <v>642011.1</v>
      </c>
      <c r="AE35" s="498">
        <f t="shared" si="57"/>
        <v>656591.69999999995</v>
      </c>
      <c r="AF35" s="498">
        <v>0</v>
      </c>
      <c r="AG35" s="798">
        <v>1664.2</v>
      </c>
      <c r="AH35" s="798">
        <v>21770.400000000001</v>
      </c>
      <c r="AI35" s="498">
        <f t="shared" si="58"/>
        <v>23434.600000000002</v>
      </c>
      <c r="AJ35" s="802">
        <v>8750.2000000000007</v>
      </c>
      <c r="AK35" s="802">
        <v>163960.4</v>
      </c>
      <c r="AL35" s="802">
        <v>16438.7</v>
      </c>
      <c r="AM35" s="803">
        <f t="shared" si="59"/>
        <v>180399.1</v>
      </c>
      <c r="AN35" s="498">
        <f t="shared" si="72"/>
        <v>8750.2000000000007</v>
      </c>
      <c r="AO35" s="498">
        <f t="shared" si="72"/>
        <v>180205.19999999998</v>
      </c>
      <c r="AP35" s="498">
        <f t="shared" si="72"/>
        <v>680220.2</v>
      </c>
      <c r="AQ35" s="498">
        <f t="shared" si="72"/>
        <v>860425.39999999991</v>
      </c>
      <c r="AR35" s="517" t="s">
        <v>956</v>
      </c>
      <c r="AS35" s="798">
        <v>4892.7</v>
      </c>
      <c r="AT35" s="798">
        <v>19741.2</v>
      </c>
      <c r="AU35" s="798">
        <v>10007</v>
      </c>
      <c r="AV35" s="798">
        <v>98.3</v>
      </c>
      <c r="AW35" s="798">
        <f>874906-13.5</f>
        <v>874892.5</v>
      </c>
      <c r="AX35" s="798">
        <v>6395.8</v>
      </c>
      <c r="AY35" s="498">
        <f t="shared" si="61"/>
        <v>881288.3</v>
      </c>
      <c r="AZ35" s="498">
        <f t="shared" si="62"/>
        <v>57283.739500000003</v>
      </c>
      <c r="BA35" s="497">
        <f t="shared" si="63"/>
        <v>5317.9604999999938</v>
      </c>
      <c r="BB35" s="798">
        <v>62601.7</v>
      </c>
      <c r="BC35" s="798">
        <v>2510307.1</v>
      </c>
      <c r="BD35" s="497">
        <f t="shared" si="64"/>
        <v>186015.90000000002</v>
      </c>
      <c r="BE35" s="798">
        <v>0</v>
      </c>
      <c r="BF35" s="798">
        <v>12292.8</v>
      </c>
      <c r="BG35" s="798">
        <v>4111.6000000000004</v>
      </c>
      <c r="BH35" s="798">
        <v>162665</v>
      </c>
      <c r="BI35" s="498">
        <f t="shared" si="65"/>
        <v>179069.4</v>
      </c>
      <c r="BJ35" s="517" t="s">
        <v>956</v>
      </c>
      <c r="BK35" s="497"/>
      <c r="BL35" s="505">
        <v>-3.68</v>
      </c>
      <c r="BM35" s="505">
        <v>-3.95</v>
      </c>
      <c r="BN35" s="505">
        <v>2.1</v>
      </c>
      <c r="BO35" s="505">
        <v>1.1499999999999999</v>
      </c>
      <c r="BP35" s="505">
        <v>1.84</v>
      </c>
      <c r="BQ35" s="505" t="s">
        <v>603</v>
      </c>
      <c r="BR35" s="505" t="s">
        <v>603</v>
      </c>
      <c r="BS35" s="506" t="s">
        <v>603</v>
      </c>
      <c r="BT35" s="506">
        <v>9538</v>
      </c>
      <c r="BU35" s="506">
        <v>3706</v>
      </c>
      <c r="BV35" s="505">
        <f t="shared" si="66"/>
        <v>98.34641398800423</v>
      </c>
      <c r="BW35" s="505">
        <f t="shared" si="67"/>
        <v>91.727039211574748</v>
      </c>
      <c r="BX35" s="505">
        <f t="shared" si="68"/>
        <v>90.210253721954274</v>
      </c>
      <c r="BY35" s="505">
        <f t="shared" si="69"/>
        <v>8.3794751926665274</v>
      </c>
      <c r="BZ35" s="505">
        <v>5</v>
      </c>
      <c r="CA35" s="505">
        <v>5.33</v>
      </c>
      <c r="CB35" s="505">
        <v>10.029999999999999</v>
      </c>
      <c r="CC35" s="505">
        <f t="shared" si="70"/>
        <v>4.6999999999999993</v>
      </c>
      <c r="CD35" s="505">
        <v>8.61</v>
      </c>
      <c r="CE35" s="505">
        <v>12.73</v>
      </c>
      <c r="CF35" s="505">
        <f t="shared" si="71"/>
        <v>4.120000000000001</v>
      </c>
      <c r="CG35" s="460"/>
      <c r="CH35" s="460"/>
    </row>
    <row r="36" spans="1:86" s="459" customFormat="1" ht="13.9" customHeight="1">
      <c r="I36" s="298" t="s">
        <v>957</v>
      </c>
      <c r="J36" s="412"/>
      <c r="K36" s="804">
        <v>119912.2</v>
      </c>
      <c r="L36" s="804">
        <v>1546.3</v>
      </c>
      <c r="M36" s="804">
        <f t="shared" si="51"/>
        <v>121458.5</v>
      </c>
      <c r="N36" s="804">
        <v>10216.5</v>
      </c>
      <c r="O36" s="804">
        <f t="shared" si="52"/>
        <v>111242</v>
      </c>
      <c r="P36" s="804">
        <v>10005.6</v>
      </c>
      <c r="Q36" s="804">
        <v>55685.3</v>
      </c>
      <c r="R36" s="804">
        <v>85570.1</v>
      </c>
      <c r="S36" s="804">
        <v>741270</v>
      </c>
      <c r="T36" s="413">
        <f t="shared" si="53"/>
        <v>826840.1</v>
      </c>
      <c r="U36" s="413">
        <f t="shared" si="54"/>
        <v>882525.4</v>
      </c>
      <c r="V36" s="804">
        <v>639.29999999999995</v>
      </c>
      <c r="W36" s="413">
        <f t="shared" si="55"/>
        <v>197451.4</v>
      </c>
      <c r="X36" s="413">
        <f t="shared" si="56"/>
        <v>938721.4</v>
      </c>
      <c r="Y36" s="808" t="s">
        <v>603</v>
      </c>
      <c r="Z36" s="808" t="s">
        <v>603</v>
      </c>
      <c r="AA36" s="298" t="s">
        <v>957</v>
      </c>
      <c r="AB36" s="413">
        <v>0</v>
      </c>
      <c r="AC36" s="804">
        <v>14961.7</v>
      </c>
      <c r="AD36" s="804">
        <v>652611.1</v>
      </c>
      <c r="AE36" s="413">
        <f t="shared" si="57"/>
        <v>667572.79999999993</v>
      </c>
      <c r="AF36" s="413">
        <v>0</v>
      </c>
      <c r="AG36" s="804">
        <v>1596.2</v>
      </c>
      <c r="AH36" s="804">
        <v>21940.7</v>
      </c>
      <c r="AI36" s="413">
        <f t="shared" si="58"/>
        <v>23536.9</v>
      </c>
      <c r="AJ36" s="833">
        <v>9891.4</v>
      </c>
      <c r="AK36" s="833">
        <v>161707.29999999999</v>
      </c>
      <c r="AL36" s="833">
        <v>15129.2</v>
      </c>
      <c r="AM36" s="778">
        <f t="shared" si="59"/>
        <v>176836.5</v>
      </c>
      <c r="AN36" s="413">
        <f t="shared" si="72"/>
        <v>9891.4</v>
      </c>
      <c r="AO36" s="413">
        <f t="shared" si="72"/>
        <v>178265.19999999998</v>
      </c>
      <c r="AP36" s="413">
        <f t="shared" si="72"/>
        <v>689680.99999999988</v>
      </c>
      <c r="AQ36" s="413">
        <f t="shared" si="72"/>
        <v>867946.2</v>
      </c>
      <c r="AR36" s="298" t="s">
        <v>957</v>
      </c>
      <c r="AS36" s="804">
        <v>5135.3999999999996</v>
      </c>
      <c r="AT36" s="804">
        <v>20784</v>
      </c>
      <c r="AU36" s="804">
        <v>10439</v>
      </c>
      <c r="AV36" s="804">
        <v>71.400000000000006</v>
      </c>
      <c r="AW36" s="804">
        <f>882582.2-12.66</f>
        <v>882569.53999999992</v>
      </c>
      <c r="AX36" s="804">
        <v>6272.3</v>
      </c>
      <c r="AY36" s="413">
        <f t="shared" si="61"/>
        <v>888841.84</v>
      </c>
      <c r="AZ36" s="413">
        <f t="shared" si="62"/>
        <v>57774.719599999997</v>
      </c>
      <c r="BA36" s="413">
        <f t="shared" si="63"/>
        <v>7051.2804000000033</v>
      </c>
      <c r="BB36" s="804">
        <v>64826</v>
      </c>
      <c r="BC36" s="804">
        <v>2560472.7999999998</v>
      </c>
      <c r="BD36" s="412">
        <f t="shared" si="64"/>
        <v>186284.5</v>
      </c>
      <c r="BE36" s="804">
        <v>0</v>
      </c>
      <c r="BF36" s="804">
        <v>12302.1</v>
      </c>
      <c r="BG36" s="804">
        <v>4097.7</v>
      </c>
      <c r="BH36" s="804">
        <v>160416</v>
      </c>
      <c r="BI36" s="413">
        <f t="shared" si="65"/>
        <v>176815.80000000002</v>
      </c>
      <c r="BJ36" s="298" t="s">
        <v>957</v>
      </c>
      <c r="BK36" s="412"/>
      <c r="BL36" s="460">
        <v>-4.88</v>
      </c>
      <c r="BM36" s="460">
        <v>-1.9</v>
      </c>
      <c r="BN36" s="460">
        <v>3.51</v>
      </c>
      <c r="BO36" s="460">
        <v>2.2000000000000002</v>
      </c>
      <c r="BP36" s="460">
        <v>2.44</v>
      </c>
      <c r="BQ36" s="460" t="s">
        <v>603</v>
      </c>
      <c r="BR36" s="460" t="s">
        <v>603</v>
      </c>
      <c r="BS36" s="696" t="s">
        <v>603</v>
      </c>
      <c r="BT36" s="696">
        <v>9576</v>
      </c>
      <c r="BU36" s="696">
        <v>3707</v>
      </c>
      <c r="BV36" s="460">
        <f t="shared" si="66"/>
        <v>98.343094868195891</v>
      </c>
      <c r="BW36" s="460">
        <f t="shared" si="67"/>
        <v>92.164738930659979</v>
      </c>
      <c r="BX36" s="460">
        <f t="shared" si="68"/>
        <v>90.637656641604011</v>
      </c>
      <c r="BY36" s="460">
        <f t="shared" si="69"/>
        <v>8.5027294279836596</v>
      </c>
      <c r="BZ36" s="460">
        <v>5</v>
      </c>
      <c r="CA36" s="460">
        <v>5.29</v>
      </c>
      <c r="CB36" s="460">
        <v>9.94</v>
      </c>
      <c r="CC36" s="460">
        <f t="shared" si="70"/>
        <v>4.6499999999999995</v>
      </c>
      <c r="CD36" s="460">
        <v>8.5299999999999994</v>
      </c>
      <c r="CE36" s="460">
        <v>12.35</v>
      </c>
      <c r="CF36" s="460">
        <f t="shared" si="71"/>
        <v>3.8200000000000003</v>
      </c>
      <c r="CG36" s="460"/>
      <c r="CH36" s="460"/>
    </row>
    <row r="37" spans="1:86" s="459" customFormat="1" ht="13.9" customHeight="1">
      <c r="I37" s="517" t="s">
        <v>950</v>
      </c>
      <c r="J37" s="497"/>
      <c r="K37" s="798">
        <v>121819.4</v>
      </c>
      <c r="L37" s="798">
        <v>1537.1</v>
      </c>
      <c r="M37" s="798">
        <f t="shared" si="51"/>
        <v>123356.5</v>
      </c>
      <c r="N37" s="798">
        <v>10203.1</v>
      </c>
      <c r="O37" s="798">
        <f t="shared" si="52"/>
        <v>113153.4</v>
      </c>
      <c r="P37" s="798">
        <v>16042.7</v>
      </c>
      <c r="Q37" s="798">
        <v>59153.3</v>
      </c>
      <c r="R37" s="798">
        <v>90660.7</v>
      </c>
      <c r="S37" s="774">
        <v>749607.5</v>
      </c>
      <c r="T37" s="498">
        <f t="shared" si="53"/>
        <v>840268.2</v>
      </c>
      <c r="U37" s="798">
        <f t="shared" si="54"/>
        <v>899421.5</v>
      </c>
      <c r="V37" s="798">
        <v>632.20000000000005</v>
      </c>
      <c r="W37" s="498">
        <f t="shared" si="55"/>
        <v>204446.3</v>
      </c>
      <c r="X37" s="498">
        <f t="shared" si="56"/>
        <v>954053.8</v>
      </c>
      <c r="Y37" s="774" t="s">
        <v>603</v>
      </c>
      <c r="Z37" s="774" t="s">
        <v>603</v>
      </c>
      <c r="AA37" s="517" t="s">
        <v>950</v>
      </c>
      <c r="AB37" s="498">
        <v>0</v>
      </c>
      <c r="AC37" s="798">
        <v>15103.6</v>
      </c>
      <c r="AD37" s="798">
        <v>673766.5</v>
      </c>
      <c r="AE37" s="498">
        <f t="shared" si="57"/>
        <v>688870.1</v>
      </c>
      <c r="AF37" s="498">
        <v>0</v>
      </c>
      <c r="AG37" s="798">
        <v>1456.2</v>
      </c>
      <c r="AH37" s="798">
        <v>22786.7</v>
      </c>
      <c r="AI37" s="498">
        <f t="shared" si="58"/>
        <v>24242.9</v>
      </c>
      <c r="AJ37" s="802">
        <v>10449</v>
      </c>
      <c r="AK37" s="802">
        <v>154758.1</v>
      </c>
      <c r="AL37" s="802">
        <v>15544.9</v>
      </c>
      <c r="AM37" s="803">
        <f t="shared" si="59"/>
        <v>170303</v>
      </c>
      <c r="AN37" s="498">
        <f t="shared" si="72"/>
        <v>10449</v>
      </c>
      <c r="AO37" s="498">
        <f t="shared" si="72"/>
        <v>171317.9</v>
      </c>
      <c r="AP37" s="498">
        <f t="shared" si="72"/>
        <v>712098.1</v>
      </c>
      <c r="AQ37" s="498">
        <f t="shared" si="72"/>
        <v>883416</v>
      </c>
      <c r="AR37" s="517" t="s">
        <v>950</v>
      </c>
      <c r="AS37" s="798">
        <v>5751.9</v>
      </c>
      <c r="AT37" s="798">
        <v>22994.6</v>
      </c>
      <c r="AU37" s="798">
        <v>10276.5</v>
      </c>
      <c r="AV37" s="798">
        <v>101.6</v>
      </c>
      <c r="AW37" s="798">
        <f>899473.3-13.7</f>
        <v>899459.60000000009</v>
      </c>
      <c r="AX37" s="798">
        <v>6050.4</v>
      </c>
      <c r="AY37" s="498">
        <f t="shared" si="61"/>
        <v>905510.00000000012</v>
      </c>
      <c r="AZ37" s="498">
        <f t="shared" si="62"/>
        <v>58858.150000000009</v>
      </c>
      <c r="BA37" s="498">
        <f t="shared" si="63"/>
        <v>8651.3499999999913</v>
      </c>
      <c r="BB37" s="798">
        <v>67509.5</v>
      </c>
      <c r="BC37" s="798">
        <v>2461740.5</v>
      </c>
      <c r="BD37" s="497">
        <f t="shared" si="64"/>
        <v>190866</v>
      </c>
      <c r="BE37" s="798">
        <v>0</v>
      </c>
      <c r="BF37" s="798">
        <v>12245.2</v>
      </c>
      <c r="BG37" s="798">
        <v>3398.5</v>
      </c>
      <c r="BH37" s="798">
        <v>153465.79999999999</v>
      </c>
      <c r="BI37" s="498">
        <f t="shared" si="65"/>
        <v>169109.5</v>
      </c>
      <c r="BJ37" s="517" t="s">
        <v>950</v>
      </c>
      <c r="BK37" s="497"/>
      <c r="BL37" s="505">
        <v>-13.64</v>
      </c>
      <c r="BM37" s="505">
        <v>2.0499999999999998</v>
      </c>
      <c r="BN37" s="505">
        <v>6.86</v>
      </c>
      <c r="BO37" s="505">
        <v>3.84</v>
      </c>
      <c r="BP37" s="505">
        <v>4.1100000000000003</v>
      </c>
      <c r="BQ37" s="505" t="s">
        <v>603</v>
      </c>
      <c r="BR37" s="505" t="s">
        <v>603</v>
      </c>
      <c r="BS37" s="506" t="s">
        <v>603</v>
      </c>
      <c r="BT37" s="506">
        <v>9654</v>
      </c>
      <c r="BU37" s="506">
        <v>3710</v>
      </c>
      <c r="BV37" s="505">
        <f t="shared" si="66"/>
        <v>98.216306769086671</v>
      </c>
      <c r="BW37" s="505">
        <f t="shared" si="67"/>
        <v>93.169629169256282</v>
      </c>
      <c r="BX37" s="505">
        <f t="shared" si="68"/>
        <v>91.507768800497203</v>
      </c>
      <c r="BY37" s="505">
        <f t="shared" si="69"/>
        <v>8.6399211259738617</v>
      </c>
      <c r="BZ37" s="505">
        <v>5</v>
      </c>
      <c r="CA37" s="505">
        <v>5.22</v>
      </c>
      <c r="CB37" s="505">
        <v>9.93</v>
      </c>
      <c r="CC37" s="505">
        <f t="shared" si="70"/>
        <v>4.71</v>
      </c>
      <c r="CD37" s="505">
        <v>8.4700000000000006</v>
      </c>
      <c r="CE37" s="505">
        <v>12.32</v>
      </c>
      <c r="CF37" s="505">
        <f t="shared" si="71"/>
        <v>3.8499999999999996</v>
      </c>
      <c r="CG37" s="460"/>
      <c r="CH37" s="460"/>
    </row>
    <row r="38" spans="1:86" s="459" customFormat="1" ht="13.9" customHeight="1">
      <c r="I38" s="298" t="s">
        <v>958</v>
      </c>
      <c r="J38" s="412"/>
      <c r="K38" s="804">
        <v>121448.2</v>
      </c>
      <c r="L38" s="804">
        <v>1530.9</v>
      </c>
      <c r="M38" s="804">
        <f t="shared" si="51"/>
        <v>122979.09999999999</v>
      </c>
      <c r="N38" s="804">
        <v>10411.5</v>
      </c>
      <c r="O38" s="804">
        <f t="shared" si="52"/>
        <v>112567.59999999999</v>
      </c>
      <c r="P38" s="804">
        <v>13996.6</v>
      </c>
      <c r="Q38" s="804">
        <v>56584.7</v>
      </c>
      <c r="R38" s="804">
        <v>85567.2</v>
      </c>
      <c r="S38" s="808">
        <v>752788.2</v>
      </c>
      <c r="T38" s="413">
        <f t="shared" si="53"/>
        <v>838355.39999999991</v>
      </c>
      <c r="U38" s="413">
        <f t="shared" si="54"/>
        <v>894940.09999999986</v>
      </c>
      <c r="V38" s="804">
        <v>659.9</v>
      </c>
      <c r="W38" s="413">
        <f t="shared" si="55"/>
        <v>198794.69999999998</v>
      </c>
      <c r="X38" s="413">
        <f t="shared" si="56"/>
        <v>951582.89999999991</v>
      </c>
      <c r="Y38" s="808" t="s">
        <v>603</v>
      </c>
      <c r="Z38" s="808" t="s">
        <v>603</v>
      </c>
      <c r="AA38" s="298" t="s">
        <v>958</v>
      </c>
      <c r="AB38" s="413">
        <v>0</v>
      </c>
      <c r="AC38" s="804">
        <v>15074.9</v>
      </c>
      <c r="AD38" s="804">
        <v>676993.6</v>
      </c>
      <c r="AE38" s="413">
        <f t="shared" si="57"/>
        <v>692068.5</v>
      </c>
      <c r="AF38" s="413">
        <v>0</v>
      </c>
      <c r="AG38" s="804">
        <v>1503.8</v>
      </c>
      <c r="AH38" s="804">
        <v>22208.1</v>
      </c>
      <c r="AI38" s="413">
        <f t="shared" si="58"/>
        <v>23711.899999999998</v>
      </c>
      <c r="AJ38" s="833">
        <v>10186.700000000001</v>
      </c>
      <c r="AK38" s="833">
        <v>153571.1</v>
      </c>
      <c r="AL38" s="833">
        <v>15285.6</v>
      </c>
      <c r="AM38" s="778">
        <f t="shared" si="59"/>
        <v>168856.7</v>
      </c>
      <c r="AN38" s="413">
        <f t="shared" si="72"/>
        <v>10186.700000000001</v>
      </c>
      <c r="AO38" s="413">
        <f t="shared" si="72"/>
        <v>170149.80000000002</v>
      </c>
      <c r="AP38" s="413">
        <f t="shared" si="72"/>
        <v>714487.29999999993</v>
      </c>
      <c r="AQ38" s="413">
        <f t="shared" si="72"/>
        <v>884637.10000000009</v>
      </c>
      <c r="AR38" s="298" t="s">
        <v>958</v>
      </c>
      <c r="AS38" s="804">
        <v>5672.9</v>
      </c>
      <c r="AT38" s="804">
        <v>23582.7</v>
      </c>
      <c r="AU38" s="804">
        <v>11833.9</v>
      </c>
      <c r="AV38" s="804">
        <v>91.4</v>
      </c>
      <c r="AW38" s="804">
        <f>894989.4-18.3</f>
        <v>894971.1</v>
      </c>
      <c r="AX38" s="804">
        <v>5691.9</v>
      </c>
      <c r="AY38" s="413">
        <f t="shared" si="61"/>
        <v>900663</v>
      </c>
      <c r="AZ38" s="413">
        <f t="shared" si="62"/>
        <v>58543.095000000001</v>
      </c>
      <c r="BA38" s="413">
        <f t="shared" si="63"/>
        <v>6380.1049999999959</v>
      </c>
      <c r="BB38" s="804">
        <v>64923.199999999997</v>
      </c>
      <c r="BC38" s="804">
        <v>2488204.2000000002</v>
      </c>
      <c r="BD38" s="412">
        <f t="shared" si="64"/>
        <v>187902.3</v>
      </c>
      <c r="BE38" s="804">
        <v>0</v>
      </c>
      <c r="BF38" s="804">
        <v>10096.6</v>
      </c>
      <c r="BG38" s="804">
        <v>3503</v>
      </c>
      <c r="BH38" s="804">
        <v>152278.1</v>
      </c>
      <c r="BI38" s="413">
        <f t="shared" si="65"/>
        <v>165877.70000000001</v>
      </c>
      <c r="BJ38" s="298" t="s">
        <v>958</v>
      </c>
      <c r="BK38" s="412"/>
      <c r="BL38" s="460">
        <v>-15.64</v>
      </c>
      <c r="BM38" s="460">
        <v>1.1599999999999999</v>
      </c>
      <c r="BN38" s="460">
        <v>7.2</v>
      </c>
      <c r="BO38" s="460">
        <v>3.83</v>
      </c>
      <c r="BP38" s="460">
        <v>3.84</v>
      </c>
      <c r="BQ38" s="460" t="s">
        <v>603</v>
      </c>
      <c r="BR38" s="460" t="s">
        <v>603</v>
      </c>
      <c r="BS38" s="696" t="s">
        <v>603</v>
      </c>
      <c r="BT38" s="696">
        <v>9663</v>
      </c>
      <c r="BU38" s="696">
        <v>3710</v>
      </c>
      <c r="BV38" s="460">
        <f t="shared" ref="BV38:BV39" si="73">AQ38/AW38*100</f>
        <v>98.845325843482556</v>
      </c>
      <c r="BW38" s="460">
        <f t="shared" ref="BW38:BW39" si="74">AW38/BT38</f>
        <v>92.618348339025147</v>
      </c>
      <c r="BX38" s="460">
        <f t="shared" si="68"/>
        <v>91.548908206561123</v>
      </c>
      <c r="BY38" s="460">
        <f t="shared" si="69"/>
        <v>8.4175567233400059</v>
      </c>
      <c r="BZ38" s="460">
        <v>5</v>
      </c>
      <c r="CA38" s="460">
        <v>5.13</v>
      </c>
      <c r="CB38" s="460">
        <v>9.85</v>
      </c>
      <c r="CC38" s="460">
        <f t="shared" si="70"/>
        <v>4.72</v>
      </c>
      <c r="CD38" s="460">
        <v>8.42</v>
      </c>
      <c r="CE38" s="460">
        <v>12.26</v>
      </c>
      <c r="CF38" s="460">
        <f t="shared" si="71"/>
        <v>3.84</v>
      </c>
      <c r="CG38" s="460"/>
      <c r="CH38" s="460"/>
    </row>
    <row r="39" spans="1:86" s="459" customFormat="1" ht="13.9" customHeight="1">
      <c r="I39" s="517" t="s">
        <v>959</v>
      </c>
      <c r="J39" s="497"/>
      <c r="K39" s="798">
        <v>121980.9</v>
      </c>
      <c r="L39" s="798">
        <v>1526.9</v>
      </c>
      <c r="M39" s="798">
        <f t="shared" si="51"/>
        <v>123507.79999999999</v>
      </c>
      <c r="N39" s="798">
        <v>11008.1</v>
      </c>
      <c r="O39" s="798">
        <f t="shared" si="52"/>
        <v>112499.69999999998</v>
      </c>
      <c r="P39" s="798">
        <v>13553.8</v>
      </c>
      <c r="Q39" s="798">
        <v>56185.7</v>
      </c>
      <c r="R39" s="798">
        <v>87571.7</v>
      </c>
      <c r="S39" s="774">
        <v>757175.2</v>
      </c>
      <c r="T39" s="774">
        <f t="shared" si="53"/>
        <v>844746.89999999991</v>
      </c>
      <c r="U39" s="774">
        <f t="shared" si="54"/>
        <v>900932.59999999986</v>
      </c>
      <c r="V39" s="798">
        <v>639.9</v>
      </c>
      <c r="W39" s="498">
        <f t="shared" si="55"/>
        <v>200711.29999999996</v>
      </c>
      <c r="X39" s="498">
        <f t="shared" si="56"/>
        <v>957886.49999999988</v>
      </c>
      <c r="Y39" s="774" t="s">
        <v>603</v>
      </c>
      <c r="Z39" s="774" t="s">
        <v>603</v>
      </c>
      <c r="AA39" s="517" t="s">
        <v>959</v>
      </c>
      <c r="AB39" s="498">
        <v>0</v>
      </c>
      <c r="AC39" s="798">
        <v>14269.2</v>
      </c>
      <c r="AD39" s="798">
        <v>682365.3</v>
      </c>
      <c r="AE39" s="498">
        <f t="shared" si="57"/>
        <v>696634.5</v>
      </c>
      <c r="AF39" s="498">
        <v>0</v>
      </c>
      <c r="AG39" s="798">
        <v>1512.7</v>
      </c>
      <c r="AH39" s="798">
        <v>25338.400000000001</v>
      </c>
      <c r="AI39" s="498">
        <f t="shared" si="58"/>
        <v>26851.100000000002</v>
      </c>
      <c r="AJ39" s="802">
        <v>11546.2</v>
      </c>
      <c r="AK39" s="802">
        <v>152293.5</v>
      </c>
      <c r="AL39" s="802">
        <v>15157.7</v>
      </c>
      <c r="AM39" s="803">
        <f t="shared" si="59"/>
        <v>167451.20000000001</v>
      </c>
      <c r="AN39" s="498">
        <f t="shared" si="72"/>
        <v>11546.2</v>
      </c>
      <c r="AO39" s="498">
        <f t="shared" si="72"/>
        <v>168075.4</v>
      </c>
      <c r="AP39" s="498">
        <f t="shared" si="72"/>
        <v>722861.4</v>
      </c>
      <c r="AQ39" s="498">
        <f t="shared" si="72"/>
        <v>890936.8</v>
      </c>
      <c r="AR39" s="517" t="s">
        <v>959</v>
      </c>
      <c r="AS39" s="798">
        <v>6046.6</v>
      </c>
      <c r="AT39" s="798">
        <v>23421.4</v>
      </c>
      <c r="AU39" s="798">
        <v>14419.1</v>
      </c>
      <c r="AV39" s="798">
        <v>148.9</v>
      </c>
      <c r="AW39" s="798">
        <f>900982.2-18.3</f>
        <v>900963.89999999991</v>
      </c>
      <c r="AX39" s="798">
        <v>5639.1</v>
      </c>
      <c r="AY39" s="498">
        <f t="shared" si="61"/>
        <v>906602.99999999988</v>
      </c>
      <c r="AZ39" s="498">
        <f t="shared" si="62"/>
        <v>58929.194999999992</v>
      </c>
      <c r="BA39" s="498">
        <f t="shared" si="63"/>
        <v>8176.0050000000047</v>
      </c>
      <c r="BB39" s="798">
        <v>67105.2</v>
      </c>
      <c r="BC39" s="798">
        <v>2254175.5</v>
      </c>
      <c r="BD39" s="497">
        <f t="shared" si="64"/>
        <v>190613</v>
      </c>
      <c r="BE39" s="798">
        <v>0</v>
      </c>
      <c r="BF39" s="798">
        <v>10111</v>
      </c>
      <c r="BG39" s="798">
        <v>3287.3</v>
      </c>
      <c r="BH39" s="798">
        <v>151005.79999999999</v>
      </c>
      <c r="BI39" s="498">
        <f t="shared" si="65"/>
        <v>164404.09999999998</v>
      </c>
      <c r="BJ39" s="517" t="s">
        <v>959</v>
      </c>
      <c r="BK39" s="497"/>
      <c r="BL39" s="505">
        <v>-18.12</v>
      </c>
      <c r="BM39" s="505">
        <v>-2.48</v>
      </c>
      <c r="BN39" s="505">
        <v>8.4499999999999993</v>
      </c>
      <c r="BO39" s="505">
        <v>4.4400000000000004</v>
      </c>
      <c r="BP39" s="505">
        <v>4.53</v>
      </c>
      <c r="BQ39" s="505" t="s">
        <v>603</v>
      </c>
      <c r="BR39" s="505" t="s">
        <v>603</v>
      </c>
      <c r="BS39" s="506" t="s">
        <v>603</v>
      </c>
      <c r="BT39" s="506">
        <v>9667</v>
      </c>
      <c r="BU39" s="506">
        <v>3710</v>
      </c>
      <c r="BV39" s="505">
        <f t="shared" si="73"/>
        <v>98.887069726101146</v>
      </c>
      <c r="BW39" s="505">
        <f t="shared" si="74"/>
        <v>93.199948277645589</v>
      </c>
      <c r="BX39" s="505">
        <f t="shared" si="68"/>
        <v>92.162697838005585</v>
      </c>
      <c r="BY39" s="505">
        <f t="shared" si="69"/>
        <v>8.6699700176666354</v>
      </c>
      <c r="BZ39" s="505">
        <v>5</v>
      </c>
      <c r="CA39" s="505">
        <v>5.08</v>
      </c>
      <c r="CB39" s="505">
        <v>9.77</v>
      </c>
      <c r="CC39" s="505">
        <f t="shared" si="70"/>
        <v>4.6899999999999995</v>
      </c>
      <c r="CD39" s="505">
        <v>8.3800000000000008</v>
      </c>
      <c r="CE39" s="505">
        <v>12.19</v>
      </c>
      <c r="CF39" s="505">
        <f t="shared" si="71"/>
        <v>3.8099999999999987</v>
      </c>
      <c r="CG39" s="460"/>
      <c r="CH39" s="460"/>
    </row>
    <row r="40" spans="1:86" s="459" customFormat="1" ht="13.9" customHeight="1">
      <c r="I40" s="298" t="s">
        <v>951</v>
      </c>
      <c r="J40" s="412"/>
      <c r="K40" s="804">
        <v>122950.3</v>
      </c>
      <c r="L40" s="804">
        <v>1524.5</v>
      </c>
      <c r="M40" s="804">
        <f t="shared" si="51"/>
        <v>124474.8</v>
      </c>
      <c r="N40" s="804">
        <v>10364.9</v>
      </c>
      <c r="O40" s="804">
        <f t="shared" si="52"/>
        <v>114109.90000000001</v>
      </c>
      <c r="P40" s="804">
        <v>14867.7</v>
      </c>
      <c r="Q40" s="804">
        <v>55992.2</v>
      </c>
      <c r="R40" s="804">
        <v>87858.8</v>
      </c>
      <c r="S40" s="808">
        <v>762214.40000000002</v>
      </c>
      <c r="T40" s="808">
        <f t="shared" si="53"/>
        <v>850073.20000000007</v>
      </c>
      <c r="U40" s="808">
        <f t="shared" si="54"/>
        <v>906065.4</v>
      </c>
      <c r="V40" s="804">
        <v>640</v>
      </c>
      <c r="W40" s="413">
        <f t="shared" si="55"/>
        <v>202608.7</v>
      </c>
      <c r="X40" s="413">
        <f t="shared" si="56"/>
        <v>964823.10000000009</v>
      </c>
      <c r="Y40" s="808" t="s">
        <v>603</v>
      </c>
      <c r="Z40" s="808" t="s">
        <v>603</v>
      </c>
      <c r="AA40" s="298" t="s">
        <v>951</v>
      </c>
      <c r="AB40" s="413">
        <v>0</v>
      </c>
      <c r="AC40" s="804">
        <v>14859.8</v>
      </c>
      <c r="AD40" s="804">
        <v>692987</v>
      </c>
      <c r="AE40" s="413">
        <f t="shared" si="57"/>
        <v>707846.8</v>
      </c>
      <c r="AF40" s="413">
        <v>0</v>
      </c>
      <c r="AG40" s="804">
        <v>1491</v>
      </c>
      <c r="AH40" s="804">
        <v>25630.9</v>
      </c>
      <c r="AI40" s="413">
        <f t="shared" si="58"/>
        <v>27121.9</v>
      </c>
      <c r="AJ40" s="833">
        <v>12271.2</v>
      </c>
      <c r="AK40" s="833">
        <v>149580.9</v>
      </c>
      <c r="AL40" s="833">
        <v>15156.1</v>
      </c>
      <c r="AM40" s="778">
        <f t="shared" si="59"/>
        <v>164737</v>
      </c>
      <c r="AN40" s="413">
        <f t="shared" si="72"/>
        <v>12271.2</v>
      </c>
      <c r="AO40" s="413">
        <f t="shared" si="72"/>
        <v>165931.69999999998</v>
      </c>
      <c r="AP40" s="413">
        <f t="shared" si="72"/>
        <v>733774</v>
      </c>
      <c r="AQ40" s="413">
        <f t="shared" si="72"/>
        <v>899705.70000000007</v>
      </c>
      <c r="AR40" s="298" t="s">
        <v>951</v>
      </c>
      <c r="AS40" s="804">
        <v>6911.3</v>
      </c>
      <c r="AT40" s="804">
        <v>23591.8</v>
      </c>
      <c r="AU40" s="804">
        <v>15950</v>
      </c>
      <c r="AV40" s="804">
        <v>117.2</v>
      </c>
      <c r="AW40" s="804">
        <f>906113.9-18</f>
        <v>906095.9</v>
      </c>
      <c r="AX40" s="804">
        <v>5632.4</v>
      </c>
      <c r="AY40" s="413">
        <f t="shared" si="61"/>
        <v>911728.3</v>
      </c>
      <c r="AZ40" s="413">
        <f t="shared" si="62"/>
        <v>59262.339500000002</v>
      </c>
      <c r="BA40" s="413">
        <f t="shared" si="63"/>
        <v>8236.0604999999923</v>
      </c>
      <c r="BB40" s="804">
        <v>67498.399999999994</v>
      </c>
      <c r="BC40" s="804">
        <v>2107250</v>
      </c>
      <c r="BD40" s="412">
        <f t="shared" si="64"/>
        <v>191973.2</v>
      </c>
      <c r="BE40" s="804">
        <v>0</v>
      </c>
      <c r="BF40" s="804">
        <v>10017.5</v>
      </c>
      <c r="BG40" s="804">
        <v>3182.7</v>
      </c>
      <c r="BH40" s="804">
        <v>148310</v>
      </c>
      <c r="BI40" s="413">
        <f t="shared" si="65"/>
        <v>161510.20000000001</v>
      </c>
      <c r="BJ40" s="298" t="s">
        <v>951</v>
      </c>
      <c r="BK40" s="412"/>
      <c r="BL40" s="460">
        <v>-20.93</v>
      </c>
      <c r="BM40" s="460">
        <v>1.48</v>
      </c>
      <c r="BN40" s="460">
        <v>10.08</v>
      </c>
      <c r="BO40" s="460">
        <v>5.49</v>
      </c>
      <c r="BP40" s="460">
        <v>5.29</v>
      </c>
      <c r="BQ40" s="460" t="s">
        <v>603</v>
      </c>
      <c r="BR40" s="460" t="s">
        <v>603</v>
      </c>
      <c r="BS40" s="696" t="s">
        <v>603</v>
      </c>
      <c r="BT40" s="696">
        <v>9680</v>
      </c>
      <c r="BU40" s="696">
        <v>3712</v>
      </c>
      <c r="BV40" s="460">
        <f t="shared" ref="BV40:BV41" si="75">AQ40/AW40*100</f>
        <v>99.294754561851576</v>
      </c>
      <c r="BW40" s="460">
        <f t="shared" ref="BW40:BW41" si="76">AW40/BT40</f>
        <v>93.604948347107438</v>
      </c>
      <c r="BX40" s="460">
        <f t="shared" ref="BX40:BX43" si="77">AQ40/BT40</f>
        <v>92.944803719008277</v>
      </c>
      <c r="BY40" s="460">
        <f t="shared" si="69"/>
        <v>8.5932736258932394</v>
      </c>
      <c r="BZ40" s="460">
        <v>5</v>
      </c>
      <c r="CA40" s="460">
        <v>5.01</v>
      </c>
      <c r="CB40" s="460">
        <v>9.6999999999999993</v>
      </c>
      <c r="CC40" s="460">
        <f t="shared" si="70"/>
        <v>4.6899999999999995</v>
      </c>
      <c r="CD40" s="460">
        <v>8.34</v>
      </c>
      <c r="CE40" s="460">
        <v>12.07</v>
      </c>
      <c r="CF40" s="460">
        <f t="shared" si="71"/>
        <v>3.7300000000000004</v>
      </c>
      <c r="CG40" s="460"/>
      <c r="CH40" s="460"/>
    </row>
    <row r="41" spans="1:86" s="459" customFormat="1" ht="13.9" customHeight="1">
      <c r="I41" s="517" t="s">
        <v>960</v>
      </c>
      <c r="J41" s="497"/>
      <c r="K41" s="798">
        <v>123343.2</v>
      </c>
      <c r="L41" s="798">
        <v>1519.5</v>
      </c>
      <c r="M41" s="798">
        <f t="shared" si="51"/>
        <v>124862.7</v>
      </c>
      <c r="N41" s="798">
        <v>11105.2</v>
      </c>
      <c r="O41" s="798">
        <f t="shared" si="52"/>
        <v>113757.5</v>
      </c>
      <c r="P41" s="798">
        <v>16205.6</v>
      </c>
      <c r="Q41" s="798">
        <v>60389.9</v>
      </c>
      <c r="R41" s="798">
        <v>89877.1</v>
      </c>
      <c r="S41" s="774">
        <v>766967.7</v>
      </c>
      <c r="T41" s="774">
        <f t="shared" si="53"/>
        <v>856844.79999999993</v>
      </c>
      <c r="U41" s="774">
        <f t="shared" si="54"/>
        <v>917234.7</v>
      </c>
      <c r="V41" s="798">
        <v>661.4</v>
      </c>
      <c r="W41" s="498">
        <f t="shared" si="55"/>
        <v>204296</v>
      </c>
      <c r="X41" s="498">
        <f t="shared" si="56"/>
        <v>971263.7</v>
      </c>
      <c r="Y41" s="774" t="s">
        <v>603</v>
      </c>
      <c r="Z41" s="774" t="s">
        <v>603</v>
      </c>
      <c r="AA41" s="517" t="s">
        <v>960</v>
      </c>
      <c r="AB41" s="498">
        <v>0</v>
      </c>
      <c r="AC41" s="798">
        <v>15362.5</v>
      </c>
      <c r="AD41" s="798">
        <v>702753.8</v>
      </c>
      <c r="AE41" s="498">
        <f t="shared" si="57"/>
        <v>718116.3</v>
      </c>
      <c r="AF41" s="498">
        <v>0</v>
      </c>
      <c r="AG41" s="798">
        <v>1534.1</v>
      </c>
      <c r="AH41" s="798">
        <v>25793.200000000001</v>
      </c>
      <c r="AI41" s="498">
        <f t="shared" si="58"/>
        <v>27327.3</v>
      </c>
      <c r="AJ41" s="802">
        <v>11555.4</v>
      </c>
      <c r="AK41" s="802">
        <v>144420.9</v>
      </c>
      <c r="AL41" s="802">
        <v>15827.9</v>
      </c>
      <c r="AM41" s="803">
        <f t="shared" si="59"/>
        <v>160248.79999999999</v>
      </c>
      <c r="AN41" s="498">
        <f t="shared" si="72"/>
        <v>11555.4</v>
      </c>
      <c r="AO41" s="498">
        <f t="shared" si="72"/>
        <v>161317.5</v>
      </c>
      <c r="AP41" s="498">
        <f t="shared" si="72"/>
        <v>744374.9</v>
      </c>
      <c r="AQ41" s="498">
        <f t="shared" si="72"/>
        <v>905692.40000000014</v>
      </c>
      <c r="AR41" s="517" t="s">
        <v>960</v>
      </c>
      <c r="AS41" s="798">
        <v>6672.1</v>
      </c>
      <c r="AT41" s="798">
        <v>23479.7</v>
      </c>
      <c r="AU41" s="798">
        <v>16417.5</v>
      </c>
      <c r="AV41" s="798">
        <v>40.1</v>
      </c>
      <c r="AW41" s="798">
        <f>917283.4-17.9</f>
        <v>917265.5</v>
      </c>
      <c r="AX41" s="798">
        <v>5665.6</v>
      </c>
      <c r="AY41" s="498">
        <f t="shared" si="61"/>
        <v>922931.1</v>
      </c>
      <c r="AZ41" s="498">
        <f t="shared" si="62"/>
        <v>59990.521500000003</v>
      </c>
      <c r="BA41" s="498">
        <f t="shared" si="63"/>
        <v>5989.6784999999945</v>
      </c>
      <c r="BB41" s="798">
        <v>65980.2</v>
      </c>
      <c r="BC41" s="798">
        <v>2121313.7000000002</v>
      </c>
      <c r="BD41" s="497">
        <f t="shared" si="64"/>
        <v>190842.9</v>
      </c>
      <c r="BE41" s="798">
        <v>0</v>
      </c>
      <c r="BF41" s="798">
        <v>10016.200000000001</v>
      </c>
      <c r="BG41" s="798">
        <v>3131.6</v>
      </c>
      <c r="BH41" s="798">
        <v>143183.6</v>
      </c>
      <c r="BI41" s="498">
        <f t="shared" si="65"/>
        <v>156331.40000000002</v>
      </c>
      <c r="BJ41" s="517" t="s">
        <v>960</v>
      </c>
      <c r="BK41" s="497"/>
      <c r="BL41" s="505">
        <v>-26.31</v>
      </c>
      <c r="BM41" s="505">
        <v>5</v>
      </c>
      <c r="BN41" s="505">
        <v>11.66</v>
      </c>
      <c r="BO41" s="505">
        <v>6.11</v>
      </c>
      <c r="BP41" s="505">
        <v>5.99</v>
      </c>
      <c r="BQ41" s="505" t="s">
        <v>603</v>
      </c>
      <c r="BR41" s="505" t="s">
        <v>603</v>
      </c>
      <c r="BS41" s="506" t="s">
        <v>603</v>
      </c>
      <c r="BT41" s="506">
        <v>9691</v>
      </c>
      <c r="BU41" s="506">
        <v>3713</v>
      </c>
      <c r="BV41" s="505">
        <f t="shared" si="75"/>
        <v>98.738304231435734</v>
      </c>
      <c r="BW41" s="505">
        <f t="shared" si="76"/>
        <v>94.651274378289131</v>
      </c>
      <c r="BX41" s="505">
        <f t="shared" si="77"/>
        <v>93.457063254566108</v>
      </c>
      <c r="BY41" s="505">
        <f t="shared" si="69"/>
        <v>8.4038263730621061</v>
      </c>
      <c r="BZ41" s="505">
        <v>5</v>
      </c>
      <c r="CA41" s="505">
        <v>4.97</v>
      </c>
      <c r="CB41" s="505">
        <v>9.6199999999999992</v>
      </c>
      <c r="CC41" s="505">
        <f t="shared" si="70"/>
        <v>4.6499999999999995</v>
      </c>
      <c r="CD41" s="505">
        <v>8.35</v>
      </c>
      <c r="CE41" s="505">
        <v>11.98</v>
      </c>
      <c r="CF41" s="505">
        <f t="shared" si="71"/>
        <v>3.6300000000000008</v>
      </c>
      <c r="CG41" s="460"/>
      <c r="CH41" s="460"/>
    </row>
    <row r="42" spans="1:86" s="459" customFormat="1" ht="13.9" customHeight="1">
      <c r="I42" s="298" t="s">
        <v>961</v>
      </c>
      <c r="J42" s="412"/>
      <c r="K42" s="804">
        <v>127364.5</v>
      </c>
      <c r="L42" s="804">
        <v>1516.8</v>
      </c>
      <c r="M42" s="804">
        <f t="shared" si="51"/>
        <v>128881.3</v>
      </c>
      <c r="N42" s="804">
        <v>11744.8</v>
      </c>
      <c r="O42" s="804">
        <f t="shared" si="52"/>
        <v>117136.5</v>
      </c>
      <c r="P42" s="804">
        <v>17453.900000000001</v>
      </c>
      <c r="Q42" s="804">
        <v>63710.6</v>
      </c>
      <c r="R42" s="804">
        <v>91234.7</v>
      </c>
      <c r="S42" s="808">
        <v>769468.3</v>
      </c>
      <c r="T42" s="804">
        <f t="shared" si="53"/>
        <v>860703</v>
      </c>
      <c r="U42" s="804">
        <f t="shared" si="54"/>
        <v>924413.6</v>
      </c>
      <c r="V42" s="804">
        <v>640.6</v>
      </c>
      <c r="W42" s="413">
        <f t="shared" si="55"/>
        <v>209011.80000000002</v>
      </c>
      <c r="X42" s="413">
        <f t="shared" si="56"/>
        <v>978480.10000000009</v>
      </c>
      <c r="Y42" s="808" t="s">
        <v>603</v>
      </c>
      <c r="Z42" s="808" t="s">
        <v>603</v>
      </c>
      <c r="AA42" s="298" t="s">
        <v>961</v>
      </c>
      <c r="AB42" s="413">
        <v>0</v>
      </c>
      <c r="AC42" s="804">
        <v>15656.6</v>
      </c>
      <c r="AD42" s="804">
        <v>712156.9</v>
      </c>
      <c r="AE42" s="413">
        <f t="shared" si="57"/>
        <v>727813.5</v>
      </c>
      <c r="AF42" s="413">
        <v>0</v>
      </c>
      <c r="AG42" s="804">
        <v>1647</v>
      </c>
      <c r="AH42" s="804">
        <v>26112.9</v>
      </c>
      <c r="AI42" s="413">
        <f t="shared" si="58"/>
        <v>27759.9</v>
      </c>
      <c r="AJ42" s="833">
        <v>11632.9</v>
      </c>
      <c r="AK42" s="833">
        <v>140677.6</v>
      </c>
      <c r="AL42" s="833">
        <v>15597</v>
      </c>
      <c r="AM42" s="778">
        <f t="shared" si="59"/>
        <v>156274.6</v>
      </c>
      <c r="AN42" s="413">
        <f t="shared" si="72"/>
        <v>11632.9</v>
      </c>
      <c r="AO42" s="413">
        <f t="shared" si="72"/>
        <v>157981.20000000001</v>
      </c>
      <c r="AP42" s="413">
        <f t="shared" si="72"/>
        <v>753866.8</v>
      </c>
      <c r="AQ42" s="413">
        <f t="shared" si="72"/>
        <v>911848</v>
      </c>
      <c r="AR42" s="298" t="s">
        <v>961</v>
      </c>
      <c r="AS42" s="804">
        <v>6870</v>
      </c>
      <c r="AT42" s="804">
        <v>22930.2</v>
      </c>
      <c r="AU42" s="804">
        <v>17212.099999999999</v>
      </c>
      <c r="AV42" s="804">
        <v>29.9</v>
      </c>
      <c r="AW42" s="804">
        <f>924462.3-22.29</f>
        <v>924440.01</v>
      </c>
      <c r="AX42" s="804">
        <v>6034.8</v>
      </c>
      <c r="AY42" s="413">
        <f t="shared" si="61"/>
        <v>930474.81</v>
      </c>
      <c r="AZ42" s="413">
        <f t="shared" si="62"/>
        <v>60480.862650000003</v>
      </c>
      <c r="BA42" s="413">
        <f t="shared" si="63"/>
        <v>5965.8373499999943</v>
      </c>
      <c r="BB42" s="804">
        <v>66446.7</v>
      </c>
      <c r="BC42" s="804">
        <v>2165057.9</v>
      </c>
      <c r="BD42" s="412">
        <f t="shared" si="64"/>
        <v>195328</v>
      </c>
      <c r="BE42" s="804">
        <v>435.9</v>
      </c>
      <c r="BF42" s="804">
        <v>10023.200000000001</v>
      </c>
      <c r="BG42" s="804">
        <v>3301.7</v>
      </c>
      <c r="BH42" s="804">
        <v>139446.1</v>
      </c>
      <c r="BI42" s="413">
        <f t="shared" si="65"/>
        <v>153206.90000000002</v>
      </c>
      <c r="BJ42" s="298" t="s">
        <v>961</v>
      </c>
      <c r="BK42" s="412"/>
      <c r="BL42" s="460">
        <v>-27.69</v>
      </c>
      <c r="BM42" s="460">
        <v>8.33</v>
      </c>
      <c r="BN42" s="460">
        <v>13.09</v>
      </c>
      <c r="BO42" s="460">
        <v>7.18</v>
      </c>
      <c r="BP42" s="460">
        <v>6.78</v>
      </c>
      <c r="BQ42" s="460" t="s">
        <v>603</v>
      </c>
      <c r="BR42" s="460" t="s">
        <v>603</v>
      </c>
      <c r="BS42" s="696" t="s">
        <v>603</v>
      </c>
      <c r="BT42" s="696">
        <v>9703</v>
      </c>
      <c r="BU42" s="696">
        <v>3713</v>
      </c>
      <c r="BV42" s="460">
        <f t="shared" ref="BV42" si="78">AQ42/AW42*100</f>
        <v>98.637876999720078</v>
      </c>
      <c r="BW42" s="460">
        <f t="shared" ref="BW42" si="79">AW42/BT42</f>
        <v>95.273627743996698</v>
      </c>
      <c r="BX42" s="460">
        <f t="shared" si="77"/>
        <v>93.975883747294645</v>
      </c>
      <c r="BY42" s="460">
        <f t="shared" si="69"/>
        <v>8.4582557174261641</v>
      </c>
      <c r="BZ42" s="460">
        <v>5</v>
      </c>
      <c r="CA42" s="460">
        <v>4.93</v>
      </c>
      <c r="CB42" s="460">
        <v>9.66</v>
      </c>
      <c r="CC42" s="460">
        <f t="shared" si="70"/>
        <v>4.7300000000000004</v>
      </c>
      <c r="CD42" s="460">
        <v>8.3699999999999992</v>
      </c>
      <c r="CE42" s="460">
        <v>11.79</v>
      </c>
      <c r="CF42" s="460">
        <f t="shared" si="71"/>
        <v>3.42</v>
      </c>
      <c r="CG42" s="460"/>
      <c r="CH42" s="460"/>
    </row>
    <row r="43" spans="1:86" s="459" customFormat="1" ht="13.9" customHeight="1" thickBot="1">
      <c r="I43" s="611" t="s">
        <v>952</v>
      </c>
      <c r="J43" s="1418"/>
      <c r="K43" s="1482">
        <v>149724.70000000001</v>
      </c>
      <c r="L43" s="1482">
        <v>1540.5</v>
      </c>
      <c r="M43" s="1482">
        <f t="shared" si="51"/>
        <v>151265.20000000001</v>
      </c>
      <c r="N43" s="1482">
        <v>13733.4</v>
      </c>
      <c r="O43" s="1482">
        <f t="shared" si="52"/>
        <v>137531.80000000002</v>
      </c>
      <c r="P43" s="1482">
        <v>22096.9</v>
      </c>
      <c r="Q43" s="1482">
        <v>64651.3</v>
      </c>
      <c r="R43" s="1482">
        <v>101885.2</v>
      </c>
      <c r="S43" s="1330">
        <v>775997.6</v>
      </c>
      <c r="T43" s="1330">
        <f t="shared" si="53"/>
        <v>877882.79999999993</v>
      </c>
      <c r="U43" s="1482">
        <f t="shared" si="54"/>
        <v>942534.1</v>
      </c>
      <c r="V43" s="1482">
        <v>661.5</v>
      </c>
      <c r="W43" s="1419">
        <f t="shared" si="55"/>
        <v>240078.5</v>
      </c>
      <c r="X43" s="1419">
        <f t="shared" si="56"/>
        <v>1016076.1</v>
      </c>
      <c r="Y43" s="1330" t="s">
        <v>603</v>
      </c>
      <c r="Z43" s="1330" t="s">
        <v>603</v>
      </c>
      <c r="AA43" s="611" t="s">
        <v>952</v>
      </c>
      <c r="AB43" s="1419">
        <v>0</v>
      </c>
      <c r="AC43" s="1482">
        <v>15533.2</v>
      </c>
      <c r="AD43" s="1482">
        <v>728117</v>
      </c>
      <c r="AE43" s="1419">
        <f t="shared" si="57"/>
        <v>743650.2</v>
      </c>
      <c r="AF43" s="1419">
        <v>0</v>
      </c>
      <c r="AG43" s="1482">
        <v>1726.2</v>
      </c>
      <c r="AH43" s="1482">
        <v>27218.5</v>
      </c>
      <c r="AI43" s="1419">
        <f t="shared" si="58"/>
        <v>28944.7</v>
      </c>
      <c r="AJ43" s="1538">
        <v>14073.4</v>
      </c>
      <c r="AK43" s="1538">
        <v>152329.70000000001</v>
      </c>
      <c r="AL43" s="1538">
        <v>15744.2</v>
      </c>
      <c r="AM43" s="1539">
        <f t="shared" si="59"/>
        <v>168073.90000000002</v>
      </c>
      <c r="AN43" s="1419">
        <f t="shared" si="72"/>
        <v>14073.4</v>
      </c>
      <c r="AO43" s="1419">
        <f t="shared" si="72"/>
        <v>169589.1</v>
      </c>
      <c r="AP43" s="1419">
        <f t="shared" si="72"/>
        <v>771079.7</v>
      </c>
      <c r="AQ43" s="1419">
        <f t="shared" si="72"/>
        <v>940668.79999999993</v>
      </c>
      <c r="AR43" s="611" t="s">
        <v>952</v>
      </c>
      <c r="AS43" s="1482">
        <v>7470.4</v>
      </c>
      <c r="AT43" s="1482">
        <v>24394.1</v>
      </c>
      <c r="AU43" s="1482">
        <v>20759.3</v>
      </c>
      <c r="AV43" s="1482">
        <v>62.9</v>
      </c>
      <c r="AW43" s="1482">
        <f>942582.9-24.39</f>
        <v>942558.51</v>
      </c>
      <c r="AX43" s="1482">
        <v>5784.1</v>
      </c>
      <c r="AY43" s="1419">
        <f t="shared" si="61"/>
        <v>948342.61</v>
      </c>
      <c r="AZ43" s="1419">
        <f t="shared" si="62"/>
        <v>61642.269650000002</v>
      </c>
      <c r="BA43" s="1419">
        <f t="shared" si="63"/>
        <v>11090.430349999995</v>
      </c>
      <c r="BB43" s="1482">
        <v>72732.7</v>
      </c>
      <c r="BC43" s="1482">
        <v>2223734.2999999998</v>
      </c>
      <c r="BD43" s="1418">
        <f t="shared" si="64"/>
        <v>223997.90000000002</v>
      </c>
      <c r="BE43" s="1482">
        <v>3015.6</v>
      </c>
      <c r="BF43" s="1482">
        <v>10965</v>
      </c>
      <c r="BG43" s="1482">
        <v>3364.4</v>
      </c>
      <c r="BH43" s="1482">
        <v>151102.29999999999</v>
      </c>
      <c r="BI43" s="1419">
        <f t="shared" si="65"/>
        <v>168447.3</v>
      </c>
      <c r="BJ43" s="611" t="s">
        <v>952</v>
      </c>
      <c r="BK43" s="1418"/>
      <c r="BL43" s="837">
        <v>-14.78</v>
      </c>
      <c r="BM43" s="837">
        <v>7.66</v>
      </c>
      <c r="BN43" s="837">
        <v>15.66</v>
      </c>
      <c r="BO43" s="837">
        <v>11.16</v>
      </c>
      <c r="BP43" s="837">
        <v>10.88</v>
      </c>
      <c r="BQ43" s="837" t="s">
        <v>603</v>
      </c>
      <c r="BR43" s="837" t="s">
        <v>603</v>
      </c>
      <c r="BS43" s="1420" t="s">
        <v>603</v>
      </c>
      <c r="BT43" s="1420">
        <v>9720</v>
      </c>
      <c r="BU43" s="1420">
        <v>3713</v>
      </c>
      <c r="BV43" s="837">
        <f t="shared" ref="BV43" si="80">AQ43/AW43*100</f>
        <v>99.799512711417776</v>
      </c>
      <c r="BW43" s="837">
        <f t="shared" ref="BW43" si="81">AW43/BT43</f>
        <v>96.971040123456788</v>
      </c>
      <c r="BX43" s="837">
        <f t="shared" si="77"/>
        <v>96.776625514403278</v>
      </c>
      <c r="BY43" s="837">
        <f t="shared" si="69"/>
        <v>9.1735525256676098</v>
      </c>
      <c r="BZ43" s="837">
        <v>5</v>
      </c>
      <c r="CA43" s="837">
        <v>4.84</v>
      </c>
      <c r="CB43" s="837">
        <v>9.56</v>
      </c>
      <c r="CC43" s="837">
        <f t="shared" si="70"/>
        <v>4.7200000000000006</v>
      </c>
      <c r="CD43" s="837">
        <v>8.3699999999999992</v>
      </c>
      <c r="CE43" s="837">
        <v>11.69</v>
      </c>
      <c r="CF43" s="837">
        <f t="shared" si="71"/>
        <v>3.3200000000000003</v>
      </c>
      <c r="CG43" s="460"/>
      <c r="CH43" s="460"/>
    </row>
    <row r="44" spans="1:86" s="780" customFormat="1" ht="9" customHeight="1">
      <c r="I44" s="781" t="s">
        <v>305</v>
      </c>
      <c r="J44" s="782" t="s">
        <v>306</v>
      </c>
      <c r="K44" s="1647" t="s">
        <v>2720</v>
      </c>
      <c r="L44" s="1647"/>
      <c r="M44" s="1647"/>
      <c r="N44" s="1647"/>
      <c r="O44" s="1647"/>
      <c r="P44" s="1647"/>
      <c r="Q44" s="1647"/>
      <c r="R44" s="1647"/>
      <c r="S44" s="783" t="s">
        <v>1617</v>
      </c>
      <c r="T44" s="1646" t="s">
        <v>310</v>
      </c>
      <c r="U44" s="1646"/>
      <c r="V44" s="1646"/>
      <c r="W44" s="1646"/>
      <c r="X44" s="1646"/>
      <c r="Y44" s="1646"/>
      <c r="Z44" s="1646"/>
      <c r="AA44" s="784" t="s">
        <v>51</v>
      </c>
      <c r="AB44" s="1646" t="s">
        <v>2625</v>
      </c>
      <c r="AC44" s="1646"/>
      <c r="AD44" s="1646"/>
      <c r="AE44" s="1646"/>
      <c r="AF44" s="1646"/>
      <c r="AG44" s="1646"/>
      <c r="AH44" s="1646"/>
      <c r="AI44" s="1646"/>
      <c r="AJ44" s="785" t="s">
        <v>1618</v>
      </c>
      <c r="AK44" s="1639" t="s">
        <v>2425</v>
      </c>
      <c r="AL44" s="1639"/>
      <c r="AM44" s="1639"/>
      <c r="AN44" s="1639"/>
      <c r="AO44" s="1639"/>
      <c r="AP44" s="1639"/>
      <c r="AQ44" s="1639"/>
      <c r="AR44" s="786"/>
      <c r="AS44" s="787"/>
      <c r="AT44" s="787"/>
      <c r="AU44" s="787"/>
      <c r="AV44" s="787"/>
      <c r="AW44" s="787"/>
      <c r="AX44" s="787"/>
      <c r="AY44" s="413"/>
      <c r="AZ44" s="788" t="s">
        <v>309</v>
      </c>
      <c r="BA44" s="782" t="s">
        <v>2695</v>
      </c>
      <c r="BJ44" s="789" t="s">
        <v>1061</v>
      </c>
      <c r="BK44" s="790"/>
      <c r="BL44" s="1647" t="s">
        <v>2627</v>
      </c>
      <c r="BM44" s="1647"/>
      <c r="BN44" s="1647"/>
      <c r="BO44" s="1647"/>
      <c r="BP44" s="1647"/>
      <c r="BQ44" s="1647"/>
      <c r="BR44" s="1647"/>
      <c r="BS44" s="1647"/>
      <c r="BT44" s="1647"/>
      <c r="BV44" s="867" t="s">
        <v>1884</v>
      </c>
      <c r="BW44" s="782" t="s">
        <v>1885</v>
      </c>
      <c r="BX44" s="782"/>
      <c r="BY44" s="782"/>
      <c r="BZ44" s="782"/>
      <c r="CA44" s="782"/>
      <c r="CB44" s="782"/>
      <c r="CC44" s="782"/>
    </row>
    <row r="45" spans="1:86" s="791" customFormat="1" ht="6.95" customHeight="1">
      <c r="A45" s="780"/>
      <c r="B45" s="780"/>
      <c r="C45" s="780"/>
      <c r="D45" s="780"/>
      <c r="E45" s="780"/>
      <c r="F45" s="780"/>
      <c r="G45" s="780"/>
      <c r="H45" s="780"/>
      <c r="J45" s="792"/>
      <c r="K45" s="1644" t="s">
        <v>2620</v>
      </c>
      <c r="L45" s="1644"/>
      <c r="M45" s="1644"/>
      <c r="N45" s="1644"/>
      <c r="O45" s="1644"/>
      <c r="P45" s="1644"/>
      <c r="Q45" s="1644"/>
      <c r="R45" s="1644"/>
      <c r="T45" s="1646" t="s">
        <v>2317</v>
      </c>
      <c r="U45" s="1646"/>
      <c r="Z45" s="792"/>
      <c r="AA45" s="794"/>
      <c r="AB45" s="1483"/>
      <c r="AC45" s="1483"/>
      <c r="AD45" s="1483"/>
      <c r="AE45" s="1483"/>
      <c r="AF45" s="1483"/>
      <c r="AG45" s="1483"/>
      <c r="AH45" s="1483"/>
      <c r="AI45" s="1483"/>
      <c r="AJ45" s="782"/>
      <c r="AK45" s="1681" t="s">
        <v>2503</v>
      </c>
      <c r="AL45" s="1681"/>
      <c r="AM45" s="1681"/>
      <c r="AN45" s="1681"/>
      <c r="AO45" s="1681"/>
      <c r="AP45" s="1681"/>
      <c r="AQ45" s="1681"/>
      <c r="AR45" s="795"/>
      <c r="AS45" s="793"/>
      <c r="AT45" s="787"/>
      <c r="AU45" s="787"/>
      <c r="AV45" s="787"/>
      <c r="AW45" s="787"/>
      <c r="AX45" s="787"/>
      <c r="AY45" s="787"/>
      <c r="BA45" s="1646" t="s">
        <v>1436</v>
      </c>
      <c r="BB45" s="1646"/>
      <c r="BC45" s="1646"/>
      <c r="BD45" s="1646"/>
      <c r="BE45" s="1646"/>
      <c r="BF45" s="1646"/>
      <c r="BG45" s="1646"/>
      <c r="BH45" s="1646"/>
      <c r="BI45" s="1646"/>
      <c r="BK45" s="790"/>
      <c r="BL45" s="1646" t="s">
        <v>2628</v>
      </c>
      <c r="BM45" s="1646"/>
      <c r="BN45" s="1646"/>
      <c r="BO45" s="1646"/>
      <c r="BP45" s="1646"/>
      <c r="BQ45" s="1646"/>
      <c r="BR45" s="1646"/>
      <c r="BS45" s="1646"/>
      <c r="BT45" s="1646"/>
      <c r="BW45" s="791" t="s">
        <v>2630</v>
      </c>
      <c r="BX45" s="787"/>
      <c r="BY45" s="787"/>
      <c r="BZ45" s="787"/>
      <c r="CA45" s="787"/>
      <c r="CB45" s="787"/>
    </row>
    <row r="46" spans="1:86" s="791" customFormat="1" ht="6.95" customHeight="1">
      <c r="A46" s="780"/>
      <c r="B46" s="780"/>
      <c r="C46" s="780"/>
      <c r="D46" s="780"/>
      <c r="E46" s="780"/>
      <c r="F46" s="780"/>
      <c r="G46" s="780"/>
      <c r="H46" s="780"/>
      <c r="K46" s="1644" t="s">
        <v>2621</v>
      </c>
      <c r="L46" s="1644"/>
      <c r="M46" s="1644"/>
      <c r="N46" s="1644"/>
      <c r="O46" s="1644"/>
      <c r="P46" s="1644"/>
      <c r="Q46" s="1644"/>
      <c r="R46" s="1644"/>
      <c r="S46" s="793"/>
      <c r="T46" s="793"/>
      <c r="U46" s="793"/>
      <c r="V46" s="793"/>
      <c r="W46" s="793"/>
      <c r="X46" s="793"/>
      <c r="Y46" s="793"/>
      <c r="Z46" s="793"/>
      <c r="AA46" s="783"/>
      <c r="AB46" s="1645"/>
      <c r="AC46" s="1645"/>
      <c r="AD46" s="1645"/>
      <c r="AE46" s="1645"/>
      <c r="AF46" s="1645"/>
      <c r="AG46" s="1645"/>
      <c r="AH46" s="1645"/>
      <c r="AI46" s="1645"/>
      <c r="AJ46" s="787"/>
      <c r="AK46" s="793"/>
      <c r="AL46" s="787"/>
      <c r="AM46" s="787"/>
      <c r="AN46" s="787"/>
      <c r="AO46" s="787"/>
      <c r="AP46" s="787"/>
      <c r="AQ46" s="795"/>
      <c r="AR46" s="795"/>
      <c r="AS46" s="787"/>
      <c r="AT46" s="787"/>
      <c r="AU46" s="787"/>
      <c r="AV46" s="787"/>
      <c r="AW46" s="787"/>
      <c r="AX46" s="787"/>
      <c r="AY46" s="787" t="s">
        <v>48</v>
      </c>
      <c r="AZ46" s="796"/>
      <c r="BA46" s="1646" t="s">
        <v>2626</v>
      </c>
      <c r="BB46" s="1646"/>
      <c r="BC46" s="1646"/>
      <c r="BD46" s="1646"/>
      <c r="BE46" s="1646"/>
      <c r="BF46" s="1646"/>
      <c r="BG46" s="1646"/>
      <c r="BH46" s="1646"/>
      <c r="BI46" s="1646"/>
      <c r="BK46" s="1053"/>
      <c r="BL46" s="791" t="s">
        <v>2629</v>
      </c>
      <c r="BU46" s="787"/>
      <c r="BW46" s="864" t="s">
        <v>2605</v>
      </c>
      <c r="BX46" s="864"/>
      <c r="BY46" s="787"/>
      <c r="BZ46" s="787"/>
      <c r="CA46" s="787"/>
      <c r="CB46" s="787"/>
    </row>
    <row r="47" spans="1:86" s="791" customFormat="1" ht="6.95" customHeight="1">
      <c r="I47" s="781" t="s">
        <v>303</v>
      </c>
      <c r="J47" s="796" t="s">
        <v>304</v>
      </c>
      <c r="K47" s="796" t="s">
        <v>2506</v>
      </c>
      <c r="L47" s="796"/>
      <c r="M47" s="796"/>
      <c r="AB47" s="793"/>
      <c r="AC47" s="796"/>
      <c r="BA47" s="1646" t="s">
        <v>2624</v>
      </c>
      <c r="BB47" s="1646"/>
      <c r="BC47" s="1646"/>
      <c r="BD47" s="1646"/>
      <c r="BE47" s="1646"/>
      <c r="BF47" s="1646"/>
      <c r="BG47" s="1646"/>
      <c r="BH47" s="1646"/>
      <c r="BI47" s="1646"/>
      <c r="BL47" s="1644"/>
      <c r="BM47" s="1644"/>
    </row>
    <row r="48" spans="1:86">
      <c r="W48" s="155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W48" s="781" t="s">
        <v>32</v>
      </c>
      <c r="BX48" s="796" t="s">
        <v>2506</v>
      </c>
    </row>
    <row r="49" spans="13:81">
      <c r="Q49" s="54"/>
      <c r="AJ49" s="1228"/>
      <c r="AK49" s="1228"/>
      <c r="AL49" s="1228"/>
      <c r="AM49" s="1228"/>
      <c r="AN49" s="1228"/>
      <c r="AO49" s="1228"/>
      <c r="AP49" s="1228"/>
      <c r="AQ49" s="1228"/>
      <c r="AR49" s="1228"/>
      <c r="AZ49" s="11"/>
      <c r="BA49" s="11"/>
      <c r="BB49" s="11"/>
      <c r="BC49" s="11"/>
      <c r="BD49" s="11"/>
      <c r="BE49" s="11"/>
      <c r="BF49" s="11"/>
      <c r="BG49" s="11"/>
      <c r="BH49" s="11"/>
      <c r="BI49" s="11"/>
    </row>
    <row r="50" spans="13:81">
      <c r="M50" s="54"/>
      <c r="T50" s="54"/>
      <c r="W50" s="54"/>
      <c r="AO50" s="54"/>
      <c r="AP50" s="54"/>
      <c r="AQ50" s="54"/>
      <c r="AZ50" s="11"/>
      <c r="BA50" s="11"/>
      <c r="BB50" s="11"/>
      <c r="BC50" s="11"/>
      <c r="BD50" s="250"/>
      <c r="BE50" s="11"/>
      <c r="BF50" s="11"/>
      <c r="BG50" s="11"/>
      <c r="BH50" s="11"/>
      <c r="BI50" s="11"/>
      <c r="CC50" s="131"/>
    </row>
    <row r="51" spans="13:81">
      <c r="X51" s="54"/>
      <c r="AN51" s="54"/>
      <c r="AZ51" s="11"/>
      <c r="BA51" s="11"/>
      <c r="BB51" s="11"/>
      <c r="BC51" s="11"/>
      <c r="BD51" s="11"/>
      <c r="BE51" s="11"/>
      <c r="BF51" s="11"/>
      <c r="BG51" s="11"/>
      <c r="BH51" s="11"/>
      <c r="BI51" s="11"/>
    </row>
    <row r="52" spans="13:81"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CC52" s="131"/>
    </row>
    <row r="53" spans="13:81">
      <c r="AZ53" s="11"/>
      <c r="BA53" s="11"/>
      <c r="BB53" s="11"/>
      <c r="BC53" s="11"/>
      <c r="BD53" s="11"/>
      <c r="BE53" s="11"/>
      <c r="BF53" s="11"/>
      <c r="BG53" s="11"/>
      <c r="BH53" s="11"/>
      <c r="BI53" s="11"/>
    </row>
    <row r="54" spans="13:81">
      <c r="AZ54" s="11"/>
      <c r="BA54" s="11"/>
      <c r="BB54" s="11"/>
      <c r="BC54" s="11"/>
      <c r="BD54" s="11"/>
      <c r="BE54" s="11"/>
      <c r="BF54" s="11"/>
      <c r="BG54" s="11"/>
      <c r="BH54" s="11"/>
      <c r="BI54" s="11"/>
    </row>
    <row r="55" spans="13:81">
      <c r="AN55" s="54"/>
      <c r="AZ55" s="11"/>
      <c r="BA55" s="11"/>
      <c r="BB55" s="11"/>
      <c r="BC55" s="11"/>
      <c r="BD55" s="11"/>
      <c r="BE55" s="11"/>
      <c r="BF55" s="11"/>
      <c r="BG55" s="11"/>
      <c r="BH55" s="11"/>
      <c r="BI55" s="11"/>
    </row>
    <row r="56" spans="13:81">
      <c r="AE56" s="54"/>
      <c r="AF56" s="54"/>
      <c r="AZ56" s="11"/>
      <c r="BA56" s="11"/>
      <c r="BB56" s="11"/>
      <c r="BC56" s="11"/>
      <c r="BD56" s="11"/>
      <c r="BE56" s="11"/>
      <c r="BF56" s="11"/>
      <c r="BG56" s="11"/>
      <c r="BH56" s="11"/>
      <c r="BI56" s="11"/>
    </row>
    <row r="57" spans="13:81">
      <c r="AE57" s="54"/>
      <c r="AF57" s="54"/>
      <c r="AZ57" s="11"/>
      <c r="BA57" s="11"/>
      <c r="BB57" s="11"/>
      <c r="BC57" s="11"/>
      <c r="BD57" s="11"/>
      <c r="BE57" s="11"/>
      <c r="BF57" s="11"/>
      <c r="BG57" s="11"/>
      <c r="BH57" s="11"/>
      <c r="BI57" s="11"/>
    </row>
    <row r="58" spans="13:81">
      <c r="AE58" s="54"/>
      <c r="AF58" s="54"/>
      <c r="AZ58" s="11"/>
      <c r="BA58" s="11"/>
      <c r="BB58" s="11"/>
      <c r="BC58" s="11"/>
      <c r="BD58" s="11"/>
      <c r="BE58" s="11"/>
      <c r="BF58" s="11"/>
      <c r="BG58" s="11"/>
      <c r="BH58" s="11"/>
      <c r="BI58" s="11"/>
    </row>
    <row r="59" spans="13:81">
      <c r="AE59" s="54"/>
      <c r="AF59" s="54"/>
      <c r="AZ59" s="11"/>
      <c r="BA59" s="11"/>
      <c r="BB59" s="11"/>
      <c r="BC59" s="11"/>
      <c r="BD59" s="11"/>
      <c r="BE59" s="11"/>
      <c r="BF59" s="11"/>
      <c r="BG59" s="11"/>
      <c r="BH59" s="11"/>
      <c r="BI59" s="11"/>
    </row>
    <row r="60" spans="13:81">
      <c r="AE60" s="54"/>
      <c r="AF60" s="54"/>
      <c r="AZ60" s="11"/>
      <c r="BA60" s="11"/>
      <c r="BB60" s="11"/>
      <c r="BC60" s="11"/>
      <c r="BD60" s="11"/>
      <c r="BE60" s="11"/>
      <c r="BF60" s="11"/>
      <c r="BG60" s="11"/>
      <c r="BH60" s="11"/>
      <c r="BI60" s="11"/>
    </row>
    <row r="61" spans="13:81">
      <c r="AE61" s="54"/>
      <c r="AF61" s="54"/>
      <c r="AZ61" s="11"/>
      <c r="BA61" s="11"/>
      <c r="BB61" s="11"/>
      <c r="BC61" s="11"/>
      <c r="BD61" s="11"/>
      <c r="BE61" s="11"/>
      <c r="BF61" s="11"/>
      <c r="BG61" s="11"/>
      <c r="BH61" s="11"/>
      <c r="BI61" s="11"/>
    </row>
    <row r="62" spans="13:81">
      <c r="AE62" s="54"/>
      <c r="AF62" s="54"/>
      <c r="AZ62" s="11"/>
      <c r="BA62" s="11"/>
      <c r="BB62" s="11"/>
      <c r="BC62" s="11"/>
      <c r="BD62" s="11"/>
      <c r="BE62" s="11"/>
      <c r="BF62" s="11"/>
      <c r="BG62" s="11"/>
      <c r="BH62" s="11"/>
      <c r="BI62" s="11"/>
    </row>
    <row r="63" spans="13:81">
      <c r="AE63" s="54"/>
      <c r="AF63" s="54"/>
      <c r="AZ63" s="11"/>
      <c r="BA63" s="11"/>
      <c r="BB63" s="11"/>
      <c r="BC63" s="11"/>
      <c r="BD63" s="11"/>
      <c r="BE63" s="11"/>
      <c r="BF63" s="11"/>
      <c r="BG63" s="11"/>
      <c r="BH63" s="11"/>
      <c r="BI63" s="11"/>
    </row>
    <row r="64" spans="13:81">
      <c r="AE64" s="54"/>
      <c r="AF64" s="54"/>
      <c r="AZ64" s="11"/>
      <c r="BA64" s="11"/>
      <c r="BB64" s="11"/>
      <c r="BC64" s="11"/>
      <c r="BD64" s="11"/>
      <c r="BE64" s="11"/>
      <c r="BF64" s="11"/>
      <c r="BG64" s="11"/>
      <c r="BH64" s="11"/>
      <c r="BI64" s="11"/>
    </row>
    <row r="65" spans="31:61">
      <c r="AE65" s="54"/>
      <c r="AF65" s="54"/>
      <c r="AZ65" s="11"/>
      <c r="BA65" s="11"/>
      <c r="BB65" s="11"/>
      <c r="BC65" s="11"/>
      <c r="BD65" s="11"/>
      <c r="BE65" s="11"/>
      <c r="BF65" s="11"/>
      <c r="BG65" s="11"/>
      <c r="BH65" s="11"/>
      <c r="BI65" s="11"/>
    </row>
    <row r="66" spans="31:61">
      <c r="AE66" s="54"/>
      <c r="AF66" s="54"/>
      <c r="AZ66" s="11"/>
      <c r="BA66" s="11"/>
      <c r="BB66" s="11"/>
      <c r="BC66" s="11"/>
      <c r="BD66" s="11"/>
      <c r="BE66" s="11"/>
      <c r="BF66" s="11"/>
      <c r="BG66" s="11"/>
      <c r="BH66" s="11"/>
      <c r="BI66" s="11"/>
    </row>
    <row r="67" spans="31:61">
      <c r="AE67" s="54"/>
      <c r="AF67" s="54"/>
      <c r="AZ67" s="11"/>
      <c r="BA67" s="11"/>
      <c r="BB67" s="11"/>
      <c r="BC67" s="11"/>
      <c r="BD67" s="11"/>
      <c r="BE67" s="11"/>
      <c r="BF67" s="11"/>
      <c r="BG67" s="11"/>
      <c r="BH67" s="11"/>
      <c r="BI67" s="11"/>
    </row>
    <row r="68" spans="31:61">
      <c r="AE68" s="54"/>
      <c r="AF68" s="54"/>
      <c r="AZ68" s="11"/>
      <c r="BA68" s="11"/>
      <c r="BB68" s="11"/>
      <c r="BC68" s="11"/>
      <c r="BD68" s="11"/>
      <c r="BE68" s="11"/>
      <c r="BF68" s="11"/>
      <c r="BG68" s="11"/>
      <c r="BH68" s="11"/>
      <c r="BI68" s="11"/>
    </row>
    <row r="69" spans="31:61">
      <c r="AE69" s="54"/>
      <c r="AF69" s="54"/>
      <c r="AZ69" s="11"/>
      <c r="BA69" s="11"/>
      <c r="BB69" s="11"/>
      <c r="BC69" s="11"/>
      <c r="BD69" s="11"/>
      <c r="BE69" s="11"/>
      <c r="BF69" s="11"/>
      <c r="BG69" s="11"/>
      <c r="BH69" s="11"/>
      <c r="BI69" s="11"/>
    </row>
    <row r="70" spans="31:61">
      <c r="AE70" s="54"/>
      <c r="AF70" s="54"/>
      <c r="AZ70" s="11"/>
      <c r="BA70" s="11"/>
      <c r="BB70" s="11"/>
      <c r="BC70" s="11"/>
      <c r="BD70" s="11"/>
      <c r="BE70" s="11"/>
      <c r="BF70" s="11"/>
      <c r="BG70" s="11"/>
      <c r="BH70" s="11"/>
      <c r="BI70" s="11"/>
    </row>
    <row r="71" spans="31:61">
      <c r="AE71" s="54"/>
      <c r="AF71" s="54"/>
      <c r="AZ71" s="11"/>
      <c r="BA71" s="11"/>
      <c r="BB71" s="11"/>
      <c r="BC71" s="11"/>
      <c r="BD71" s="11"/>
      <c r="BE71" s="11"/>
      <c r="BF71" s="11"/>
      <c r="BG71" s="11"/>
      <c r="BH71" s="11"/>
      <c r="BI71" s="11"/>
    </row>
    <row r="72" spans="31:61">
      <c r="AE72" s="54"/>
      <c r="AF72" s="54"/>
      <c r="AZ72" s="11"/>
      <c r="BA72" s="11"/>
      <c r="BB72" s="11"/>
      <c r="BC72" s="11"/>
      <c r="BD72" s="11"/>
      <c r="BE72" s="11"/>
      <c r="BF72" s="11"/>
      <c r="BG72" s="11"/>
      <c r="BH72" s="11"/>
      <c r="BI72" s="11"/>
    </row>
    <row r="73" spans="31:61">
      <c r="AE73" s="54"/>
      <c r="AF73" s="54"/>
      <c r="AZ73" s="11"/>
      <c r="BA73" s="11"/>
      <c r="BB73" s="11"/>
      <c r="BC73" s="11"/>
      <c r="BD73" s="11"/>
      <c r="BE73" s="11"/>
      <c r="BF73" s="11"/>
      <c r="BG73" s="11"/>
      <c r="BH73" s="11"/>
      <c r="BI73" s="11"/>
    </row>
    <row r="74" spans="31:61">
      <c r="AE74" s="54"/>
      <c r="AF74" s="54"/>
      <c r="AZ74" s="11"/>
      <c r="BA74" s="11"/>
      <c r="BB74" s="11"/>
      <c r="BC74" s="11"/>
      <c r="BD74" s="11"/>
      <c r="BE74" s="11"/>
      <c r="BF74" s="11"/>
      <c r="BG74" s="11"/>
      <c r="BH74" s="11"/>
      <c r="BI74" s="11"/>
    </row>
    <row r="75" spans="31:61">
      <c r="AE75" s="54"/>
      <c r="AF75" s="54"/>
      <c r="AZ75" s="11"/>
      <c r="BA75" s="11"/>
      <c r="BB75" s="11"/>
      <c r="BC75" s="11"/>
      <c r="BD75" s="11"/>
      <c r="BE75" s="11"/>
      <c r="BF75" s="11"/>
      <c r="BG75" s="11"/>
      <c r="BH75" s="11"/>
      <c r="BI75" s="11"/>
    </row>
    <row r="76" spans="31:61">
      <c r="AE76" s="54"/>
      <c r="AF76" s="54"/>
      <c r="AZ76" s="11"/>
      <c r="BA76" s="11"/>
      <c r="BB76" s="11"/>
      <c r="BC76" s="11"/>
      <c r="BD76" s="11"/>
      <c r="BE76" s="11"/>
      <c r="BF76" s="11"/>
      <c r="BG76" s="11"/>
      <c r="BH76" s="11"/>
      <c r="BI76" s="11"/>
    </row>
    <row r="77" spans="31:61">
      <c r="AE77" s="54"/>
      <c r="AF77" s="54"/>
      <c r="AZ77" s="11"/>
      <c r="BA77" s="11"/>
      <c r="BB77" s="11"/>
      <c r="BC77" s="11"/>
      <c r="BD77" s="11"/>
      <c r="BE77" s="11"/>
      <c r="BF77" s="11"/>
      <c r="BG77" s="11"/>
      <c r="BH77" s="11"/>
      <c r="BI77" s="11"/>
    </row>
    <row r="78" spans="31:61">
      <c r="AE78" s="54"/>
      <c r="AF78" s="54"/>
      <c r="AZ78" s="11"/>
      <c r="BA78" s="11"/>
      <c r="BB78" s="11"/>
      <c r="BC78" s="11"/>
      <c r="BD78" s="11"/>
      <c r="BE78" s="11"/>
      <c r="BF78" s="11"/>
      <c r="BG78" s="11"/>
      <c r="BH78" s="11"/>
      <c r="BI78" s="11"/>
    </row>
    <row r="79" spans="31:61">
      <c r="AE79" s="54"/>
      <c r="AF79" s="54"/>
      <c r="AZ79" s="11"/>
      <c r="BA79" s="11"/>
      <c r="BB79" s="11"/>
      <c r="BC79" s="11"/>
      <c r="BD79" s="11"/>
      <c r="BE79" s="11"/>
      <c r="BF79" s="11"/>
      <c r="BG79" s="11"/>
      <c r="BH79" s="11"/>
      <c r="BI79" s="11"/>
    </row>
    <row r="80" spans="31:61">
      <c r="AE80" s="54"/>
      <c r="AF80" s="54"/>
      <c r="AZ80" s="11"/>
      <c r="BA80" s="11"/>
      <c r="BB80" s="11"/>
      <c r="BC80" s="11"/>
      <c r="BD80" s="11"/>
      <c r="BE80" s="11"/>
      <c r="BF80" s="11"/>
      <c r="BG80" s="11"/>
      <c r="BH80" s="11"/>
      <c r="BI80" s="11"/>
    </row>
    <row r="81" spans="31:61">
      <c r="AE81" s="54"/>
      <c r="AF81" s="54"/>
      <c r="AZ81" s="11"/>
      <c r="BA81" s="11"/>
      <c r="BB81" s="11"/>
      <c r="BC81" s="11"/>
      <c r="BD81" s="11"/>
      <c r="BE81" s="11"/>
      <c r="BF81" s="11"/>
      <c r="BG81" s="11"/>
      <c r="BH81" s="11"/>
      <c r="BI81" s="11"/>
    </row>
    <row r="82" spans="31:61">
      <c r="AE82" s="54"/>
      <c r="AF82" s="54"/>
      <c r="AZ82" s="11"/>
      <c r="BA82" s="11"/>
      <c r="BB82" s="11"/>
      <c r="BC82" s="11"/>
      <c r="BD82" s="11"/>
      <c r="BE82" s="11"/>
      <c r="BF82" s="11"/>
      <c r="BG82" s="11"/>
      <c r="BH82" s="11"/>
      <c r="BI82" s="11"/>
    </row>
    <row r="83" spans="31:61">
      <c r="AE83" s="54"/>
      <c r="AF83" s="54"/>
      <c r="AZ83" s="11"/>
      <c r="BA83" s="11"/>
      <c r="BB83" s="11"/>
      <c r="BC83" s="11"/>
      <c r="BD83" s="11"/>
      <c r="BE83" s="11"/>
      <c r="BF83" s="11"/>
      <c r="BG83" s="11"/>
      <c r="BH83" s="11"/>
      <c r="BI83" s="11"/>
    </row>
    <row r="84" spans="31:61">
      <c r="AE84" s="54"/>
      <c r="AF84" s="54"/>
      <c r="AZ84" s="11"/>
      <c r="BA84" s="11"/>
      <c r="BB84" s="11"/>
      <c r="BC84" s="11"/>
      <c r="BD84" s="11"/>
      <c r="BE84" s="11"/>
      <c r="BF84" s="11"/>
      <c r="BG84" s="11"/>
      <c r="BH84" s="11"/>
      <c r="BI84" s="11"/>
    </row>
    <row r="85" spans="31:61">
      <c r="AE85" s="54"/>
      <c r="AF85" s="54"/>
      <c r="AZ85" s="11"/>
      <c r="BA85" s="11"/>
      <c r="BB85" s="11"/>
      <c r="BC85" s="11"/>
      <c r="BD85" s="11"/>
      <c r="BE85" s="11"/>
      <c r="BF85" s="11"/>
      <c r="BG85" s="11"/>
      <c r="BH85" s="11"/>
      <c r="BI85" s="11"/>
    </row>
    <row r="86" spans="31:61">
      <c r="AE86" s="54"/>
      <c r="AF86" s="54"/>
      <c r="AZ86" s="11"/>
      <c r="BA86" s="11"/>
      <c r="BB86" s="11"/>
      <c r="BC86" s="11"/>
      <c r="BD86" s="11"/>
      <c r="BE86" s="11"/>
      <c r="BF86" s="11"/>
      <c r="BG86" s="11"/>
      <c r="BH86" s="11"/>
      <c r="BI86" s="11"/>
    </row>
    <row r="87" spans="31:61">
      <c r="AE87" s="54"/>
      <c r="AF87" s="54"/>
      <c r="AZ87" s="11"/>
      <c r="BA87" s="11"/>
      <c r="BB87" s="11"/>
      <c r="BC87" s="11"/>
      <c r="BD87" s="11"/>
      <c r="BE87" s="11"/>
      <c r="BF87" s="11"/>
      <c r="BG87" s="11"/>
      <c r="BH87" s="11"/>
      <c r="BI87" s="11"/>
    </row>
    <row r="88" spans="31:61">
      <c r="AE88" s="54"/>
      <c r="AF88" s="54"/>
      <c r="AZ88" s="11"/>
      <c r="BA88" s="11"/>
      <c r="BB88" s="11"/>
      <c r="BC88" s="11"/>
      <c r="BD88" s="11"/>
      <c r="BE88" s="11"/>
      <c r="BF88" s="11"/>
      <c r="BG88" s="11"/>
      <c r="BH88" s="11"/>
      <c r="BI88" s="11"/>
    </row>
    <row r="89" spans="31:61">
      <c r="AE89" s="54"/>
      <c r="AF89" s="54"/>
      <c r="AZ89" s="11"/>
      <c r="BA89" s="11"/>
      <c r="BB89" s="11"/>
      <c r="BC89" s="11"/>
      <c r="BD89" s="11"/>
      <c r="BE89" s="11"/>
      <c r="BF89" s="11"/>
      <c r="BG89" s="11"/>
      <c r="BH89" s="11"/>
      <c r="BI89" s="11"/>
    </row>
    <row r="90" spans="31:61">
      <c r="AE90" s="54"/>
      <c r="AF90" s="54"/>
      <c r="AZ90" s="11"/>
      <c r="BA90" s="11"/>
      <c r="BB90" s="11"/>
      <c r="BC90" s="11"/>
      <c r="BD90" s="11"/>
      <c r="BE90" s="11"/>
      <c r="BF90" s="11"/>
      <c r="BG90" s="11"/>
      <c r="BH90" s="11"/>
      <c r="BI90" s="11"/>
    </row>
    <row r="91" spans="31:61">
      <c r="AE91" s="54"/>
      <c r="AF91" s="54"/>
      <c r="AZ91" s="11"/>
      <c r="BA91" s="11"/>
      <c r="BB91" s="11"/>
      <c r="BC91" s="11"/>
      <c r="BD91" s="11"/>
      <c r="BE91" s="11"/>
      <c r="BF91" s="11"/>
      <c r="BG91" s="11"/>
      <c r="BH91" s="11"/>
      <c r="BI91" s="11"/>
    </row>
    <row r="92" spans="31:61">
      <c r="AE92" s="54"/>
      <c r="AF92" s="54"/>
      <c r="AZ92" s="11"/>
      <c r="BA92" s="11"/>
      <c r="BB92" s="11"/>
      <c r="BC92" s="11"/>
      <c r="BD92" s="11"/>
      <c r="BE92" s="11"/>
      <c r="BF92" s="11"/>
      <c r="BG92" s="11"/>
      <c r="BH92" s="11"/>
      <c r="BI92" s="11"/>
    </row>
    <row r="93" spans="31:61">
      <c r="AE93" s="54"/>
      <c r="AF93" s="54"/>
      <c r="AZ93" s="11"/>
      <c r="BA93" s="11"/>
      <c r="BB93" s="11"/>
      <c r="BC93" s="11"/>
      <c r="BD93" s="11"/>
      <c r="BE93" s="11"/>
      <c r="BF93" s="11"/>
      <c r="BG93" s="11"/>
      <c r="BH93" s="11"/>
      <c r="BI93" s="11"/>
    </row>
    <row r="94" spans="31:61">
      <c r="AE94" s="54"/>
      <c r="AF94" s="54"/>
      <c r="AZ94" s="11"/>
      <c r="BA94" s="11"/>
      <c r="BB94" s="11"/>
      <c r="BC94" s="11"/>
      <c r="BD94" s="11"/>
      <c r="BE94" s="11"/>
      <c r="BF94" s="11"/>
      <c r="BG94" s="11"/>
      <c r="BH94" s="11"/>
      <c r="BI94" s="11"/>
    </row>
    <row r="95" spans="31:61">
      <c r="AE95" s="54"/>
      <c r="AF95" s="54"/>
      <c r="AZ95" s="11"/>
      <c r="BA95" s="11"/>
      <c r="BB95" s="11"/>
      <c r="BC95" s="11"/>
      <c r="BD95" s="11"/>
      <c r="BE95" s="11"/>
      <c r="BF95" s="11"/>
      <c r="BG95" s="11"/>
      <c r="BH95" s="11"/>
      <c r="BI95" s="11"/>
    </row>
    <row r="96" spans="31:61">
      <c r="AE96" s="54"/>
      <c r="AZ96" s="11"/>
      <c r="BA96" s="11"/>
      <c r="BB96" s="11"/>
      <c r="BC96" s="11"/>
      <c r="BD96" s="11"/>
      <c r="BE96" s="11"/>
      <c r="BF96" s="11"/>
      <c r="BG96" s="11"/>
      <c r="BH96" s="11"/>
      <c r="BI96" s="11"/>
    </row>
    <row r="97" spans="31:61">
      <c r="AE97" s="54"/>
      <c r="AZ97" s="11"/>
      <c r="BA97" s="11"/>
      <c r="BB97" s="11"/>
      <c r="BC97" s="11"/>
      <c r="BD97" s="11"/>
      <c r="BE97" s="11"/>
      <c r="BF97" s="11"/>
      <c r="BG97" s="11"/>
      <c r="BH97" s="11"/>
      <c r="BI97" s="11"/>
    </row>
    <row r="98" spans="31:61">
      <c r="AE98" s="54"/>
      <c r="AZ98" s="11"/>
      <c r="BA98" s="11"/>
      <c r="BB98" s="11"/>
      <c r="BC98" s="11"/>
      <c r="BD98" s="11"/>
      <c r="BE98" s="11"/>
      <c r="BF98" s="11"/>
      <c r="BG98" s="11"/>
      <c r="BH98" s="11"/>
      <c r="BI98" s="11"/>
    </row>
    <row r="99" spans="31:61">
      <c r="AZ99" s="11"/>
      <c r="BA99" s="11"/>
      <c r="BB99" s="11"/>
      <c r="BC99" s="11"/>
      <c r="BD99" s="11"/>
      <c r="BE99" s="11"/>
      <c r="BF99" s="11"/>
      <c r="BG99" s="11"/>
      <c r="BH99" s="11"/>
      <c r="BI99" s="11"/>
    </row>
    <row r="100" spans="31:61"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</row>
    <row r="101" spans="31:61"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</row>
  </sheetData>
  <mergeCells count="129">
    <mergeCell ref="AK45:AQ45"/>
    <mergeCell ref="AZ1:BF1"/>
    <mergeCell ref="AW1:AY1"/>
    <mergeCell ref="AS3:AY3"/>
    <mergeCell ref="AX2:AY2"/>
    <mergeCell ref="BE4:BI4"/>
    <mergeCell ref="AY5:AY6"/>
    <mergeCell ref="BH2:BI2"/>
    <mergeCell ref="BG1:BI1"/>
    <mergeCell ref="AZ3:BF3"/>
    <mergeCell ref="AP3:AQ3"/>
    <mergeCell ref="AO1:AQ1"/>
    <mergeCell ref="AP2:AQ2"/>
    <mergeCell ref="AJ1:AK1"/>
    <mergeCell ref="AO5:AO6"/>
    <mergeCell ref="AK5:AK6"/>
    <mergeCell ref="AQ5:AQ6"/>
    <mergeCell ref="AJ4:AM4"/>
    <mergeCell ref="AJ3:AN3"/>
    <mergeCell ref="AN4:AQ4"/>
    <mergeCell ref="AT5:AT6"/>
    <mergeCell ref="AN5:AN6"/>
    <mergeCell ref="AR4:AR7"/>
    <mergeCell ref="AS4:AV4"/>
    <mergeCell ref="BL3:BR3"/>
    <mergeCell ref="BA47:BI47"/>
    <mergeCell ref="BL45:BT45"/>
    <mergeCell ref="BA46:BI46"/>
    <mergeCell ref="BE5:BF5"/>
    <mergeCell ref="BD4:BD6"/>
    <mergeCell ref="AW5:AW6"/>
    <mergeCell ref="BL44:BT44"/>
    <mergeCell ref="BB5:BB6"/>
    <mergeCell ref="BT4:BT6"/>
    <mergeCell ref="BR5:BR6"/>
    <mergeCell ref="BA45:BI45"/>
    <mergeCell ref="AZ4:BB4"/>
    <mergeCell ref="BC4:BC6"/>
    <mergeCell ref="BL47:BM47"/>
    <mergeCell ref="BL4:BP4"/>
    <mergeCell ref="BM5:BM6"/>
    <mergeCell ref="BQ4:BQ6"/>
    <mergeCell ref="BJ4:BK7"/>
    <mergeCell ref="BI5:BI6"/>
    <mergeCell ref="BH3:BI3"/>
    <mergeCell ref="AZ5:AZ6"/>
    <mergeCell ref="AX5:AX6"/>
    <mergeCell ref="BG5:BH5"/>
    <mergeCell ref="AF1:AI1"/>
    <mergeCell ref="AJ5:AJ6"/>
    <mergeCell ref="AH2:AI2"/>
    <mergeCell ref="X1:Z1"/>
    <mergeCell ref="Y5:Y6"/>
    <mergeCell ref="AH3:AI3"/>
    <mergeCell ref="AF4:AI4"/>
    <mergeCell ref="AI5:AI6"/>
    <mergeCell ref="AG5:AG6"/>
    <mergeCell ref="AH5:AH6"/>
    <mergeCell ref="I1:R1"/>
    <mergeCell ref="AB4:AE4"/>
    <mergeCell ref="AA4:AA7"/>
    <mergeCell ref="AD5:AD6"/>
    <mergeCell ref="AE5:AE6"/>
    <mergeCell ref="N4:N6"/>
    <mergeCell ref="O4:O6"/>
    <mergeCell ref="W4:Z4"/>
    <mergeCell ref="Y2:Z2"/>
    <mergeCell ref="Q2:R2"/>
    <mergeCell ref="I4:J7"/>
    <mergeCell ref="K5:K6"/>
    <mergeCell ref="BA5:BA6"/>
    <mergeCell ref="Q3:R3"/>
    <mergeCell ref="U5:U6"/>
    <mergeCell ref="Z5:Z6"/>
    <mergeCell ref="AB3:AF3"/>
    <mergeCell ref="S3:W3"/>
    <mergeCell ref="V4:V6"/>
    <mergeCell ref="W5:W6"/>
    <mergeCell ref="AU5:AU6"/>
    <mergeCell ref="AS5:AS6"/>
    <mergeCell ref="AP5:AP6"/>
    <mergeCell ref="AK44:AQ44"/>
    <mergeCell ref="CB3:CC3"/>
    <mergeCell ref="BU4:BU6"/>
    <mergeCell ref="BZ5:BZ6"/>
    <mergeCell ref="BV5:BV6"/>
    <mergeCell ref="BU3:BZ3"/>
    <mergeCell ref="BY5:BY6"/>
    <mergeCell ref="K46:R46"/>
    <mergeCell ref="AB46:AI46"/>
    <mergeCell ref="K45:R45"/>
    <mergeCell ref="T44:Z44"/>
    <mergeCell ref="AB44:AI44"/>
    <mergeCell ref="T45:U45"/>
    <mergeCell ref="K44:R44"/>
    <mergeCell ref="CA5:CC5"/>
    <mergeCell ref="L5:L6"/>
    <mergeCell ref="S5:T5"/>
    <mergeCell ref="P4:R4"/>
    <mergeCell ref="S4:U4"/>
    <mergeCell ref="Q5:Q6"/>
    <mergeCell ref="M5:M6"/>
    <mergeCell ref="X5:X6"/>
    <mergeCell ref="K4:M4"/>
    <mergeCell ref="AV5:AV6"/>
    <mergeCell ref="BT2:BU2"/>
    <mergeCell ref="CD5:CF5"/>
    <mergeCell ref="BV4:CF4"/>
    <mergeCell ref="C11:G12"/>
    <mergeCell ref="BL5:BL6"/>
    <mergeCell ref="BN5:BN6"/>
    <mergeCell ref="BO5:BO6"/>
    <mergeCell ref="CD1:CF1"/>
    <mergeCell ref="CE2:CF2"/>
    <mergeCell ref="BV1:BX1"/>
    <mergeCell ref="BR1:BU1"/>
    <mergeCell ref="BV2:BW2"/>
    <mergeCell ref="BW5:BW6"/>
    <mergeCell ref="P5:P6"/>
    <mergeCell ref="BX5:BX6"/>
    <mergeCell ref="BP5:BP6"/>
    <mergeCell ref="BR4:BS4"/>
    <mergeCell ref="BS5:BS6"/>
    <mergeCell ref="AC5:AC6"/>
    <mergeCell ref="AF5:AF6"/>
    <mergeCell ref="AB5:AB6"/>
    <mergeCell ref="AL5:AL6"/>
    <mergeCell ref="AM5:AM6"/>
    <mergeCell ref="AW4:AY4"/>
  </mergeCells>
  <phoneticPr fontId="3" type="noConversion"/>
  <conditionalFormatting sqref="I31 AA31 AR31 BJ31 I18:I29 AA18:AA29 AR18:AR29 BJ18:BJ29">
    <cfRule type="expression" priority="65" stopIfTrue="1">
      <formula>MOD(row,0)=0</formula>
    </cfRule>
  </conditionalFormatting>
  <conditionalFormatting sqref="AR31 I31 AA31 BJ31">
    <cfRule type="expression" dxfId="22" priority="61" stopIfTrue="1">
      <formula>MOD(ROW(),2)=1</formula>
    </cfRule>
  </conditionalFormatting>
  <conditionalFormatting sqref="AR31 I31 AA31 BJ31">
    <cfRule type="expression" dxfId="21" priority="59" stopIfTrue="1">
      <formula>MOD(ROW(),2)=1</formula>
    </cfRule>
    <cfRule type="expression" priority="60" stopIfTrue="1">
      <formula>MOD(ROW(),2)=1</formula>
    </cfRule>
  </conditionalFormatting>
  <conditionalFormatting sqref="AR31 I31 AA31 BJ31">
    <cfRule type="expression" priority="57" stopIfTrue="1">
      <formula>MOD((((#REF!))),0)=0</formula>
    </cfRule>
  </conditionalFormatting>
  <conditionalFormatting sqref="AA31">
    <cfRule type="expression" dxfId="20" priority="30" stopIfTrue="1">
      <formula>MOD(ROW(),2)=1</formula>
    </cfRule>
  </conditionalFormatting>
  <conditionalFormatting sqref="AA31">
    <cfRule type="expression" dxfId="19" priority="28" stopIfTrue="1">
      <formula>MOD(ROW(),2)=1</formula>
    </cfRule>
    <cfRule type="expression" priority="29" stopIfTrue="1">
      <formula>MOD(ROW(),2)=1</formula>
    </cfRule>
  </conditionalFormatting>
  <conditionalFormatting sqref="AA31">
    <cfRule type="expression" priority="27" stopIfTrue="1">
      <formula>MOD(row,0)=0</formula>
    </cfRule>
  </conditionalFormatting>
  <conditionalFormatting sqref="AA31">
    <cfRule type="expression" priority="26" stopIfTrue="1">
      <formula>MOD((((#REF!))),0)=0</formula>
    </cfRule>
  </conditionalFormatting>
  <conditionalFormatting sqref="AA31">
    <cfRule type="expression" dxfId="18" priority="25" stopIfTrue="1">
      <formula>MOD(ROW(),2)=1</formula>
    </cfRule>
  </conditionalFormatting>
  <conditionalFormatting sqref="AA31">
    <cfRule type="expression" dxfId="17" priority="23" stopIfTrue="1">
      <formula>MOD(ROW(),2)=1</formula>
    </cfRule>
    <cfRule type="expression" priority="24" stopIfTrue="1">
      <formula>MOD(ROW(),2)=1</formula>
    </cfRule>
  </conditionalFormatting>
  <conditionalFormatting sqref="AA31">
    <cfRule type="expression" priority="22" stopIfTrue="1">
      <formula>MOD(row,0)=0</formula>
    </cfRule>
  </conditionalFormatting>
  <conditionalFormatting sqref="AA31">
    <cfRule type="expression" priority="21" stopIfTrue="1">
      <formula>MOD((((#REF!))),0)=0</formula>
    </cfRule>
  </conditionalFormatting>
  <conditionalFormatting sqref="AR31">
    <cfRule type="expression" dxfId="16" priority="20" stopIfTrue="1">
      <formula>MOD(ROW(),2)=1</formula>
    </cfRule>
  </conditionalFormatting>
  <conditionalFormatting sqref="AR31">
    <cfRule type="expression" dxfId="15" priority="18" stopIfTrue="1">
      <formula>MOD(ROW(),2)=1</formula>
    </cfRule>
    <cfRule type="expression" priority="19" stopIfTrue="1">
      <formula>MOD(ROW(),2)=1</formula>
    </cfRule>
  </conditionalFormatting>
  <conditionalFormatting sqref="AR31">
    <cfRule type="expression" priority="17" stopIfTrue="1">
      <formula>MOD(row,0)=0</formula>
    </cfRule>
  </conditionalFormatting>
  <conditionalFormatting sqref="AR31">
    <cfRule type="expression" priority="16" stopIfTrue="1">
      <formula>MOD((((#REF!))),0)=0</formula>
    </cfRule>
  </conditionalFormatting>
  <conditionalFormatting sqref="AR31">
    <cfRule type="expression" dxfId="14" priority="15" stopIfTrue="1">
      <formula>MOD(ROW(),2)=1</formula>
    </cfRule>
  </conditionalFormatting>
  <conditionalFormatting sqref="AR31">
    <cfRule type="expression" dxfId="13" priority="13" stopIfTrue="1">
      <formula>MOD(ROW(),2)=1</formula>
    </cfRule>
    <cfRule type="expression" priority="14" stopIfTrue="1">
      <formula>MOD(ROW(),2)=1</formula>
    </cfRule>
  </conditionalFormatting>
  <conditionalFormatting sqref="AR31">
    <cfRule type="expression" priority="12" stopIfTrue="1">
      <formula>MOD(row,0)=0</formula>
    </cfRule>
  </conditionalFormatting>
  <conditionalFormatting sqref="AR31">
    <cfRule type="expression" priority="11" stopIfTrue="1">
      <formula>MOD((((#REF!))),0)=0</formula>
    </cfRule>
  </conditionalFormatting>
  <conditionalFormatting sqref="BJ31">
    <cfRule type="expression" dxfId="12" priority="10" stopIfTrue="1">
      <formula>MOD(ROW(),2)=1</formula>
    </cfRule>
  </conditionalFormatting>
  <conditionalFormatting sqref="BJ31">
    <cfRule type="expression" dxfId="11" priority="8" stopIfTrue="1">
      <formula>MOD(ROW(),2)=1</formula>
    </cfRule>
    <cfRule type="expression" priority="9" stopIfTrue="1">
      <formula>MOD(ROW(),2)=1</formula>
    </cfRule>
  </conditionalFormatting>
  <conditionalFormatting sqref="BJ31">
    <cfRule type="expression" priority="7" stopIfTrue="1">
      <formula>MOD(row,0)=0</formula>
    </cfRule>
  </conditionalFormatting>
  <conditionalFormatting sqref="BJ31">
    <cfRule type="expression" priority="6" stopIfTrue="1">
      <formula>MOD((((#REF!))),0)=0</formula>
    </cfRule>
  </conditionalFormatting>
  <conditionalFormatting sqref="BJ31">
    <cfRule type="expression" dxfId="10" priority="5" stopIfTrue="1">
      <formula>MOD(ROW(),2)=1</formula>
    </cfRule>
  </conditionalFormatting>
  <conditionalFormatting sqref="BJ31">
    <cfRule type="expression" dxfId="9" priority="3" stopIfTrue="1">
      <formula>MOD(ROW(),2)=1</formula>
    </cfRule>
    <cfRule type="expression" priority="4" stopIfTrue="1">
      <formula>MOD(ROW(),2)=1</formula>
    </cfRule>
  </conditionalFormatting>
  <conditionalFormatting sqref="BJ31">
    <cfRule type="expression" priority="2" stopIfTrue="1">
      <formula>MOD(row,0)=0</formula>
    </cfRule>
  </conditionalFormatting>
  <conditionalFormatting sqref="BJ31">
    <cfRule type="expression" priority="1" stopIfTrue="1">
      <formula>MOD((((#REF!))),0)=0</formula>
    </cfRule>
  </conditionalFormatting>
  <pageMargins left="0.62992125984252001" right="0.511811023622047" top="0.31496062992126" bottom="2.5590551E-2" header="0" footer="6.4960630000000005E-2"/>
  <pageSetup paperSize="151" orientation="portrait" useFirstPageNumber="1" r:id="rId1"/>
  <headerFooter differentFirst="1" alignWithMargins="0">
    <oddFooter>&amp;C&amp;"Times New Roman,Regular"&amp;8&amp;P</oddFooter>
  </headerFooter>
  <colBreaks count="1" manualBreakCount="1">
    <brk id="8" max="1048575" man="1"/>
  </colBreaks>
</worksheet>
</file>

<file path=xl/worksheets/sheet30.xml><?xml version="1.0" encoding="utf-8"?>
<worksheet xmlns="http://schemas.openxmlformats.org/spreadsheetml/2006/main" xmlns:r="http://schemas.openxmlformats.org/officeDocument/2006/relationships">
  <dimension ref="A1:AB58"/>
  <sheetViews>
    <sheetView zoomScaleNormal="100" workbookViewId="0">
      <pane xSplit="1" ySplit="6" topLeftCell="Q25" activePane="bottomRight" state="frozen"/>
      <selection pane="topRight" activeCell="B1" sqref="B1"/>
      <selection pane="bottomLeft" activeCell="A7" sqref="A7"/>
      <selection pane="bottomRight" activeCell="V43" sqref="V43"/>
    </sheetView>
  </sheetViews>
  <sheetFormatPr defaultColWidth="9.140625" defaultRowHeight="11.25"/>
  <cols>
    <col min="1" max="1" width="9" style="11" customWidth="1"/>
    <col min="2" max="2" width="11" style="11" customWidth="1"/>
    <col min="3" max="3" width="11.85546875" style="11" customWidth="1"/>
    <col min="4" max="4" width="11.42578125" style="11" customWidth="1"/>
    <col min="5" max="5" width="10.42578125" style="11" customWidth="1"/>
    <col min="6" max="6" width="9" style="11" customWidth="1"/>
    <col min="7" max="7" width="11.28515625" style="11" customWidth="1"/>
    <col min="8" max="8" width="10.42578125" style="11" customWidth="1"/>
    <col min="9" max="9" width="11.140625" style="11" customWidth="1"/>
    <col min="10" max="10" width="10.42578125" style="11" customWidth="1"/>
    <col min="11" max="11" width="11" style="11" customWidth="1"/>
    <col min="12" max="12" width="10.7109375" style="11" customWidth="1"/>
    <col min="13" max="13" width="10.5703125" style="11" customWidth="1"/>
    <col min="14" max="14" width="10.7109375" style="11" customWidth="1"/>
    <col min="15" max="15" width="15.85546875" style="11" customWidth="1"/>
    <col min="16" max="16" width="15" style="11" customWidth="1"/>
    <col min="17" max="17" width="12.5703125" style="11" customWidth="1"/>
    <col min="18" max="18" width="13.28515625" style="11" customWidth="1"/>
    <col min="19" max="19" width="15.7109375" style="11" customWidth="1"/>
    <col min="20" max="20" width="7.5703125" style="11" customWidth="1"/>
    <col min="21" max="21" width="8.85546875" style="11" customWidth="1"/>
    <col min="22" max="22" width="11.7109375" style="11" customWidth="1"/>
    <col min="23" max="23" width="7.5703125" style="11" customWidth="1"/>
    <col min="24" max="24" width="8.42578125" style="11" customWidth="1"/>
    <col min="25" max="25" width="7.7109375" style="11" customWidth="1"/>
    <col min="26" max="26" width="9.42578125" style="11" customWidth="1"/>
    <col min="27" max="27" width="8.140625" style="11" customWidth="1"/>
    <col min="28" max="28" width="8.7109375" style="11" customWidth="1"/>
    <col min="29" max="16384" width="9.140625" style="11"/>
  </cols>
  <sheetData>
    <row r="1" spans="1:28" ht="16.5" customHeight="1"/>
    <row r="2" spans="1:28" s="624" customFormat="1" ht="27.75" customHeight="1">
      <c r="A2" s="2069" t="s">
        <v>1943</v>
      </c>
      <c r="B2" s="2069"/>
      <c r="C2" s="2069"/>
      <c r="D2" s="2069"/>
      <c r="E2" s="2069"/>
      <c r="F2" s="2070" t="s">
        <v>2087</v>
      </c>
      <c r="G2" s="2070"/>
      <c r="H2" s="646"/>
      <c r="I2" s="2070" t="s">
        <v>1531</v>
      </c>
      <c r="J2" s="2070"/>
      <c r="K2" s="2070"/>
      <c r="L2" s="2070"/>
      <c r="M2" s="2070"/>
      <c r="N2" s="2070"/>
      <c r="O2" s="2076" t="s">
        <v>1478</v>
      </c>
      <c r="P2" s="2076"/>
      <c r="Q2" s="2076"/>
      <c r="R2" s="2070" t="s">
        <v>2087</v>
      </c>
      <c r="S2" s="2070"/>
      <c r="T2" s="2069" t="s">
        <v>1477</v>
      </c>
      <c r="U2" s="2069"/>
      <c r="V2" s="2069"/>
      <c r="W2" s="2069"/>
      <c r="X2" s="2069"/>
      <c r="Y2" s="2069"/>
      <c r="Z2" s="2070" t="s">
        <v>2088</v>
      </c>
      <c r="AA2" s="2070"/>
      <c r="AB2" s="2070"/>
    </row>
    <row r="3" spans="1:28" s="64" customFormat="1" ht="21.75" customHeight="1">
      <c r="A3" s="2072" t="s">
        <v>1478</v>
      </c>
      <c r="B3" s="2072"/>
      <c r="C3" s="2072"/>
      <c r="D3" s="2072"/>
      <c r="E3" s="2072"/>
      <c r="F3" s="2066" t="s">
        <v>101</v>
      </c>
      <c r="G3" s="2066"/>
      <c r="H3" s="111"/>
      <c r="K3" s="108"/>
      <c r="L3" s="108"/>
      <c r="M3" s="1928"/>
      <c r="N3" s="1928"/>
      <c r="O3" s="197"/>
      <c r="P3" s="197"/>
      <c r="R3" s="1928" t="s">
        <v>101</v>
      </c>
      <c r="S3" s="1928"/>
      <c r="T3" s="2071" t="s">
        <v>1944</v>
      </c>
      <c r="U3" s="2071"/>
      <c r="V3" s="2071"/>
      <c r="W3" s="2071"/>
      <c r="X3" s="2071"/>
      <c r="Y3" s="2071"/>
      <c r="Z3" s="2071"/>
      <c r="AA3" s="1928" t="s">
        <v>101</v>
      </c>
      <c r="AB3" s="1928"/>
    </row>
    <row r="4" spans="1:28" s="236" customFormat="1" ht="16.5" customHeight="1">
      <c r="A4" s="1972" t="s">
        <v>875</v>
      </c>
      <c r="B4" s="2077" t="s">
        <v>1476</v>
      </c>
      <c r="C4" s="2077"/>
      <c r="D4" s="2077"/>
      <c r="E4" s="2077"/>
      <c r="F4" s="2077"/>
      <c r="G4" s="2077"/>
      <c r="H4" s="1906" t="s">
        <v>875</v>
      </c>
      <c r="I4" s="1979" t="s">
        <v>1541</v>
      </c>
      <c r="J4" s="1980"/>
      <c r="K4" s="1980"/>
      <c r="L4" s="1980"/>
      <c r="M4" s="1980"/>
      <c r="N4" s="1980"/>
      <c r="O4" s="1980"/>
      <c r="P4" s="1980"/>
      <c r="Q4" s="1980"/>
      <c r="R4" s="1981"/>
      <c r="S4" s="1906" t="s">
        <v>875</v>
      </c>
      <c r="T4" s="1983" t="s">
        <v>875</v>
      </c>
      <c r="U4" s="1979" t="s">
        <v>130</v>
      </c>
      <c r="V4" s="1980"/>
      <c r="W4" s="1980"/>
      <c r="X4" s="1981"/>
      <c r="Y4" s="1980" t="s">
        <v>131</v>
      </c>
      <c r="Z4" s="1980"/>
      <c r="AA4" s="1980"/>
      <c r="AB4" s="1981"/>
    </row>
    <row r="5" spans="1:28" s="199" customFormat="1" ht="12.75" customHeight="1">
      <c r="A5" s="1907"/>
      <c r="B5" s="2078" t="s">
        <v>1479</v>
      </c>
      <c r="C5" s="2078"/>
      <c r="D5" s="2078"/>
      <c r="E5" s="2078"/>
      <c r="F5" s="1909" t="s">
        <v>1530</v>
      </c>
      <c r="G5" s="1909"/>
      <c r="H5" s="1907"/>
      <c r="I5" s="2073" t="s">
        <v>1530</v>
      </c>
      <c r="J5" s="2074"/>
      <c r="K5" s="2078" t="s">
        <v>231</v>
      </c>
      <c r="L5" s="2078"/>
      <c r="M5" s="2078"/>
      <c r="N5" s="2078"/>
      <c r="O5" s="2073" t="s">
        <v>871</v>
      </c>
      <c r="P5" s="2074"/>
      <c r="Q5" s="2074"/>
      <c r="R5" s="2075"/>
      <c r="S5" s="1907"/>
      <c r="T5" s="1983"/>
      <c r="U5" s="1927" t="s">
        <v>1407</v>
      </c>
      <c r="V5" s="1927" t="s">
        <v>2254</v>
      </c>
      <c r="W5" s="1927" t="s">
        <v>1374</v>
      </c>
      <c r="X5" s="1927" t="s">
        <v>132</v>
      </c>
      <c r="Y5" s="1927" t="s">
        <v>1408</v>
      </c>
      <c r="Z5" s="1879" t="s">
        <v>129</v>
      </c>
      <c r="AA5" s="1927" t="s">
        <v>50</v>
      </c>
      <c r="AB5" s="1889" t="s">
        <v>1376</v>
      </c>
    </row>
    <row r="6" spans="1:28" s="124" customFormat="1" ht="25.5" customHeight="1">
      <c r="A6" s="1908"/>
      <c r="B6" s="28" t="s">
        <v>128</v>
      </c>
      <c r="C6" s="28" t="s">
        <v>129</v>
      </c>
      <c r="D6" s="28" t="s">
        <v>50</v>
      </c>
      <c r="E6" s="28" t="s">
        <v>1371</v>
      </c>
      <c r="F6" s="28" t="s">
        <v>128</v>
      </c>
      <c r="G6" s="28" t="s">
        <v>129</v>
      </c>
      <c r="H6" s="1908"/>
      <c r="I6" s="28" t="s">
        <v>1406</v>
      </c>
      <c r="J6" s="28" t="s">
        <v>1372</v>
      </c>
      <c r="K6" s="28" t="s">
        <v>1375</v>
      </c>
      <c r="L6" s="28" t="s">
        <v>129</v>
      </c>
      <c r="M6" s="28" t="s">
        <v>50</v>
      </c>
      <c r="N6" s="28" t="s">
        <v>1405</v>
      </c>
      <c r="O6" s="28" t="s">
        <v>1480</v>
      </c>
      <c r="P6" s="28" t="s">
        <v>129</v>
      </c>
      <c r="Q6" s="28" t="s">
        <v>1373</v>
      </c>
      <c r="R6" s="28" t="s">
        <v>1542</v>
      </c>
      <c r="S6" s="1908"/>
      <c r="T6" s="1983"/>
      <c r="U6" s="1927"/>
      <c r="V6" s="1927"/>
      <c r="W6" s="1927"/>
      <c r="X6" s="1927"/>
      <c r="Y6" s="1927"/>
      <c r="Z6" s="1933"/>
      <c r="AA6" s="1927"/>
      <c r="AB6" s="1889"/>
    </row>
    <row r="7" spans="1:28" s="91" customFormat="1" ht="17.100000000000001" customHeight="1">
      <c r="A7" s="235">
        <v>1993</v>
      </c>
      <c r="B7" s="237">
        <v>1738.3</v>
      </c>
      <c r="C7" s="237">
        <v>1769.7</v>
      </c>
      <c r="D7" s="237">
        <v>-31.9</v>
      </c>
      <c r="E7" s="235">
        <v>64492</v>
      </c>
      <c r="F7" s="237">
        <v>195.1</v>
      </c>
      <c r="G7" s="237">
        <v>91.85</v>
      </c>
      <c r="H7" s="235">
        <v>1993</v>
      </c>
      <c r="I7" s="237">
        <v>54.36</v>
      </c>
      <c r="J7" s="235">
        <v>826</v>
      </c>
      <c r="K7" s="237">
        <v>835.92</v>
      </c>
      <c r="L7" s="237">
        <v>813.51</v>
      </c>
      <c r="M7" s="237">
        <v>3.23</v>
      </c>
      <c r="N7" s="235">
        <v>18276</v>
      </c>
      <c r="O7" s="237">
        <v>2769.32</v>
      </c>
      <c r="P7" s="237">
        <v>2675.06</v>
      </c>
      <c r="Q7" s="237">
        <v>25.69</v>
      </c>
      <c r="R7" s="235">
        <v>83594</v>
      </c>
      <c r="S7" s="235">
        <v>1993</v>
      </c>
      <c r="T7" s="123" t="s">
        <v>937</v>
      </c>
      <c r="U7" s="237">
        <v>665.13</v>
      </c>
      <c r="V7" s="237">
        <v>188.71</v>
      </c>
      <c r="W7" s="237">
        <v>476.42</v>
      </c>
      <c r="X7" s="235">
        <v>6435</v>
      </c>
      <c r="Y7" s="237">
        <v>186.68</v>
      </c>
      <c r="Z7" s="237">
        <v>511.26</v>
      </c>
      <c r="AA7" s="237">
        <v>-330.69</v>
      </c>
      <c r="AB7" s="235">
        <v>16871</v>
      </c>
    </row>
    <row r="8" spans="1:28" s="91" customFormat="1" ht="17.100000000000001" customHeight="1">
      <c r="A8" s="596">
        <v>1994</v>
      </c>
      <c r="B8" s="597">
        <v>1702.56</v>
      </c>
      <c r="C8" s="597">
        <v>1683.24</v>
      </c>
      <c r="D8" s="597">
        <v>18.82</v>
      </c>
      <c r="E8" s="596">
        <v>63804</v>
      </c>
      <c r="F8" s="597">
        <v>242.36</v>
      </c>
      <c r="G8" s="597">
        <v>105.74</v>
      </c>
      <c r="H8" s="596">
        <v>1994</v>
      </c>
      <c r="I8" s="597">
        <v>68.319999999999993</v>
      </c>
      <c r="J8" s="596">
        <v>888</v>
      </c>
      <c r="K8" s="597">
        <v>851.89</v>
      </c>
      <c r="L8" s="597">
        <v>801.25</v>
      </c>
      <c r="M8" s="597">
        <v>14.8</v>
      </c>
      <c r="N8" s="596">
        <v>18794</v>
      </c>
      <c r="O8" s="597">
        <v>2796.81</v>
      </c>
      <c r="P8" s="597">
        <v>2590.23</v>
      </c>
      <c r="Q8" s="597">
        <v>101.94</v>
      </c>
      <c r="R8" s="596">
        <v>83486</v>
      </c>
      <c r="S8" s="596">
        <v>1994</v>
      </c>
      <c r="T8" s="598" t="s">
        <v>938</v>
      </c>
      <c r="U8" s="597">
        <v>838.06</v>
      </c>
      <c r="V8" s="597">
        <v>239.33</v>
      </c>
      <c r="W8" s="597">
        <v>598.73</v>
      </c>
      <c r="X8" s="596">
        <v>6345</v>
      </c>
      <c r="Y8" s="597">
        <v>310.63</v>
      </c>
      <c r="Z8" s="597">
        <v>617.73</v>
      </c>
      <c r="AA8" s="597">
        <v>-307.10000000000002</v>
      </c>
      <c r="AB8" s="596">
        <v>16856</v>
      </c>
    </row>
    <row r="9" spans="1:28" s="91" customFormat="1" ht="17.100000000000001" customHeight="1">
      <c r="A9" s="235">
        <v>1995</v>
      </c>
      <c r="B9" s="237">
        <v>1982.08</v>
      </c>
      <c r="C9" s="237">
        <v>1869.11</v>
      </c>
      <c r="D9" s="237">
        <v>112.37</v>
      </c>
      <c r="E9" s="235">
        <v>63803</v>
      </c>
      <c r="F9" s="237">
        <v>335.65</v>
      </c>
      <c r="G9" s="237">
        <v>151.38999999999999</v>
      </c>
      <c r="H9" s="235">
        <v>1995</v>
      </c>
      <c r="I9" s="237">
        <v>90.76</v>
      </c>
      <c r="J9" s="235">
        <v>966</v>
      </c>
      <c r="K9" s="237">
        <v>943.89</v>
      </c>
      <c r="L9" s="237">
        <v>831.99</v>
      </c>
      <c r="M9" s="237">
        <v>56.56</v>
      </c>
      <c r="N9" s="235">
        <v>20083</v>
      </c>
      <c r="O9" s="237">
        <v>3261.62</v>
      </c>
      <c r="P9" s="237">
        <v>2964.39</v>
      </c>
      <c r="Q9" s="237">
        <v>259.69</v>
      </c>
      <c r="R9" s="235">
        <v>84852</v>
      </c>
      <c r="S9" s="235">
        <v>1995</v>
      </c>
      <c r="T9" s="123" t="s">
        <v>939</v>
      </c>
      <c r="U9" s="237">
        <v>840.64</v>
      </c>
      <c r="V9" s="237">
        <v>310.44</v>
      </c>
      <c r="W9" s="237">
        <v>530.20000000000005</v>
      </c>
      <c r="X9" s="235">
        <v>6281</v>
      </c>
      <c r="Y9" s="237">
        <v>235.97</v>
      </c>
      <c r="Z9" s="237">
        <v>528.04</v>
      </c>
      <c r="AA9" s="237">
        <v>-292.07</v>
      </c>
      <c r="AB9" s="235">
        <v>16459</v>
      </c>
    </row>
    <row r="10" spans="1:28" s="91" customFormat="1" ht="17.100000000000001" customHeight="1">
      <c r="A10" s="596">
        <v>1996</v>
      </c>
      <c r="B10" s="597">
        <v>2249.11</v>
      </c>
      <c r="C10" s="597">
        <v>2220.5</v>
      </c>
      <c r="D10" s="597">
        <v>28.11</v>
      </c>
      <c r="E10" s="596">
        <v>63731</v>
      </c>
      <c r="F10" s="597">
        <v>408.46</v>
      </c>
      <c r="G10" s="597">
        <v>221.73</v>
      </c>
      <c r="H10" s="596">
        <v>1996</v>
      </c>
      <c r="I10" s="597">
        <v>98.72</v>
      </c>
      <c r="J10" s="596">
        <v>1016</v>
      </c>
      <c r="K10" s="597">
        <v>1132.23</v>
      </c>
      <c r="L10" s="597">
        <v>939.75</v>
      </c>
      <c r="M10" s="597">
        <v>131.49</v>
      </c>
      <c r="N10" s="596">
        <v>21140</v>
      </c>
      <c r="O10" s="597">
        <v>3789.8</v>
      </c>
      <c r="P10" s="597">
        <v>3381.98</v>
      </c>
      <c r="Q10" s="597">
        <v>258.32</v>
      </c>
      <c r="R10" s="596">
        <v>85887</v>
      </c>
      <c r="S10" s="596">
        <v>1996</v>
      </c>
      <c r="T10" s="598" t="s">
        <v>940</v>
      </c>
      <c r="U10" s="597">
        <v>936.03</v>
      </c>
      <c r="V10" s="597">
        <v>301.69</v>
      </c>
      <c r="W10" s="597">
        <v>634.34</v>
      </c>
      <c r="X10" s="596">
        <v>6215</v>
      </c>
      <c r="Y10" s="597">
        <v>410.88</v>
      </c>
      <c r="Z10" s="597">
        <v>615.38</v>
      </c>
      <c r="AA10" s="597">
        <v>-204.5</v>
      </c>
      <c r="AB10" s="596">
        <v>16273</v>
      </c>
    </row>
    <row r="11" spans="1:28" s="91" customFormat="1" ht="17.100000000000001" customHeight="1">
      <c r="A11" s="235">
        <v>1997</v>
      </c>
      <c r="B11" s="237">
        <v>2574.08</v>
      </c>
      <c r="C11" s="237">
        <v>2556.81</v>
      </c>
      <c r="D11" s="237">
        <v>16.77</v>
      </c>
      <c r="E11" s="235">
        <v>62723</v>
      </c>
      <c r="F11" s="237">
        <v>564.1</v>
      </c>
      <c r="G11" s="237">
        <v>335.64</v>
      </c>
      <c r="H11" s="235">
        <v>1997</v>
      </c>
      <c r="I11" s="237">
        <v>134.21</v>
      </c>
      <c r="J11" s="235">
        <v>1125</v>
      </c>
      <c r="K11" s="237">
        <v>1414.22</v>
      </c>
      <c r="L11" s="237">
        <v>1180.04</v>
      </c>
      <c r="M11" s="237">
        <v>144.47999999999999</v>
      </c>
      <c r="N11" s="235">
        <v>22194</v>
      </c>
      <c r="O11" s="237">
        <v>4552.3999999999996</v>
      </c>
      <c r="P11" s="237">
        <v>4072.49</v>
      </c>
      <c r="Q11" s="237">
        <v>295.45999999999998</v>
      </c>
      <c r="R11" s="235">
        <v>86042</v>
      </c>
      <c r="S11" s="235">
        <v>1997</v>
      </c>
      <c r="T11" s="123" t="s">
        <v>941</v>
      </c>
      <c r="U11" s="237">
        <v>1059.3900000000001</v>
      </c>
      <c r="V11" s="237">
        <v>288.75</v>
      </c>
      <c r="W11" s="237">
        <v>770.64</v>
      </c>
      <c r="X11" s="235">
        <v>6129</v>
      </c>
      <c r="Y11" s="237">
        <v>440.48</v>
      </c>
      <c r="Z11" s="237">
        <v>701.5</v>
      </c>
      <c r="AA11" s="237">
        <v>-261.02</v>
      </c>
      <c r="AB11" s="235">
        <v>16342</v>
      </c>
    </row>
    <row r="12" spans="1:28" s="91" customFormat="1" ht="17.100000000000001" customHeight="1">
      <c r="A12" s="596">
        <v>1998</v>
      </c>
      <c r="B12" s="597">
        <v>2815.17</v>
      </c>
      <c r="C12" s="597">
        <v>2808.69</v>
      </c>
      <c r="D12" s="597">
        <v>-5.98</v>
      </c>
      <c r="E12" s="596">
        <v>63583</v>
      </c>
      <c r="F12" s="597">
        <v>585.59</v>
      </c>
      <c r="G12" s="597">
        <v>326.62</v>
      </c>
      <c r="H12" s="596">
        <v>1998</v>
      </c>
      <c r="I12" s="597">
        <v>149.43</v>
      </c>
      <c r="J12" s="596">
        <v>1262</v>
      </c>
      <c r="K12" s="597">
        <v>1696.46</v>
      </c>
      <c r="L12" s="597">
        <v>1457.83</v>
      </c>
      <c r="M12" s="597">
        <v>158.35</v>
      </c>
      <c r="N12" s="596">
        <v>22893</v>
      </c>
      <c r="O12" s="597">
        <v>5097.22</v>
      </c>
      <c r="P12" s="597">
        <v>4593.1400000000003</v>
      </c>
      <c r="Q12" s="597">
        <v>301.8</v>
      </c>
      <c r="R12" s="596">
        <v>87738</v>
      </c>
      <c r="S12" s="596">
        <v>1998</v>
      </c>
      <c r="T12" s="598" t="s">
        <v>942</v>
      </c>
      <c r="U12" s="597">
        <v>1171.56</v>
      </c>
      <c r="V12" s="597">
        <v>384.7</v>
      </c>
      <c r="W12" s="597">
        <v>786.86</v>
      </c>
      <c r="X12" s="596">
        <v>6178</v>
      </c>
      <c r="Y12" s="597">
        <v>492.91</v>
      </c>
      <c r="Z12" s="597">
        <v>766.77</v>
      </c>
      <c r="AA12" s="597">
        <v>-296.7</v>
      </c>
      <c r="AB12" s="596">
        <v>16114</v>
      </c>
    </row>
    <row r="13" spans="1:28" s="91" customFormat="1" ht="17.100000000000001" customHeight="1">
      <c r="A13" s="235">
        <v>1999</v>
      </c>
      <c r="B13" s="237">
        <v>3161.26</v>
      </c>
      <c r="C13" s="237">
        <v>3164.79</v>
      </c>
      <c r="D13" s="237">
        <v>-16.66</v>
      </c>
      <c r="E13" s="235">
        <v>62419</v>
      </c>
      <c r="F13" s="237">
        <v>713.65</v>
      </c>
      <c r="G13" s="237">
        <v>447.39</v>
      </c>
      <c r="H13" s="235">
        <v>1999</v>
      </c>
      <c r="I13" s="237">
        <v>149.69999999999999</v>
      </c>
      <c r="J13" s="235">
        <v>1311</v>
      </c>
      <c r="K13" s="237">
        <v>2094.5100000000002</v>
      </c>
      <c r="L13" s="237">
        <v>1760.92</v>
      </c>
      <c r="M13" s="237">
        <v>178.44</v>
      </c>
      <c r="N13" s="235">
        <v>24281</v>
      </c>
      <c r="O13" s="237">
        <v>5969.42</v>
      </c>
      <c r="P13" s="237">
        <v>5373.1</v>
      </c>
      <c r="Q13" s="237">
        <v>311.48</v>
      </c>
      <c r="R13" s="235">
        <v>88011</v>
      </c>
      <c r="S13" s="235">
        <v>1999</v>
      </c>
      <c r="T13" s="123" t="s">
        <v>943</v>
      </c>
      <c r="U13" s="237">
        <v>1159.3499999999999</v>
      </c>
      <c r="V13" s="237">
        <v>363.37</v>
      </c>
      <c r="W13" s="237">
        <v>795.98</v>
      </c>
      <c r="X13" s="235">
        <v>6061</v>
      </c>
      <c r="Y13" s="237">
        <v>598.45000000000005</v>
      </c>
      <c r="Z13" s="237">
        <v>766</v>
      </c>
      <c r="AA13" s="237">
        <v>-532.37</v>
      </c>
      <c r="AB13" s="235">
        <v>16036</v>
      </c>
    </row>
    <row r="14" spans="1:28" s="91" customFormat="1" ht="17.100000000000001" customHeight="1">
      <c r="A14" s="596">
        <v>2000</v>
      </c>
      <c r="B14" s="597">
        <v>3726.27</v>
      </c>
      <c r="C14" s="597">
        <v>3532.16</v>
      </c>
      <c r="D14" s="597">
        <v>24.58</v>
      </c>
      <c r="E14" s="596">
        <v>62091</v>
      </c>
      <c r="F14" s="597">
        <v>967.5</v>
      </c>
      <c r="G14" s="597">
        <v>548.08000000000004</v>
      </c>
      <c r="H14" s="596">
        <v>2000</v>
      </c>
      <c r="I14" s="597">
        <v>220.46</v>
      </c>
      <c r="J14" s="596">
        <v>1280</v>
      </c>
      <c r="K14" s="597">
        <v>3267.62</v>
      </c>
      <c r="L14" s="597">
        <v>2462.09</v>
      </c>
      <c r="M14" s="597">
        <v>309.97000000000003</v>
      </c>
      <c r="N14" s="596">
        <v>25975</v>
      </c>
      <c r="O14" s="597">
        <v>7961.39</v>
      </c>
      <c r="P14" s="597">
        <v>6542.33</v>
      </c>
      <c r="Q14" s="597">
        <v>555.01</v>
      </c>
      <c r="R14" s="596">
        <v>89346</v>
      </c>
      <c r="S14" s="596">
        <v>2000</v>
      </c>
      <c r="T14" s="598" t="s">
        <v>944</v>
      </c>
      <c r="U14" s="597">
        <v>1172.58</v>
      </c>
      <c r="V14" s="597">
        <v>456.64</v>
      </c>
      <c r="W14" s="597">
        <v>715.95</v>
      </c>
      <c r="X14" s="596">
        <v>5926</v>
      </c>
      <c r="Y14" s="597">
        <v>820.34</v>
      </c>
      <c r="Z14" s="597">
        <v>736.36</v>
      </c>
      <c r="AA14" s="597">
        <v>79.81</v>
      </c>
      <c r="AB14" s="596">
        <v>16164</v>
      </c>
    </row>
    <row r="15" spans="1:28" s="91" customFormat="1" ht="17.100000000000001" customHeight="1">
      <c r="A15" s="235">
        <v>2001</v>
      </c>
      <c r="B15" s="237">
        <v>3878.16</v>
      </c>
      <c r="C15" s="237">
        <v>3735.96</v>
      </c>
      <c r="D15" s="237">
        <v>38.24</v>
      </c>
      <c r="E15" s="235">
        <v>61325</v>
      </c>
      <c r="F15" s="237">
        <v>1068.9100000000001</v>
      </c>
      <c r="G15" s="237">
        <v>588.16999999999996</v>
      </c>
      <c r="H15" s="235">
        <v>2001</v>
      </c>
      <c r="I15" s="237">
        <v>259.81</v>
      </c>
      <c r="J15" s="235">
        <v>1588</v>
      </c>
      <c r="K15" s="237">
        <v>4321</v>
      </c>
      <c r="L15" s="237">
        <v>3126</v>
      </c>
      <c r="M15" s="237">
        <v>514.48</v>
      </c>
      <c r="N15" s="235">
        <v>28068</v>
      </c>
      <c r="O15" s="237">
        <v>9268.07</v>
      </c>
      <c r="P15" s="237">
        <v>7450.13</v>
      </c>
      <c r="Q15" s="237">
        <v>812.53</v>
      </c>
      <c r="R15" s="235">
        <v>90981</v>
      </c>
      <c r="S15" s="235">
        <v>2001</v>
      </c>
      <c r="T15" s="123" t="s">
        <v>945</v>
      </c>
      <c r="U15" s="237">
        <v>1133.1500000000001</v>
      </c>
      <c r="V15" s="237">
        <v>183.34</v>
      </c>
      <c r="W15" s="237">
        <v>949.41</v>
      </c>
      <c r="X15" s="235">
        <v>5769</v>
      </c>
      <c r="Y15" s="237">
        <v>636.39</v>
      </c>
      <c r="Z15" s="237">
        <v>748.34</v>
      </c>
      <c r="AA15" s="237">
        <v>-114.64</v>
      </c>
      <c r="AB15" s="235">
        <v>16475</v>
      </c>
    </row>
    <row r="16" spans="1:28" s="91" customFormat="1" ht="17.100000000000001" customHeight="1">
      <c r="A16" s="596">
        <v>2002</v>
      </c>
      <c r="B16" s="597">
        <v>3665.52</v>
      </c>
      <c r="C16" s="597">
        <v>3420.35</v>
      </c>
      <c r="D16" s="597">
        <v>19.88</v>
      </c>
      <c r="E16" s="596">
        <v>60169</v>
      </c>
      <c r="F16" s="597">
        <v>1061.9000000000001</v>
      </c>
      <c r="G16" s="597">
        <v>570.79</v>
      </c>
      <c r="H16" s="596">
        <v>2002</v>
      </c>
      <c r="I16" s="597">
        <v>224.08</v>
      </c>
      <c r="J16" s="596">
        <v>1305</v>
      </c>
      <c r="K16" s="597">
        <v>5021.55</v>
      </c>
      <c r="L16" s="597">
        <v>3930.87</v>
      </c>
      <c r="M16" s="597">
        <v>458.79</v>
      </c>
      <c r="N16" s="596">
        <v>28336</v>
      </c>
      <c r="O16" s="597">
        <v>9748.9699999999993</v>
      </c>
      <c r="P16" s="597">
        <v>7922.01</v>
      </c>
      <c r="Q16" s="597">
        <v>702.75</v>
      </c>
      <c r="R16" s="596">
        <v>89810</v>
      </c>
      <c r="S16" s="596">
        <v>2002</v>
      </c>
      <c r="T16" s="598" t="s">
        <v>946</v>
      </c>
      <c r="U16" s="597">
        <v>1725.62</v>
      </c>
      <c r="V16" s="597">
        <v>365.57</v>
      </c>
      <c r="W16" s="597">
        <v>760.05</v>
      </c>
      <c r="X16" s="596">
        <v>5576</v>
      </c>
      <c r="Y16" s="597">
        <v>738.53</v>
      </c>
      <c r="Z16" s="597">
        <v>768.85</v>
      </c>
      <c r="AA16" s="597">
        <v>-24.32</v>
      </c>
      <c r="AB16" s="596">
        <v>15837</v>
      </c>
    </row>
    <row r="17" spans="1:28" s="91" customFormat="1" ht="17.100000000000001" customHeight="1">
      <c r="A17" s="235">
        <v>2003</v>
      </c>
      <c r="B17" s="237">
        <v>4165.22</v>
      </c>
      <c r="C17" s="237">
        <v>3860.79</v>
      </c>
      <c r="D17" s="237">
        <v>68.209999999999994</v>
      </c>
      <c r="E17" s="235">
        <v>58629</v>
      </c>
      <c r="F17" s="237">
        <v>772.93</v>
      </c>
      <c r="G17" s="237">
        <v>252.27</v>
      </c>
      <c r="H17" s="235">
        <v>2003</v>
      </c>
      <c r="I17" s="237">
        <v>276.44</v>
      </c>
      <c r="J17" s="235">
        <v>1409</v>
      </c>
      <c r="K17" s="237">
        <v>5921.25</v>
      </c>
      <c r="L17" s="237">
        <v>4543.82</v>
      </c>
      <c r="M17" s="237">
        <v>475.59</v>
      </c>
      <c r="N17" s="235">
        <v>32576</v>
      </c>
      <c r="O17" s="237">
        <v>10859.4</v>
      </c>
      <c r="P17" s="237">
        <v>8656.8799999999992</v>
      </c>
      <c r="Q17" s="237">
        <v>820.24</v>
      </c>
      <c r="R17" s="235">
        <v>92614</v>
      </c>
      <c r="S17" s="235">
        <v>2003</v>
      </c>
      <c r="T17" s="123" t="s">
        <v>947</v>
      </c>
      <c r="U17" s="237">
        <v>2100.69</v>
      </c>
      <c r="V17" s="237">
        <v>1161.21</v>
      </c>
      <c r="W17" s="237">
        <v>939.48</v>
      </c>
      <c r="X17" s="235">
        <v>5461</v>
      </c>
      <c r="Y17" s="237">
        <v>693.26</v>
      </c>
      <c r="Z17" s="237">
        <v>773.15</v>
      </c>
      <c r="AA17" s="237">
        <v>-87.89</v>
      </c>
      <c r="AB17" s="235">
        <v>15300</v>
      </c>
    </row>
    <row r="18" spans="1:28" s="91" customFormat="1" ht="17.100000000000001" customHeight="1">
      <c r="A18" s="596">
        <v>2004</v>
      </c>
      <c r="B18" s="597">
        <v>4008.46</v>
      </c>
      <c r="C18" s="597">
        <v>3693.77</v>
      </c>
      <c r="D18" s="597">
        <v>-1904.72</v>
      </c>
      <c r="E18" s="596">
        <v>57588</v>
      </c>
      <c r="F18" s="597">
        <v>1294.25</v>
      </c>
      <c r="G18" s="597">
        <v>640.37</v>
      </c>
      <c r="H18" s="596">
        <v>2004</v>
      </c>
      <c r="I18" s="597">
        <v>392.01</v>
      </c>
      <c r="J18" s="596">
        <v>1394</v>
      </c>
      <c r="K18" s="597">
        <v>7305.97</v>
      </c>
      <c r="L18" s="597">
        <v>5293.89</v>
      </c>
      <c r="M18" s="597">
        <v>736.49</v>
      </c>
      <c r="N18" s="596">
        <v>34786</v>
      </c>
      <c r="O18" s="597">
        <v>12608.68</v>
      </c>
      <c r="P18" s="597">
        <v>9628.0300000000007</v>
      </c>
      <c r="Q18" s="597">
        <v>-776.22</v>
      </c>
      <c r="R18" s="596">
        <v>93768</v>
      </c>
      <c r="S18" s="596">
        <v>2004</v>
      </c>
      <c r="T18" s="598" t="s">
        <v>948</v>
      </c>
      <c r="U18" s="597">
        <v>2415.7800000000002</v>
      </c>
      <c r="V18" s="597">
        <v>523.91</v>
      </c>
      <c r="W18" s="597">
        <v>1891.87</v>
      </c>
      <c r="X18" s="596">
        <v>5596</v>
      </c>
      <c r="Y18" s="597">
        <v>646.38</v>
      </c>
      <c r="Z18" s="597">
        <v>854.92</v>
      </c>
      <c r="AA18" s="597">
        <v>-240.68</v>
      </c>
      <c r="AB18" s="596">
        <v>14350</v>
      </c>
    </row>
    <row r="19" spans="1:28" s="91" customFormat="1" ht="17.100000000000001" customHeight="1">
      <c r="A19" s="235">
        <v>2005</v>
      </c>
      <c r="B19" s="237">
        <v>4836.34</v>
      </c>
      <c r="C19" s="237">
        <v>3814.7</v>
      </c>
      <c r="D19" s="237">
        <v>-1209.4100000000001</v>
      </c>
      <c r="E19" s="235">
        <v>56417</v>
      </c>
      <c r="F19" s="237">
        <v>1367.59</v>
      </c>
      <c r="G19" s="237">
        <v>529.5</v>
      </c>
      <c r="H19" s="235">
        <v>2005</v>
      </c>
      <c r="I19" s="237">
        <v>470.18</v>
      </c>
      <c r="J19" s="235">
        <v>1713</v>
      </c>
      <c r="K19" s="237">
        <v>9140.17</v>
      </c>
      <c r="L19" s="237">
        <v>6599.97</v>
      </c>
      <c r="M19" s="237">
        <v>954.71</v>
      </c>
      <c r="N19" s="235">
        <v>36715</v>
      </c>
      <c r="O19" s="237">
        <v>15344.1</v>
      </c>
      <c r="P19" s="237">
        <v>10944.17</v>
      </c>
      <c r="Q19" s="237">
        <v>215.48</v>
      </c>
      <c r="R19" s="235">
        <v>94845</v>
      </c>
      <c r="S19" s="235">
        <v>2005</v>
      </c>
      <c r="T19" s="123" t="s">
        <v>953</v>
      </c>
      <c r="U19" s="237">
        <v>3621.5</v>
      </c>
      <c r="V19" s="237">
        <v>1217.48</v>
      </c>
      <c r="W19" s="237">
        <f>U19-V19</f>
        <v>2404.02</v>
      </c>
      <c r="X19" s="235">
        <v>5481</v>
      </c>
      <c r="Y19" s="237">
        <v>1026.0899999999999</v>
      </c>
      <c r="Z19" s="237">
        <v>1088.9000000000001</v>
      </c>
      <c r="AA19" s="237">
        <v>-123</v>
      </c>
      <c r="AB19" s="235">
        <v>15406</v>
      </c>
    </row>
    <row r="20" spans="1:28" s="91" customFormat="1" ht="17.100000000000001" customHeight="1">
      <c r="A20" s="596">
        <v>2006</v>
      </c>
      <c r="B20" s="596">
        <v>5657.36</v>
      </c>
      <c r="C20" s="596">
        <v>4551.7700000000004</v>
      </c>
      <c r="D20" s="596">
        <v>-4415.92</v>
      </c>
      <c r="E20" s="596">
        <v>54591</v>
      </c>
      <c r="F20" s="597">
        <v>2372</v>
      </c>
      <c r="G20" s="596">
        <v>988.01</v>
      </c>
      <c r="H20" s="596">
        <v>2006</v>
      </c>
      <c r="I20" s="596">
        <v>624.12</v>
      </c>
      <c r="J20" s="596">
        <v>2384</v>
      </c>
      <c r="K20" s="596">
        <v>12757.48</v>
      </c>
      <c r="L20" s="596">
        <v>9400.6200000000008</v>
      </c>
      <c r="M20" s="596">
        <v>931.54</v>
      </c>
      <c r="N20" s="596">
        <v>42512</v>
      </c>
      <c r="O20" s="596">
        <v>20786.84</v>
      </c>
      <c r="P20" s="597">
        <v>14940.4</v>
      </c>
      <c r="Q20" s="596">
        <v>-2860.26</v>
      </c>
      <c r="R20" s="596">
        <v>99487</v>
      </c>
      <c r="S20" s="596">
        <v>2006</v>
      </c>
      <c r="T20" s="599" t="s">
        <v>962</v>
      </c>
      <c r="U20" s="600">
        <v>4279.41</v>
      </c>
      <c r="V20" s="600">
        <v>818.83</v>
      </c>
      <c r="W20" s="600">
        <v>3460.58</v>
      </c>
      <c r="X20" s="600">
        <v>5402</v>
      </c>
      <c r="Y20" s="601">
        <v>1234.32</v>
      </c>
      <c r="Z20" s="600">
        <v>1251.53</v>
      </c>
      <c r="AA20" s="601">
        <v>-143.62</v>
      </c>
      <c r="AB20" s="600">
        <v>15515</v>
      </c>
    </row>
    <row r="21" spans="1:28" s="91" customFormat="1" ht="17.100000000000001" customHeight="1">
      <c r="A21" s="235">
        <v>2007</v>
      </c>
      <c r="B21" s="235">
        <v>4713.37</v>
      </c>
      <c r="C21" s="235">
        <v>3243.54</v>
      </c>
      <c r="D21" s="237">
        <v>-809.1</v>
      </c>
      <c r="E21" s="235">
        <v>52177</v>
      </c>
      <c r="F21" s="237">
        <v>2656.66</v>
      </c>
      <c r="G21" s="235">
        <v>1266.5899999999999</v>
      </c>
      <c r="H21" s="235">
        <v>2007</v>
      </c>
      <c r="I21" s="235">
        <v>723.33</v>
      </c>
      <c r="J21" s="235">
        <v>2388</v>
      </c>
      <c r="K21" s="235">
        <v>16256.55</v>
      </c>
      <c r="L21" s="235">
        <v>11380.48</v>
      </c>
      <c r="M21" s="235">
        <v>1995.75</v>
      </c>
      <c r="N21" s="235">
        <v>45074</v>
      </c>
      <c r="O21" s="237">
        <v>23392.9</v>
      </c>
      <c r="P21" s="237">
        <v>15872.78</v>
      </c>
      <c r="Q21" s="235">
        <v>1909.98</v>
      </c>
      <c r="R21" s="235">
        <v>99639</v>
      </c>
      <c r="S21" s="235">
        <v>2007</v>
      </c>
      <c r="T21" s="91" t="s">
        <v>675</v>
      </c>
      <c r="U21" s="239">
        <v>4062.03</v>
      </c>
      <c r="V21" s="238">
        <v>909.2</v>
      </c>
      <c r="W21" s="239">
        <v>3152.83</v>
      </c>
      <c r="X21" s="239">
        <f>4031+1273</f>
        <v>5304</v>
      </c>
      <c r="Y21" s="239">
        <v>1472.26</v>
      </c>
      <c r="Z21" s="239">
        <v>1497.07</v>
      </c>
      <c r="AA21" s="239">
        <v>-167.17</v>
      </c>
      <c r="AB21" s="239">
        <v>15400</v>
      </c>
    </row>
    <row r="22" spans="1:28" s="239" customFormat="1" ht="17.100000000000001" customHeight="1">
      <c r="A22" s="596">
        <v>2008</v>
      </c>
      <c r="B22" s="596">
        <v>6750.95</v>
      </c>
      <c r="C22" s="596">
        <v>5227.88</v>
      </c>
      <c r="D22" s="596">
        <v>897.68</v>
      </c>
      <c r="E22" s="596">
        <v>53786</v>
      </c>
      <c r="F22" s="597">
        <v>3235.57</v>
      </c>
      <c r="G22" s="597">
        <v>1620.56</v>
      </c>
      <c r="H22" s="596">
        <v>2008</v>
      </c>
      <c r="I22" s="602">
        <v>1138.42</v>
      </c>
      <c r="J22" s="603">
        <v>2384</v>
      </c>
      <c r="K22" s="597">
        <v>21172.7</v>
      </c>
      <c r="L22" s="597">
        <v>14757.53</v>
      </c>
      <c r="M22" s="602">
        <v>2818.66</v>
      </c>
      <c r="N22" s="603">
        <v>46308</v>
      </c>
      <c r="O22" s="597">
        <v>31159.22</v>
      </c>
      <c r="P22" s="597">
        <v>21605.97</v>
      </c>
      <c r="Q22" s="597">
        <v>4854.76</v>
      </c>
      <c r="R22" s="603">
        <v>102478</v>
      </c>
      <c r="S22" s="596">
        <v>2008</v>
      </c>
      <c r="T22" s="599" t="s">
        <v>141</v>
      </c>
      <c r="U22" s="600">
        <v>3088.43</v>
      </c>
      <c r="V22" s="600">
        <v>582.63</v>
      </c>
      <c r="W22" s="601">
        <v>2505.8000000000002</v>
      </c>
      <c r="X22" s="600">
        <v>5259</v>
      </c>
      <c r="Y22" s="601">
        <v>1944.9</v>
      </c>
      <c r="Z22" s="600">
        <v>1685.01</v>
      </c>
      <c r="AA22" s="600">
        <v>40.159999999999997</v>
      </c>
      <c r="AB22" s="600">
        <v>15388</v>
      </c>
    </row>
    <row r="23" spans="1:28" s="239" customFormat="1" ht="17.100000000000001" customHeight="1">
      <c r="A23" s="235">
        <v>2009</v>
      </c>
      <c r="B23" s="235">
        <v>8026.68</v>
      </c>
      <c r="C23" s="235">
        <v>6083.51</v>
      </c>
      <c r="D23" s="235">
        <v>931.35</v>
      </c>
      <c r="E23" s="235">
        <v>50600</v>
      </c>
      <c r="F23" s="237">
        <v>2610.9499999999998</v>
      </c>
      <c r="G23" s="237">
        <v>1401.57</v>
      </c>
      <c r="H23" s="235">
        <v>2009</v>
      </c>
      <c r="I23" s="237">
        <v>708.78</v>
      </c>
      <c r="J23" s="251">
        <v>2760</v>
      </c>
      <c r="K23" s="237">
        <v>26262.19</v>
      </c>
      <c r="L23" s="237">
        <v>17911.02</v>
      </c>
      <c r="M23" s="237">
        <v>3947.72</v>
      </c>
      <c r="N23" s="251">
        <v>59874</v>
      </c>
      <c r="O23" s="237">
        <f t="shared" ref="O23:P25" si="0">B23+F23+K23</f>
        <v>36899.82</v>
      </c>
      <c r="P23" s="237">
        <f t="shared" si="0"/>
        <v>25396.1</v>
      </c>
      <c r="Q23" s="237">
        <f t="shared" ref="Q23:R25" si="1">D23+I23+M23</f>
        <v>5587.85</v>
      </c>
      <c r="R23" s="251">
        <f t="shared" si="1"/>
        <v>113234</v>
      </c>
      <c r="S23" s="235">
        <v>2009</v>
      </c>
      <c r="T23" s="91" t="s">
        <v>136</v>
      </c>
      <c r="U23" s="239">
        <v>1926.92</v>
      </c>
      <c r="V23" s="238">
        <v>639.1</v>
      </c>
      <c r="W23" s="238">
        <v>1287.82</v>
      </c>
      <c r="X23" s="239">
        <f>3914+1157</f>
        <v>5071</v>
      </c>
      <c r="Y23" s="239">
        <v>2327.42</v>
      </c>
      <c r="Z23" s="239">
        <v>2053.65</v>
      </c>
      <c r="AA23" s="239">
        <v>105.76</v>
      </c>
      <c r="AB23" s="239">
        <v>15293</v>
      </c>
    </row>
    <row r="24" spans="1:28" s="239" customFormat="1" ht="17.100000000000001" customHeight="1">
      <c r="A24" s="596">
        <v>2010</v>
      </c>
      <c r="B24" s="596">
        <v>10260.459999999999</v>
      </c>
      <c r="C24" s="596">
        <v>7163.33</v>
      </c>
      <c r="D24" s="596">
        <v>1176.26</v>
      </c>
      <c r="E24" s="596">
        <v>50069</v>
      </c>
      <c r="F24" s="597">
        <v>2632.77</v>
      </c>
      <c r="G24" s="597">
        <v>1338.96</v>
      </c>
      <c r="H24" s="596">
        <v>2010</v>
      </c>
      <c r="I24" s="597">
        <v>645.62</v>
      </c>
      <c r="J24" s="603">
        <v>3143</v>
      </c>
      <c r="K24" s="597">
        <v>32873.14</v>
      </c>
      <c r="L24" s="597">
        <v>20435.560000000001</v>
      </c>
      <c r="M24" s="597">
        <v>6032.03</v>
      </c>
      <c r="N24" s="603">
        <v>68720</v>
      </c>
      <c r="O24" s="597">
        <f t="shared" si="0"/>
        <v>45766.369999999995</v>
      </c>
      <c r="P24" s="597">
        <f t="shared" si="0"/>
        <v>28937.850000000002</v>
      </c>
      <c r="Q24" s="597">
        <f t="shared" si="1"/>
        <v>7853.91</v>
      </c>
      <c r="R24" s="603">
        <f t="shared" si="1"/>
        <v>121932</v>
      </c>
      <c r="S24" s="596">
        <v>2010</v>
      </c>
      <c r="T24" s="599" t="s">
        <v>317</v>
      </c>
      <c r="U24" s="600">
        <v>9862.5400000000009</v>
      </c>
      <c r="V24" s="601">
        <v>1019.94</v>
      </c>
      <c r="W24" s="600">
        <v>8842.59</v>
      </c>
      <c r="X24" s="600">
        <f>3848+1030</f>
        <v>4878</v>
      </c>
      <c r="Y24" s="601">
        <v>2610.5</v>
      </c>
      <c r="Z24" s="601">
        <v>2494.17</v>
      </c>
      <c r="AA24" s="600">
        <v>-58.41</v>
      </c>
      <c r="AB24" s="600">
        <v>14367</v>
      </c>
    </row>
    <row r="25" spans="1:28" s="660" customFormat="1" ht="17.100000000000001" customHeight="1">
      <c r="A25" s="876">
        <v>2011</v>
      </c>
      <c r="B25" s="877">
        <v>13224.12</v>
      </c>
      <c r="C25" s="877">
        <v>8569.5</v>
      </c>
      <c r="D25" s="876">
        <v>1799.33</v>
      </c>
      <c r="E25" s="876">
        <v>54025</v>
      </c>
      <c r="F25" s="877">
        <v>4378.41</v>
      </c>
      <c r="G25" s="877">
        <v>1925.6</v>
      </c>
      <c r="H25" s="876">
        <v>2011</v>
      </c>
      <c r="I25" s="877">
        <v>781.04</v>
      </c>
      <c r="J25" s="878">
        <v>3137</v>
      </c>
      <c r="K25" s="877">
        <v>41050.18</v>
      </c>
      <c r="L25" s="877">
        <v>29079.7</v>
      </c>
      <c r="M25" s="877">
        <v>6999.28</v>
      </c>
      <c r="N25" s="878">
        <v>75649</v>
      </c>
      <c r="O25" s="877">
        <f t="shared" si="0"/>
        <v>58652.71</v>
      </c>
      <c r="P25" s="877">
        <f t="shared" si="0"/>
        <v>39574.800000000003</v>
      </c>
      <c r="Q25" s="237">
        <f t="shared" si="1"/>
        <v>9579.65</v>
      </c>
      <c r="R25" s="251">
        <f t="shared" si="1"/>
        <v>132811</v>
      </c>
      <c r="S25" s="876">
        <v>2011</v>
      </c>
      <c r="T25" s="308" t="s">
        <v>2000</v>
      </c>
      <c r="U25" s="660">
        <v>8522.74</v>
      </c>
      <c r="V25" s="699">
        <v>1490.9978000000001</v>
      </c>
      <c r="W25" s="660">
        <v>7031.75</v>
      </c>
      <c r="X25" s="660">
        <v>4958</v>
      </c>
      <c r="Y25" s="699">
        <v>1818.91</v>
      </c>
      <c r="Z25" s="699">
        <v>1996.95</v>
      </c>
      <c r="AA25" s="699">
        <v>-208.04</v>
      </c>
      <c r="AB25" s="660">
        <v>13879</v>
      </c>
    </row>
    <row r="26" spans="1:28" s="660" customFormat="1" ht="17.100000000000001" customHeight="1">
      <c r="A26" s="596">
        <v>2012</v>
      </c>
      <c r="B26" s="597">
        <v>15725.253306500001</v>
      </c>
      <c r="C26" s="597">
        <v>11794.0446276</v>
      </c>
      <c r="D26" s="597">
        <v>-6522.876828200001</v>
      </c>
      <c r="E26" s="596">
        <v>57989</v>
      </c>
      <c r="F26" s="597">
        <v>5603.3493125000005</v>
      </c>
      <c r="G26" s="597">
        <v>2796.43</v>
      </c>
      <c r="H26" s="596">
        <v>2012</v>
      </c>
      <c r="I26" s="597">
        <v>1465.1193717000001</v>
      </c>
      <c r="J26" s="603">
        <v>3140</v>
      </c>
      <c r="K26" s="597">
        <v>52221.363523699983</v>
      </c>
      <c r="L26" s="597">
        <v>38973.794740899997</v>
      </c>
      <c r="M26" s="597">
        <v>3962.6805902000001</v>
      </c>
      <c r="N26" s="603">
        <v>81944</v>
      </c>
      <c r="O26" s="597">
        <f t="shared" ref="O26:P29" si="2">B26+F26+K26</f>
        <v>73549.966142699981</v>
      </c>
      <c r="P26" s="597">
        <f t="shared" si="2"/>
        <v>53564.269368499998</v>
      </c>
      <c r="Q26" s="597">
        <f t="shared" ref="Q26:R29" si="3">D26+I26+M26</f>
        <v>-1095.0768663000013</v>
      </c>
      <c r="R26" s="603">
        <f t="shared" si="3"/>
        <v>143073</v>
      </c>
      <c r="S26" s="596">
        <v>2012</v>
      </c>
      <c r="T26" s="1003" t="s">
        <v>2050</v>
      </c>
      <c r="U26" s="600" t="s">
        <v>603</v>
      </c>
      <c r="V26" s="601" t="s">
        <v>603</v>
      </c>
      <c r="W26" s="600" t="s">
        <v>603</v>
      </c>
      <c r="X26" s="600" t="s">
        <v>603</v>
      </c>
      <c r="Y26" s="600">
        <f>252.03+1340.23</f>
        <v>1592.26</v>
      </c>
      <c r="Z26" s="600">
        <f>149.23+1079.22</f>
        <v>1228.45</v>
      </c>
      <c r="AA26" s="600">
        <f>83.7+2.79</f>
        <v>86.490000000000009</v>
      </c>
      <c r="AB26" s="600">
        <f>857+1657</f>
        <v>2514</v>
      </c>
    </row>
    <row r="27" spans="1:28" s="660" customFormat="1" ht="17.100000000000001" customHeight="1">
      <c r="A27" s="876">
        <v>2013</v>
      </c>
      <c r="B27" s="877">
        <v>16728.024012099999</v>
      </c>
      <c r="C27" s="877">
        <v>13949.002911900001</v>
      </c>
      <c r="D27" s="877">
        <v>2258.4407385999998</v>
      </c>
      <c r="E27" s="876">
        <v>58049</v>
      </c>
      <c r="F27" s="877">
        <v>5985.9425159000011</v>
      </c>
      <c r="G27" s="877">
        <v>3007.3867308999997</v>
      </c>
      <c r="H27" s="876">
        <v>2013</v>
      </c>
      <c r="I27" s="877">
        <v>1464.6336643</v>
      </c>
      <c r="J27" s="878">
        <v>3330</v>
      </c>
      <c r="K27" s="877">
        <v>57658.748551799996</v>
      </c>
      <c r="L27" s="877">
        <v>44904.274183500005</v>
      </c>
      <c r="M27" s="877">
        <v>4644.2722049999993</v>
      </c>
      <c r="N27" s="878">
        <v>85888</v>
      </c>
      <c r="O27" s="877">
        <f t="shared" si="2"/>
        <v>80372.715079799993</v>
      </c>
      <c r="P27" s="877">
        <f t="shared" si="2"/>
        <v>61860.663826300006</v>
      </c>
      <c r="Q27" s="877">
        <f t="shared" si="3"/>
        <v>8367.3466078999991</v>
      </c>
      <c r="R27" s="878">
        <f t="shared" si="3"/>
        <v>147267</v>
      </c>
      <c r="S27" s="876">
        <v>2013</v>
      </c>
      <c r="T27" s="1002" t="s">
        <v>1505</v>
      </c>
      <c r="U27" s="660">
        <v>1685.34</v>
      </c>
      <c r="V27" s="699">
        <v>1380.9365</v>
      </c>
      <c r="W27" s="660">
        <v>304.41000000000003</v>
      </c>
      <c r="X27" s="660">
        <v>5239</v>
      </c>
      <c r="Y27" s="699">
        <v>1794.8927682999999</v>
      </c>
      <c r="Z27" s="699">
        <v>2210.8702908</v>
      </c>
      <c r="AA27" s="699">
        <v>-448.5010825</v>
      </c>
      <c r="AB27" s="660">
        <v>15034</v>
      </c>
    </row>
    <row r="28" spans="1:28" s="660" customFormat="1" ht="17.100000000000001" customHeight="1">
      <c r="A28" s="596">
        <v>2014</v>
      </c>
      <c r="B28" s="597">
        <v>18486.490000000002</v>
      </c>
      <c r="C28" s="597">
        <v>15256.82</v>
      </c>
      <c r="D28" s="597">
        <v>1227.44</v>
      </c>
      <c r="E28" s="596">
        <v>56187</v>
      </c>
      <c r="F28" s="597">
        <v>5906.7</v>
      </c>
      <c r="G28" s="597">
        <v>2721.73</v>
      </c>
      <c r="H28" s="596">
        <v>2014</v>
      </c>
      <c r="I28" s="597">
        <v>1706.03</v>
      </c>
      <c r="J28" s="603">
        <v>3880</v>
      </c>
      <c r="K28" s="597">
        <v>61356.65</v>
      </c>
      <c r="L28" s="597">
        <v>46637.05</v>
      </c>
      <c r="M28" s="597">
        <v>5511.02</v>
      </c>
      <c r="N28" s="603">
        <v>93624</v>
      </c>
      <c r="O28" s="597">
        <f t="shared" si="2"/>
        <v>85749.84</v>
      </c>
      <c r="P28" s="597">
        <f t="shared" si="2"/>
        <v>64615.600000000006</v>
      </c>
      <c r="Q28" s="597">
        <f t="shared" si="3"/>
        <v>8444.4900000000016</v>
      </c>
      <c r="R28" s="603">
        <f t="shared" si="3"/>
        <v>153691</v>
      </c>
      <c r="S28" s="596">
        <v>2014</v>
      </c>
      <c r="T28" s="1003">
        <v>2013</v>
      </c>
      <c r="U28" s="600" t="s">
        <v>603</v>
      </c>
      <c r="V28" s="601" t="s">
        <v>603</v>
      </c>
      <c r="W28" s="600" t="s">
        <v>603</v>
      </c>
      <c r="X28" s="600" t="s">
        <v>603</v>
      </c>
      <c r="Y28" s="601">
        <v>2163.7902678</v>
      </c>
      <c r="Z28" s="601">
        <v>1791.2615637000001</v>
      </c>
      <c r="AA28" s="601">
        <v>48.857708699999996</v>
      </c>
      <c r="AB28" s="600">
        <v>2971</v>
      </c>
    </row>
    <row r="29" spans="1:28" s="660" customFormat="1" ht="18" customHeight="1" thickBot="1">
      <c r="A29" s="1293">
        <v>2015</v>
      </c>
      <c r="B29" s="1283">
        <v>20782.27</v>
      </c>
      <c r="C29" s="1283">
        <v>17852.88</v>
      </c>
      <c r="D29" s="1284">
        <v>365.93</v>
      </c>
      <c r="E29" s="1285">
        <v>58286</v>
      </c>
      <c r="F29" s="1286">
        <v>5407.47</v>
      </c>
      <c r="G29" s="1286">
        <v>2514.02</v>
      </c>
      <c r="H29" s="1293">
        <v>2015</v>
      </c>
      <c r="I29" s="1286">
        <v>1695.81</v>
      </c>
      <c r="J29" s="1287">
        <v>3876</v>
      </c>
      <c r="K29" s="1286">
        <v>64033.43</v>
      </c>
      <c r="L29" s="1286">
        <v>48463.98</v>
      </c>
      <c r="M29" s="1286">
        <v>6145.79</v>
      </c>
      <c r="N29" s="1287">
        <v>92742</v>
      </c>
      <c r="O29" s="1288">
        <f t="shared" si="2"/>
        <v>90223.17</v>
      </c>
      <c r="P29" s="1288">
        <f t="shared" si="2"/>
        <v>68830.880000000005</v>
      </c>
      <c r="Q29" s="1288">
        <f t="shared" si="3"/>
        <v>8207.5299999999988</v>
      </c>
      <c r="R29" s="1289">
        <f t="shared" si="3"/>
        <v>154904</v>
      </c>
      <c r="S29" s="1293">
        <v>2015</v>
      </c>
      <c r="T29" s="308" t="s">
        <v>1886</v>
      </c>
      <c r="U29" s="660">
        <v>5040.63</v>
      </c>
      <c r="V29" s="699">
        <v>1688.81</v>
      </c>
      <c r="W29" s="660">
        <v>3351.83</v>
      </c>
      <c r="X29" s="660">
        <v>5470</v>
      </c>
      <c r="Y29" s="699">
        <v>2035.3</v>
      </c>
      <c r="Z29" s="660">
        <v>2539.12</v>
      </c>
      <c r="AA29" s="660">
        <v>-3504.21</v>
      </c>
      <c r="AB29" s="660">
        <v>14237</v>
      </c>
    </row>
    <row r="30" spans="1:28" ht="15" customHeight="1">
      <c r="A30" s="1004" t="s">
        <v>736</v>
      </c>
      <c r="B30" s="1005" t="s">
        <v>2508</v>
      </c>
      <c r="C30" s="36"/>
      <c r="D30" s="877"/>
      <c r="E30" s="876"/>
      <c r="F30" s="877"/>
      <c r="G30" s="877"/>
      <c r="H30" s="876"/>
      <c r="I30" s="877"/>
      <c r="J30" s="878"/>
      <c r="K30" s="877"/>
      <c r="L30" s="877"/>
      <c r="M30" s="877"/>
      <c r="N30" s="878"/>
      <c r="O30" s="877"/>
      <c r="P30" s="877"/>
      <c r="Q30" s="877"/>
      <c r="R30" s="878"/>
      <c r="S30" s="876"/>
      <c r="T30" s="1003">
        <v>2014</v>
      </c>
      <c r="U30" s="600" t="s">
        <v>603</v>
      </c>
      <c r="V30" s="601" t="s">
        <v>603</v>
      </c>
      <c r="W30" s="600" t="s">
        <v>603</v>
      </c>
      <c r="X30" s="600" t="s">
        <v>603</v>
      </c>
      <c r="Y30" s="600">
        <v>1988.85</v>
      </c>
      <c r="Z30" s="600">
        <v>1951.38</v>
      </c>
      <c r="AA30" s="600">
        <v>2.91</v>
      </c>
      <c r="AB30" s="600">
        <v>3115</v>
      </c>
    </row>
    <row r="31" spans="1:28" ht="15" customHeight="1">
      <c r="A31" s="193"/>
      <c r="B31" s="2080" t="s">
        <v>2386</v>
      </c>
      <c r="C31" s="2080"/>
      <c r="D31" s="2080"/>
      <c r="E31" s="2080"/>
      <c r="F31" s="2080"/>
      <c r="G31" s="2080"/>
      <c r="H31" s="2080"/>
      <c r="I31" s="2080"/>
      <c r="J31" s="2080"/>
      <c r="K31" s="108"/>
      <c r="L31" s="108"/>
      <c r="M31" s="108"/>
      <c r="N31" s="108"/>
      <c r="O31" s="108"/>
      <c r="P31" s="108"/>
      <c r="Q31" s="108"/>
      <c r="R31" s="108"/>
      <c r="S31" s="108"/>
      <c r="T31" s="308" t="s">
        <v>2017</v>
      </c>
      <c r="U31" s="660">
        <v>2807.48</v>
      </c>
      <c r="V31" s="699">
        <v>5430.4471999999996</v>
      </c>
      <c r="W31" s="699">
        <v>-2622.97</v>
      </c>
      <c r="X31" s="660">
        <v>6067</v>
      </c>
      <c r="Y31" s="660">
        <v>2105.12</v>
      </c>
      <c r="Z31" s="660">
        <v>2551.56</v>
      </c>
      <c r="AA31" s="699">
        <v>-247.5</v>
      </c>
      <c r="AB31" s="660">
        <v>14094</v>
      </c>
    </row>
    <row r="32" spans="1:28" ht="15" customHeight="1" thickBot="1">
      <c r="A32" s="193"/>
      <c r="B32" s="1282"/>
      <c r="C32" s="1282"/>
      <c r="D32" s="1282"/>
      <c r="E32" s="1282"/>
      <c r="F32" s="1282"/>
      <c r="G32" s="1282"/>
      <c r="H32" s="1282"/>
      <c r="I32" s="1282"/>
      <c r="J32" s="1282"/>
      <c r="K32" s="108"/>
      <c r="L32" s="108"/>
      <c r="M32" s="108"/>
      <c r="N32" s="108"/>
      <c r="O32" s="108"/>
      <c r="P32" s="108"/>
      <c r="Q32" s="108"/>
      <c r="R32" s="108"/>
      <c r="S32" s="108"/>
      <c r="T32" s="1292" t="s">
        <v>2226</v>
      </c>
      <c r="U32" s="1290">
        <v>3502.18</v>
      </c>
      <c r="V32" s="1291">
        <v>3349.1619999999998</v>
      </c>
      <c r="W32" s="1291">
        <v>153.02000000000001</v>
      </c>
      <c r="X32" s="1290">
        <v>5726</v>
      </c>
      <c r="Y32" s="1290" t="s">
        <v>603</v>
      </c>
      <c r="Z32" s="1291" t="s">
        <v>603</v>
      </c>
      <c r="AA32" s="1290" t="s">
        <v>603</v>
      </c>
      <c r="AB32" s="1290" t="s">
        <v>603</v>
      </c>
    </row>
    <row r="33" spans="1:28" ht="19.5" customHeight="1">
      <c r="B33" s="358"/>
      <c r="C33" s="358"/>
      <c r="D33" s="6"/>
      <c r="K33" s="191"/>
      <c r="L33" s="191"/>
      <c r="M33" s="191"/>
      <c r="N33" s="191"/>
      <c r="O33" s="191"/>
      <c r="P33" s="191"/>
      <c r="Q33" s="191"/>
      <c r="R33" s="191"/>
      <c r="S33" s="191"/>
      <c r="T33" s="2082" t="s">
        <v>2693</v>
      </c>
      <c r="U33" s="2082"/>
      <c r="V33" s="2082"/>
      <c r="W33" s="2082"/>
      <c r="X33" s="2082"/>
      <c r="Y33" s="2082"/>
      <c r="Z33" s="2082"/>
      <c r="AA33" s="2082"/>
      <c r="AB33" s="2082"/>
    </row>
    <row r="34" spans="1:28" ht="19.5" customHeight="1">
      <c r="A34" s="195"/>
      <c r="B34" s="195"/>
      <c r="K34" s="198"/>
      <c r="L34" s="198"/>
      <c r="M34" s="198"/>
      <c r="N34" s="198"/>
      <c r="O34" s="198"/>
      <c r="P34" s="198"/>
      <c r="Q34" s="198"/>
      <c r="R34" s="198"/>
      <c r="S34" s="198"/>
      <c r="T34" s="2081" t="s">
        <v>2670</v>
      </c>
      <c r="U34" s="2081"/>
      <c r="V34" s="2081"/>
      <c r="W34" s="2081"/>
      <c r="X34" s="2081"/>
      <c r="Y34" s="2081"/>
      <c r="Z34" s="2081"/>
      <c r="AA34" s="2081"/>
      <c r="AB34" s="2081"/>
    </row>
    <row r="35" spans="1:28" ht="11.25" customHeight="1">
      <c r="A35" s="195"/>
      <c r="B35" s="195"/>
      <c r="K35" s="198"/>
      <c r="L35" s="198"/>
      <c r="M35" s="198"/>
      <c r="N35" s="198"/>
      <c r="O35" s="198"/>
      <c r="P35" s="198"/>
      <c r="Q35" s="198"/>
      <c r="R35" s="198"/>
      <c r="S35" s="198"/>
      <c r="T35" s="2081" t="s">
        <v>2669</v>
      </c>
      <c r="U35" s="2081"/>
      <c r="V35" s="2081"/>
      <c r="W35" s="2081"/>
      <c r="X35" s="2081"/>
      <c r="Y35" s="2081"/>
      <c r="Z35" s="2081"/>
      <c r="AA35" s="2081"/>
      <c r="AB35" s="2081"/>
    </row>
    <row r="36" spans="1:28">
      <c r="I36" s="298"/>
      <c r="K36" s="108"/>
      <c r="T36" s="2079" t="s">
        <v>2524</v>
      </c>
      <c r="U36" s="2079"/>
      <c r="V36" s="2079"/>
      <c r="W36" s="2079"/>
      <c r="X36" s="2079"/>
      <c r="Y36" s="2079"/>
    </row>
    <row r="37" spans="1:28">
      <c r="I37" s="298"/>
      <c r="K37" s="108"/>
    </row>
    <row r="38" spans="1:28">
      <c r="I38" s="298"/>
      <c r="K38" s="108"/>
    </row>
    <row r="39" spans="1:28">
      <c r="K39" s="108"/>
    </row>
    <row r="40" spans="1:28">
      <c r="K40" s="108"/>
    </row>
    <row r="41" spans="1:28">
      <c r="K41" s="108"/>
      <c r="W41" s="290"/>
    </row>
    <row r="42" spans="1:28">
      <c r="K42" s="108"/>
    </row>
    <row r="43" spans="1:28">
      <c r="K43" s="108"/>
    </row>
    <row r="44" spans="1:28">
      <c r="K44" s="108"/>
    </row>
    <row r="45" spans="1:28">
      <c r="K45" s="108"/>
    </row>
    <row r="46" spans="1:28">
      <c r="K46" s="108"/>
    </row>
    <row r="47" spans="1:28">
      <c r="K47" s="108"/>
    </row>
    <row r="48" spans="1:28">
      <c r="K48" s="108"/>
    </row>
    <row r="49" spans="1:19">
      <c r="K49" s="108"/>
    </row>
    <row r="50" spans="1:19">
      <c r="K50" s="108"/>
    </row>
    <row r="51" spans="1:19">
      <c r="K51" s="108"/>
    </row>
    <row r="52" spans="1:19">
      <c r="K52" s="108"/>
    </row>
    <row r="53" spans="1:19">
      <c r="K53" s="108"/>
    </row>
    <row r="54" spans="1:19">
      <c r="K54" s="108"/>
    </row>
    <row r="55" spans="1:19" ht="11.25" customHeight="1">
      <c r="K55" s="108"/>
    </row>
    <row r="56" spans="1:19">
      <c r="K56" s="108"/>
    </row>
    <row r="57" spans="1:19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</row>
    <row r="58" spans="1:19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</row>
  </sheetData>
  <mergeCells count="39">
    <mergeCell ref="T36:Y36"/>
    <mergeCell ref="H4:H6"/>
    <mergeCell ref="S4:S6"/>
    <mergeCell ref="K5:N5"/>
    <mergeCell ref="Y4:AB4"/>
    <mergeCell ref="I4:R4"/>
    <mergeCell ref="B31:J31"/>
    <mergeCell ref="T35:AB35"/>
    <mergeCell ref="T33:AB33"/>
    <mergeCell ref="T34:AB34"/>
    <mergeCell ref="A2:E2"/>
    <mergeCell ref="A3:E3"/>
    <mergeCell ref="F2:G2"/>
    <mergeCell ref="I5:J5"/>
    <mergeCell ref="O5:R5"/>
    <mergeCell ref="I2:N2"/>
    <mergeCell ref="M3:N3"/>
    <mergeCell ref="F5:G5"/>
    <mergeCell ref="R2:S2"/>
    <mergeCell ref="O2:Q2"/>
    <mergeCell ref="R3:S3"/>
    <mergeCell ref="F3:G3"/>
    <mergeCell ref="A4:A6"/>
    <mergeCell ref="B4:G4"/>
    <mergeCell ref="B5:E5"/>
    <mergeCell ref="T2:Y2"/>
    <mergeCell ref="Z2:AB2"/>
    <mergeCell ref="U5:U6"/>
    <mergeCell ref="W5:W6"/>
    <mergeCell ref="AA5:AA6"/>
    <mergeCell ref="AB5:AB6"/>
    <mergeCell ref="X5:X6"/>
    <mergeCell ref="V5:V6"/>
    <mergeCell ref="T4:T6"/>
    <mergeCell ref="U4:X4"/>
    <mergeCell ref="AA3:AB3"/>
    <mergeCell ref="Y5:Y6"/>
    <mergeCell ref="Z5:Z6"/>
    <mergeCell ref="T3:Z3"/>
  </mergeCells>
  <phoneticPr fontId="0" type="noConversion"/>
  <pageMargins left="0.62992125984252001" right="0.59055118110236204" top="0.511811023622047" bottom="0.511811023622047" header="0" footer="0.74803149606299202"/>
  <pageSetup paperSize="151" firstPageNumber="79" orientation="portrait" useFirstPageNumber="1" r:id="rId1"/>
  <headerFooter alignWithMargins="0">
    <oddFooter>&amp;C&amp;"Times New Roman,Regular"&amp;8&amp;P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J105"/>
  <sheetViews>
    <sheetView zoomScale="130" zoomScaleNormal="13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0" sqref="E10"/>
    </sheetView>
  </sheetViews>
  <sheetFormatPr defaultColWidth="9.140625" defaultRowHeight="11.25"/>
  <cols>
    <col min="1" max="1" width="11" style="8" customWidth="1"/>
    <col min="2" max="2" width="2.7109375" style="51" customWidth="1"/>
    <col min="3" max="3" width="17.42578125" style="51" customWidth="1"/>
    <col min="4" max="4" width="3.5703125" style="51" customWidth="1"/>
    <col min="5" max="5" width="16.7109375" style="51" customWidth="1"/>
    <col min="6" max="6" width="5.7109375" style="51" bestFit="1" customWidth="1"/>
    <col min="7" max="7" width="20.85546875" style="51" customWidth="1"/>
    <col min="8" max="8" width="12.42578125" style="51" customWidth="1"/>
    <col min="9" max="9" width="10" style="51" bestFit="1" customWidth="1"/>
    <col min="10" max="13" width="9.140625" style="51"/>
    <col min="14" max="14" width="11.28515625" style="51" customWidth="1"/>
    <col min="15" max="15" width="8.7109375" style="51" customWidth="1"/>
    <col min="16" max="18" width="9.140625" style="51"/>
    <col min="19" max="19" width="11.85546875" style="51" customWidth="1"/>
    <col min="20" max="16384" width="9.140625" style="51"/>
  </cols>
  <sheetData>
    <row r="1" spans="1:10" s="200" customFormat="1" ht="47.25" customHeight="1">
      <c r="A1" s="2083" t="s">
        <v>2595</v>
      </c>
      <c r="B1" s="2083"/>
      <c r="C1" s="2083"/>
      <c r="D1" s="2083"/>
      <c r="E1" s="2083"/>
      <c r="F1" s="2083"/>
      <c r="G1" s="202" t="s">
        <v>740</v>
      </c>
      <c r="H1" s="201"/>
      <c r="I1" s="201"/>
      <c r="J1" s="201"/>
    </row>
    <row r="2" spans="1:10" s="203" customFormat="1" ht="12" customHeight="1">
      <c r="A2" s="2086" t="s">
        <v>111</v>
      </c>
      <c r="B2" s="2068"/>
      <c r="C2" s="2089" t="s">
        <v>112</v>
      </c>
      <c r="D2" s="2090"/>
      <c r="E2" s="1800" t="s">
        <v>113</v>
      </c>
      <c r="F2" s="1785"/>
      <c r="G2" s="2085"/>
    </row>
    <row r="3" spans="1:10" s="203" customFormat="1" ht="12.75" customHeight="1">
      <c r="A3" s="2087"/>
      <c r="B3" s="2088"/>
      <c r="C3" s="2091"/>
      <c r="D3" s="2092"/>
      <c r="E3" s="1800" t="s">
        <v>2165</v>
      </c>
      <c r="F3" s="2085"/>
      <c r="G3" s="917" t="s">
        <v>102</v>
      </c>
    </row>
    <row r="4" spans="1:10" ht="13.15" customHeight="1">
      <c r="A4" s="526" t="s">
        <v>945</v>
      </c>
      <c r="B4" s="526"/>
      <c r="C4" s="558">
        <v>185534</v>
      </c>
      <c r="D4" s="558"/>
      <c r="E4" s="547">
        <v>2501.13</v>
      </c>
      <c r="F4" s="547"/>
      <c r="G4" s="551">
        <v>14363.98</v>
      </c>
      <c r="H4" s="1359"/>
      <c r="I4" s="1359"/>
    </row>
    <row r="5" spans="1:10" s="367" customFormat="1" ht="13.15" customHeight="1">
      <c r="A5" s="427" t="s">
        <v>946</v>
      </c>
      <c r="B5" s="427"/>
      <c r="C5" s="1454">
        <v>241425</v>
      </c>
      <c r="D5" s="1454"/>
      <c r="E5" s="428">
        <v>3061.97</v>
      </c>
      <c r="F5" s="428"/>
      <c r="G5" s="20">
        <v>17728.810000000001</v>
      </c>
      <c r="H5" s="1361"/>
      <c r="I5" s="1361"/>
    </row>
    <row r="6" spans="1:10" ht="13.15" customHeight="1">
      <c r="A6" s="526" t="s">
        <v>947</v>
      </c>
      <c r="B6" s="526"/>
      <c r="C6" s="558">
        <v>272693</v>
      </c>
      <c r="D6" s="558"/>
      <c r="E6" s="547">
        <v>3371.97</v>
      </c>
      <c r="F6" s="547"/>
      <c r="G6" s="551">
        <v>19874.39</v>
      </c>
      <c r="H6" s="1359"/>
      <c r="I6" s="1359"/>
    </row>
    <row r="7" spans="1:10" s="367" customFormat="1" ht="13.15" customHeight="1">
      <c r="A7" s="427" t="s">
        <v>948</v>
      </c>
      <c r="B7" s="427"/>
      <c r="C7" s="1454">
        <v>251699</v>
      </c>
      <c r="D7" s="1454"/>
      <c r="E7" s="428">
        <v>3848.29</v>
      </c>
      <c r="F7" s="428"/>
      <c r="G7" s="20">
        <v>23624.65</v>
      </c>
      <c r="H7" s="1361"/>
      <c r="I7" s="1361"/>
    </row>
    <row r="8" spans="1:10" ht="13.15" customHeight="1">
      <c r="A8" s="526" t="s">
        <v>953</v>
      </c>
      <c r="B8" s="526"/>
      <c r="C8" s="558">
        <v>286381</v>
      </c>
      <c r="D8" s="558"/>
      <c r="E8" s="547">
        <v>4802.41</v>
      </c>
      <c r="F8" s="547"/>
      <c r="G8" s="551">
        <v>32214.566279999999</v>
      </c>
      <c r="H8" s="1359"/>
      <c r="I8" s="1359"/>
    </row>
    <row r="9" spans="1:10" s="367" customFormat="1" ht="13.15" customHeight="1">
      <c r="A9" s="427" t="s">
        <v>962</v>
      </c>
      <c r="B9" s="427"/>
      <c r="C9" s="1455">
        <v>563584</v>
      </c>
      <c r="D9" s="1455"/>
      <c r="E9" s="40">
        <v>5998.47</v>
      </c>
      <c r="F9" s="40"/>
      <c r="G9" s="41">
        <v>41298.540820000009</v>
      </c>
      <c r="H9" s="1361"/>
      <c r="I9" s="1361"/>
    </row>
    <row r="10" spans="1:10" ht="13.15" customHeight="1">
      <c r="A10" s="526" t="s">
        <v>675</v>
      </c>
      <c r="B10" s="526"/>
      <c r="C10" s="1453">
        <v>981102</v>
      </c>
      <c r="D10" s="1453"/>
      <c r="E10" s="508">
        <v>7914.78</v>
      </c>
      <c r="F10" s="508"/>
      <c r="G10" s="511">
        <v>54295.16</v>
      </c>
      <c r="H10" s="1361"/>
      <c r="I10" s="1359"/>
    </row>
    <row r="11" spans="1:10" s="367" customFormat="1" ht="13.15" customHeight="1">
      <c r="A11" s="626" t="s">
        <v>141</v>
      </c>
      <c r="B11" s="626"/>
      <c r="C11" s="859">
        <v>650059</v>
      </c>
      <c r="D11" s="859"/>
      <c r="E11" s="40">
        <v>9689.26</v>
      </c>
      <c r="F11" s="40"/>
      <c r="G11" s="41">
        <v>66676.509999999995</v>
      </c>
      <c r="H11" s="1361"/>
      <c r="I11" s="1361"/>
    </row>
    <row r="12" spans="1:10" ht="13.15" customHeight="1">
      <c r="A12" s="549" t="s">
        <v>136</v>
      </c>
      <c r="B12" s="549"/>
      <c r="C12" s="559">
        <v>427180</v>
      </c>
      <c r="D12" s="559"/>
      <c r="E12" s="508">
        <v>10987.4</v>
      </c>
      <c r="F12" s="508"/>
      <c r="G12" s="511">
        <v>76010.833200000008</v>
      </c>
      <c r="H12" s="1359"/>
      <c r="I12" s="1359"/>
    </row>
    <row r="13" spans="1:10" s="367" customFormat="1" ht="13.15" customHeight="1">
      <c r="A13" s="626" t="s">
        <v>317</v>
      </c>
      <c r="B13" s="626"/>
      <c r="C13" s="859">
        <v>439375</v>
      </c>
      <c r="D13" s="859"/>
      <c r="E13" s="40">
        <v>11650.32</v>
      </c>
      <c r="F13" s="40"/>
      <c r="G13" s="41">
        <v>83008.885067382464</v>
      </c>
      <c r="H13" s="1361"/>
      <c r="I13" s="1361"/>
    </row>
    <row r="14" spans="1:10" s="367" customFormat="1" ht="13.15" customHeight="1">
      <c r="A14" s="549" t="s">
        <v>1299</v>
      </c>
      <c r="B14" s="549"/>
      <c r="C14" s="559">
        <v>691402</v>
      </c>
      <c r="D14" s="559"/>
      <c r="E14" s="508">
        <v>12843.429999999998</v>
      </c>
      <c r="F14" s="508"/>
      <c r="G14" s="511">
        <v>101591.53129999999</v>
      </c>
      <c r="H14" s="1361"/>
      <c r="I14" s="1359"/>
    </row>
    <row r="15" spans="1:10" s="367" customFormat="1" ht="13.15" customHeight="1">
      <c r="A15" s="626" t="s">
        <v>1505</v>
      </c>
      <c r="B15" s="626"/>
      <c r="C15" s="859">
        <v>441301</v>
      </c>
      <c r="D15" s="859"/>
      <c r="E15" s="40">
        <v>14461.15</v>
      </c>
      <c r="F15" s="40"/>
      <c r="G15" s="41">
        <v>115646.15801927802</v>
      </c>
      <c r="H15" s="1361"/>
      <c r="I15" s="1361"/>
    </row>
    <row r="16" spans="1:10" s="367" customFormat="1" ht="13.15" customHeight="1">
      <c r="A16" s="549" t="s">
        <v>1886</v>
      </c>
      <c r="B16" s="549"/>
      <c r="C16" s="512">
        <v>408870</v>
      </c>
      <c r="D16" s="625"/>
      <c r="E16" s="511">
        <v>14228.3</v>
      </c>
      <c r="F16" s="518"/>
      <c r="G16" s="511">
        <v>110582.38341698999</v>
      </c>
      <c r="H16" s="1361"/>
      <c r="I16" s="1359"/>
    </row>
    <row r="17" spans="1:9" s="367" customFormat="1" ht="13.15" customHeight="1">
      <c r="A17" s="869" t="s">
        <v>2017</v>
      </c>
      <c r="B17" s="869"/>
      <c r="C17" s="1456">
        <v>461829</v>
      </c>
      <c r="D17" s="1456"/>
      <c r="E17" s="1456">
        <v>15316.91</v>
      </c>
      <c r="F17" s="1456"/>
      <c r="G17" s="1457">
        <v>118982.31547276099</v>
      </c>
      <c r="H17" s="1361"/>
      <c r="I17" s="1361"/>
    </row>
    <row r="18" spans="1:9" s="367" customFormat="1" ht="13.15" customHeight="1">
      <c r="A18" s="1268" t="s">
        <v>2226</v>
      </c>
      <c r="B18" s="1054"/>
      <c r="C18" s="1320">
        <f>SUM(C19:C30)</f>
        <v>684537</v>
      </c>
      <c r="D18" s="1320"/>
      <c r="E18" s="1321">
        <f>SUM(E19:E30)</f>
        <v>14931.18</v>
      </c>
      <c r="F18" s="1320"/>
      <c r="G18" s="1321">
        <f>SUM(G19:G30)</f>
        <v>116856.72088078099</v>
      </c>
      <c r="H18" s="1361"/>
      <c r="I18" s="1359"/>
    </row>
    <row r="19" spans="1:9" s="367" customFormat="1" ht="13.15" customHeight="1">
      <c r="A19" s="953" t="s">
        <v>954</v>
      </c>
      <c r="B19" s="953"/>
      <c r="C19" s="1047">
        <v>43196</v>
      </c>
      <c r="D19" s="1047"/>
      <c r="E19" s="1048">
        <v>1389.56</v>
      </c>
      <c r="F19" s="693"/>
      <c r="G19" s="460">
        <v>10810.7768</v>
      </c>
      <c r="H19" s="1361"/>
      <c r="I19" s="1361"/>
    </row>
    <row r="20" spans="1:9" s="367" customFormat="1" ht="13.15" customHeight="1">
      <c r="A20" s="1054" t="s">
        <v>955</v>
      </c>
      <c r="B20" s="1054"/>
      <c r="C20" s="1055">
        <v>41765</v>
      </c>
      <c r="D20" s="1055"/>
      <c r="E20" s="1056">
        <v>1195.02</v>
      </c>
      <c r="F20" s="639"/>
      <c r="G20" s="505">
        <v>9297.2555999999986</v>
      </c>
      <c r="H20" s="1361"/>
      <c r="I20" s="1359"/>
    </row>
    <row r="21" spans="1:9" s="367" customFormat="1" ht="13.15" customHeight="1">
      <c r="A21" s="953" t="s">
        <v>949</v>
      </c>
      <c r="B21" s="953"/>
      <c r="C21" s="1047">
        <v>47277</v>
      </c>
      <c r="D21" s="1047"/>
      <c r="E21" s="1048">
        <v>1349.06</v>
      </c>
      <c r="F21" s="693"/>
      <c r="G21" s="460">
        <v>10495.7947248</v>
      </c>
      <c r="H21" s="1361"/>
      <c r="I21" s="1361"/>
    </row>
    <row r="22" spans="1:9" s="367" customFormat="1" ht="13.15" customHeight="1">
      <c r="A22" s="1054" t="s">
        <v>956</v>
      </c>
      <c r="B22" s="1054"/>
      <c r="C22" s="1055">
        <v>50829</v>
      </c>
      <c r="D22" s="1055"/>
      <c r="E22" s="1056">
        <v>1098.46</v>
      </c>
      <c r="F22" s="639"/>
      <c r="G22" s="505">
        <v>8548.3804889999992</v>
      </c>
      <c r="H22" s="1361"/>
      <c r="I22" s="1359"/>
    </row>
    <row r="23" spans="1:9" s="367" customFormat="1" ht="13.15" customHeight="1">
      <c r="A23" s="953" t="s">
        <v>957</v>
      </c>
      <c r="B23" s="953"/>
      <c r="C23" s="1047">
        <v>63440</v>
      </c>
      <c r="D23" s="1047"/>
      <c r="E23" s="1048">
        <v>1142.49</v>
      </c>
      <c r="F23" s="693"/>
      <c r="G23" s="460">
        <v>8971.6769226000015</v>
      </c>
      <c r="H23" s="1361"/>
      <c r="I23" s="1361"/>
    </row>
    <row r="24" spans="1:9" s="367" customFormat="1" ht="13.15" customHeight="1">
      <c r="A24" s="1054" t="s">
        <v>950</v>
      </c>
      <c r="B24" s="1054"/>
      <c r="C24" s="1055">
        <v>65135</v>
      </c>
      <c r="D24" s="1055"/>
      <c r="E24" s="1056">
        <v>1312.6</v>
      </c>
      <c r="F24" s="639"/>
      <c r="G24" s="505">
        <v>10341.534647679997</v>
      </c>
      <c r="H24" s="1361"/>
      <c r="I24" s="1359"/>
    </row>
    <row r="25" spans="1:9" s="367" customFormat="1" ht="13.15" customHeight="1">
      <c r="A25" s="953" t="s">
        <v>958</v>
      </c>
      <c r="B25" s="953"/>
      <c r="C25" s="1047">
        <v>63998</v>
      </c>
      <c r="D25" s="1047"/>
      <c r="E25" s="1048">
        <v>1150.6400000000001</v>
      </c>
      <c r="F25" s="693"/>
      <c r="G25" s="460">
        <v>9032.5339834469978</v>
      </c>
      <c r="H25" s="1361"/>
      <c r="I25" s="1361"/>
    </row>
    <row r="26" spans="1:9" s="367" customFormat="1" ht="13.15" customHeight="1">
      <c r="A26" s="1054" t="s">
        <v>959</v>
      </c>
      <c r="B26" s="1054"/>
      <c r="C26" s="1055">
        <v>62024</v>
      </c>
      <c r="D26" s="1055"/>
      <c r="E26" s="1056">
        <v>1136.26</v>
      </c>
      <c r="F26" s="639"/>
      <c r="G26" s="505">
        <v>8925.5940159000002</v>
      </c>
      <c r="H26" s="1361"/>
      <c r="I26" s="1359"/>
    </row>
    <row r="27" spans="1:9" s="367" customFormat="1" ht="13.15" customHeight="1">
      <c r="A27" s="953" t="s">
        <v>951</v>
      </c>
      <c r="B27" s="953"/>
      <c r="C27" s="1047">
        <v>64846</v>
      </c>
      <c r="D27" s="1047"/>
      <c r="E27" s="1048">
        <v>1285.5899999999999</v>
      </c>
      <c r="F27" s="693"/>
      <c r="G27" s="460">
        <v>10080.613697353996</v>
      </c>
      <c r="H27" s="1361"/>
      <c r="I27" s="1361"/>
    </row>
    <row r="28" spans="1:9" s="367" customFormat="1" ht="13.15" customHeight="1">
      <c r="A28" s="1054" t="s">
        <v>960</v>
      </c>
      <c r="B28" s="1054"/>
      <c r="C28" s="1055">
        <v>58993</v>
      </c>
      <c r="D28" s="1055"/>
      <c r="E28" s="1056">
        <v>1191.1500000000001</v>
      </c>
      <c r="F28" s="639"/>
      <c r="G28" s="505">
        <v>9338.616</v>
      </c>
      <c r="H28" s="1361"/>
      <c r="I28" s="1359"/>
    </row>
    <row r="29" spans="1:9" s="367" customFormat="1" ht="13.15" customHeight="1">
      <c r="A29" s="953" t="s">
        <v>961</v>
      </c>
      <c r="B29" s="953"/>
      <c r="C29" s="1047">
        <v>60909</v>
      </c>
      <c r="D29" s="1047"/>
      <c r="E29" s="1048">
        <v>1214.48</v>
      </c>
      <c r="F29" s="693"/>
      <c r="G29" s="460">
        <v>9521.5232000000033</v>
      </c>
      <c r="H29" s="1361"/>
      <c r="I29" s="1361"/>
    </row>
    <row r="30" spans="1:9" s="367" customFormat="1" ht="13.15" customHeight="1">
      <c r="A30" s="1054" t="s">
        <v>952</v>
      </c>
      <c r="B30" s="1054"/>
      <c r="C30" s="1055">
        <v>62125</v>
      </c>
      <c r="D30" s="1055"/>
      <c r="E30" s="1056">
        <v>1465.87</v>
      </c>
      <c r="F30" s="639"/>
      <c r="G30" s="505">
        <v>11492.420800000002</v>
      </c>
      <c r="H30" s="1361"/>
      <c r="I30" s="1359"/>
    </row>
    <row r="31" spans="1:9" s="367" customFormat="1" ht="13.15" customHeight="1">
      <c r="A31" s="1006" t="s">
        <v>2414</v>
      </c>
      <c r="B31" s="953"/>
      <c r="C31" s="1232">
        <f>SUM(C32:C43)</f>
        <v>905326</v>
      </c>
      <c r="D31" s="1232"/>
      <c r="E31" s="1233">
        <f>SUM(E32:E43)</f>
        <v>12769.45</v>
      </c>
      <c r="F31" s="1232"/>
      <c r="G31" s="1233">
        <f>SUM(G32:G43)</f>
        <v>101098.96241416999</v>
      </c>
      <c r="H31" s="1361"/>
      <c r="I31" s="1361"/>
    </row>
    <row r="32" spans="1:9" s="367" customFormat="1" ht="13.15" customHeight="1">
      <c r="A32" s="1054" t="s">
        <v>954</v>
      </c>
      <c r="B32" s="1054"/>
      <c r="C32" s="1055">
        <v>48321</v>
      </c>
      <c r="D32" s="1055"/>
      <c r="E32" s="505">
        <v>1005.51</v>
      </c>
      <c r="F32" s="639"/>
      <c r="G32" s="505">
        <v>7883.0415999999987</v>
      </c>
      <c r="H32" s="1361"/>
      <c r="I32" s="1359"/>
    </row>
    <row r="33" spans="1:9" s="367" customFormat="1" ht="13.15" customHeight="1">
      <c r="A33" s="953" t="s">
        <v>955</v>
      </c>
      <c r="B33" s="953"/>
      <c r="C33" s="1311">
        <v>69190</v>
      </c>
      <c r="D33" s="1047"/>
      <c r="E33" s="460">
        <v>1183.6099999999999</v>
      </c>
      <c r="F33" s="693"/>
      <c r="G33" s="460">
        <v>9279.4239999999991</v>
      </c>
      <c r="H33" s="1361"/>
      <c r="I33" s="1361"/>
    </row>
    <row r="34" spans="1:9" s="367" customFormat="1" ht="13.15" customHeight="1">
      <c r="A34" s="1054" t="s">
        <v>949</v>
      </c>
      <c r="B34" s="1054"/>
      <c r="C34" s="1299">
        <v>55869</v>
      </c>
      <c r="D34" s="1055"/>
      <c r="E34" s="505">
        <v>1056.6400000000001</v>
      </c>
      <c r="F34" s="639"/>
      <c r="G34" s="505">
        <v>8284.0576000000019</v>
      </c>
      <c r="H34" s="1361"/>
      <c r="I34" s="1359"/>
    </row>
    <row r="35" spans="1:9" s="367" customFormat="1" ht="13.15" customHeight="1">
      <c r="A35" s="953" t="s">
        <v>956</v>
      </c>
      <c r="B35" s="953"/>
      <c r="C35" s="1311">
        <v>61111</v>
      </c>
      <c r="D35" s="1047"/>
      <c r="E35" s="460">
        <v>1010.99</v>
      </c>
      <c r="F35" s="693"/>
      <c r="G35" s="460">
        <v>7926.0047999999997</v>
      </c>
      <c r="H35" s="1361"/>
      <c r="I35" s="1361"/>
    </row>
    <row r="36" spans="1:9" s="367" customFormat="1" ht="13.15" customHeight="1">
      <c r="A36" s="1054" t="s">
        <v>957</v>
      </c>
      <c r="B36" s="1054"/>
      <c r="C36" s="1299">
        <v>81483</v>
      </c>
      <c r="D36" s="1055"/>
      <c r="E36" s="505">
        <v>951.37</v>
      </c>
      <c r="F36" s="639"/>
      <c r="G36" s="505">
        <v>7472.0599800000018</v>
      </c>
      <c r="H36" s="1361"/>
      <c r="I36" s="1359"/>
    </row>
    <row r="37" spans="1:9" s="367" customFormat="1" ht="13.15" customHeight="1">
      <c r="A37" s="953" t="s">
        <v>950</v>
      </c>
      <c r="B37" s="953"/>
      <c r="C37" s="1311">
        <v>68862</v>
      </c>
      <c r="D37" s="1047"/>
      <c r="E37" s="1048">
        <v>958.73</v>
      </c>
      <c r="F37" s="693"/>
      <c r="G37" s="460">
        <v>7555.0764716990006</v>
      </c>
      <c r="H37" s="1361"/>
      <c r="I37" s="1361"/>
    </row>
    <row r="38" spans="1:9" s="367" customFormat="1" ht="13.15" customHeight="1">
      <c r="A38" s="1054" t="s">
        <v>958</v>
      </c>
      <c r="B38" s="1054"/>
      <c r="C38" s="1299">
        <v>81434</v>
      </c>
      <c r="D38" s="1055"/>
      <c r="E38" s="1056">
        <v>1009.47</v>
      </c>
      <c r="F38" s="639"/>
      <c r="G38" s="505">
        <v>7960.4086706760008</v>
      </c>
      <c r="H38" s="1361"/>
      <c r="I38" s="1359"/>
    </row>
    <row r="39" spans="1:9" s="367" customFormat="1" ht="13.15" customHeight="1">
      <c r="A39" s="953" t="s">
        <v>959</v>
      </c>
      <c r="B39" s="953"/>
      <c r="C39" s="1311">
        <v>85038</v>
      </c>
      <c r="D39" s="1047"/>
      <c r="E39" s="1048">
        <v>940.75</v>
      </c>
      <c r="F39" s="693"/>
      <c r="G39" s="460">
        <v>7454.060847499999</v>
      </c>
      <c r="H39" s="1361"/>
      <c r="I39" s="1361"/>
    </row>
    <row r="40" spans="1:9" s="367" customFormat="1" ht="13.15" customHeight="1">
      <c r="A40" s="1054" t="s">
        <v>951</v>
      </c>
      <c r="B40" s="1054"/>
      <c r="C40" s="1463">
        <v>106501</v>
      </c>
      <c r="D40" s="1055"/>
      <c r="E40" s="1056">
        <v>1077.5199999999998</v>
      </c>
      <c r="F40" s="639"/>
      <c r="G40" s="505">
        <v>8570.5741458800003</v>
      </c>
      <c r="H40" s="1361"/>
      <c r="I40" s="1359"/>
    </row>
    <row r="41" spans="1:9" s="367" customFormat="1" ht="13.15" customHeight="1">
      <c r="A41" s="953" t="s">
        <v>960</v>
      </c>
      <c r="B41" s="953"/>
      <c r="C41" s="1311">
        <v>95485</v>
      </c>
      <c r="D41" s="1047"/>
      <c r="E41" s="1048">
        <v>1092.6400000000003</v>
      </c>
      <c r="F41" s="693"/>
      <c r="G41" s="460">
        <v>8723.3755263999992</v>
      </c>
      <c r="H41" s="1361"/>
      <c r="I41" s="1361"/>
    </row>
    <row r="42" spans="1:9" s="367" customFormat="1" ht="13.15" customHeight="1">
      <c r="A42" s="1054" t="s">
        <v>961</v>
      </c>
      <c r="B42" s="1054"/>
      <c r="C42" s="1299">
        <v>83707</v>
      </c>
      <c r="D42" s="1055"/>
      <c r="E42" s="1056">
        <v>1267.6099999999999</v>
      </c>
      <c r="F42" s="639"/>
      <c r="G42" s="505">
        <v>10202.944087014999</v>
      </c>
      <c r="H42" s="1361"/>
      <c r="I42" s="1361"/>
    </row>
    <row r="43" spans="1:9" s="367" customFormat="1" ht="13.15" customHeight="1">
      <c r="A43" s="953" t="s">
        <v>952</v>
      </c>
      <c r="B43" s="953"/>
      <c r="C43" s="1311">
        <v>68325</v>
      </c>
      <c r="D43" s="1047"/>
      <c r="E43" s="1048">
        <v>1214.6099999999999</v>
      </c>
      <c r="F43" s="693"/>
      <c r="G43" s="460">
        <v>9787.9346850000002</v>
      </c>
      <c r="H43" s="1361"/>
      <c r="I43" s="1361"/>
    </row>
    <row r="44" spans="1:9" s="367" customFormat="1" ht="13.15" customHeight="1">
      <c r="A44" s="1268" t="s">
        <v>2755</v>
      </c>
      <c r="B44" s="1054"/>
      <c r="C44" s="1299"/>
      <c r="D44" s="1055"/>
      <c r="E44" s="1056"/>
      <c r="F44" s="639"/>
      <c r="G44" s="505"/>
      <c r="H44" s="1361"/>
      <c r="I44" s="1361"/>
    </row>
    <row r="45" spans="1:9" s="367" customFormat="1" ht="13.15" customHeight="1" thickBot="1">
      <c r="A45" s="1503" t="s">
        <v>954</v>
      </c>
      <c r="B45" s="1503"/>
      <c r="C45" s="1504">
        <v>76215</v>
      </c>
      <c r="D45" s="1505"/>
      <c r="E45" s="1506">
        <v>1115.5700000000002</v>
      </c>
      <c r="F45" s="1491"/>
      <c r="G45" s="894">
        <v>8994.4169934000001</v>
      </c>
      <c r="H45" s="1361"/>
      <c r="I45" s="1361"/>
    </row>
    <row r="46" spans="1:9" ht="9" customHeight="1">
      <c r="A46" s="349" t="s">
        <v>1817</v>
      </c>
      <c r="B46" s="1897" t="s">
        <v>2671</v>
      </c>
      <c r="C46" s="1897"/>
      <c r="D46" s="1897"/>
      <c r="E46" s="1897"/>
      <c r="F46" s="1897"/>
      <c r="G46" s="1897"/>
    </row>
    <row r="47" spans="1:9" ht="9.75" customHeight="1">
      <c r="A47" s="349" t="s">
        <v>595</v>
      </c>
      <c r="B47" s="1897" t="s">
        <v>2588</v>
      </c>
      <c r="C47" s="1897"/>
      <c r="D47" s="1897"/>
      <c r="E47" s="353"/>
      <c r="F47" s="353"/>
      <c r="G47" s="353"/>
    </row>
    <row r="48" spans="1:9">
      <c r="A48" s="253"/>
      <c r="B48" s="2084" t="s">
        <v>2606</v>
      </c>
      <c r="C48" s="2084"/>
      <c r="D48" s="2084"/>
      <c r="E48" s="2084"/>
      <c r="F48" s="2084"/>
      <c r="G48" s="2084"/>
    </row>
    <row r="49" spans="1:6">
      <c r="A49" s="97"/>
      <c r="B49" s="110"/>
      <c r="C49" s="110"/>
      <c r="D49" s="110"/>
    </row>
    <row r="50" spans="1:6">
      <c r="A50" s="97"/>
      <c r="B50" s="110"/>
      <c r="C50" s="110"/>
      <c r="D50" s="110"/>
      <c r="F50" s="1359"/>
    </row>
    <row r="51" spans="1:6">
      <c r="A51" s="97"/>
      <c r="B51" s="110"/>
      <c r="C51" s="110"/>
      <c r="D51" s="110"/>
      <c r="F51" s="1359"/>
    </row>
    <row r="52" spans="1:6">
      <c r="A52" s="97"/>
      <c r="B52" s="110"/>
      <c r="C52" s="1343"/>
      <c r="D52" s="110"/>
    </row>
    <row r="53" spans="1:6">
      <c r="A53" s="97"/>
      <c r="B53" s="110"/>
      <c r="C53" s="1343"/>
      <c r="D53" s="110"/>
    </row>
    <row r="54" spans="1:6">
      <c r="A54" s="97"/>
      <c r="B54" s="110"/>
      <c r="C54" s="1343"/>
      <c r="D54" s="110"/>
    </row>
    <row r="55" spans="1:6">
      <c r="A55" s="97"/>
      <c r="B55" s="110"/>
      <c r="C55" s="110"/>
      <c r="D55" s="110"/>
    </row>
    <row r="56" spans="1:6">
      <c r="A56" s="97"/>
      <c r="B56" s="110"/>
      <c r="C56" s="110"/>
      <c r="D56" s="110"/>
    </row>
    <row r="57" spans="1:6">
      <c r="A57" s="97"/>
      <c r="B57" s="110"/>
      <c r="C57" s="110"/>
      <c r="D57" s="110"/>
    </row>
    <row r="58" spans="1:6">
      <c r="A58" s="97"/>
      <c r="B58" s="110"/>
      <c r="C58" s="110"/>
      <c r="D58" s="110"/>
    </row>
    <row r="59" spans="1:6">
      <c r="A59" s="97"/>
      <c r="B59" s="110"/>
      <c r="C59" s="110"/>
      <c r="D59" s="110"/>
    </row>
    <row r="60" spans="1:6">
      <c r="A60" s="97"/>
      <c r="B60" s="110"/>
      <c r="C60" s="110"/>
      <c r="D60" s="110"/>
    </row>
    <row r="61" spans="1:6">
      <c r="A61" s="97"/>
      <c r="B61" s="110"/>
      <c r="C61" s="110"/>
      <c r="D61" s="110"/>
    </row>
    <row r="62" spans="1:6">
      <c r="A62" s="97"/>
      <c r="B62" s="110"/>
      <c r="C62" s="110"/>
      <c r="D62" s="110"/>
    </row>
    <row r="63" spans="1:6">
      <c r="A63" s="97"/>
      <c r="B63" s="110"/>
      <c r="C63" s="110"/>
      <c r="D63" s="110"/>
    </row>
    <row r="64" spans="1:6">
      <c r="A64" s="97"/>
      <c r="B64" s="110"/>
      <c r="C64" s="110"/>
      <c r="D64" s="110"/>
    </row>
    <row r="65" spans="1:4">
      <c r="A65" s="97"/>
      <c r="B65" s="110"/>
      <c r="C65" s="110"/>
      <c r="D65" s="110"/>
    </row>
    <row r="66" spans="1:4">
      <c r="A66" s="97"/>
      <c r="B66" s="110"/>
      <c r="C66" s="110"/>
      <c r="D66" s="110"/>
    </row>
    <row r="67" spans="1:4">
      <c r="A67" s="97"/>
      <c r="B67" s="110"/>
      <c r="C67" s="110"/>
      <c r="D67" s="110"/>
    </row>
    <row r="68" spans="1:4">
      <c r="A68" s="97"/>
      <c r="B68" s="110"/>
      <c r="C68" s="110"/>
      <c r="D68" s="110"/>
    </row>
    <row r="69" spans="1:4">
      <c r="A69" s="97"/>
      <c r="B69" s="110"/>
      <c r="C69" s="110"/>
      <c r="D69" s="110"/>
    </row>
    <row r="70" spans="1:4">
      <c r="A70" s="97"/>
      <c r="B70" s="110"/>
      <c r="C70" s="110"/>
      <c r="D70" s="110"/>
    </row>
    <row r="71" spans="1:4">
      <c r="A71" s="97"/>
      <c r="B71" s="110"/>
      <c r="C71" s="110"/>
      <c r="D71" s="110"/>
    </row>
    <row r="72" spans="1:4">
      <c r="A72" s="97"/>
      <c r="B72" s="110"/>
      <c r="C72" s="110"/>
      <c r="D72" s="110"/>
    </row>
    <row r="73" spans="1:4">
      <c r="A73" s="97"/>
      <c r="B73" s="110"/>
      <c r="C73" s="110"/>
      <c r="D73" s="110"/>
    </row>
    <row r="74" spans="1:4">
      <c r="A74" s="97"/>
      <c r="B74" s="110"/>
      <c r="C74" s="110"/>
      <c r="D74" s="110"/>
    </row>
    <row r="75" spans="1:4">
      <c r="A75" s="97"/>
      <c r="B75" s="110"/>
      <c r="C75" s="110"/>
      <c r="D75" s="110"/>
    </row>
    <row r="76" spans="1:4">
      <c r="A76" s="97"/>
      <c r="B76" s="110"/>
      <c r="C76" s="110"/>
      <c r="D76" s="110"/>
    </row>
    <row r="77" spans="1:4">
      <c r="A77" s="97"/>
      <c r="B77" s="110"/>
      <c r="C77" s="110"/>
      <c r="D77" s="110"/>
    </row>
    <row r="78" spans="1:4">
      <c r="A78" s="97"/>
      <c r="B78" s="110"/>
      <c r="C78" s="110"/>
      <c r="D78" s="110"/>
    </row>
    <row r="79" spans="1:4">
      <c r="A79" s="97"/>
      <c r="B79" s="110"/>
      <c r="C79" s="110"/>
      <c r="D79" s="110"/>
    </row>
    <row r="80" spans="1:4">
      <c r="A80" s="97"/>
      <c r="B80" s="110"/>
      <c r="C80" s="110"/>
      <c r="D80" s="110"/>
    </row>
    <row r="81" spans="1:4">
      <c r="A81" s="97"/>
      <c r="B81" s="110"/>
      <c r="C81" s="110"/>
      <c r="D81" s="110"/>
    </row>
    <row r="82" spans="1:4">
      <c r="A82" s="97"/>
      <c r="B82" s="110"/>
      <c r="C82" s="110"/>
      <c r="D82" s="110"/>
    </row>
    <row r="83" spans="1:4">
      <c r="A83" s="97"/>
      <c r="B83" s="110"/>
      <c r="C83" s="110"/>
      <c r="D83" s="110"/>
    </row>
    <row r="84" spans="1:4">
      <c r="A84" s="97"/>
      <c r="B84" s="110"/>
      <c r="C84" s="110"/>
      <c r="D84" s="110"/>
    </row>
    <row r="85" spans="1:4">
      <c r="A85" s="97"/>
      <c r="B85" s="110"/>
      <c r="C85" s="110"/>
      <c r="D85" s="110"/>
    </row>
    <row r="86" spans="1:4">
      <c r="A86" s="97"/>
      <c r="B86" s="110"/>
      <c r="C86" s="110"/>
      <c r="D86" s="110"/>
    </row>
    <row r="87" spans="1:4">
      <c r="A87" s="97"/>
      <c r="B87" s="110"/>
      <c r="C87" s="110"/>
      <c r="D87" s="110"/>
    </row>
    <row r="88" spans="1:4">
      <c r="A88" s="97"/>
      <c r="B88" s="110"/>
      <c r="C88" s="110"/>
      <c r="D88" s="110"/>
    </row>
    <row r="89" spans="1:4">
      <c r="A89" s="97"/>
      <c r="B89" s="110"/>
      <c r="C89" s="110"/>
      <c r="D89" s="110"/>
    </row>
    <row r="90" spans="1:4">
      <c r="A90" s="97"/>
      <c r="B90" s="110"/>
      <c r="C90" s="110"/>
      <c r="D90" s="110"/>
    </row>
    <row r="91" spans="1:4">
      <c r="A91" s="97"/>
      <c r="B91" s="110"/>
      <c r="C91" s="110"/>
      <c r="D91" s="110"/>
    </row>
    <row r="92" spans="1:4">
      <c r="A92" s="97"/>
      <c r="B92" s="110"/>
      <c r="C92" s="110"/>
      <c r="D92" s="110"/>
    </row>
    <row r="93" spans="1:4">
      <c r="A93" s="97"/>
      <c r="B93" s="110"/>
      <c r="C93" s="110"/>
      <c r="D93" s="110"/>
    </row>
    <row r="94" spans="1:4">
      <c r="A94" s="97"/>
      <c r="B94" s="110"/>
      <c r="C94" s="110"/>
      <c r="D94" s="110"/>
    </row>
    <row r="95" spans="1:4">
      <c r="A95" s="97"/>
      <c r="B95" s="110"/>
      <c r="C95" s="110"/>
      <c r="D95" s="110"/>
    </row>
    <row r="96" spans="1:4">
      <c r="A96" s="97"/>
      <c r="B96" s="110"/>
      <c r="C96" s="110"/>
      <c r="D96" s="110"/>
    </row>
    <row r="97" spans="1:4">
      <c r="A97" s="97"/>
      <c r="B97" s="110"/>
      <c r="C97" s="110"/>
      <c r="D97" s="110"/>
    </row>
    <row r="98" spans="1:4">
      <c r="A98" s="97"/>
      <c r="B98" s="110"/>
      <c r="C98" s="110"/>
      <c r="D98" s="110"/>
    </row>
    <row r="99" spans="1:4">
      <c r="A99" s="97"/>
      <c r="B99" s="110"/>
      <c r="C99" s="110"/>
      <c r="D99" s="110"/>
    </row>
    <row r="100" spans="1:4">
      <c r="A100" s="97"/>
      <c r="B100" s="110"/>
      <c r="C100" s="110"/>
      <c r="D100" s="110"/>
    </row>
    <row r="101" spans="1:4">
      <c r="A101" s="97"/>
      <c r="B101" s="110"/>
      <c r="C101" s="110"/>
      <c r="D101" s="110"/>
    </row>
    <row r="102" spans="1:4">
      <c r="A102" s="97"/>
      <c r="B102" s="110"/>
      <c r="C102" s="110"/>
      <c r="D102" s="110"/>
    </row>
    <row r="103" spans="1:4">
      <c r="A103" s="97"/>
      <c r="B103" s="110"/>
      <c r="C103" s="110"/>
      <c r="D103" s="110"/>
    </row>
    <row r="104" spans="1:4">
      <c r="A104" s="97"/>
      <c r="B104" s="110"/>
      <c r="C104" s="110"/>
      <c r="D104" s="110"/>
    </row>
    <row r="105" spans="1:4">
      <c r="A105" s="97"/>
      <c r="B105" s="110"/>
      <c r="C105" s="110"/>
      <c r="D105" s="110"/>
    </row>
  </sheetData>
  <mergeCells count="8">
    <mergeCell ref="B46:G46"/>
    <mergeCell ref="A1:F1"/>
    <mergeCell ref="B48:G48"/>
    <mergeCell ref="E2:G2"/>
    <mergeCell ref="A2:B3"/>
    <mergeCell ref="C2:D3"/>
    <mergeCell ref="E3:F3"/>
    <mergeCell ref="B47:D47"/>
  </mergeCells>
  <phoneticPr fontId="0" type="noConversion"/>
  <printOptions horizontalCentered="1"/>
  <pageMargins left="0.23622047244094499" right="0.196850393700787" top="0.511811023622047" bottom="0.511811023622047" header="0" footer="0.35433070866141703"/>
  <pageSetup paperSize="151" firstPageNumber="83" orientation="portrait" useFirstPageNumber="1" r:id="rId1"/>
  <headerFooter alignWithMargins="0">
    <oddFooter>&amp;C&amp;"Times New Roman,Regular"&amp;8&amp;P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1:Y356"/>
  <sheetViews>
    <sheetView zoomScale="140" zoomScaleNormal="14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60" sqref="H60"/>
    </sheetView>
  </sheetViews>
  <sheetFormatPr defaultColWidth="9.140625" defaultRowHeight="11.25"/>
  <cols>
    <col min="1" max="1" width="8.5703125" style="10" customWidth="1"/>
    <col min="2" max="11" width="7.5703125" style="10" customWidth="1"/>
    <col min="12" max="12" width="6.85546875" style="10" customWidth="1"/>
    <col min="13" max="13" width="6" style="10" customWidth="1"/>
    <col min="14" max="14" width="6.7109375" style="10" customWidth="1"/>
    <col min="15" max="16" width="7.5703125" style="10" customWidth="1"/>
    <col min="17" max="17" width="7.140625" style="10" customWidth="1"/>
    <col min="18" max="18" width="7.5703125" style="10" customWidth="1"/>
    <col min="19" max="19" width="6.85546875" style="10" customWidth="1"/>
    <col min="20" max="20" width="7.5703125" style="10" customWidth="1"/>
    <col min="21" max="21" width="7.85546875" style="10" customWidth="1"/>
    <col min="22" max="23" width="9.28515625" style="10" bestFit="1" customWidth="1"/>
    <col min="24" max="24" width="10" style="10" bestFit="1" customWidth="1"/>
    <col min="25" max="16384" width="9.140625" style="10"/>
  </cols>
  <sheetData>
    <row r="1" spans="1:25" s="33" customFormat="1" ht="14.25" customHeight="1">
      <c r="A1" s="1903" t="s">
        <v>743</v>
      </c>
      <c r="B1" s="1903"/>
      <c r="C1" s="1903"/>
      <c r="D1" s="1903"/>
      <c r="E1" s="1903"/>
      <c r="F1" s="1903"/>
      <c r="G1" s="1903"/>
      <c r="H1" s="1903"/>
      <c r="I1" s="1903"/>
      <c r="J1" s="1903"/>
      <c r="K1" s="341" t="s">
        <v>663</v>
      </c>
      <c r="L1" s="93"/>
      <c r="M1" s="93"/>
      <c r="N1" s="93"/>
      <c r="O1" s="79"/>
      <c r="P1" s="79"/>
      <c r="Q1" s="79"/>
      <c r="R1" s="79"/>
      <c r="S1" s="79"/>
      <c r="T1" s="1903" t="s">
        <v>2089</v>
      </c>
      <c r="U1" s="1903"/>
    </row>
    <row r="2" spans="1:25" s="55" customFormat="1" ht="12" customHeight="1">
      <c r="B2" s="15"/>
      <c r="C2" s="15"/>
      <c r="D2" s="15"/>
      <c r="E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928" t="s">
        <v>41</v>
      </c>
      <c r="U2" s="1928"/>
    </row>
    <row r="3" spans="1:25" s="319" customFormat="1" ht="27" customHeight="1">
      <c r="A3" s="132" t="s">
        <v>875</v>
      </c>
      <c r="B3" s="28" t="s">
        <v>114</v>
      </c>
      <c r="C3" s="28" t="s">
        <v>115</v>
      </c>
      <c r="D3" s="28" t="s">
        <v>116</v>
      </c>
      <c r="E3" s="28" t="s">
        <v>117</v>
      </c>
      <c r="F3" s="28" t="s">
        <v>118</v>
      </c>
      <c r="G3" s="28" t="s">
        <v>119</v>
      </c>
      <c r="H3" s="28" t="s">
        <v>120</v>
      </c>
      <c r="I3" s="28" t="s">
        <v>121</v>
      </c>
      <c r="J3" s="28" t="s">
        <v>122</v>
      </c>
      <c r="K3" s="28" t="s">
        <v>123</v>
      </c>
      <c r="L3" s="28" t="s">
        <v>124</v>
      </c>
      <c r="M3" s="28" t="s">
        <v>125</v>
      </c>
      <c r="N3" s="28" t="s">
        <v>126</v>
      </c>
      <c r="O3" s="28" t="s">
        <v>908</v>
      </c>
      <c r="P3" s="87" t="s">
        <v>930</v>
      </c>
      <c r="Q3" s="87" t="s">
        <v>1294</v>
      </c>
      <c r="R3" s="87" t="s">
        <v>1300</v>
      </c>
      <c r="S3" s="87" t="s">
        <v>1295</v>
      </c>
      <c r="T3" s="28" t="s">
        <v>127</v>
      </c>
      <c r="U3" s="28" t="s">
        <v>871</v>
      </c>
    </row>
    <row r="4" spans="1:25" ht="13.15" customHeight="1">
      <c r="A4" s="983" t="s">
        <v>945</v>
      </c>
      <c r="B4" s="988">
        <v>6598.68</v>
      </c>
      <c r="C4" s="988">
        <v>1311.63</v>
      </c>
      <c r="D4" s="988">
        <v>595.02</v>
      </c>
      <c r="E4" s="988">
        <v>1642.34</v>
      </c>
      <c r="F4" s="988">
        <v>2048.2399999999998</v>
      </c>
      <c r="G4" s="988">
        <v>0</v>
      </c>
      <c r="H4" s="988">
        <v>520.63</v>
      </c>
      <c r="I4" s="988">
        <v>593.49</v>
      </c>
      <c r="J4" s="988">
        <v>82.05</v>
      </c>
      <c r="K4" s="988">
        <v>35.1</v>
      </c>
      <c r="L4" s="988">
        <v>310.93</v>
      </c>
      <c r="M4" s="988">
        <v>0</v>
      </c>
      <c r="N4" s="988">
        <v>81.2</v>
      </c>
      <c r="O4" s="988">
        <v>269.44</v>
      </c>
      <c r="P4" s="988">
        <v>13.094039999999998</v>
      </c>
      <c r="Q4" s="988">
        <v>2.0100500000000001</v>
      </c>
      <c r="R4" s="988">
        <v>4.5369700000000002</v>
      </c>
      <c r="S4" s="988">
        <v>22.914570000000001</v>
      </c>
      <c r="T4" s="990">
        <f>216.10909+16.57</f>
        <v>232.67909</v>
      </c>
      <c r="U4" s="990">
        <f t="shared" ref="U4:U15" si="0">SUM(B4:T4)</f>
        <v>14363.98472</v>
      </c>
      <c r="V4" s="131"/>
      <c r="W4" s="131"/>
      <c r="X4" s="131"/>
    </row>
    <row r="5" spans="1:25" s="300" customFormat="1" ht="13.15" customHeight="1">
      <c r="A5" s="634" t="s">
        <v>946</v>
      </c>
      <c r="B5" s="1458">
        <v>7262.45</v>
      </c>
      <c r="C5" s="1458">
        <v>1895.65</v>
      </c>
      <c r="D5" s="1458">
        <v>1275.08</v>
      </c>
      <c r="E5" s="1458">
        <v>1960.44</v>
      </c>
      <c r="F5" s="1458">
        <v>2652.1</v>
      </c>
      <c r="G5" s="1458">
        <v>0.96</v>
      </c>
      <c r="H5" s="1458">
        <v>657.46</v>
      </c>
      <c r="I5" s="1458">
        <v>660.42</v>
      </c>
      <c r="J5" s="1458">
        <v>179.84</v>
      </c>
      <c r="K5" s="1458">
        <v>55.41</v>
      </c>
      <c r="L5" s="1458">
        <v>368.93</v>
      </c>
      <c r="M5" s="1458">
        <v>1.28</v>
      </c>
      <c r="N5" s="1458">
        <v>105.6</v>
      </c>
      <c r="O5" s="1458">
        <v>239.75</v>
      </c>
      <c r="P5" s="1458">
        <v>19.5702</v>
      </c>
      <c r="Q5" s="1458">
        <v>111.86279999999999</v>
      </c>
      <c r="R5" s="1458">
        <v>22.7547</v>
      </c>
      <c r="S5" s="1458">
        <v>27.618299999999998</v>
      </c>
      <c r="T5" s="1459">
        <v>231.63</v>
      </c>
      <c r="U5" s="1458">
        <f t="shared" si="0"/>
        <v>17728.805999999993</v>
      </c>
      <c r="V5" s="846"/>
      <c r="W5" s="846"/>
      <c r="X5" s="846"/>
    </row>
    <row r="6" spans="1:25" ht="13.15" customHeight="1">
      <c r="A6" s="983" t="s">
        <v>947</v>
      </c>
      <c r="B6" s="988">
        <v>8169.26</v>
      </c>
      <c r="C6" s="988">
        <v>2201.17</v>
      </c>
      <c r="D6" s="988">
        <v>1753.7</v>
      </c>
      <c r="E6" s="988">
        <v>2129.15</v>
      </c>
      <c r="F6" s="988">
        <v>2757.27</v>
      </c>
      <c r="G6" s="988">
        <v>0.77</v>
      </c>
      <c r="H6" s="988">
        <v>669.79</v>
      </c>
      <c r="I6" s="988">
        <v>698.62</v>
      </c>
      <c r="J6" s="988">
        <v>190.79</v>
      </c>
      <c r="K6" s="988">
        <v>71.44</v>
      </c>
      <c r="L6" s="988">
        <v>360.18</v>
      </c>
      <c r="M6" s="988">
        <v>2.2400000000000002</v>
      </c>
      <c r="N6" s="988">
        <v>110.39</v>
      </c>
      <c r="O6" s="988">
        <v>218.43</v>
      </c>
      <c r="P6" s="988">
        <v>28.232259999999997</v>
      </c>
      <c r="Q6" s="988">
        <v>160.08103999999997</v>
      </c>
      <c r="R6" s="988">
        <v>30.589859999999998</v>
      </c>
      <c r="S6" s="988">
        <v>34.892479999999999</v>
      </c>
      <c r="T6" s="990">
        <v>287.39143999999999</v>
      </c>
      <c r="U6" s="990">
        <f t="shared" si="0"/>
        <v>19874.38708</v>
      </c>
      <c r="V6" s="131"/>
      <c r="W6" s="131"/>
      <c r="X6" s="131"/>
    </row>
    <row r="7" spans="1:25" s="300" customFormat="1" ht="13.15" customHeight="1">
      <c r="A7" s="634" t="s">
        <v>948</v>
      </c>
      <c r="B7" s="1458">
        <v>9291.27</v>
      </c>
      <c r="C7" s="1458">
        <v>2721.92</v>
      </c>
      <c r="D7" s="1458">
        <v>2311.6</v>
      </c>
      <c r="E7" s="1458">
        <v>2499.3200000000002</v>
      </c>
      <c r="F7" s="1458">
        <v>3430.3</v>
      </c>
      <c r="G7" s="1458">
        <v>1.66</v>
      </c>
      <c r="H7" s="1458">
        <v>837.54</v>
      </c>
      <c r="I7" s="1458">
        <v>806.69</v>
      </c>
      <c r="J7" s="1458">
        <v>294.81</v>
      </c>
      <c r="K7" s="1458">
        <v>62.2</v>
      </c>
      <c r="L7" s="1458">
        <v>412.59</v>
      </c>
      <c r="M7" s="1458">
        <v>3.21</v>
      </c>
      <c r="N7" s="1458">
        <v>97.43</v>
      </c>
      <c r="O7" s="1458">
        <v>156.49</v>
      </c>
      <c r="P7" s="1458">
        <v>43.89385</v>
      </c>
      <c r="Q7" s="1458">
        <v>254.03182000000001</v>
      </c>
      <c r="R7" s="1458">
        <v>113.01899</v>
      </c>
      <c r="S7" s="1458">
        <v>34.562570000000001</v>
      </c>
      <c r="T7" s="1459">
        <f>295.59285-43.48</f>
        <v>252.11285000000001</v>
      </c>
      <c r="U7" s="1458">
        <f t="shared" si="0"/>
        <v>23624.650080000003</v>
      </c>
      <c r="V7" s="846"/>
      <c r="W7" s="846"/>
      <c r="X7" s="846"/>
    </row>
    <row r="8" spans="1:25" ht="13.15" customHeight="1">
      <c r="A8" s="983" t="s">
        <v>953</v>
      </c>
      <c r="B8" s="988">
        <v>11385.21</v>
      </c>
      <c r="C8" s="988">
        <v>3776.3</v>
      </c>
      <c r="D8" s="988">
        <v>3752.95</v>
      </c>
      <c r="E8" s="988">
        <v>3326.33</v>
      </c>
      <c r="F8" s="988">
        <v>5105.8599999999997</v>
      </c>
      <c r="G8" s="988">
        <v>1.22</v>
      </c>
      <c r="H8" s="988">
        <v>1179.24</v>
      </c>
      <c r="I8" s="988">
        <v>1109.99</v>
      </c>
      <c r="J8" s="988">
        <v>436.3</v>
      </c>
      <c r="K8" s="988">
        <v>79.97</v>
      </c>
      <c r="L8" s="988">
        <v>451.35</v>
      </c>
      <c r="M8" s="988">
        <v>11.94</v>
      </c>
      <c r="N8" s="988">
        <v>63.43</v>
      </c>
      <c r="O8" s="988">
        <v>140.26</v>
      </c>
      <c r="P8" s="988">
        <v>64.598039999999997</v>
      </c>
      <c r="Q8" s="988">
        <v>556.62983999999994</v>
      </c>
      <c r="R8" s="988">
        <v>116.98751999999999</v>
      </c>
      <c r="S8" s="988">
        <v>38.906399999999998</v>
      </c>
      <c r="T8" s="990">
        <v>617.09819999999695</v>
      </c>
      <c r="U8" s="990">
        <f t="shared" si="0"/>
        <v>32214.57</v>
      </c>
      <c r="V8" s="131"/>
      <c r="W8" s="131"/>
      <c r="X8" s="131"/>
    </row>
    <row r="9" spans="1:25" s="300" customFormat="1" ht="13.15" customHeight="1">
      <c r="A9" s="634" t="s">
        <v>962</v>
      </c>
      <c r="B9" s="1458">
        <v>11978.880000000001</v>
      </c>
      <c r="C9" s="1458">
        <v>5560.5599999999995</v>
      </c>
      <c r="D9" s="1458">
        <v>6132.91</v>
      </c>
      <c r="E9" s="1458">
        <v>4701.4799999999996</v>
      </c>
      <c r="F9" s="1458">
        <v>6423.1699999999992</v>
      </c>
      <c r="G9" s="1458">
        <v>18.000000000000004</v>
      </c>
      <c r="H9" s="1458">
        <v>1610.4599999999998</v>
      </c>
      <c r="I9" s="1458">
        <v>1357.48</v>
      </c>
      <c r="J9" s="1458">
        <v>554.64</v>
      </c>
      <c r="K9" s="1458">
        <v>103.01</v>
      </c>
      <c r="L9" s="1458">
        <v>552.12</v>
      </c>
      <c r="M9" s="1458">
        <v>16.299999999999997</v>
      </c>
      <c r="N9" s="1458">
        <v>70.27</v>
      </c>
      <c r="O9" s="1458">
        <v>81.800000000000011</v>
      </c>
      <c r="P9" s="1458">
        <v>78.380510000000001</v>
      </c>
      <c r="Q9" s="1458">
        <v>1034.41122</v>
      </c>
      <c r="R9" s="1458">
        <v>118.11586</v>
      </c>
      <c r="S9" s="1458">
        <v>42.44323</v>
      </c>
      <c r="T9" s="1459">
        <v>864.11</v>
      </c>
      <c r="U9" s="1458">
        <f t="shared" si="0"/>
        <v>41298.540820000009</v>
      </c>
      <c r="V9" s="846"/>
      <c r="W9" s="846"/>
      <c r="X9" s="846"/>
    </row>
    <row r="10" spans="1:25" s="445" customFormat="1" ht="13.15" customHeight="1">
      <c r="A10" s="992" t="s">
        <v>675</v>
      </c>
      <c r="B10" s="949">
        <v>15943.64</v>
      </c>
      <c r="C10" s="949">
        <v>7786.82</v>
      </c>
      <c r="D10" s="949">
        <v>6148.16</v>
      </c>
      <c r="E10" s="949">
        <v>5925.33</v>
      </c>
      <c r="F10" s="949">
        <v>9467.07</v>
      </c>
      <c r="G10" s="949">
        <v>2.48</v>
      </c>
      <c r="H10" s="949">
        <v>1988.05</v>
      </c>
      <c r="I10" s="949">
        <v>1513.8</v>
      </c>
      <c r="J10" s="949">
        <v>892.49</v>
      </c>
      <c r="K10" s="949">
        <v>184.32</v>
      </c>
      <c r="L10" s="949">
        <v>948.03</v>
      </c>
      <c r="M10" s="949">
        <v>22.22</v>
      </c>
      <c r="N10" s="949">
        <v>111.74</v>
      </c>
      <c r="O10" s="949">
        <v>633.86</v>
      </c>
      <c r="P10" s="990">
        <v>89.934599999999989</v>
      </c>
      <c r="Q10" s="990">
        <v>1471.1956</v>
      </c>
      <c r="R10" s="990">
        <v>135.07339999999999</v>
      </c>
      <c r="S10" s="990">
        <v>55.565999999999995</v>
      </c>
      <c r="T10" s="949">
        <v>975.38</v>
      </c>
      <c r="U10" s="949">
        <f t="shared" si="0"/>
        <v>54295.159599999999</v>
      </c>
      <c r="V10" s="131"/>
      <c r="W10" s="131"/>
      <c r="X10" s="131"/>
    </row>
    <row r="11" spans="1:25" s="1461" customFormat="1" ht="13.15" customHeight="1">
      <c r="A11" s="1460" t="s">
        <v>141</v>
      </c>
      <c r="B11" s="948">
        <v>19673.165260000002</v>
      </c>
      <c r="C11" s="948">
        <v>12080.396579999999</v>
      </c>
      <c r="D11" s="948">
        <v>5433.3067099999989</v>
      </c>
      <c r="E11" s="948">
        <v>6678.4437600000001</v>
      </c>
      <c r="F11" s="948">
        <v>10837.676299999999</v>
      </c>
      <c r="G11" s="948">
        <v>8.6116600000000005</v>
      </c>
      <c r="H11" s="948">
        <v>2362.5123699999999</v>
      </c>
      <c r="I11" s="948">
        <v>1996.0067199999999</v>
      </c>
      <c r="J11" s="948">
        <v>1136.70847</v>
      </c>
      <c r="K11" s="948">
        <v>132.92401000000001</v>
      </c>
      <c r="L11" s="948">
        <v>1082.6939</v>
      </c>
      <c r="M11" s="948">
        <v>22.581469999999999</v>
      </c>
      <c r="N11" s="948">
        <v>97.110609999999994</v>
      </c>
      <c r="O11" s="948">
        <v>1943.98224</v>
      </c>
      <c r="P11" s="1459">
        <v>46.6464</v>
      </c>
      <c r="Q11" s="1459">
        <v>1285.8719999999998</v>
      </c>
      <c r="R11" s="1459">
        <v>126.11039999999998</v>
      </c>
      <c r="S11" s="1459">
        <v>62.539199999999994</v>
      </c>
      <c r="T11" s="948">
        <v>1669.2267999999999</v>
      </c>
      <c r="U11" s="1458">
        <f t="shared" si="0"/>
        <v>66676.514859999996</v>
      </c>
      <c r="V11" s="846"/>
      <c r="W11" s="846"/>
      <c r="X11" s="846"/>
    </row>
    <row r="12" spans="1:25" s="11" customFormat="1" ht="13.15" customHeight="1">
      <c r="A12" s="993" t="s">
        <v>136</v>
      </c>
      <c r="B12" s="949">
        <v>23709.401759999997</v>
      </c>
      <c r="C12" s="949">
        <v>13077.514040000002</v>
      </c>
      <c r="D12" s="949">
        <v>5723.8957499999997</v>
      </c>
      <c r="E12" s="949">
        <v>7050.7496800000008</v>
      </c>
      <c r="F12" s="949">
        <v>10044.25626</v>
      </c>
      <c r="G12" s="949">
        <v>10.44585</v>
      </c>
      <c r="H12" s="949">
        <v>2496.5547799999999</v>
      </c>
      <c r="I12" s="949">
        <v>2414.7833399999995</v>
      </c>
      <c r="J12" s="949">
        <v>1338.3879299999999</v>
      </c>
      <c r="K12" s="949">
        <v>114.11791000000001</v>
      </c>
      <c r="L12" s="949">
        <v>1177.0468499999997</v>
      </c>
      <c r="M12" s="949">
        <v>31.072650000000003</v>
      </c>
      <c r="N12" s="949">
        <v>101.95625</v>
      </c>
      <c r="O12" s="949">
        <v>4061.917840000001</v>
      </c>
      <c r="P12" s="949">
        <v>58.456209999999999</v>
      </c>
      <c r="Q12" s="949">
        <v>1259.92806</v>
      </c>
      <c r="R12" s="949">
        <v>143.63157000000001</v>
      </c>
      <c r="S12" s="949">
        <v>57.544499999999999</v>
      </c>
      <c r="T12" s="949">
        <v>3139.1719699999944</v>
      </c>
      <c r="U12" s="949">
        <f t="shared" si="0"/>
        <v>76010.833200000008</v>
      </c>
      <c r="V12" s="131"/>
      <c r="W12" s="131"/>
      <c r="X12" s="131"/>
      <c r="Y12" s="290"/>
    </row>
    <row r="13" spans="1:25" s="298" customFormat="1" ht="13.15" customHeight="1">
      <c r="A13" s="1073" t="s">
        <v>317</v>
      </c>
      <c r="B13" s="948">
        <v>23447.611522103758</v>
      </c>
      <c r="C13" s="948">
        <v>14274.536554243999</v>
      </c>
      <c r="D13" s="948">
        <v>6329.345799345223</v>
      </c>
      <c r="E13" s="948">
        <v>7668.545797496</v>
      </c>
      <c r="F13" s="948">
        <v>13162.814794050668</v>
      </c>
      <c r="G13" s="948">
        <v>42.006690047596507</v>
      </c>
      <c r="H13" s="948">
        <v>2273.663133048</v>
      </c>
      <c r="I13" s="948">
        <v>2378.4981804742797</v>
      </c>
      <c r="J13" s="948">
        <v>1443.4474231873241</v>
      </c>
      <c r="K13" s="948">
        <v>184.06482744244911</v>
      </c>
      <c r="L13" s="948">
        <v>1326.4480618323998</v>
      </c>
      <c r="M13" s="948">
        <v>16.463787679999999</v>
      </c>
      <c r="N13" s="948">
        <v>108.62308996920061</v>
      </c>
      <c r="O13" s="948">
        <v>5011.1663160175985</v>
      </c>
      <c r="P13" s="948">
        <v>93.970096692639999</v>
      </c>
      <c r="Q13" s="948">
        <v>1538.1769608763173</v>
      </c>
      <c r="R13" s="948">
        <v>170.3696918419937</v>
      </c>
      <c r="S13" s="948">
        <v>79.384371033026895</v>
      </c>
      <c r="T13" s="948">
        <v>3459.7479699999994</v>
      </c>
      <c r="U13" s="1458">
        <f t="shared" si="0"/>
        <v>83008.885067382464</v>
      </c>
      <c r="V13" s="846"/>
      <c r="W13" s="846"/>
      <c r="X13" s="846"/>
    </row>
    <row r="14" spans="1:25" s="11" customFormat="1" ht="13.15" customHeight="1">
      <c r="A14" s="993" t="s">
        <v>1299</v>
      </c>
      <c r="B14" s="949">
        <v>29163.283242118639</v>
      </c>
      <c r="C14" s="949">
        <v>19038.108899337632</v>
      </c>
      <c r="D14" s="949">
        <v>7809.7835324582902</v>
      </c>
      <c r="E14" s="949">
        <v>9385.6420626336549</v>
      </c>
      <c r="F14" s="949">
        <v>11828.910059940725</v>
      </c>
      <c r="G14" s="949">
        <v>102.87052779546001</v>
      </c>
      <c r="H14" s="949">
        <v>2651.53684450951</v>
      </c>
      <c r="I14" s="949">
        <v>3174.0609841537071</v>
      </c>
      <c r="J14" s="949">
        <v>2481.4516458887801</v>
      </c>
      <c r="K14" s="949">
        <v>275.82418570616346</v>
      </c>
      <c r="L14" s="949">
        <v>2371.4713983471402</v>
      </c>
      <c r="M14" s="949">
        <v>8.9624438679999994</v>
      </c>
      <c r="N14" s="949">
        <v>173.68251222769157</v>
      </c>
      <c r="O14" s="949">
        <v>6712.3823075712635</v>
      </c>
      <c r="P14" s="949">
        <v>422.0270226909729</v>
      </c>
      <c r="Q14" s="949">
        <v>1914.8794293305637</v>
      </c>
      <c r="R14" s="949">
        <v>239.72250396515088</v>
      </c>
      <c r="S14" s="949">
        <v>178.82062360774498</v>
      </c>
      <c r="T14" s="949">
        <v>3658.1110738488965</v>
      </c>
      <c r="U14" s="949">
        <f t="shared" si="0"/>
        <v>101591.53129999999</v>
      </c>
      <c r="V14" s="131"/>
      <c r="W14" s="131"/>
      <c r="X14" s="131"/>
      <c r="Y14" s="290"/>
    </row>
    <row r="15" spans="1:25" s="298" customFormat="1" ht="13.15" customHeight="1">
      <c r="A15" s="1073" t="s">
        <v>1505</v>
      </c>
      <c r="B15" s="948">
        <v>30645.329417797999</v>
      </c>
      <c r="C15" s="948">
        <v>22629.954310562003</v>
      </c>
      <c r="D15" s="948">
        <v>7944.261095199</v>
      </c>
      <c r="E15" s="948">
        <v>9487.7621551789998</v>
      </c>
      <c r="F15" s="948">
        <v>14854.690027008</v>
      </c>
      <c r="G15" s="948">
        <v>459.92579137900003</v>
      </c>
      <c r="H15" s="948">
        <v>2297.8989676470005</v>
      </c>
      <c r="I15" s="948">
        <v>4875.3607362970006</v>
      </c>
      <c r="J15" s="948">
        <v>3983.3948069319999</v>
      </c>
      <c r="K15" s="948">
        <v>206.712431503</v>
      </c>
      <c r="L15" s="948">
        <v>2890.2409015500002</v>
      </c>
      <c r="M15" s="948">
        <v>21.251621922999998</v>
      </c>
      <c r="N15" s="948">
        <v>169.73017864899998</v>
      </c>
      <c r="O15" s="948">
        <v>7967.163443454001</v>
      </c>
      <c r="P15" s="948">
        <v>488.01441817900002</v>
      </c>
      <c r="Q15" s="948">
        <v>1866.267097298</v>
      </c>
      <c r="R15" s="948">
        <v>494.83839057</v>
      </c>
      <c r="S15" s="948">
        <v>156.27197931100002</v>
      </c>
      <c r="T15" s="948">
        <v>4207.0907388400001</v>
      </c>
      <c r="U15" s="1458">
        <f t="shared" si="0"/>
        <v>115646.158509278</v>
      </c>
      <c r="V15" s="846"/>
      <c r="W15" s="846"/>
      <c r="X15" s="846"/>
    </row>
    <row r="16" spans="1:25" s="40" customFormat="1" ht="13.15" customHeight="1">
      <c r="A16" s="994" t="s">
        <v>1886</v>
      </c>
      <c r="B16" s="949">
        <v>24240.140711880998</v>
      </c>
      <c r="C16" s="949">
        <v>20866.964531202</v>
      </c>
      <c r="D16" s="949">
        <v>7004.6693670379991</v>
      </c>
      <c r="E16" s="949">
        <v>8602.8400845840006</v>
      </c>
      <c r="F16" s="949">
        <v>18056.862406150001</v>
      </c>
      <c r="G16" s="949">
        <v>559.41628836799998</v>
      </c>
      <c r="H16" s="949">
        <v>2001.5196785359999</v>
      </c>
      <c r="I16" s="949">
        <v>5448.4327879120001</v>
      </c>
      <c r="J16" s="949">
        <v>3335.1378381119998</v>
      </c>
      <c r="K16" s="949">
        <v>209.31088224700002</v>
      </c>
      <c r="L16" s="949">
        <v>3570.1673695179998</v>
      </c>
      <c r="M16" s="949">
        <v>3.0288693630000005</v>
      </c>
      <c r="N16" s="949">
        <v>132.67317405499998</v>
      </c>
      <c r="O16" s="949">
        <v>8274.3293595220002</v>
      </c>
      <c r="P16" s="949">
        <v>422.62113959999994</v>
      </c>
      <c r="Q16" s="949">
        <v>2095.1929835080005</v>
      </c>
      <c r="R16" s="949">
        <v>455.27028396500003</v>
      </c>
      <c r="S16" s="949">
        <v>137.56719587499998</v>
      </c>
      <c r="T16" s="949">
        <v>5166.238465553999</v>
      </c>
      <c r="U16" s="949">
        <v>110582.38341698998</v>
      </c>
      <c r="V16" s="846"/>
      <c r="W16" s="131"/>
      <c r="X16" s="131"/>
    </row>
    <row r="17" spans="1:24" s="40" customFormat="1" ht="13.15" customHeight="1">
      <c r="A17" s="996" t="s">
        <v>2017</v>
      </c>
      <c r="B17" s="991">
        <v>25987.258654580997</v>
      </c>
      <c r="C17" s="991">
        <v>21934.982243472998</v>
      </c>
      <c r="D17" s="991">
        <v>6309.8007089949997</v>
      </c>
      <c r="E17" s="991">
        <v>8371.9666337629988</v>
      </c>
      <c r="F17" s="991">
        <v>18489.105624444001</v>
      </c>
      <c r="G17" s="991">
        <v>355.14259886400004</v>
      </c>
      <c r="H17" s="991">
        <v>2409.4986989259996</v>
      </c>
      <c r="I17" s="991">
        <v>7109.6637192180006</v>
      </c>
      <c r="J17" s="991">
        <v>3444.4421886290006</v>
      </c>
      <c r="K17" s="991">
        <v>164.36111672899997</v>
      </c>
      <c r="L17" s="991">
        <v>4306.5368910809993</v>
      </c>
      <c r="M17" s="991">
        <v>1.0878520650000001</v>
      </c>
      <c r="N17" s="991">
        <v>126.68805762700001</v>
      </c>
      <c r="O17" s="991">
        <v>10732.610499937999</v>
      </c>
      <c r="P17" s="991">
        <v>480.40710343800004</v>
      </c>
      <c r="Q17" s="991">
        <v>2020.3891492669998</v>
      </c>
      <c r="R17" s="991">
        <v>469.14853845199997</v>
      </c>
      <c r="S17" s="991">
        <v>152.87326095199998</v>
      </c>
      <c r="T17" s="991">
        <v>6116.3519323189985</v>
      </c>
      <c r="U17" s="991">
        <v>118982.31547276098</v>
      </c>
      <c r="V17" s="846"/>
      <c r="W17" s="846"/>
      <c r="X17" s="846"/>
    </row>
    <row r="18" spans="1:24" s="40" customFormat="1" ht="13.15" customHeight="1">
      <c r="A18" s="995" t="s">
        <v>2226</v>
      </c>
      <c r="B18" s="971">
        <f t="shared" ref="B18:T18" si="1">SUM(B19:B30)</f>
        <v>23165.843384732998</v>
      </c>
      <c r="C18" s="971">
        <f t="shared" si="1"/>
        <v>21248.75908046</v>
      </c>
      <c r="D18" s="971">
        <f t="shared" si="1"/>
        <v>6747.2028958150004</v>
      </c>
      <c r="E18" s="971">
        <f t="shared" si="1"/>
        <v>8122.9117313530023</v>
      </c>
      <c r="F18" s="971">
        <f t="shared" si="1"/>
        <v>18889.249921554001</v>
      </c>
      <c r="G18" s="971">
        <f t="shared" si="1"/>
        <v>95.893180836999989</v>
      </c>
      <c r="H18" s="971">
        <f t="shared" si="1"/>
        <v>3379.2433817339997</v>
      </c>
      <c r="I18" s="971">
        <f t="shared" si="1"/>
        <v>7132.6719513709986</v>
      </c>
      <c r="J18" s="971">
        <f t="shared" si="1"/>
        <v>3046.1566874470004</v>
      </c>
      <c r="K18" s="971">
        <f t="shared" si="1"/>
        <v>204.66359045500002</v>
      </c>
      <c r="L18" s="971">
        <f t="shared" si="1"/>
        <v>3806.9407668829999</v>
      </c>
      <c r="M18" s="971">
        <f t="shared" si="1"/>
        <v>1.4088847410000001</v>
      </c>
      <c r="N18" s="971">
        <f t="shared" si="1"/>
        <v>178.34404229900002</v>
      </c>
      <c r="O18" s="971">
        <f t="shared" si="1"/>
        <v>10364.006886042</v>
      </c>
      <c r="P18" s="971">
        <f t="shared" si="1"/>
        <v>540.57418486999995</v>
      </c>
      <c r="Q18" s="971">
        <f t="shared" si="1"/>
        <v>2736.7067065770002</v>
      </c>
      <c r="R18" s="971">
        <f t="shared" si="1"/>
        <v>506.556349066</v>
      </c>
      <c r="S18" s="971">
        <f t="shared" si="1"/>
        <v>211.20321155199997</v>
      </c>
      <c r="T18" s="971">
        <f t="shared" si="1"/>
        <v>6478.3840429919992</v>
      </c>
      <c r="U18" s="971">
        <f>SUM(B18:T18)</f>
        <v>116856.72088078098</v>
      </c>
      <c r="V18" s="131"/>
      <c r="W18" s="131"/>
      <c r="X18" s="131"/>
    </row>
    <row r="19" spans="1:24" s="40" customFormat="1" ht="13.15" customHeight="1">
      <c r="A19" s="989" t="s">
        <v>954</v>
      </c>
      <c r="B19" s="1162">
        <v>2134.4430000000002</v>
      </c>
      <c r="C19" s="1162">
        <v>1910.8457999999998</v>
      </c>
      <c r="D19" s="1162">
        <v>657.09879999999998</v>
      </c>
      <c r="E19" s="1162">
        <v>700.2</v>
      </c>
      <c r="F19" s="1162">
        <v>1812.2732000000001</v>
      </c>
      <c r="G19" s="1162">
        <v>20.383600000000001</v>
      </c>
      <c r="H19" s="1162">
        <v>256.03979999999996</v>
      </c>
      <c r="I19" s="1162">
        <v>696.23219999999992</v>
      </c>
      <c r="J19" s="1162">
        <v>276.19</v>
      </c>
      <c r="K19" s="1162">
        <v>12.292400000000001</v>
      </c>
      <c r="L19" s="1162">
        <v>389.85579999999999</v>
      </c>
      <c r="M19" s="1162">
        <v>0</v>
      </c>
      <c r="N19" s="1162">
        <v>10.269600000000001</v>
      </c>
      <c r="O19" s="1162">
        <v>1052.4784</v>
      </c>
      <c r="P19" s="1162">
        <v>64.107200000000006</v>
      </c>
      <c r="Q19" s="1162">
        <v>232.15519999999998</v>
      </c>
      <c r="R19" s="1162">
        <v>34.620999999999995</v>
      </c>
      <c r="S19" s="1162">
        <v>13.6928</v>
      </c>
      <c r="T19" s="1162">
        <v>537.59799999999996</v>
      </c>
      <c r="U19" s="1162">
        <f t="shared" ref="U19:U24" si="2">SUM(B19:T19)</f>
        <v>10810.7768</v>
      </c>
      <c r="V19" s="846"/>
      <c r="W19" s="846"/>
      <c r="X19" s="846"/>
    </row>
    <row r="20" spans="1:24" s="40" customFormat="1" ht="13.15" customHeight="1">
      <c r="A20" s="994" t="s">
        <v>955</v>
      </c>
      <c r="B20" s="1161">
        <v>1984.2111999999997</v>
      </c>
      <c r="C20" s="1161">
        <v>1627.7315999999998</v>
      </c>
      <c r="D20" s="1161">
        <v>529.74019999999996</v>
      </c>
      <c r="E20" s="1161">
        <v>643.01700000000005</v>
      </c>
      <c r="F20" s="1161">
        <v>1571.2487999999998</v>
      </c>
      <c r="G20" s="1161">
        <v>19.527799999999996</v>
      </c>
      <c r="H20" s="1161">
        <v>208.58179999999999</v>
      </c>
      <c r="I20" s="1161">
        <v>532.54099999999994</v>
      </c>
      <c r="J20" s="1161">
        <v>238.92379999999997</v>
      </c>
      <c r="K20" s="1161">
        <v>12.214600000000001</v>
      </c>
      <c r="L20" s="1161">
        <v>319.4468</v>
      </c>
      <c r="M20" s="1161">
        <v>0</v>
      </c>
      <c r="N20" s="1161">
        <v>11.125399999999999</v>
      </c>
      <c r="O20" s="1161">
        <v>812.54319999999996</v>
      </c>
      <c r="P20" s="1161">
        <v>31.042200000000001</v>
      </c>
      <c r="Q20" s="1161">
        <v>268.8768</v>
      </c>
      <c r="R20" s="1161">
        <v>34.620999999999995</v>
      </c>
      <c r="S20" s="1161">
        <v>12.292400000000001</v>
      </c>
      <c r="T20" s="1161">
        <v>439.57</v>
      </c>
      <c r="U20" s="1161">
        <f t="shared" si="2"/>
        <v>9297.2555999999986</v>
      </c>
      <c r="V20" s="131"/>
      <c r="W20" s="131"/>
      <c r="X20" s="131"/>
    </row>
    <row r="21" spans="1:24" s="40" customFormat="1" ht="13.15" customHeight="1">
      <c r="A21" s="989" t="s">
        <v>949</v>
      </c>
      <c r="B21" s="1162">
        <v>1990.3000655999997</v>
      </c>
      <c r="C21" s="1162">
        <v>1941.2077608</v>
      </c>
      <c r="D21" s="1162">
        <v>621.39498960000003</v>
      </c>
      <c r="E21" s="1162">
        <v>691.88251439999999</v>
      </c>
      <c r="F21" s="1162">
        <v>1896.7835039999998</v>
      </c>
      <c r="G21" s="1162">
        <v>12.837132</v>
      </c>
      <c r="H21" s="1162">
        <v>248.57355599999997</v>
      </c>
      <c r="I21" s="1162">
        <v>668.15327039999988</v>
      </c>
      <c r="J21" s="1162">
        <v>248.184552</v>
      </c>
      <c r="K21" s="1162">
        <v>18.283187999999999</v>
      </c>
      <c r="L21" s="1162">
        <v>403.94175359999997</v>
      </c>
      <c r="M21" s="1162">
        <v>7.7800799999999989E-2</v>
      </c>
      <c r="N21" s="1162">
        <v>12.603729599999999</v>
      </c>
      <c r="O21" s="1162">
        <v>841.80465599999991</v>
      </c>
      <c r="P21" s="1162">
        <v>36.021770399999994</v>
      </c>
      <c r="Q21" s="1162">
        <v>247.95114960000001</v>
      </c>
      <c r="R21" s="1162">
        <v>34.465754399999994</v>
      </c>
      <c r="S21" s="1162">
        <v>14.470948799999999</v>
      </c>
      <c r="T21" s="1162">
        <v>566.85662879999995</v>
      </c>
      <c r="U21" s="1162">
        <f t="shared" si="2"/>
        <v>10495.7947248</v>
      </c>
      <c r="V21" s="846"/>
      <c r="W21" s="846"/>
      <c r="X21" s="846"/>
    </row>
    <row r="22" spans="1:24" s="40" customFormat="1" ht="13.15" customHeight="1">
      <c r="A22" s="994" t="s">
        <v>956</v>
      </c>
      <c r="B22" s="1161">
        <v>1867.9494645</v>
      </c>
      <c r="C22" s="1161">
        <v>1514.4063899999999</v>
      </c>
      <c r="D22" s="1161">
        <v>431.52021750000006</v>
      </c>
      <c r="E22" s="1161">
        <v>594.55626000000007</v>
      </c>
      <c r="F22" s="1161">
        <v>1409.191722</v>
      </c>
      <c r="G22" s="1161">
        <v>7.0817565</v>
      </c>
      <c r="H22" s="1161">
        <v>205.99351050000001</v>
      </c>
      <c r="I22" s="1161">
        <v>515.48961599999996</v>
      </c>
      <c r="J22" s="1161">
        <v>205.60440299999999</v>
      </c>
      <c r="K22" s="1161">
        <v>15.1751925</v>
      </c>
      <c r="L22" s="1161">
        <v>293.85398399999997</v>
      </c>
      <c r="M22" s="1161">
        <v>0.38910750000000005</v>
      </c>
      <c r="N22" s="1161">
        <v>10.116795</v>
      </c>
      <c r="O22" s="1161">
        <v>701.48300099999994</v>
      </c>
      <c r="P22" s="1161">
        <v>66.926490000000001</v>
      </c>
      <c r="Q22" s="1161">
        <v>191.67435449999999</v>
      </c>
      <c r="R22" s="1161">
        <v>37.043033999999999</v>
      </c>
      <c r="S22" s="1161">
        <v>23.035164000000002</v>
      </c>
      <c r="T22" s="1161">
        <v>456.89002650000003</v>
      </c>
      <c r="U22" s="1161">
        <f t="shared" si="2"/>
        <v>8548.3804889999992</v>
      </c>
      <c r="V22" s="131"/>
      <c r="W22" s="131"/>
      <c r="X22" s="131"/>
    </row>
    <row r="23" spans="1:24" s="40" customFormat="1" ht="13.15" customHeight="1">
      <c r="A23" s="989" t="s">
        <v>957</v>
      </c>
      <c r="B23" s="1162">
        <v>1759.3278695999998</v>
      </c>
      <c r="C23" s="1162">
        <v>1590.4939595999999</v>
      </c>
      <c r="D23" s="1162">
        <v>517.65262080000002</v>
      </c>
      <c r="E23" s="1162">
        <v>671.09516039999994</v>
      </c>
      <c r="F23" s="1162">
        <v>1509.2966279999998</v>
      </c>
      <c r="G23" s="1162">
        <v>9.7373975999999995</v>
      </c>
      <c r="H23" s="1162">
        <v>235.4251452</v>
      </c>
      <c r="I23" s="1162">
        <v>566.57519100000013</v>
      </c>
      <c r="J23" s="1162">
        <v>228.20062439999998</v>
      </c>
      <c r="K23" s="1162">
        <v>13.271130600000001</v>
      </c>
      <c r="L23" s="1162">
        <v>295.65566100000001</v>
      </c>
      <c r="M23" s="1162">
        <v>7.8527399999999997E-2</v>
      </c>
      <c r="N23" s="1162">
        <v>10.0515072</v>
      </c>
      <c r="O23" s="1162">
        <v>824.69475480000006</v>
      </c>
      <c r="P23" s="1162">
        <v>78.605927399999999</v>
      </c>
      <c r="Q23" s="1162">
        <v>171.03267720000002</v>
      </c>
      <c r="R23" s="1162">
        <v>38.164316400000004</v>
      </c>
      <c r="S23" s="1162">
        <v>13.9778772</v>
      </c>
      <c r="T23" s="1162">
        <v>438.33994679999995</v>
      </c>
      <c r="U23" s="1162">
        <f t="shared" si="2"/>
        <v>8971.6769226000015</v>
      </c>
      <c r="V23" s="846"/>
      <c r="W23" s="846"/>
      <c r="X23" s="846"/>
    </row>
    <row r="24" spans="1:24" s="40" customFormat="1" ht="13.15" customHeight="1">
      <c r="A24" s="994" t="s">
        <v>950</v>
      </c>
      <c r="B24" s="1161">
        <v>2155.5630372799997</v>
      </c>
      <c r="C24" s="1161">
        <v>1780.1002262399998</v>
      </c>
      <c r="D24" s="1161">
        <v>581.39226719999999</v>
      </c>
      <c r="E24" s="1161">
        <v>720.91065544000003</v>
      </c>
      <c r="F24" s="1161">
        <v>1824.2954920799998</v>
      </c>
      <c r="G24" s="1161">
        <v>10.71400384</v>
      </c>
      <c r="H24" s="1161">
        <v>279.58823255999999</v>
      </c>
      <c r="I24" s="1161">
        <v>594.5484336799999</v>
      </c>
      <c r="J24" s="1161">
        <v>263.91112399999997</v>
      </c>
      <c r="K24" s="1161">
        <v>18.355609519999998</v>
      </c>
      <c r="L24" s="1161">
        <v>339.38182752</v>
      </c>
      <c r="M24" s="1161">
        <v>7.8779440000000006E-2</v>
      </c>
      <c r="N24" s="1161">
        <v>18.355609519999998</v>
      </c>
      <c r="O24" s="1161">
        <v>882.95996351999986</v>
      </c>
      <c r="P24" s="1161">
        <v>39.389719999999997</v>
      </c>
      <c r="Q24" s="1161">
        <v>214.83153288</v>
      </c>
      <c r="R24" s="1161">
        <v>40.019955519999996</v>
      </c>
      <c r="S24" s="1161">
        <v>16.386123519999998</v>
      </c>
      <c r="T24" s="1161">
        <v>560.75205391999998</v>
      </c>
      <c r="U24" s="1161">
        <f t="shared" si="2"/>
        <v>10341.534647679997</v>
      </c>
      <c r="V24" s="131"/>
      <c r="W24" s="131"/>
      <c r="X24" s="131"/>
    </row>
    <row r="25" spans="1:24" s="40" customFormat="1" ht="13.15" customHeight="1">
      <c r="A25" s="989" t="s">
        <v>958</v>
      </c>
      <c r="B25" s="1162">
        <v>1755.0416925330001</v>
      </c>
      <c r="C25" s="1162">
        <v>1730.3139502980002</v>
      </c>
      <c r="D25" s="1162">
        <v>489.21679240800006</v>
      </c>
      <c r="E25" s="1162">
        <v>638.36825350800007</v>
      </c>
      <c r="F25" s="1162">
        <v>1395.6651720510001</v>
      </c>
      <c r="G25" s="1162">
        <v>5.7305561369999998</v>
      </c>
      <c r="H25" s="1162">
        <v>316.04409599400003</v>
      </c>
      <c r="I25" s="1162">
        <v>525.64114922400006</v>
      </c>
      <c r="J25" s="1162">
        <v>215.17060782900003</v>
      </c>
      <c r="K25" s="1162">
        <v>15.307649955000002</v>
      </c>
      <c r="L25" s="1162">
        <v>304.81848602700001</v>
      </c>
      <c r="M25" s="1162">
        <v>0.15700153800000002</v>
      </c>
      <c r="N25" s="1162">
        <v>21.901714551000005</v>
      </c>
      <c r="O25" s="1162">
        <v>757.06141623600001</v>
      </c>
      <c r="P25" s="1162">
        <v>27.239766842999998</v>
      </c>
      <c r="Q25" s="1162">
        <v>196.40892403800001</v>
      </c>
      <c r="R25" s="1162">
        <v>39.250384500000003</v>
      </c>
      <c r="S25" s="1162">
        <v>20.017696095000002</v>
      </c>
      <c r="T25" s="1162">
        <v>579.17867368200007</v>
      </c>
      <c r="U25" s="1162">
        <f t="shared" ref="U25:U37" si="3">SUM(B25:T25)</f>
        <v>9032.5339834469978</v>
      </c>
      <c r="V25" s="846"/>
      <c r="W25" s="846"/>
      <c r="X25" s="846"/>
    </row>
    <row r="26" spans="1:24" s="40" customFormat="1" ht="13.15" customHeight="1">
      <c r="A26" s="994" t="s">
        <v>959</v>
      </c>
      <c r="B26" s="1161">
        <v>1809.2813061000002</v>
      </c>
      <c r="C26" s="1161">
        <v>1666.7885222999998</v>
      </c>
      <c r="D26" s="1161">
        <v>462.35530619999997</v>
      </c>
      <c r="E26" s="1161">
        <v>645.53787060000002</v>
      </c>
      <c r="F26" s="1161">
        <v>1400.1055007999998</v>
      </c>
      <c r="G26" s="1161">
        <v>1.1782755</v>
      </c>
      <c r="H26" s="1161">
        <v>298.57501169999995</v>
      </c>
      <c r="I26" s="1161">
        <v>536.42955929999994</v>
      </c>
      <c r="J26" s="1161">
        <v>265.26909089999998</v>
      </c>
      <c r="K26" s="1161">
        <v>18.459649500000001</v>
      </c>
      <c r="L26" s="1161">
        <v>268.7253657</v>
      </c>
      <c r="M26" s="1161">
        <v>0.23565509999999995</v>
      </c>
      <c r="N26" s="1161">
        <v>14.689167900000001</v>
      </c>
      <c r="O26" s="1161">
        <v>767.52866069999993</v>
      </c>
      <c r="P26" s="1161">
        <v>30.163852799999994</v>
      </c>
      <c r="Q26" s="1161">
        <v>178.31235899999999</v>
      </c>
      <c r="R26" s="1161">
        <v>36.133781999999997</v>
      </c>
      <c r="S26" s="1161">
        <v>17.202822300000001</v>
      </c>
      <c r="T26" s="1161">
        <v>508.62225749999999</v>
      </c>
      <c r="U26" s="1161">
        <f t="shared" si="3"/>
        <v>8925.5940159000002</v>
      </c>
      <c r="V26" s="131"/>
      <c r="W26" s="131"/>
      <c r="X26" s="131"/>
    </row>
    <row r="27" spans="1:24" s="40" customFormat="1" ht="13.15" customHeight="1">
      <c r="A27" s="989" t="s">
        <v>951</v>
      </c>
      <c r="B27" s="1162">
        <v>2057.5561491200001</v>
      </c>
      <c r="C27" s="1162">
        <v>1803.027671222</v>
      </c>
      <c r="D27" s="1162">
        <v>540.18690210700004</v>
      </c>
      <c r="E27" s="1162">
        <v>716.30241700500005</v>
      </c>
      <c r="F27" s="1162">
        <v>1632.6363026230001</v>
      </c>
      <c r="G27" s="1162">
        <v>1.56825926</v>
      </c>
      <c r="H27" s="1162">
        <v>318.35662977999999</v>
      </c>
      <c r="I27" s="1162">
        <v>604.485531767</v>
      </c>
      <c r="J27" s="1162">
        <v>281.18888531800002</v>
      </c>
      <c r="K27" s="1162">
        <v>20.387370380000004</v>
      </c>
      <c r="L27" s="1162">
        <v>311.45628903600004</v>
      </c>
      <c r="M27" s="1162">
        <v>7.8412963000000002E-2</v>
      </c>
      <c r="N27" s="1162">
        <v>20.073718528000001</v>
      </c>
      <c r="O27" s="1162">
        <v>958.36323378600002</v>
      </c>
      <c r="P27" s="1162">
        <v>41.480457427000005</v>
      </c>
      <c r="Q27" s="1162">
        <v>211.16610935900002</v>
      </c>
      <c r="R27" s="1162">
        <v>50.341122246000005</v>
      </c>
      <c r="S27" s="1162">
        <v>15.604179637000001</v>
      </c>
      <c r="T27" s="1162">
        <v>496.35405579000002</v>
      </c>
      <c r="U27" s="1162">
        <f t="shared" si="3"/>
        <v>10080.613697353996</v>
      </c>
      <c r="V27" s="846"/>
      <c r="W27" s="846"/>
      <c r="X27" s="846"/>
    </row>
    <row r="28" spans="1:24" s="40" customFormat="1" ht="13.15" customHeight="1">
      <c r="A28" s="994" t="s">
        <v>960</v>
      </c>
      <c r="B28" s="1161">
        <v>1779.288</v>
      </c>
      <c r="C28" s="1161">
        <v>1754.3568000000002</v>
      </c>
      <c r="D28" s="1161">
        <v>542.29280000000006</v>
      </c>
      <c r="E28" s="1161">
        <v>598.74080000000004</v>
      </c>
      <c r="F28" s="1161">
        <v>1498.2239999999999</v>
      </c>
      <c r="G28" s="1161">
        <v>1.1759999999999999</v>
      </c>
      <c r="H28" s="1161">
        <v>278.71199999999999</v>
      </c>
      <c r="I28" s="1161">
        <v>554.3664</v>
      </c>
      <c r="J28" s="1161">
        <v>245.86240000000004</v>
      </c>
      <c r="K28" s="1161">
        <v>15.131200000000002</v>
      </c>
      <c r="L28" s="1161">
        <v>304.976</v>
      </c>
      <c r="M28" s="1161">
        <v>0.15679999999999999</v>
      </c>
      <c r="N28" s="1161">
        <v>15.288</v>
      </c>
      <c r="O28" s="1161">
        <v>942.52480000000014</v>
      </c>
      <c r="P28" s="1161">
        <v>32.143999999999998</v>
      </c>
      <c r="Q28" s="1161">
        <v>212.30720000000002</v>
      </c>
      <c r="R28" s="1161">
        <v>53.78240000000001</v>
      </c>
      <c r="S28" s="1161">
        <v>14.112</v>
      </c>
      <c r="T28" s="1161">
        <v>495.17439999999999</v>
      </c>
      <c r="U28" s="1161">
        <f t="shared" si="3"/>
        <v>9338.616</v>
      </c>
      <c r="V28" s="131"/>
      <c r="W28" s="131"/>
      <c r="X28" s="131"/>
    </row>
    <row r="29" spans="1:24" s="40" customFormat="1" ht="13.15" customHeight="1">
      <c r="A29" s="989" t="s">
        <v>961</v>
      </c>
      <c r="B29" s="1162">
        <v>1793.0863999999999</v>
      </c>
      <c r="C29" s="1162">
        <v>1856.9824000000001</v>
      </c>
      <c r="D29" s="1162">
        <v>562.91200000000003</v>
      </c>
      <c r="E29" s="1162">
        <v>652.05280000000005</v>
      </c>
      <c r="F29" s="1162">
        <v>1359.1424</v>
      </c>
      <c r="G29" s="1162">
        <v>2.2736000000000001</v>
      </c>
      <c r="H29" s="1162">
        <v>332.57280000000003</v>
      </c>
      <c r="I29" s="1162">
        <v>578.35680000000002</v>
      </c>
      <c r="J29" s="1162">
        <v>261.85599999999999</v>
      </c>
      <c r="K29" s="1162">
        <v>20.932800000000004</v>
      </c>
      <c r="L29" s="1162">
        <v>271.73440000000005</v>
      </c>
      <c r="M29" s="1162">
        <v>7.8400000000000011E-2</v>
      </c>
      <c r="N29" s="1162">
        <v>11.2896</v>
      </c>
      <c r="O29" s="1162">
        <v>885.05760000000009</v>
      </c>
      <c r="P29" s="1162">
        <v>33.555199999999999</v>
      </c>
      <c r="Q29" s="1162">
        <v>260.75840000000005</v>
      </c>
      <c r="R29" s="1162">
        <v>54.488</v>
      </c>
      <c r="S29" s="1162">
        <v>20.540800000000001</v>
      </c>
      <c r="T29" s="1162">
        <v>563.8528</v>
      </c>
      <c r="U29" s="1162">
        <f t="shared" si="3"/>
        <v>9521.5232000000033</v>
      </c>
      <c r="V29" s="846"/>
      <c r="W29" s="846"/>
      <c r="X29" s="846"/>
    </row>
    <row r="30" spans="1:24" s="40" customFormat="1" ht="13.15" customHeight="1">
      <c r="A30" s="994" t="s">
        <v>952</v>
      </c>
      <c r="B30" s="1161">
        <v>2079.7952</v>
      </c>
      <c r="C30" s="1161">
        <v>2072.5040000000004</v>
      </c>
      <c r="D30" s="1161">
        <v>811.44</v>
      </c>
      <c r="E30" s="1161">
        <v>850.24800000000016</v>
      </c>
      <c r="F30" s="1161">
        <v>1580.3872000000003</v>
      </c>
      <c r="G30" s="1161">
        <v>3.6848000000000001</v>
      </c>
      <c r="H30" s="1161">
        <v>400.7808</v>
      </c>
      <c r="I30" s="1161">
        <v>759.8528</v>
      </c>
      <c r="J30" s="1161">
        <v>315.79520000000002</v>
      </c>
      <c r="K30" s="1161">
        <v>24.852800000000002</v>
      </c>
      <c r="L30" s="1161">
        <v>303.09440000000001</v>
      </c>
      <c r="M30" s="1161">
        <v>7.8399999999999997E-2</v>
      </c>
      <c r="N30" s="1161">
        <v>22.5792</v>
      </c>
      <c r="O30" s="1161">
        <v>937.50720000000001</v>
      </c>
      <c r="P30" s="1161">
        <v>59.897599999999997</v>
      </c>
      <c r="Q30" s="1161">
        <v>351.23200000000003</v>
      </c>
      <c r="R30" s="1161">
        <v>53.625599999999999</v>
      </c>
      <c r="S30" s="1161">
        <v>29.8704</v>
      </c>
      <c r="T30" s="1161">
        <v>835.19520000000011</v>
      </c>
      <c r="U30" s="1161">
        <f t="shared" si="3"/>
        <v>11492.420800000002</v>
      </c>
      <c r="V30" s="131"/>
      <c r="W30" s="131"/>
      <c r="X30" s="131"/>
    </row>
    <row r="31" spans="1:24" s="40" customFormat="1" ht="13.15" customHeight="1">
      <c r="A31" s="996" t="s">
        <v>2384</v>
      </c>
      <c r="B31" s="991">
        <f t="shared" ref="B31:T31" si="4">SUM(B32:B43)</f>
        <v>17943.426236539002</v>
      </c>
      <c r="C31" s="991">
        <f t="shared" si="4"/>
        <v>16573.528397069</v>
      </c>
      <c r="D31" s="991">
        <f t="shared" si="4"/>
        <v>6405.7376632189998</v>
      </c>
      <c r="E31" s="991">
        <f t="shared" si="4"/>
        <v>8180.2432115789998</v>
      </c>
      <c r="F31" s="991">
        <f t="shared" si="4"/>
        <v>13373.095621944</v>
      </c>
      <c r="G31" s="991">
        <f t="shared" si="4"/>
        <v>17.628407153000001</v>
      </c>
      <c r="H31" s="991">
        <f t="shared" si="4"/>
        <v>4562.3081073049998</v>
      </c>
      <c r="I31" s="991">
        <f t="shared" si="4"/>
        <v>7107.4456062180016</v>
      </c>
      <c r="J31" s="991">
        <f t="shared" si="4"/>
        <v>2380.5595638059999</v>
      </c>
      <c r="K31" s="991">
        <f t="shared" si="4"/>
        <v>251.78556692700002</v>
      </c>
      <c r="L31" s="991">
        <f t="shared" si="4"/>
        <v>3465.3919270970009</v>
      </c>
      <c r="M31" s="991">
        <f t="shared" si="4"/>
        <v>0.15725730799999998</v>
      </c>
      <c r="N31" s="991">
        <f t="shared" si="4"/>
        <v>181.68376342400001</v>
      </c>
      <c r="O31" s="991">
        <f t="shared" si="4"/>
        <v>8729.7625331060008</v>
      </c>
      <c r="P31" s="991">
        <f t="shared" si="4"/>
        <v>411.69327297199999</v>
      </c>
      <c r="Q31" s="991">
        <f t="shared" si="4"/>
        <v>4047.0763187749994</v>
      </c>
      <c r="R31" s="991">
        <f t="shared" si="4"/>
        <v>638.67820879400006</v>
      </c>
      <c r="S31" s="991">
        <f t="shared" si="4"/>
        <v>150.208864742</v>
      </c>
      <c r="T31" s="991">
        <f t="shared" si="4"/>
        <v>6678.5518861929977</v>
      </c>
      <c r="U31" s="991">
        <f>SUM(B31:T31)</f>
        <v>101098.96241417</v>
      </c>
      <c r="V31" s="846"/>
      <c r="W31" s="846"/>
      <c r="X31" s="846"/>
    </row>
    <row r="32" spans="1:24" s="40" customFormat="1" ht="13.15" customHeight="1">
      <c r="A32" s="994" t="s">
        <v>954</v>
      </c>
      <c r="B32" s="1161">
        <v>1528.3296</v>
      </c>
      <c r="C32" s="1161">
        <v>1415.7472000000002</v>
      </c>
      <c r="D32" s="1161">
        <v>317.91199999999998</v>
      </c>
      <c r="E32" s="1161">
        <v>627.43520000000012</v>
      </c>
      <c r="F32" s="1161">
        <v>1006.8128</v>
      </c>
      <c r="G32" s="1161">
        <v>1.2544</v>
      </c>
      <c r="H32" s="1161">
        <v>342.52960000000002</v>
      </c>
      <c r="I32" s="1161">
        <v>567.22399999999993</v>
      </c>
      <c r="J32" s="1161">
        <v>224.1456</v>
      </c>
      <c r="K32" s="1161">
        <v>13.484800000000002</v>
      </c>
      <c r="L32" s="1161">
        <v>216.93280000000004</v>
      </c>
      <c r="M32" s="1161">
        <v>7.8399999999999997E-2</v>
      </c>
      <c r="N32" s="1161">
        <v>12.622400000000003</v>
      </c>
      <c r="O32" s="1161">
        <v>825.31679999999994</v>
      </c>
      <c r="P32" s="1161">
        <v>41.316800000000001</v>
      </c>
      <c r="Q32" s="1161">
        <v>251.50720000000001</v>
      </c>
      <c r="R32" s="1161">
        <v>63.660799999999995</v>
      </c>
      <c r="S32" s="1161">
        <v>11.838400000000002</v>
      </c>
      <c r="T32" s="1161">
        <v>414.89280000000008</v>
      </c>
      <c r="U32" s="1161">
        <f t="shared" si="3"/>
        <v>7883.0415999999987</v>
      </c>
      <c r="V32" s="131"/>
      <c r="W32" s="131"/>
      <c r="X32" s="131"/>
    </row>
    <row r="33" spans="1:24" s="40" customFormat="1" ht="13.15" customHeight="1">
      <c r="A33" s="989" t="s">
        <v>955</v>
      </c>
      <c r="B33" s="1162">
        <v>1810.4912000000002</v>
      </c>
      <c r="C33" s="1162">
        <v>1577.6432</v>
      </c>
      <c r="D33" s="1162">
        <v>499.9568000000001</v>
      </c>
      <c r="E33" s="1162">
        <v>687.48960000000011</v>
      </c>
      <c r="F33" s="1162">
        <v>1203.1264000000001</v>
      </c>
      <c r="G33" s="1162">
        <v>1.9600000000000002</v>
      </c>
      <c r="H33" s="1162">
        <v>354.52480000000003</v>
      </c>
      <c r="I33" s="1162">
        <v>603.28800000000001</v>
      </c>
      <c r="J33" s="1162">
        <v>248.99840000000003</v>
      </c>
      <c r="K33" s="1162">
        <v>17.4832</v>
      </c>
      <c r="L33" s="1162">
        <v>232.45600000000002</v>
      </c>
      <c r="M33" s="1162">
        <v>0</v>
      </c>
      <c r="N33" s="1162">
        <v>15.288000000000002</v>
      </c>
      <c r="O33" s="1162">
        <v>904.0304000000001</v>
      </c>
      <c r="P33" s="1162">
        <v>39.827200000000005</v>
      </c>
      <c r="Q33" s="1162">
        <v>430.25920000000008</v>
      </c>
      <c r="R33" s="1162">
        <v>71.265600000000006</v>
      </c>
      <c r="S33" s="1162">
        <v>14.7392</v>
      </c>
      <c r="T33" s="1162">
        <v>566.59680000000003</v>
      </c>
      <c r="U33" s="1162">
        <f t="shared" si="3"/>
        <v>9279.4239999999991</v>
      </c>
      <c r="V33" s="846"/>
      <c r="W33" s="846"/>
      <c r="X33" s="846"/>
    </row>
    <row r="34" spans="1:24" s="40" customFormat="1" ht="13.15" customHeight="1">
      <c r="A34" s="994" t="s">
        <v>949</v>
      </c>
      <c r="B34" s="1161">
        <v>1393.4816000000003</v>
      </c>
      <c r="C34" s="1161">
        <v>1355.6928</v>
      </c>
      <c r="D34" s="1161">
        <v>506.30720000000002</v>
      </c>
      <c r="E34" s="1161">
        <v>612.46080000000006</v>
      </c>
      <c r="F34" s="1161">
        <v>1161.7312000000002</v>
      </c>
      <c r="G34" s="1161">
        <v>2.0384000000000002</v>
      </c>
      <c r="H34" s="1161">
        <v>356.01439999999997</v>
      </c>
      <c r="I34" s="1161">
        <v>630.25760000000014</v>
      </c>
      <c r="J34" s="1161">
        <v>212.6208</v>
      </c>
      <c r="K34" s="1161">
        <v>18.032</v>
      </c>
      <c r="L34" s="1161">
        <v>209.1712</v>
      </c>
      <c r="M34" s="1161">
        <v>0</v>
      </c>
      <c r="N34" s="1161">
        <v>13.955200000000001</v>
      </c>
      <c r="O34" s="1161">
        <v>791.3696000000001</v>
      </c>
      <c r="P34" s="1161">
        <v>37.867200000000004</v>
      </c>
      <c r="Q34" s="1161">
        <v>325.51680000000005</v>
      </c>
      <c r="R34" s="1161">
        <v>47.980800000000002</v>
      </c>
      <c r="S34" s="1161">
        <v>11.368</v>
      </c>
      <c r="T34" s="1161">
        <v>598.19200000000001</v>
      </c>
      <c r="U34" s="1161">
        <f t="shared" si="3"/>
        <v>8284.0576000000019</v>
      </c>
      <c r="V34" s="131"/>
      <c r="W34" s="131"/>
      <c r="X34" s="131"/>
    </row>
    <row r="35" spans="1:24" s="40" customFormat="1" ht="13.15" customHeight="1">
      <c r="A35" s="989" t="s">
        <v>956</v>
      </c>
      <c r="B35" s="1162">
        <v>1481.4464000000003</v>
      </c>
      <c r="C35" s="1162">
        <v>1333.7408</v>
      </c>
      <c r="D35" s="1162">
        <v>356.87680000000006</v>
      </c>
      <c r="E35" s="1162">
        <v>687.80320000000006</v>
      </c>
      <c r="F35" s="1162">
        <v>1019.2783999999999</v>
      </c>
      <c r="G35" s="1162">
        <v>1.5680000000000001</v>
      </c>
      <c r="H35" s="1162">
        <v>352.40800000000002</v>
      </c>
      <c r="I35" s="1162">
        <v>548.32960000000003</v>
      </c>
      <c r="J35" s="1162">
        <v>212.93440000000001</v>
      </c>
      <c r="K35" s="1162">
        <v>27.910400000000003</v>
      </c>
      <c r="L35" s="1162">
        <v>229.71200000000005</v>
      </c>
      <c r="M35" s="1162">
        <v>0</v>
      </c>
      <c r="N35" s="1162">
        <v>11.838400000000002</v>
      </c>
      <c r="O35" s="1162">
        <v>784.31360000000018</v>
      </c>
      <c r="P35" s="1162">
        <v>33.084800000000001</v>
      </c>
      <c r="Q35" s="1162">
        <v>267.10880000000003</v>
      </c>
      <c r="R35" s="1162">
        <v>40.689600000000006</v>
      </c>
      <c r="S35" s="1162">
        <v>11.838400000000002</v>
      </c>
      <c r="T35" s="1162">
        <v>525.12320000000011</v>
      </c>
      <c r="U35" s="1162">
        <f t="shared" si="3"/>
        <v>7926.0048000000006</v>
      </c>
      <c r="V35" s="846"/>
      <c r="W35" s="846"/>
      <c r="X35" s="846"/>
    </row>
    <row r="36" spans="1:24" s="40" customFormat="1" ht="13.15" customHeight="1">
      <c r="A36" s="994" t="s">
        <v>957</v>
      </c>
      <c r="B36" s="1161">
        <v>1344.9189600000002</v>
      </c>
      <c r="C36" s="1161">
        <v>1172.75928</v>
      </c>
      <c r="D36" s="1161">
        <v>455.61054000000001</v>
      </c>
      <c r="E36" s="1161">
        <v>674.10882000000004</v>
      </c>
      <c r="F36" s="1161">
        <v>969.49775999999997</v>
      </c>
      <c r="G36" s="1161">
        <v>1.9635000000000002</v>
      </c>
      <c r="H36" s="1161">
        <v>322.56378000000007</v>
      </c>
      <c r="I36" s="1161">
        <v>528.10295999999994</v>
      </c>
      <c r="J36" s="1161">
        <v>176.55792000000002</v>
      </c>
      <c r="K36" s="1161">
        <v>15.62946</v>
      </c>
      <c r="L36" s="1161">
        <v>264.28710000000001</v>
      </c>
      <c r="M36" s="1161">
        <v>0</v>
      </c>
      <c r="N36" s="1161">
        <v>11.07414</v>
      </c>
      <c r="O36" s="1161">
        <v>699.63432</v>
      </c>
      <c r="P36" s="1161">
        <v>29.923740000000002</v>
      </c>
      <c r="Q36" s="1161">
        <v>255.41208000000006</v>
      </c>
      <c r="R36" s="1161">
        <v>38.170440000000006</v>
      </c>
      <c r="S36" s="1161">
        <v>11.859540000000001</v>
      </c>
      <c r="T36" s="1161">
        <v>499.98564000000005</v>
      </c>
      <c r="U36" s="1161">
        <f t="shared" si="3"/>
        <v>7472.0599800000018</v>
      </c>
      <c r="V36" s="131"/>
      <c r="W36" s="131"/>
      <c r="X36" s="131"/>
    </row>
    <row r="37" spans="1:24" s="40" customFormat="1" ht="13.15" customHeight="1">
      <c r="A37" s="989" t="s">
        <v>950</v>
      </c>
      <c r="B37" s="1162">
        <v>1427.9096895600001</v>
      </c>
      <c r="C37" s="1162">
        <v>1177.7102820349999</v>
      </c>
      <c r="D37" s="1162">
        <v>442.63624317100005</v>
      </c>
      <c r="E37" s="1162">
        <v>673.5289247610001</v>
      </c>
      <c r="F37" s="1162">
        <v>993.70536343000003</v>
      </c>
      <c r="G37" s="1162">
        <v>1.2608474080000001</v>
      </c>
      <c r="H37" s="1162">
        <v>369.82230535900004</v>
      </c>
      <c r="I37" s="1162">
        <v>510.24918542500001</v>
      </c>
      <c r="J37" s="1162">
        <v>195.58895416600001</v>
      </c>
      <c r="K37" s="1162">
        <v>14.657351118000003</v>
      </c>
      <c r="L37" s="1162">
        <v>267.06324160700001</v>
      </c>
      <c r="M37" s="1162">
        <v>0</v>
      </c>
      <c r="N37" s="1162">
        <v>12.687277043000002</v>
      </c>
      <c r="O37" s="1162">
        <v>632.78779288999999</v>
      </c>
      <c r="P37" s="1162">
        <v>26.950613346000001</v>
      </c>
      <c r="Q37" s="1162">
        <v>260.68020160399999</v>
      </c>
      <c r="R37" s="1162">
        <v>35.934151128000003</v>
      </c>
      <c r="S37" s="1162">
        <v>12.450868154000002</v>
      </c>
      <c r="T37" s="1162">
        <v>499.45317949400004</v>
      </c>
      <c r="U37" s="1162">
        <f t="shared" si="3"/>
        <v>7555.0764716990006</v>
      </c>
      <c r="V37" s="846"/>
      <c r="W37" s="846"/>
      <c r="X37" s="846"/>
    </row>
    <row r="38" spans="1:24" s="40" customFormat="1" ht="13.15" customHeight="1">
      <c r="A38" s="994" t="s">
        <v>958</v>
      </c>
      <c r="B38" s="1161">
        <v>1369.199438804</v>
      </c>
      <c r="C38" s="1161">
        <v>1198.8676535239999</v>
      </c>
      <c r="D38" s="1161">
        <v>532.75997284800007</v>
      </c>
      <c r="E38" s="1161">
        <v>663.66310412799999</v>
      </c>
      <c r="F38" s="1161">
        <v>1050.2216279440001</v>
      </c>
      <c r="G38" s="1161">
        <v>1.1828596199999999</v>
      </c>
      <c r="H38" s="1161">
        <v>396.41568731600006</v>
      </c>
      <c r="I38" s="1161">
        <v>544.19428250800013</v>
      </c>
      <c r="J38" s="1161">
        <v>181.76609494000002</v>
      </c>
      <c r="K38" s="1161">
        <v>17.585179684000003</v>
      </c>
      <c r="L38" s="1161">
        <v>310.69779352</v>
      </c>
      <c r="M38" s="1161">
        <v>7.8857308000000001E-2</v>
      </c>
      <c r="N38" s="1161">
        <v>13.169170435999998</v>
      </c>
      <c r="O38" s="1161">
        <v>644.42192097600002</v>
      </c>
      <c r="P38" s="1161">
        <v>31.306351276000004</v>
      </c>
      <c r="Q38" s="1161">
        <v>351.07273521600007</v>
      </c>
      <c r="R38" s="1161">
        <v>36.037789756000009</v>
      </c>
      <c r="S38" s="1161">
        <v>13.484599668000001</v>
      </c>
      <c r="T38" s="1161">
        <v>604.28355120399999</v>
      </c>
      <c r="U38" s="1161">
        <f t="shared" ref="U38:U45" si="5">SUM(B38:T38)</f>
        <v>7960.4086706760008</v>
      </c>
      <c r="V38" s="131"/>
      <c r="W38" s="131"/>
      <c r="X38" s="131"/>
    </row>
    <row r="39" spans="1:24" s="40" customFormat="1" ht="13.15" customHeight="1">
      <c r="A39" s="989" t="s">
        <v>959</v>
      </c>
      <c r="B39" s="1162">
        <v>1265.9423881</v>
      </c>
      <c r="C39" s="1162">
        <v>1213.4093841999997</v>
      </c>
      <c r="D39" s="1162">
        <v>631.42610569999999</v>
      </c>
      <c r="E39" s="1162">
        <v>596.64180899999997</v>
      </c>
      <c r="F39" s="1162">
        <v>939.80989329999989</v>
      </c>
      <c r="G39" s="1162">
        <v>1.1092942000000001</v>
      </c>
      <c r="H39" s="1162">
        <v>333.97678949999994</v>
      </c>
      <c r="I39" s="1162">
        <v>536.10603979999996</v>
      </c>
      <c r="J39" s="1162">
        <v>155.53889390000001</v>
      </c>
      <c r="K39" s="1162">
        <v>17.035589499999997</v>
      </c>
      <c r="L39" s="1162">
        <v>279.77984430000004</v>
      </c>
      <c r="M39" s="1162">
        <v>0</v>
      </c>
      <c r="N39" s="1162">
        <v>13.390765699999999</v>
      </c>
      <c r="O39" s="1162">
        <v>568.90945399999987</v>
      </c>
      <c r="P39" s="1162">
        <v>32.9618848</v>
      </c>
      <c r="Q39" s="1162">
        <v>285.32631529999998</v>
      </c>
      <c r="R39" s="1162">
        <v>54.513886400000004</v>
      </c>
      <c r="S39" s="1162">
        <v>10.855236100000001</v>
      </c>
      <c r="T39" s="1162">
        <v>517.32727369999998</v>
      </c>
      <c r="U39" s="1162">
        <f t="shared" si="5"/>
        <v>7454.060847499999</v>
      </c>
      <c r="V39" s="846"/>
      <c r="W39" s="846"/>
      <c r="X39" s="846"/>
    </row>
    <row r="40" spans="1:24" s="40" customFormat="1" ht="13.15" customHeight="1">
      <c r="A40" s="994" t="s">
        <v>951</v>
      </c>
      <c r="B40" s="1161">
        <v>1445.5565978100001</v>
      </c>
      <c r="C40" s="1161">
        <v>1409.9227606899999</v>
      </c>
      <c r="D40" s="1161">
        <v>729.936882255</v>
      </c>
      <c r="E40" s="1161">
        <v>666.54364969999995</v>
      </c>
      <c r="F40" s="1161">
        <v>1092.956597915</v>
      </c>
      <c r="G40" s="1161">
        <v>1.27263704</v>
      </c>
      <c r="H40" s="1161">
        <v>380.91617403500004</v>
      </c>
      <c r="I40" s="1161">
        <v>624.38754775000007</v>
      </c>
      <c r="J40" s="1161">
        <v>182.62341524000001</v>
      </c>
      <c r="K40" s="1161">
        <v>21.237130605000001</v>
      </c>
      <c r="L40" s="1161">
        <v>319.03419796500003</v>
      </c>
      <c r="M40" s="1161">
        <v>0</v>
      </c>
      <c r="N40" s="1161">
        <v>20.123573194999999</v>
      </c>
      <c r="O40" s="1161">
        <v>626.29650331000005</v>
      </c>
      <c r="P40" s="1161">
        <v>29.986510255000002</v>
      </c>
      <c r="Q40" s="1161">
        <v>357.45192860999998</v>
      </c>
      <c r="R40" s="1161">
        <v>61.484276995000002</v>
      </c>
      <c r="S40" s="1161">
        <v>11.374193545000001</v>
      </c>
      <c r="T40" s="1161">
        <v>589.46956896500001</v>
      </c>
      <c r="U40" s="1161">
        <f t="shared" si="5"/>
        <v>8570.5741458800003</v>
      </c>
      <c r="V40" s="131"/>
      <c r="W40" s="131"/>
      <c r="X40" s="131"/>
    </row>
    <row r="41" spans="1:24" s="40" customFormat="1" ht="13.15" customHeight="1">
      <c r="A41" s="989" t="s">
        <v>960</v>
      </c>
      <c r="B41" s="1162">
        <v>1462.5449943999997</v>
      </c>
      <c r="C41" s="1162">
        <v>1523.5409207999999</v>
      </c>
      <c r="D41" s="1162">
        <v>560.61962719999997</v>
      </c>
      <c r="E41" s="1162">
        <v>702.01201680000008</v>
      </c>
      <c r="F41" s="1162">
        <v>1240.1174408000002</v>
      </c>
      <c r="G41" s="1162">
        <v>0.95805119999999988</v>
      </c>
      <c r="H41" s="1162">
        <v>393.99855600000001</v>
      </c>
      <c r="I41" s="1162">
        <v>623.29214319999994</v>
      </c>
      <c r="J41" s="1162">
        <v>172.60889119999999</v>
      </c>
      <c r="K41" s="1162">
        <v>19.560212</v>
      </c>
      <c r="L41" s="1162">
        <v>361.18530240000001</v>
      </c>
      <c r="M41" s="1162">
        <v>0</v>
      </c>
      <c r="N41" s="1162">
        <v>14.769955999999999</v>
      </c>
      <c r="O41" s="1162">
        <v>658.10133680000001</v>
      </c>
      <c r="P41" s="1162">
        <v>29.939099999999996</v>
      </c>
      <c r="Q41" s="1162">
        <v>340.42752639999998</v>
      </c>
      <c r="R41" s="1162">
        <v>62.991866399999992</v>
      </c>
      <c r="S41" s="1162">
        <v>12.614340799999999</v>
      </c>
      <c r="T41" s="1162">
        <v>544.09324400000003</v>
      </c>
      <c r="U41" s="1162">
        <f t="shared" si="5"/>
        <v>8723.3755263999992</v>
      </c>
      <c r="V41" s="846"/>
      <c r="W41" s="846"/>
      <c r="X41" s="846"/>
    </row>
    <row r="42" spans="1:24" s="40" customFormat="1" ht="13.15" customHeight="1">
      <c r="A42" s="994" t="s">
        <v>961</v>
      </c>
      <c r="B42" s="1161">
        <v>1815.1213078649998</v>
      </c>
      <c r="C42" s="1161">
        <v>1679.6572858200002</v>
      </c>
      <c r="D42" s="1161">
        <v>698.89132704500003</v>
      </c>
      <c r="E42" s="1161">
        <v>829.52597218999995</v>
      </c>
      <c r="F42" s="1161">
        <v>1268.2748635549999</v>
      </c>
      <c r="G42" s="1161">
        <v>1.529302685</v>
      </c>
      <c r="H42" s="1161">
        <v>463.05675509499997</v>
      </c>
      <c r="I42" s="1161">
        <v>757.32678753499999</v>
      </c>
      <c r="J42" s="1161">
        <v>214.42433436000002</v>
      </c>
      <c r="K42" s="1161">
        <v>44.10830902</v>
      </c>
      <c r="L42" s="1161">
        <v>403.01150230500002</v>
      </c>
      <c r="M42" s="1161">
        <v>0</v>
      </c>
      <c r="N42" s="1161">
        <v>21.732196050000002</v>
      </c>
      <c r="O42" s="1161">
        <v>777.69066012999997</v>
      </c>
      <c r="P42" s="1161">
        <v>34.852003295000003</v>
      </c>
      <c r="Q42" s="1161">
        <v>460.642066645</v>
      </c>
      <c r="R42" s="1161">
        <v>72.521143115000001</v>
      </c>
      <c r="S42" s="1161">
        <v>13.280786474999999</v>
      </c>
      <c r="T42" s="1161">
        <v>647.29748383000003</v>
      </c>
      <c r="U42" s="1161">
        <f t="shared" si="5"/>
        <v>10202.944087014999</v>
      </c>
      <c r="V42" s="846"/>
      <c r="W42" s="846"/>
      <c r="X42" s="846"/>
    </row>
    <row r="43" spans="1:24" s="40" customFormat="1" ht="13.15" customHeight="1">
      <c r="A43" s="989" t="s">
        <v>952</v>
      </c>
      <c r="B43" s="1162">
        <v>1598.48406</v>
      </c>
      <c r="C43" s="1162">
        <v>1514.8368299999997</v>
      </c>
      <c r="D43" s="1162">
        <v>672.8041649999999</v>
      </c>
      <c r="E43" s="1162">
        <v>759.03011499999991</v>
      </c>
      <c r="F43" s="1162">
        <v>1427.563275</v>
      </c>
      <c r="G43" s="1162">
        <v>1.531115</v>
      </c>
      <c r="H43" s="1162">
        <v>496.08126000000004</v>
      </c>
      <c r="I43" s="1162">
        <v>634.68745999999999</v>
      </c>
      <c r="J43" s="1162">
        <v>202.75185999999999</v>
      </c>
      <c r="K43" s="1162">
        <v>25.061934999999998</v>
      </c>
      <c r="L43" s="1162">
        <v>372.060945</v>
      </c>
      <c r="M43" s="1162">
        <v>0</v>
      </c>
      <c r="N43" s="1162">
        <v>21.032684999999997</v>
      </c>
      <c r="O43" s="1162">
        <v>816.89014499999996</v>
      </c>
      <c r="P43" s="1162">
        <v>43.677070000000001</v>
      </c>
      <c r="Q43" s="1162">
        <v>461.67146500000001</v>
      </c>
      <c r="R43" s="1162">
        <v>53.427855000000001</v>
      </c>
      <c r="S43" s="1162">
        <v>14.5053</v>
      </c>
      <c r="T43" s="1162">
        <v>671.83714499999905</v>
      </c>
      <c r="U43" s="1162">
        <f t="shared" si="5"/>
        <v>9787.9346850000002</v>
      </c>
      <c r="V43" s="846"/>
      <c r="W43" s="846"/>
      <c r="X43" s="846"/>
    </row>
    <row r="44" spans="1:24" s="40" customFormat="1" ht="13.15" customHeight="1">
      <c r="A44" s="995" t="s">
        <v>2755</v>
      </c>
      <c r="B44" s="1161"/>
      <c r="C44" s="1161"/>
      <c r="D44" s="1161"/>
      <c r="E44" s="1161"/>
      <c r="F44" s="1161"/>
      <c r="G44" s="1161"/>
      <c r="H44" s="1161"/>
      <c r="I44" s="1161"/>
      <c r="J44" s="1161"/>
      <c r="K44" s="1161"/>
      <c r="L44" s="1161"/>
      <c r="M44" s="1161"/>
      <c r="N44" s="1161"/>
      <c r="O44" s="1161"/>
      <c r="P44" s="1161"/>
      <c r="Q44" s="1161"/>
      <c r="R44" s="1161"/>
      <c r="S44" s="1161"/>
      <c r="T44" s="1161"/>
      <c r="U44" s="1161"/>
      <c r="V44" s="846"/>
      <c r="W44" s="846"/>
      <c r="X44" s="846"/>
    </row>
    <row r="45" spans="1:24" s="40" customFormat="1" ht="13.15" customHeight="1" thickBot="1">
      <c r="A45" s="1507" t="s">
        <v>954</v>
      </c>
      <c r="B45" s="1508">
        <v>1607.686428</v>
      </c>
      <c r="C45" s="1508">
        <v>1370.2422689999999</v>
      </c>
      <c r="D45" s="1508">
        <v>646.62212399999999</v>
      </c>
      <c r="E45" s="1508">
        <v>712.81623419999994</v>
      </c>
      <c r="F45" s="1508">
        <v>1181.8188396</v>
      </c>
      <c r="G45" s="1508">
        <v>0.40313100000000002</v>
      </c>
      <c r="H45" s="1508">
        <v>493.10983920000001</v>
      </c>
      <c r="I45" s="1508">
        <v>610.66283879999992</v>
      </c>
      <c r="J45" s="1508">
        <v>220.51265699999999</v>
      </c>
      <c r="K45" s="1508">
        <v>19.269661800000002</v>
      </c>
      <c r="L45" s="1508">
        <v>327.98738159999999</v>
      </c>
      <c r="M45" s="1508">
        <v>0</v>
      </c>
      <c r="N45" s="1508">
        <v>14.5933422</v>
      </c>
      <c r="O45" s="1508">
        <v>589.21626959999992</v>
      </c>
      <c r="P45" s="1508">
        <v>35.878658999999999</v>
      </c>
      <c r="Q45" s="1508">
        <v>485.61160259999997</v>
      </c>
      <c r="R45" s="1508">
        <v>60.953407199999994</v>
      </c>
      <c r="S45" s="1508">
        <v>13.2226968</v>
      </c>
      <c r="T45" s="1508">
        <v>603.80961180000077</v>
      </c>
      <c r="U45" s="1508">
        <f t="shared" si="5"/>
        <v>8994.4169934000001</v>
      </c>
      <c r="V45" s="846"/>
      <c r="W45" s="846"/>
      <c r="X45" s="846"/>
    </row>
    <row r="46" spans="1:24" s="229" customFormat="1" ht="11.1" customHeight="1">
      <c r="A46" s="84" t="s">
        <v>1301</v>
      </c>
      <c r="B46" s="11" t="s">
        <v>2672</v>
      </c>
      <c r="C46" s="318"/>
      <c r="D46" s="318"/>
      <c r="E46" s="318"/>
      <c r="F46" s="318"/>
      <c r="G46" s="318"/>
      <c r="H46" s="318"/>
      <c r="I46" s="318"/>
      <c r="J46" s="318"/>
      <c r="K46" s="1512"/>
      <c r="M46" s="320"/>
      <c r="N46" s="320"/>
      <c r="O46" s="320"/>
      <c r="P46" s="320"/>
      <c r="Q46" s="320"/>
      <c r="R46" s="320"/>
      <c r="S46" s="320"/>
      <c r="T46" s="21"/>
      <c r="U46" s="226"/>
      <c r="V46" s="21"/>
      <c r="W46" s="21"/>
      <c r="X46" s="21"/>
    </row>
    <row r="47" spans="1:24" s="11" customFormat="1" ht="11.1" customHeight="1">
      <c r="C47" s="7"/>
      <c r="D47" s="7"/>
      <c r="E47" s="7"/>
      <c r="F47" s="7"/>
      <c r="G47" s="7"/>
      <c r="H47" s="7"/>
      <c r="I47" s="7"/>
      <c r="J47" s="7"/>
      <c r="M47" s="36"/>
      <c r="N47" s="36"/>
      <c r="O47" s="36"/>
      <c r="P47" s="36"/>
      <c r="Q47" s="36"/>
      <c r="R47" s="36"/>
      <c r="S47" s="36"/>
      <c r="T47" s="36"/>
      <c r="U47" s="36"/>
    </row>
    <row r="48" spans="1:24" s="11" customFormat="1"/>
    <row r="49" spans="2:21" s="11" customFormat="1"/>
    <row r="50" spans="2:21" s="11" customFormat="1"/>
    <row r="51" spans="2:21" s="11" customFormat="1"/>
    <row r="52" spans="2:21" s="11" customFormat="1">
      <c r="B52" s="1544"/>
      <c r="C52" s="1544"/>
      <c r="D52" s="1544"/>
      <c r="E52" s="1544"/>
      <c r="F52" s="1544"/>
      <c r="G52" s="1544"/>
      <c r="H52" s="1544"/>
      <c r="I52" s="1544"/>
      <c r="J52" s="1544"/>
      <c r="K52" s="1544"/>
      <c r="L52" s="1544"/>
      <c r="M52" s="1544"/>
      <c r="N52" s="1544"/>
      <c r="O52" s="1544"/>
      <c r="P52" s="1544"/>
      <c r="Q52" s="1544"/>
      <c r="R52" s="1544"/>
      <c r="S52" s="1544"/>
      <c r="T52" s="1544"/>
      <c r="U52" s="1544"/>
    </row>
    <row r="53" spans="2:21" s="11" customFormat="1"/>
    <row r="54" spans="2:21" s="11" customFormat="1">
      <c r="B54" s="290"/>
      <c r="C54" s="290"/>
      <c r="D54" s="290"/>
      <c r="E54" s="290"/>
      <c r="F54" s="290"/>
      <c r="G54" s="290"/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</row>
    <row r="55" spans="2:21" s="11" customFormat="1"/>
    <row r="56" spans="2:21" s="11" customFormat="1"/>
    <row r="57" spans="2:21" s="11" customFormat="1"/>
    <row r="58" spans="2:21" s="11" customFormat="1"/>
    <row r="59" spans="2:21" s="11" customFormat="1"/>
    <row r="60" spans="2:21" s="11" customFormat="1"/>
    <row r="61" spans="2:21" s="11" customFormat="1"/>
    <row r="62" spans="2:21" s="11" customFormat="1"/>
    <row r="63" spans="2:21" s="11" customFormat="1"/>
    <row r="64" spans="2:21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  <row r="311" s="11" customFormat="1"/>
    <row r="312" s="11" customFormat="1"/>
    <row r="313" s="11" customFormat="1"/>
    <row r="314" s="11" customFormat="1"/>
    <row r="315" s="11" customFormat="1"/>
    <row r="316" s="11" customFormat="1"/>
    <row r="317" s="11" customFormat="1"/>
    <row r="318" s="11" customFormat="1"/>
    <row r="319" s="11" customFormat="1"/>
    <row r="320" s="11" customFormat="1"/>
    <row r="321" s="11" customFormat="1"/>
    <row r="322" s="11" customFormat="1"/>
    <row r="323" s="11" customFormat="1"/>
    <row r="324" s="11" customFormat="1"/>
    <row r="325" s="11" customFormat="1"/>
    <row r="326" s="11" customFormat="1"/>
    <row r="327" s="11" customFormat="1"/>
    <row r="328" s="11" customFormat="1"/>
    <row r="329" s="11" customFormat="1"/>
    <row r="330" s="11" customFormat="1"/>
    <row r="331" s="11" customFormat="1"/>
    <row r="332" s="11" customFormat="1"/>
    <row r="333" s="11" customFormat="1"/>
    <row r="334" s="11" customFormat="1"/>
    <row r="335" s="11" customFormat="1"/>
    <row r="336" s="11" customFormat="1"/>
    <row r="337" s="11" customFormat="1"/>
    <row r="338" s="11" customFormat="1"/>
    <row r="339" s="11" customFormat="1"/>
    <row r="340" s="11" customFormat="1"/>
    <row r="341" s="11" customFormat="1"/>
    <row r="342" s="11" customFormat="1"/>
    <row r="343" s="11" customFormat="1"/>
    <row r="344" s="11" customFormat="1"/>
    <row r="345" s="11" customFormat="1"/>
    <row r="346" s="11" customFormat="1"/>
    <row r="347" s="11" customFormat="1"/>
    <row r="348" s="11" customFormat="1"/>
    <row r="349" s="11" customFormat="1"/>
    <row r="350" s="11" customFormat="1"/>
    <row r="351" s="11" customFormat="1"/>
    <row r="352" s="11" customFormat="1"/>
    <row r="353" s="11" customFormat="1"/>
    <row r="354" s="11" customFormat="1"/>
    <row r="355" s="11" customFormat="1"/>
    <row r="356" s="11" customFormat="1"/>
  </sheetData>
  <mergeCells count="3">
    <mergeCell ref="T1:U1"/>
    <mergeCell ref="T2:U2"/>
    <mergeCell ref="A1:J1"/>
  </mergeCells>
  <phoneticPr fontId="47" type="noConversion"/>
  <pageMargins left="0.55118110236220497" right="0.511811023622047" top="0.511811023622047" bottom="0.27559055118110198" header="0" footer="0.143700787"/>
  <pageSetup paperSize="151" firstPageNumber="84" orientation="portrait" useFirstPageNumber="1" r:id="rId1"/>
  <headerFooter>
    <oddFooter>&amp;C&amp;"Times New Roman,Regular"&amp;8&amp;P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1:BW52"/>
  <sheetViews>
    <sheetView zoomScale="130" zoomScaleNormal="130" workbookViewId="0">
      <pane xSplit="1" ySplit="6" topLeftCell="B37" activePane="bottomRight" state="frozen"/>
      <selection pane="topRight" activeCell="B1" sqref="B1"/>
      <selection pane="bottomLeft" activeCell="A7" sqref="A7"/>
      <selection pane="bottomRight" activeCell="BQ56" sqref="BQ56"/>
    </sheetView>
  </sheetViews>
  <sheetFormatPr defaultColWidth="9.140625" defaultRowHeight="11.25"/>
  <cols>
    <col min="1" max="1" width="9.28515625" style="64" customWidth="1"/>
    <col min="2" max="2" width="9.85546875" style="11" customWidth="1"/>
    <col min="3" max="3" width="9.7109375" style="11" customWidth="1"/>
    <col min="4" max="4" width="10.140625" style="11" customWidth="1"/>
    <col min="5" max="5" width="11" style="11" customWidth="1"/>
    <col min="6" max="6" width="11.28515625" style="11" customWidth="1"/>
    <col min="7" max="7" width="11.85546875" style="11" customWidth="1"/>
    <col min="8" max="8" width="9.85546875" style="11" customWidth="1"/>
    <col min="9" max="9" width="9.5703125" style="11" customWidth="1"/>
    <col min="10" max="10" width="9.28515625" style="11" customWidth="1"/>
    <col min="11" max="11" width="9.7109375" style="11" customWidth="1"/>
    <col min="12" max="12" width="9.42578125" style="11" customWidth="1"/>
    <col min="13" max="13" width="8" style="11" customWidth="1"/>
    <col min="14" max="14" width="8.7109375" style="11" customWidth="1"/>
    <col min="15" max="15" width="7.5703125" style="11" customWidth="1"/>
    <col min="16" max="16" width="11.42578125" style="64" customWidth="1"/>
    <col min="17" max="17" width="10.7109375" style="11" customWidth="1"/>
    <col min="18" max="18" width="10.5703125" style="11" customWidth="1"/>
    <col min="19" max="19" width="10.7109375" style="11" customWidth="1"/>
    <col min="20" max="20" width="10.85546875" style="11" customWidth="1"/>
    <col min="21" max="21" width="10.5703125" style="11" customWidth="1"/>
    <col min="22" max="22" width="10.7109375" style="11" customWidth="1"/>
    <col min="23" max="23" width="9.85546875" style="11" customWidth="1"/>
    <col min="24" max="24" width="9.140625" style="11" customWidth="1"/>
    <col min="25" max="25" width="9.42578125" style="11" customWidth="1"/>
    <col min="26" max="26" width="9" style="11" customWidth="1"/>
    <col min="27" max="27" width="9.42578125" style="11" customWidth="1"/>
    <col min="28" max="29" width="9.7109375" style="11" customWidth="1"/>
    <col min="30" max="30" width="9.42578125" style="11" customWidth="1"/>
    <col min="31" max="31" width="10.42578125" style="64" customWidth="1"/>
    <col min="32" max="32" width="10.7109375" style="11" customWidth="1"/>
    <col min="33" max="34" width="10.85546875" style="11" customWidth="1"/>
    <col min="35" max="35" width="11.140625" style="11" customWidth="1"/>
    <col min="36" max="36" width="11.42578125" style="11" customWidth="1"/>
    <col min="37" max="37" width="9" style="11" customWidth="1"/>
    <col min="38" max="38" width="9.7109375" style="11" customWidth="1"/>
    <col min="39" max="39" width="9.5703125" style="11" customWidth="1"/>
    <col min="40" max="40" width="9.28515625" style="11" customWidth="1"/>
    <col min="41" max="41" width="9.42578125" style="11" customWidth="1"/>
    <col min="42" max="42" width="9.140625" style="11" customWidth="1"/>
    <col min="43" max="43" width="9.28515625" style="11" customWidth="1"/>
    <col min="44" max="44" width="10" style="11" customWidth="1"/>
    <col min="45" max="45" width="9.140625" style="11" customWidth="1"/>
    <col min="46" max="46" width="10.7109375" style="64" customWidth="1"/>
    <col min="47" max="47" width="10.85546875" style="11" customWidth="1"/>
    <col min="48" max="48" width="10.5703125" style="11" customWidth="1"/>
    <col min="49" max="49" width="10.28515625" style="11" customWidth="1"/>
    <col min="50" max="50" width="10.5703125" style="11" customWidth="1"/>
    <col min="51" max="51" width="11" style="11" customWidth="1"/>
    <col min="52" max="52" width="11.42578125" style="11" customWidth="1"/>
    <col min="53" max="53" width="9.85546875" style="11" customWidth="1"/>
    <col min="54" max="54" width="9.28515625" style="11" customWidth="1"/>
    <col min="55" max="55" width="9.85546875" style="11" customWidth="1"/>
    <col min="56" max="56" width="9.140625" style="11" customWidth="1"/>
    <col min="57" max="57" width="9.7109375" style="11" customWidth="1"/>
    <col min="58" max="58" width="8.7109375" style="11" customWidth="1"/>
    <col min="59" max="59" width="9" style="11" customWidth="1"/>
    <col min="60" max="60" width="9.28515625" style="11" customWidth="1"/>
    <col min="61" max="61" width="10" style="64" customWidth="1"/>
    <col min="62" max="62" width="10.28515625" style="11" customWidth="1"/>
    <col min="63" max="63" width="10.42578125" style="11" customWidth="1"/>
    <col min="64" max="64" width="10.140625" style="11" customWidth="1"/>
    <col min="65" max="65" width="11" style="11" customWidth="1"/>
    <col min="66" max="66" width="10.7109375" style="11" customWidth="1"/>
    <col min="67" max="67" width="11.42578125" style="11" customWidth="1"/>
    <col min="68" max="68" width="10" style="11" customWidth="1"/>
    <col min="69" max="69" width="9.42578125" style="11" customWidth="1"/>
    <col min="70" max="70" width="9" style="11" customWidth="1"/>
    <col min="71" max="71" width="9.7109375" style="11" customWidth="1"/>
    <col min="72" max="72" width="9.28515625" style="11" customWidth="1"/>
    <col min="73" max="73" width="9.42578125" style="11" customWidth="1"/>
    <col min="74" max="74" width="9.5703125" style="11" customWidth="1"/>
    <col min="75" max="75" width="9.140625" style="11" customWidth="1"/>
    <col min="76" max="16384" width="9.140625" style="11"/>
  </cols>
  <sheetData>
    <row r="1" spans="1:75" s="196" customFormat="1" ht="14.25" customHeight="1">
      <c r="C1" s="79"/>
      <c r="D1" s="79"/>
      <c r="F1" s="1903" t="s">
        <v>662</v>
      </c>
      <c r="G1" s="1903"/>
      <c r="H1" s="211" t="s">
        <v>660</v>
      </c>
      <c r="M1" s="1903" t="s">
        <v>2090</v>
      </c>
      <c r="N1" s="1903"/>
      <c r="O1" s="1903"/>
      <c r="U1" s="1903" t="s">
        <v>662</v>
      </c>
      <c r="V1" s="1903"/>
      <c r="W1" s="211" t="s">
        <v>660</v>
      </c>
      <c r="AB1" s="1903" t="s">
        <v>2090</v>
      </c>
      <c r="AC1" s="1903"/>
      <c r="AD1" s="1903"/>
      <c r="AJ1" s="1903" t="s">
        <v>662</v>
      </c>
      <c r="AK1" s="1903"/>
      <c r="AL1" s="211" t="s">
        <v>660</v>
      </c>
      <c r="AQ1" s="1903" t="s">
        <v>2090</v>
      </c>
      <c r="AR1" s="1903"/>
      <c r="AS1" s="1903"/>
      <c r="AY1" s="1903" t="s">
        <v>662</v>
      </c>
      <c r="AZ1" s="1903"/>
      <c r="BA1" s="211" t="s">
        <v>660</v>
      </c>
      <c r="BF1" s="1903" t="s">
        <v>2090</v>
      </c>
      <c r="BG1" s="1903"/>
      <c r="BH1" s="1903"/>
      <c r="BN1" s="1903" t="s">
        <v>662</v>
      </c>
      <c r="BO1" s="1903"/>
      <c r="BP1" s="211" t="s">
        <v>660</v>
      </c>
      <c r="BU1" s="1903" t="s">
        <v>2091</v>
      </c>
      <c r="BV1" s="1903"/>
      <c r="BW1" s="1903"/>
    </row>
    <row r="2" spans="1:75" s="96" customFormat="1" ht="12.75" customHeight="1">
      <c r="G2" s="209" t="s">
        <v>659</v>
      </c>
      <c r="H2" s="15" t="s">
        <v>661</v>
      </c>
      <c r="I2" s="116"/>
      <c r="J2" s="116"/>
      <c r="K2" s="116"/>
      <c r="L2" s="116"/>
      <c r="M2" s="116"/>
      <c r="P2" s="116"/>
      <c r="Q2" s="116"/>
      <c r="R2" s="116"/>
      <c r="S2" s="116"/>
      <c r="T2" s="116"/>
      <c r="V2" s="209" t="s">
        <v>659</v>
      </c>
      <c r="W2" s="15" t="s">
        <v>661</v>
      </c>
      <c r="AC2" s="2093"/>
      <c r="AD2" s="2093"/>
      <c r="AK2" s="209" t="s">
        <v>659</v>
      </c>
      <c r="AL2" s="15" t="s">
        <v>661</v>
      </c>
      <c r="AZ2" s="209" t="s">
        <v>659</v>
      </c>
      <c r="BA2" s="15" t="s">
        <v>661</v>
      </c>
      <c r="BO2" s="209" t="s">
        <v>659</v>
      </c>
      <c r="BP2" s="15" t="s">
        <v>661</v>
      </c>
    </row>
    <row r="3" spans="1:75" s="124" customFormat="1" ht="11.25" customHeight="1">
      <c r="A3" s="1927" t="s">
        <v>875</v>
      </c>
      <c r="B3" s="1927" t="s">
        <v>1034</v>
      </c>
      <c r="C3" s="1927"/>
      <c r="D3" s="1927" t="s">
        <v>909</v>
      </c>
      <c r="E3" s="1927"/>
      <c r="F3" s="1927" t="s">
        <v>910</v>
      </c>
      <c r="G3" s="1927"/>
      <c r="H3" s="1927" t="s">
        <v>911</v>
      </c>
      <c r="I3" s="1927"/>
      <c r="J3" s="1927" t="s">
        <v>107</v>
      </c>
      <c r="K3" s="1927"/>
      <c r="L3" s="1927" t="s">
        <v>912</v>
      </c>
      <c r="M3" s="1927"/>
      <c r="N3" s="1927" t="s">
        <v>746</v>
      </c>
      <c r="O3" s="1927"/>
      <c r="P3" s="1927" t="s">
        <v>875</v>
      </c>
      <c r="Q3" s="1784" t="s">
        <v>109</v>
      </c>
      <c r="R3" s="1784"/>
      <c r="S3" s="1927" t="s">
        <v>913</v>
      </c>
      <c r="T3" s="1927"/>
      <c r="U3" s="1927" t="s">
        <v>914</v>
      </c>
      <c r="V3" s="1927"/>
      <c r="W3" s="1927" t="s">
        <v>378</v>
      </c>
      <c r="X3" s="1927"/>
      <c r="Y3" s="1927" t="s">
        <v>110</v>
      </c>
      <c r="Z3" s="1927"/>
      <c r="AA3" s="1927" t="s">
        <v>915</v>
      </c>
      <c r="AB3" s="1927"/>
      <c r="AC3" s="1927" t="s">
        <v>1035</v>
      </c>
      <c r="AD3" s="1927"/>
      <c r="AE3" s="1927" t="s">
        <v>875</v>
      </c>
      <c r="AF3" s="1927" t="s">
        <v>379</v>
      </c>
      <c r="AG3" s="1927"/>
      <c r="AH3" s="1927" t="s">
        <v>916</v>
      </c>
      <c r="AI3" s="1927"/>
      <c r="AJ3" s="1927" t="s">
        <v>917</v>
      </c>
      <c r="AK3" s="1927"/>
      <c r="AL3" s="1927" t="s">
        <v>918</v>
      </c>
      <c r="AM3" s="1927"/>
      <c r="AN3" s="1927" t="s">
        <v>919</v>
      </c>
      <c r="AO3" s="1927"/>
      <c r="AP3" s="1927" t="s">
        <v>920</v>
      </c>
      <c r="AQ3" s="1927"/>
      <c r="AR3" s="1927" t="s">
        <v>921</v>
      </c>
      <c r="AS3" s="1927"/>
      <c r="AT3" s="1927" t="s">
        <v>875</v>
      </c>
      <c r="AU3" s="1927" t="s">
        <v>922</v>
      </c>
      <c r="AV3" s="1927"/>
      <c r="AW3" s="1927" t="s">
        <v>923</v>
      </c>
      <c r="AX3" s="1927"/>
      <c r="AY3" s="1927" t="s">
        <v>924</v>
      </c>
      <c r="AZ3" s="1927"/>
      <c r="BA3" s="1927" t="s">
        <v>380</v>
      </c>
      <c r="BB3" s="1927"/>
      <c r="BC3" s="1927" t="s">
        <v>925</v>
      </c>
      <c r="BD3" s="1927"/>
      <c r="BE3" s="1927" t="s">
        <v>926</v>
      </c>
      <c r="BF3" s="1927"/>
      <c r="BG3" s="1927" t="s">
        <v>749</v>
      </c>
      <c r="BH3" s="1927"/>
      <c r="BI3" s="1927" t="s">
        <v>875</v>
      </c>
      <c r="BJ3" s="1927" t="s">
        <v>1110</v>
      </c>
      <c r="BK3" s="1927"/>
      <c r="BL3" s="1927" t="s">
        <v>1036</v>
      </c>
      <c r="BM3" s="1927"/>
      <c r="BN3" s="1927" t="s">
        <v>927</v>
      </c>
      <c r="BO3" s="1927"/>
      <c r="BP3" s="1927" t="s">
        <v>381</v>
      </c>
      <c r="BQ3" s="1927"/>
      <c r="BR3" s="1927" t="s">
        <v>928</v>
      </c>
      <c r="BS3" s="1927"/>
      <c r="BT3" s="1927" t="s">
        <v>929</v>
      </c>
      <c r="BU3" s="1927"/>
      <c r="BV3" s="1927" t="s">
        <v>2166</v>
      </c>
      <c r="BW3" s="1927"/>
    </row>
    <row r="4" spans="1:75" s="212" customFormat="1" ht="20.25" customHeight="1">
      <c r="A4" s="1927"/>
      <c r="B4" s="1887" t="s">
        <v>1925</v>
      </c>
      <c r="C4" s="1887" t="s">
        <v>1926</v>
      </c>
      <c r="D4" s="1887" t="s">
        <v>1925</v>
      </c>
      <c r="E4" s="1887" t="s">
        <v>1926</v>
      </c>
      <c r="F4" s="1887" t="s">
        <v>1925</v>
      </c>
      <c r="G4" s="1887" t="s">
        <v>1927</v>
      </c>
      <c r="H4" s="1887" t="s">
        <v>1925</v>
      </c>
      <c r="I4" s="1887" t="s">
        <v>1926</v>
      </c>
      <c r="J4" s="1887" t="s">
        <v>1925</v>
      </c>
      <c r="K4" s="1887" t="s">
        <v>1926</v>
      </c>
      <c r="L4" s="1887" t="s">
        <v>1925</v>
      </c>
      <c r="M4" s="1887" t="s">
        <v>1926</v>
      </c>
      <c r="N4" s="1887" t="s">
        <v>1925</v>
      </c>
      <c r="O4" s="1887" t="s">
        <v>1926</v>
      </c>
      <c r="P4" s="1927"/>
      <c r="Q4" s="1887" t="s">
        <v>1925</v>
      </c>
      <c r="R4" s="1887" t="s">
        <v>1926</v>
      </c>
      <c r="S4" s="1887" t="s">
        <v>1925</v>
      </c>
      <c r="T4" s="1887" t="s">
        <v>1926</v>
      </c>
      <c r="U4" s="1887" t="s">
        <v>1925</v>
      </c>
      <c r="V4" s="1887" t="s">
        <v>1927</v>
      </c>
      <c r="W4" s="1887" t="s">
        <v>1925</v>
      </c>
      <c r="X4" s="1887" t="s">
        <v>1926</v>
      </c>
      <c r="Y4" s="1887" t="s">
        <v>1925</v>
      </c>
      <c r="Z4" s="1887" t="s">
        <v>1926</v>
      </c>
      <c r="AA4" s="1887" t="s">
        <v>1925</v>
      </c>
      <c r="AB4" s="1887" t="s">
        <v>1926</v>
      </c>
      <c r="AC4" s="1887" t="s">
        <v>1925</v>
      </c>
      <c r="AD4" s="1887" t="s">
        <v>1926</v>
      </c>
      <c r="AE4" s="1927"/>
      <c r="AF4" s="1887" t="s">
        <v>1925</v>
      </c>
      <c r="AG4" s="1887" t="s">
        <v>1926</v>
      </c>
      <c r="AH4" s="1887" t="s">
        <v>1925</v>
      </c>
      <c r="AI4" s="1887" t="s">
        <v>1926</v>
      </c>
      <c r="AJ4" s="1887" t="s">
        <v>1925</v>
      </c>
      <c r="AK4" s="1887" t="s">
        <v>1927</v>
      </c>
      <c r="AL4" s="1887" t="s">
        <v>1925</v>
      </c>
      <c r="AM4" s="1887" t="s">
        <v>1926</v>
      </c>
      <c r="AN4" s="1887" t="s">
        <v>1925</v>
      </c>
      <c r="AO4" s="1887" t="s">
        <v>1926</v>
      </c>
      <c r="AP4" s="1887" t="s">
        <v>1925</v>
      </c>
      <c r="AQ4" s="1887" t="s">
        <v>1926</v>
      </c>
      <c r="AR4" s="1887" t="s">
        <v>1925</v>
      </c>
      <c r="AS4" s="1887" t="s">
        <v>1926</v>
      </c>
      <c r="AT4" s="1927"/>
      <c r="AU4" s="1887" t="s">
        <v>1925</v>
      </c>
      <c r="AV4" s="1887" t="s">
        <v>1926</v>
      </c>
      <c r="AW4" s="1887" t="s">
        <v>1925</v>
      </c>
      <c r="AX4" s="1887" t="s">
        <v>1926</v>
      </c>
      <c r="AY4" s="1887" t="s">
        <v>1925</v>
      </c>
      <c r="AZ4" s="1887" t="s">
        <v>1927</v>
      </c>
      <c r="BA4" s="1887" t="s">
        <v>1925</v>
      </c>
      <c r="BB4" s="1887" t="s">
        <v>1926</v>
      </c>
      <c r="BC4" s="1887" t="s">
        <v>1925</v>
      </c>
      <c r="BD4" s="1887" t="s">
        <v>1926</v>
      </c>
      <c r="BE4" s="1887" t="s">
        <v>1925</v>
      </c>
      <c r="BF4" s="1887" t="s">
        <v>1926</v>
      </c>
      <c r="BG4" s="1887" t="s">
        <v>1925</v>
      </c>
      <c r="BH4" s="1887" t="s">
        <v>1926</v>
      </c>
      <c r="BI4" s="1927"/>
      <c r="BJ4" s="1887" t="s">
        <v>1925</v>
      </c>
      <c r="BK4" s="1887" t="s">
        <v>1926</v>
      </c>
      <c r="BL4" s="1887" t="s">
        <v>1925</v>
      </c>
      <c r="BM4" s="1887" t="s">
        <v>1926</v>
      </c>
      <c r="BN4" s="1887" t="s">
        <v>1925</v>
      </c>
      <c r="BO4" s="1887" t="s">
        <v>1927</v>
      </c>
      <c r="BP4" s="1887" t="s">
        <v>1925</v>
      </c>
      <c r="BQ4" s="1887" t="s">
        <v>1926</v>
      </c>
      <c r="BR4" s="1887" t="s">
        <v>1925</v>
      </c>
      <c r="BS4" s="1887" t="s">
        <v>1926</v>
      </c>
      <c r="BT4" s="1887" t="s">
        <v>1925</v>
      </c>
      <c r="BU4" s="1887" t="s">
        <v>1926</v>
      </c>
      <c r="BV4" s="1887" t="s">
        <v>1925</v>
      </c>
      <c r="BW4" s="1887" t="s">
        <v>1926</v>
      </c>
    </row>
    <row r="5" spans="1:75" s="212" customFormat="1" ht="15.75" customHeight="1">
      <c r="A5" s="1927"/>
      <c r="B5" s="1881"/>
      <c r="C5" s="1881"/>
      <c r="D5" s="1881"/>
      <c r="E5" s="1881"/>
      <c r="F5" s="1881"/>
      <c r="G5" s="1881"/>
      <c r="H5" s="1881"/>
      <c r="I5" s="1881"/>
      <c r="J5" s="1881"/>
      <c r="K5" s="1881"/>
      <c r="L5" s="1881"/>
      <c r="M5" s="1881"/>
      <c r="N5" s="1881"/>
      <c r="O5" s="1881"/>
      <c r="P5" s="1927"/>
      <c r="Q5" s="1881"/>
      <c r="R5" s="1881"/>
      <c r="S5" s="1881"/>
      <c r="T5" s="1881"/>
      <c r="U5" s="1881"/>
      <c r="V5" s="1881"/>
      <c r="W5" s="1881"/>
      <c r="X5" s="1881"/>
      <c r="Y5" s="1881"/>
      <c r="Z5" s="1881"/>
      <c r="AA5" s="1881"/>
      <c r="AB5" s="1881"/>
      <c r="AC5" s="1881"/>
      <c r="AD5" s="1881"/>
      <c r="AE5" s="1927"/>
      <c r="AF5" s="1881"/>
      <c r="AG5" s="1881"/>
      <c r="AH5" s="1881"/>
      <c r="AI5" s="1881"/>
      <c r="AJ5" s="1881"/>
      <c r="AK5" s="1881"/>
      <c r="AL5" s="1881"/>
      <c r="AM5" s="1881"/>
      <c r="AN5" s="1881"/>
      <c r="AO5" s="1881"/>
      <c r="AP5" s="1881"/>
      <c r="AQ5" s="1881"/>
      <c r="AR5" s="1881"/>
      <c r="AS5" s="1881"/>
      <c r="AT5" s="1927"/>
      <c r="AU5" s="1881"/>
      <c r="AV5" s="1881"/>
      <c r="AW5" s="1881"/>
      <c r="AX5" s="1881"/>
      <c r="AY5" s="1881"/>
      <c r="AZ5" s="1881"/>
      <c r="BA5" s="1881"/>
      <c r="BB5" s="1881"/>
      <c r="BC5" s="1881"/>
      <c r="BD5" s="1881"/>
      <c r="BE5" s="1881"/>
      <c r="BF5" s="1881"/>
      <c r="BG5" s="1881"/>
      <c r="BH5" s="1881"/>
      <c r="BI5" s="1927"/>
      <c r="BJ5" s="1881"/>
      <c r="BK5" s="1881"/>
      <c r="BL5" s="1881"/>
      <c r="BM5" s="1881"/>
      <c r="BN5" s="1881"/>
      <c r="BO5" s="1881"/>
      <c r="BP5" s="1881"/>
      <c r="BQ5" s="1881"/>
      <c r="BR5" s="1881"/>
      <c r="BS5" s="1881"/>
      <c r="BT5" s="1881"/>
      <c r="BU5" s="1881"/>
      <c r="BV5" s="1881"/>
      <c r="BW5" s="1881"/>
    </row>
    <row r="6" spans="1:75" s="213" customFormat="1" ht="12">
      <c r="A6" s="1927"/>
      <c r="B6" s="208">
        <v>1</v>
      </c>
      <c r="C6" s="208">
        <v>2</v>
      </c>
      <c r="D6" s="208">
        <v>3</v>
      </c>
      <c r="E6" s="208">
        <v>4</v>
      </c>
      <c r="F6" s="208">
        <v>5</v>
      </c>
      <c r="G6" s="208">
        <v>6</v>
      </c>
      <c r="H6" s="208">
        <v>7</v>
      </c>
      <c r="I6" s="208">
        <v>8</v>
      </c>
      <c r="J6" s="208">
        <v>9</v>
      </c>
      <c r="K6" s="208">
        <v>10</v>
      </c>
      <c r="L6" s="208">
        <v>11</v>
      </c>
      <c r="M6" s="208">
        <v>12</v>
      </c>
      <c r="N6" s="208">
        <v>13</v>
      </c>
      <c r="O6" s="208">
        <v>14</v>
      </c>
      <c r="P6" s="1927"/>
      <c r="Q6" s="208">
        <v>15</v>
      </c>
      <c r="R6" s="208">
        <v>16</v>
      </c>
      <c r="S6" s="208">
        <v>17</v>
      </c>
      <c r="T6" s="208">
        <v>18</v>
      </c>
      <c r="U6" s="208">
        <v>19</v>
      </c>
      <c r="V6" s="208">
        <v>20</v>
      </c>
      <c r="W6" s="208">
        <v>21</v>
      </c>
      <c r="X6" s="208">
        <v>22</v>
      </c>
      <c r="Y6" s="208">
        <v>23</v>
      </c>
      <c r="Z6" s="208">
        <v>24</v>
      </c>
      <c r="AA6" s="208">
        <v>25</v>
      </c>
      <c r="AB6" s="208">
        <v>26</v>
      </c>
      <c r="AC6" s="208">
        <v>27</v>
      </c>
      <c r="AD6" s="208">
        <v>28</v>
      </c>
      <c r="AE6" s="1927"/>
      <c r="AF6" s="208">
        <v>29</v>
      </c>
      <c r="AG6" s="208">
        <v>30</v>
      </c>
      <c r="AH6" s="208">
        <v>31</v>
      </c>
      <c r="AI6" s="208">
        <v>32</v>
      </c>
      <c r="AJ6" s="208">
        <v>33</v>
      </c>
      <c r="AK6" s="208">
        <v>34</v>
      </c>
      <c r="AL6" s="208">
        <v>35</v>
      </c>
      <c r="AM6" s="208">
        <v>36</v>
      </c>
      <c r="AN6" s="208">
        <v>37</v>
      </c>
      <c r="AO6" s="208">
        <v>38</v>
      </c>
      <c r="AP6" s="208">
        <v>39</v>
      </c>
      <c r="AQ6" s="208">
        <v>40</v>
      </c>
      <c r="AR6" s="208">
        <v>41</v>
      </c>
      <c r="AS6" s="208">
        <v>42</v>
      </c>
      <c r="AT6" s="1927"/>
      <c r="AU6" s="208">
        <v>43</v>
      </c>
      <c r="AV6" s="208">
        <v>44</v>
      </c>
      <c r="AW6" s="208">
        <v>45</v>
      </c>
      <c r="AX6" s="208">
        <v>46</v>
      </c>
      <c r="AY6" s="208">
        <v>47</v>
      </c>
      <c r="AZ6" s="208">
        <v>48</v>
      </c>
      <c r="BA6" s="208">
        <v>49</v>
      </c>
      <c r="BB6" s="208">
        <v>50</v>
      </c>
      <c r="BC6" s="208">
        <v>51</v>
      </c>
      <c r="BD6" s="208">
        <v>52</v>
      </c>
      <c r="BE6" s="208">
        <v>53</v>
      </c>
      <c r="BF6" s="208">
        <v>54</v>
      </c>
      <c r="BG6" s="208">
        <v>55</v>
      </c>
      <c r="BH6" s="208">
        <v>56</v>
      </c>
      <c r="BI6" s="1927"/>
      <c r="BJ6" s="208">
        <v>57</v>
      </c>
      <c r="BK6" s="208">
        <v>58</v>
      </c>
      <c r="BL6" s="208">
        <v>59</v>
      </c>
      <c r="BM6" s="208">
        <v>60</v>
      </c>
      <c r="BN6" s="208">
        <v>61</v>
      </c>
      <c r="BO6" s="208">
        <v>62</v>
      </c>
      <c r="BP6" s="208">
        <v>63</v>
      </c>
      <c r="BQ6" s="208">
        <v>64</v>
      </c>
      <c r="BR6" s="208">
        <v>65</v>
      </c>
      <c r="BS6" s="208">
        <v>66</v>
      </c>
      <c r="BT6" s="208">
        <v>67</v>
      </c>
      <c r="BU6" s="208">
        <v>68</v>
      </c>
      <c r="BV6" s="208">
        <v>69</v>
      </c>
      <c r="BW6" s="208">
        <v>70</v>
      </c>
    </row>
    <row r="7" spans="1:75" ht="11.85" customHeight="1">
      <c r="A7" s="444" t="s">
        <v>945</v>
      </c>
      <c r="B7" s="19">
        <v>30.07</v>
      </c>
      <c r="C7" s="19">
        <v>32.75</v>
      </c>
      <c r="D7" s="19">
        <v>57.43</v>
      </c>
      <c r="E7" s="19">
        <v>57.9</v>
      </c>
      <c r="F7" s="19">
        <v>152.16999999999999</v>
      </c>
      <c r="G7" s="19">
        <v>153.6</v>
      </c>
      <c r="H7" s="19">
        <v>36.619999999999997</v>
      </c>
      <c r="I7" s="19">
        <v>38.15</v>
      </c>
      <c r="J7" s="19">
        <v>6.94</v>
      </c>
      <c r="K7" s="19">
        <v>7</v>
      </c>
      <c r="L7" s="19">
        <v>6.91</v>
      </c>
      <c r="M7" s="19">
        <v>7.73</v>
      </c>
      <c r="N7" s="19">
        <v>51.43</v>
      </c>
      <c r="O7" s="19">
        <v>57.39</v>
      </c>
      <c r="P7" s="12" t="s">
        <v>945</v>
      </c>
      <c r="Q7" s="19">
        <v>7.36</v>
      </c>
      <c r="R7" s="19">
        <v>7.42</v>
      </c>
      <c r="S7" s="19">
        <v>1.19</v>
      </c>
      <c r="T7" s="19">
        <v>1.18</v>
      </c>
      <c r="U7" s="19">
        <v>0.01</v>
      </c>
      <c r="V7" s="19">
        <v>0.01</v>
      </c>
      <c r="W7" s="19">
        <v>0.03</v>
      </c>
      <c r="X7" s="19">
        <v>0.01</v>
      </c>
      <c r="Y7" s="19">
        <v>0.46</v>
      </c>
      <c r="Z7" s="19">
        <v>0.48</v>
      </c>
      <c r="AA7" s="19">
        <v>187.52</v>
      </c>
      <c r="AB7" s="19">
        <v>191.72</v>
      </c>
      <c r="AC7" s="19">
        <v>15.12</v>
      </c>
      <c r="AD7" s="19">
        <v>15.24</v>
      </c>
      <c r="AE7" s="444" t="s">
        <v>945</v>
      </c>
      <c r="AF7" s="19">
        <v>8.5399999999999991</v>
      </c>
      <c r="AG7" s="19">
        <v>8.99</v>
      </c>
      <c r="AH7" s="19">
        <v>0.75</v>
      </c>
      <c r="AI7" s="19">
        <v>0.74</v>
      </c>
      <c r="AJ7" s="19">
        <v>24.75</v>
      </c>
      <c r="AK7" s="19">
        <v>28.2</v>
      </c>
      <c r="AL7" s="19">
        <v>6.58</v>
      </c>
      <c r="AM7" s="19">
        <v>7.72</v>
      </c>
      <c r="AN7" s="19" t="s">
        <v>868</v>
      </c>
      <c r="AO7" s="19">
        <v>150.41</v>
      </c>
      <c r="AP7" s="19">
        <v>0.94</v>
      </c>
      <c r="AQ7" s="19">
        <v>0.97</v>
      </c>
      <c r="AR7" s="19">
        <v>1.1200000000000001</v>
      </c>
      <c r="AS7" s="19">
        <v>1.1499999999999999</v>
      </c>
      <c r="AT7" s="444" t="s">
        <v>945</v>
      </c>
      <c r="AU7" s="19">
        <v>15.78</v>
      </c>
      <c r="AV7" s="19">
        <v>15.91</v>
      </c>
      <c r="AW7" s="19">
        <v>1.89</v>
      </c>
      <c r="AX7" s="19">
        <v>1.84</v>
      </c>
      <c r="AY7" s="19">
        <v>15.32</v>
      </c>
      <c r="AZ7" s="19">
        <v>15.44</v>
      </c>
      <c r="BA7" s="19">
        <v>0.04</v>
      </c>
      <c r="BB7" s="19">
        <v>0.05</v>
      </c>
      <c r="BC7" s="19">
        <v>31.73</v>
      </c>
      <c r="BD7" s="19">
        <v>32.76</v>
      </c>
      <c r="BE7" s="19">
        <v>5.53</v>
      </c>
      <c r="BF7" s="19">
        <v>6.32</v>
      </c>
      <c r="BG7" s="19">
        <v>0.62</v>
      </c>
      <c r="BH7" s="19">
        <v>0.6</v>
      </c>
      <c r="BI7" s="12" t="s">
        <v>945</v>
      </c>
      <c r="BJ7" s="19">
        <v>34.770000000000003</v>
      </c>
      <c r="BK7" s="19">
        <v>39.090000000000003</v>
      </c>
      <c r="BL7" s="19">
        <v>1.1299999999999999</v>
      </c>
      <c r="BM7" s="19">
        <v>1.1200000000000001</v>
      </c>
      <c r="BN7" s="19">
        <v>72.75</v>
      </c>
      <c r="BO7" s="19">
        <v>77.040000000000006</v>
      </c>
      <c r="BP7" s="19">
        <v>1.31</v>
      </c>
      <c r="BQ7" s="19">
        <v>1.39</v>
      </c>
      <c r="BR7" s="19">
        <v>15.64</v>
      </c>
      <c r="BS7" s="19">
        <v>15.76</v>
      </c>
      <c r="BT7" s="19">
        <v>57.43</v>
      </c>
      <c r="BU7" s="19">
        <v>57</v>
      </c>
      <c r="BV7" s="19">
        <v>82.86</v>
      </c>
      <c r="BW7" s="19">
        <v>88.73</v>
      </c>
    </row>
    <row r="8" spans="1:75" ht="11.85" customHeight="1">
      <c r="A8" s="604" t="s">
        <v>946</v>
      </c>
      <c r="B8" s="551">
        <v>33.83</v>
      </c>
      <c r="C8" s="551">
        <v>38.630000000000003</v>
      </c>
      <c r="D8" s="551">
        <v>57.9</v>
      </c>
      <c r="E8" s="551">
        <v>57.9</v>
      </c>
      <c r="F8" s="551">
        <v>153.6</v>
      </c>
      <c r="G8" s="551">
        <v>153.6</v>
      </c>
      <c r="H8" s="551">
        <v>38.4</v>
      </c>
      <c r="I8" s="551">
        <v>43.01</v>
      </c>
      <c r="J8" s="551">
        <v>6.99</v>
      </c>
      <c r="K8" s="551">
        <v>6.99</v>
      </c>
      <c r="L8" s="551">
        <v>8.16</v>
      </c>
      <c r="M8" s="551">
        <v>8.91</v>
      </c>
      <c r="N8" s="551">
        <v>60.63</v>
      </c>
      <c r="O8" s="551">
        <v>66.209999999999994</v>
      </c>
      <c r="P8" s="526" t="s">
        <v>946</v>
      </c>
      <c r="Q8" s="551">
        <v>7.42</v>
      </c>
      <c r="R8" s="551">
        <v>7.42</v>
      </c>
      <c r="S8" s="551">
        <v>1.21</v>
      </c>
      <c r="T8" s="551">
        <v>1.25</v>
      </c>
      <c r="U8" s="551">
        <v>0.01</v>
      </c>
      <c r="V8" s="551">
        <v>0.01</v>
      </c>
      <c r="W8" s="551">
        <v>0.01</v>
      </c>
      <c r="X8" s="551">
        <v>0.01</v>
      </c>
      <c r="Y8" s="551">
        <v>0.48</v>
      </c>
      <c r="Z8" s="551">
        <v>0.48</v>
      </c>
      <c r="AA8" s="551">
        <v>192.62</v>
      </c>
      <c r="AB8" s="551">
        <v>193.26</v>
      </c>
      <c r="AC8" s="551">
        <v>15.24</v>
      </c>
      <c r="AD8" s="551">
        <v>15.24</v>
      </c>
      <c r="AE8" s="604" t="s">
        <v>946</v>
      </c>
      <c r="AF8" s="551">
        <v>9.2100000000000009</v>
      </c>
      <c r="AG8" s="551">
        <v>9.5399999999999991</v>
      </c>
      <c r="AH8" s="551">
        <v>0.74</v>
      </c>
      <c r="AI8" s="551">
        <v>0.76</v>
      </c>
      <c r="AJ8" s="551">
        <v>30.16</v>
      </c>
      <c r="AK8" s="551">
        <v>33.69</v>
      </c>
      <c r="AL8" s="551">
        <v>8</v>
      </c>
      <c r="AM8" s="551">
        <v>7.98</v>
      </c>
      <c r="AN8" s="551">
        <v>150.4</v>
      </c>
      <c r="AO8" s="551">
        <v>150.41</v>
      </c>
      <c r="AP8" s="551">
        <v>0.99</v>
      </c>
      <c r="AQ8" s="551">
        <v>1</v>
      </c>
      <c r="AR8" s="551">
        <v>1.0900000000000001</v>
      </c>
      <c r="AS8" s="551">
        <v>1.08</v>
      </c>
      <c r="AT8" s="604" t="s">
        <v>946</v>
      </c>
      <c r="AU8" s="551">
        <v>15.91</v>
      </c>
      <c r="AV8" s="551">
        <v>15.91</v>
      </c>
      <c r="AW8" s="551">
        <v>1.84</v>
      </c>
      <c r="AX8" s="551">
        <v>1.91</v>
      </c>
      <c r="AY8" s="551">
        <v>15.44</v>
      </c>
      <c r="AZ8" s="551">
        <v>15.44</v>
      </c>
      <c r="BA8" s="551">
        <v>0.05</v>
      </c>
      <c r="BB8" s="551">
        <v>0.05</v>
      </c>
      <c r="BC8" s="551">
        <v>33.01</v>
      </c>
      <c r="BD8" s="551">
        <v>32.96</v>
      </c>
      <c r="BE8" s="551">
        <v>6.63</v>
      </c>
      <c r="BF8" s="551">
        <v>7.21</v>
      </c>
      <c r="BG8" s="551">
        <v>0.6</v>
      </c>
      <c r="BH8" s="551">
        <v>0.6</v>
      </c>
      <c r="BI8" s="526" t="s">
        <v>946</v>
      </c>
      <c r="BJ8" s="551">
        <v>41.01</v>
      </c>
      <c r="BK8" s="551">
        <v>42.9</v>
      </c>
      <c r="BL8" s="551">
        <v>1.19</v>
      </c>
      <c r="BM8" s="551">
        <v>1.26</v>
      </c>
      <c r="BN8" s="551">
        <v>78.41</v>
      </c>
      <c r="BO8" s="551">
        <v>81.16</v>
      </c>
      <c r="BP8" s="551">
        <v>1.36</v>
      </c>
      <c r="BQ8" s="551">
        <v>1.38</v>
      </c>
      <c r="BR8" s="551">
        <v>15.77</v>
      </c>
      <c r="BS8" s="551">
        <v>15.76</v>
      </c>
      <c r="BT8" s="551">
        <v>57.9</v>
      </c>
      <c r="BU8" s="551">
        <v>57.9</v>
      </c>
      <c r="BV8" s="551">
        <v>91.75</v>
      </c>
      <c r="BW8" s="551">
        <v>95.49</v>
      </c>
    </row>
    <row r="9" spans="1:75" ht="11.85" customHeight="1">
      <c r="A9" s="444" t="s">
        <v>947</v>
      </c>
      <c r="B9" s="19">
        <v>42.18</v>
      </c>
      <c r="C9" s="19">
        <v>41.73</v>
      </c>
      <c r="D9" s="19">
        <v>58.98</v>
      </c>
      <c r="E9" s="19">
        <v>60.43</v>
      </c>
      <c r="F9" s="19">
        <v>156.35</v>
      </c>
      <c r="G9" s="19">
        <v>160.30000000000001</v>
      </c>
      <c r="H9" s="19">
        <v>43.93</v>
      </c>
      <c r="I9" s="19">
        <v>44.93</v>
      </c>
      <c r="J9" s="19">
        <v>7.12</v>
      </c>
      <c r="K9" s="19">
        <v>7.3</v>
      </c>
      <c r="L9" s="19">
        <v>9.48</v>
      </c>
      <c r="M9" s="19">
        <v>9.83</v>
      </c>
      <c r="N9" s="19">
        <v>70.459999999999994</v>
      </c>
      <c r="O9" s="19">
        <v>73.03</v>
      </c>
      <c r="P9" s="12" t="s">
        <v>947</v>
      </c>
      <c r="Q9" s="19">
        <v>7.58</v>
      </c>
      <c r="R9" s="19">
        <v>7.75</v>
      </c>
      <c r="S9" s="19">
        <v>1.3</v>
      </c>
      <c r="T9" s="19">
        <v>1.31</v>
      </c>
      <c r="U9" s="19">
        <v>0.01</v>
      </c>
      <c r="V9" s="19">
        <v>0.01</v>
      </c>
      <c r="W9" s="19">
        <v>0.01</v>
      </c>
      <c r="X9" s="19">
        <v>0.01</v>
      </c>
      <c r="Y9" s="19">
        <v>0.53</v>
      </c>
      <c r="Z9" s="19">
        <v>0.56000000000000005</v>
      </c>
      <c r="AA9" s="19">
        <v>199.4</v>
      </c>
      <c r="AB9" s="19">
        <v>204.97</v>
      </c>
      <c r="AC9" s="19">
        <v>15.51</v>
      </c>
      <c r="AD9" s="19">
        <v>15.9</v>
      </c>
      <c r="AE9" s="444" t="s">
        <v>947</v>
      </c>
      <c r="AF9" s="19">
        <v>10.029999999999999</v>
      </c>
      <c r="AG9" s="19">
        <v>10.44</v>
      </c>
      <c r="AH9" s="19">
        <v>0.8</v>
      </c>
      <c r="AI9" s="19">
        <v>0.81</v>
      </c>
      <c r="AJ9" s="19">
        <v>37.08</v>
      </c>
      <c r="AK9" s="19">
        <v>38.18</v>
      </c>
      <c r="AL9" s="19">
        <v>8.4499999999999993</v>
      </c>
      <c r="AM9" s="19">
        <v>8.74</v>
      </c>
      <c r="AN9" s="19">
        <v>153.19999999999999</v>
      </c>
      <c r="AO9" s="19">
        <v>156.97</v>
      </c>
      <c r="AP9" s="19">
        <v>1.02</v>
      </c>
      <c r="AQ9" s="19">
        <v>1.04</v>
      </c>
      <c r="AR9" s="19">
        <v>1.06</v>
      </c>
      <c r="AS9" s="19">
        <v>1.08</v>
      </c>
      <c r="AT9" s="444" t="s">
        <v>947</v>
      </c>
      <c r="AU9" s="19">
        <v>16.149999999999999</v>
      </c>
      <c r="AV9" s="19">
        <v>16.600000000000001</v>
      </c>
      <c r="AW9" s="19">
        <v>2</v>
      </c>
      <c r="AX9" s="19">
        <v>2.08</v>
      </c>
      <c r="AY9" s="19">
        <v>15.71</v>
      </c>
      <c r="AZ9" s="19">
        <v>16.11</v>
      </c>
      <c r="BA9" s="19">
        <v>0.05</v>
      </c>
      <c r="BB9" s="19">
        <v>0.05</v>
      </c>
      <c r="BC9" s="19">
        <v>34.35</v>
      </c>
      <c r="BD9" s="19">
        <v>35.200000000000003</v>
      </c>
      <c r="BE9" s="19">
        <v>7.72</v>
      </c>
      <c r="BF9" s="19">
        <v>8.01</v>
      </c>
      <c r="BG9" s="19">
        <v>0.6</v>
      </c>
      <c r="BH9" s="19">
        <v>0.59</v>
      </c>
      <c r="BI9" s="12" t="s">
        <v>947</v>
      </c>
      <c r="BJ9" s="19">
        <v>45.44</v>
      </c>
      <c r="BK9" s="19">
        <v>47.74</v>
      </c>
      <c r="BL9" s="19">
        <v>1.21</v>
      </c>
      <c r="BM9" s="19">
        <v>1.24</v>
      </c>
      <c r="BN9" s="19">
        <v>85.32</v>
      </c>
      <c r="BO9" s="19">
        <v>88.68</v>
      </c>
      <c r="BP9" s="19">
        <v>1.21</v>
      </c>
      <c r="BQ9" s="19">
        <v>1.48</v>
      </c>
      <c r="BR9" s="19">
        <v>16.059999999999999</v>
      </c>
      <c r="BS9" s="19">
        <v>16.45</v>
      </c>
      <c r="BT9" s="19">
        <v>58.94</v>
      </c>
      <c r="BU9" s="19">
        <v>60.43</v>
      </c>
      <c r="BV9" s="19">
        <v>108.07</v>
      </c>
      <c r="BW9" s="19">
        <v>109.21</v>
      </c>
    </row>
    <row r="10" spans="1:75" ht="11.85" customHeight="1">
      <c r="A10" s="604" t="s">
        <v>948</v>
      </c>
      <c r="B10" s="551">
        <v>46.28</v>
      </c>
      <c r="C10" s="551">
        <v>48.54</v>
      </c>
      <c r="D10" s="551">
        <v>61.39</v>
      </c>
      <c r="E10" s="551">
        <v>63.75</v>
      </c>
      <c r="F10" s="551">
        <v>162.9</v>
      </c>
      <c r="G10" s="551">
        <v>169.1</v>
      </c>
      <c r="H10" s="551">
        <v>49.19</v>
      </c>
      <c r="I10" s="551">
        <v>51.89</v>
      </c>
      <c r="J10" s="551">
        <v>7.42</v>
      </c>
      <c r="K10" s="551">
        <v>7.7</v>
      </c>
      <c r="L10" s="551">
        <v>10.5</v>
      </c>
      <c r="M10" s="551">
        <v>10.32</v>
      </c>
      <c r="N10" s="551">
        <v>78.16</v>
      </c>
      <c r="O10" s="551">
        <v>76.900000000000006</v>
      </c>
      <c r="P10" s="526" t="s">
        <v>948</v>
      </c>
      <c r="Q10" s="551">
        <v>7.88</v>
      </c>
      <c r="R10" s="551">
        <v>8.1999999999999993</v>
      </c>
      <c r="S10" s="551">
        <v>1.38</v>
      </c>
      <c r="T10" s="551">
        <v>1.46</v>
      </c>
      <c r="U10" s="551">
        <v>0.01</v>
      </c>
      <c r="V10" s="551">
        <v>0.01</v>
      </c>
      <c r="W10" s="551">
        <v>0.01</v>
      </c>
      <c r="X10" s="551">
        <v>0.01</v>
      </c>
      <c r="Y10" s="551">
        <v>0.56999999999999995</v>
      </c>
      <c r="Z10" s="551">
        <v>0.57999999999999996</v>
      </c>
      <c r="AA10" s="551">
        <v>209.31</v>
      </c>
      <c r="AB10" s="551">
        <v>218.34</v>
      </c>
      <c r="AC10" s="551">
        <v>16.16</v>
      </c>
      <c r="AD10" s="551">
        <v>16.760000000000002</v>
      </c>
      <c r="AE10" s="604" t="s">
        <v>948</v>
      </c>
      <c r="AF10" s="551">
        <v>12.98</v>
      </c>
      <c r="AG10" s="551">
        <v>15.04</v>
      </c>
      <c r="AH10" s="551">
        <v>0.85</v>
      </c>
      <c r="AI10" s="551">
        <v>0.9</v>
      </c>
      <c r="AJ10" s="551">
        <v>42.77</v>
      </c>
      <c r="AK10" s="551">
        <v>44.58</v>
      </c>
      <c r="AL10" s="551">
        <v>9.5399999999999991</v>
      </c>
      <c r="AM10" s="551">
        <v>9.7200000000000006</v>
      </c>
      <c r="AN10" s="551">
        <v>158.99</v>
      </c>
      <c r="AO10" s="551">
        <v>165.59</v>
      </c>
      <c r="AP10" s="551">
        <v>1.03</v>
      </c>
      <c r="AQ10" s="551">
        <v>1.07</v>
      </c>
      <c r="AR10" s="551">
        <v>1.1100000000000001</v>
      </c>
      <c r="AS10" s="551">
        <v>1.1399999999999999</v>
      </c>
      <c r="AT10" s="604" t="s">
        <v>948</v>
      </c>
      <c r="AU10" s="551">
        <v>16.87</v>
      </c>
      <c r="AV10" s="551">
        <v>17.510000000000002</v>
      </c>
      <c r="AW10" s="551">
        <v>2.16</v>
      </c>
      <c r="AX10" s="551">
        <v>2.2200000000000002</v>
      </c>
      <c r="AY10" s="551">
        <v>16.37</v>
      </c>
      <c r="AZ10" s="551">
        <v>17</v>
      </c>
      <c r="BA10" s="551">
        <v>0.06</v>
      </c>
      <c r="BB10" s="551">
        <v>0.06</v>
      </c>
      <c r="BC10" s="551">
        <v>36.96</v>
      </c>
      <c r="BD10" s="551">
        <v>37.82</v>
      </c>
      <c r="BE10" s="551">
        <v>8.57</v>
      </c>
      <c r="BF10" s="551">
        <v>8.15</v>
      </c>
      <c r="BG10" s="551">
        <v>0.6</v>
      </c>
      <c r="BH10" s="551">
        <v>0.64</v>
      </c>
      <c r="BI10" s="526" t="s">
        <v>948</v>
      </c>
      <c r="BJ10" s="551">
        <v>50.7</v>
      </c>
      <c r="BK10" s="551">
        <v>49.68</v>
      </c>
      <c r="BL10" s="551">
        <v>1.2</v>
      </c>
      <c r="BM10" s="551">
        <v>1.22</v>
      </c>
      <c r="BN10" s="551">
        <v>91.99</v>
      </c>
      <c r="BO10" s="551">
        <v>93.02</v>
      </c>
      <c r="BP10" s="551">
        <v>1.53</v>
      </c>
      <c r="BQ10" s="551">
        <v>1.54</v>
      </c>
      <c r="BR10" s="551">
        <v>16.72</v>
      </c>
      <c r="BS10" s="551">
        <v>17.36</v>
      </c>
      <c r="BT10" s="551">
        <v>61.39</v>
      </c>
      <c r="BU10" s="551">
        <v>63</v>
      </c>
      <c r="BV10" s="551">
        <v>114.11</v>
      </c>
      <c r="BW10" s="551">
        <v>115.74</v>
      </c>
    </row>
    <row r="11" spans="1:75" ht="11.85" customHeight="1">
      <c r="A11" s="444" t="s">
        <v>953</v>
      </c>
      <c r="B11" s="19">
        <v>50.17</v>
      </c>
      <c r="C11" s="19">
        <v>50.81</v>
      </c>
      <c r="D11" s="19">
        <v>67.08</v>
      </c>
      <c r="E11" s="19">
        <v>69.67</v>
      </c>
      <c r="F11" s="19">
        <v>177.96</v>
      </c>
      <c r="G11" s="19">
        <v>184.9</v>
      </c>
      <c r="H11" s="19">
        <v>57.72</v>
      </c>
      <c r="I11" s="19">
        <v>62.07</v>
      </c>
      <c r="J11" s="19">
        <v>8.31</v>
      </c>
      <c r="K11" s="19">
        <v>8.7100000000000009</v>
      </c>
      <c r="L11" s="19">
        <v>10.96</v>
      </c>
      <c r="M11" s="19">
        <v>11.73</v>
      </c>
      <c r="N11" s="19">
        <v>81.739999999999995</v>
      </c>
      <c r="O11" s="19">
        <v>87.49</v>
      </c>
      <c r="P11" s="12" t="s">
        <v>953</v>
      </c>
      <c r="Q11" s="19">
        <v>8.65</v>
      </c>
      <c r="R11" s="19">
        <v>8.9700000000000006</v>
      </c>
      <c r="S11" s="19">
        <v>1.5</v>
      </c>
      <c r="T11" s="19">
        <v>1.51</v>
      </c>
      <c r="U11" s="19">
        <v>0.01</v>
      </c>
      <c r="V11" s="19">
        <v>0.01</v>
      </c>
      <c r="W11" s="19">
        <v>0.01</v>
      </c>
      <c r="X11" s="19">
        <v>0.01</v>
      </c>
      <c r="Y11" s="19">
        <v>0.59</v>
      </c>
      <c r="Z11" s="19">
        <v>0.6</v>
      </c>
      <c r="AA11" s="19">
        <v>230.07</v>
      </c>
      <c r="AB11" s="19">
        <v>240.95</v>
      </c>
      <c r="AC11" s="19">
        <v>18</v>
      </c>
      <c r="AD11" s="19">
        <v>18.899999999999999</v>
      </c>
      <c r="AE11" s="444" t="s">
        <v>953</v>
      </c>
      <c r="AF11" s="19">
        <v>15.66</v>
      </c>
      <c r="AG11" s="19">
        <v>15.95</v>
      </c>
      <c r="AH11" s="19">
        <v>0.93</v>
      </c>
      <c r="AI11" s="19">
        <v>0.94</v>
      </c>
      <c r="AJ11" s="19">
        <v>44.82</v>
      </c>
      <c r="AK11" s="19">
        <v>41.58</v>
      </c>
      <c r="AL11" s="19">
        <v>10.34</v>
      </c>
      <c r="AM11" s="19">
        <v>11.08</v>
      </c>
      <c r="AN11" s="19">
        <v>174.24</v>
      </c>
      <c r="AO11" s="19">
        <v>180.94</v>
      </c>
      <c r="AP11" s="19">
        <v>1.1200000000000001</v>
      </c>
      <c r="AQ11" s="19">
        <v>1.1599999999999999</v>
      </c>
      <c r="AR11" s="19">
        <v>1.25</v>
      </c>
      <c r="AS11" s="19">
        <v>1.3</v>
      </c>
      <c r="AT11" s="444" t="s">
        <v>953</v>
      </c>
      <c r="AU11" s="19">
        <v>18.43</v>
      </c>
      <c r="AV11" s="19">
        <v>19.14</v>
      </c>
      <c r="AW11" s="19">
        <v>2.38</v>
      </c>
      <c r="AX11" s="19">
        <v>2.57</v>
      </c>
      <c r="AY11" s="19">
        <v>17.89</v>
      </c>
      <c r="AZ11" s="19">
        <v>18.579999999999998</v>
      </c>
      <c r="BA11" s="19">
        <v>7.0000000000000007E-2</v>
      </c>
      <c r="BB11" s="19">
        <v>7.0000000000000007E-2</v>
      </c>
      <c r="BC11" s="19">
        <v>40.840000000000003</v>
      </c>
      <c r="BD11" s="19">
        <v>43.57</v>
      </c>
      <c r="BE11" s="19">
        <v>8.7200000000000006</v>
      </c>
      <c r="BF11" s="19">
        <v>9.48</v>
      </c>
      <c r="BG11" s="19">
        <v>0.66</v>
      </c>
      <c r="BH11" s="19">
        <v>0.67</v>
      </c>
      <c r="BI11" s="12" t="s">
        <v>953</v>
      </c>
      <c r="BJ11" s="19">
        <v>52.54</v>
      </c>
      <c r="BK11" s="19">
        <v>55.92</v>
      </c>
      <c r="BL11" s="19">
        <v>1.29</v>
      </c>
      <c r="BM11" s="19">
        <v>1.33</v>
      </c>
      <c r="BN11" s="19">
        <v>97.78</v>
      </c>
      <c r="BO11" s="19">
        <v>102.41</v>
      </c>
      <c r="BP11" s="19">
        <v>1.68</v>
      </c>
      <c r="BQ11" s="19">
        <v>1.81</v>
      </c>
      <c r="BR11" s="19">
        <v>18.27</v>
      </c>
      <c r="BS11" s="19">
        <v>18.97</v>
      </c>
      <c r="BT11" s="19">
        <v>67.08</v>
      </c>
      <c r="BU11" s="19">
        <v>69.67</v>
      </c>
      <c r="BV11" s="19">
        <v>119.41</v>
      </c>
      <c r="BW11" s="19">
        <v>126.71</v>
      </c>
    </row>
    <row r="12" spans="1:75" ht="11.85" customHeight="1">
      <c r="A12" s="604" t="s">
        <v>962</v>
      </c>
      <c r="B12" s="551">
        <v>54.28</v>
      </c>
      <c r="C12" s="511">
        <v>58.35</v>
      </c>
      <c r="D12" s="551">
        <v>69.03</v>
      </c>
      <c r="E12" s="511">
        <v>68.8</v>
      </c>
      <c r="F12" s="551">
        <v>182.61</v>
      </c>
      <c r="G12" s="511">
        <v>181.82</v>
      </c>
      <c r="H12" s="551">
        <v>61.01</v>
      </c>
      <c r="I12" s="511">
        <v>64.59</v>
      </c>
      <c r="J12" s="551">
        <v>8.83</v>
      </c>
      <c r="K12" s="551">
        <v>9.0299999999999994</v>
      </c>
      <c r="L12" s="551">
        <v>12.09</v>
      </c>
      <c r="M12" s="551">
        <v>12.51</v>
      </c>
      <c r="N12" s="551">
        <v>90.17</v>
      </c>
      <c r="O12" s="551">
        <v>93.11</v>
      </c>
      <c r="P12" s="526" t="s">
        <v>962</v>
      </c>
      <c r="Q12" s="551">
        <v>8.86</v>
      </c>
      <c r="R12" s="551">
        <v>8.8000000000000007</v>
      </c>
      <c r="S12" s="551">
        <v>1.57</v>
      </c>
      <c r="T12" s="551">
        <v>1.7</v>
      </c>
      <c r="U12" s="551">
        <v>0.01</v>
      </c>
      <c r="V12" s="551">
        <v>0.01</v>
      </c>
      <c r="W12" s="551">
        <v>0.01</v>
      </c>
      <c r="X12" s="551">
        <v>0.01</v>
      </c>
      <c r="Y12" s="551">
        <v>0.57999999999999996</v>
      </c>
      <c r="Z12" s="551">
        <v>0.56000000000000005</v>
      </c>
      <c r="AA12" s="551">
        <v>238.76</v>
      </c>
      <c r="AB12" s="551">
        <v>237.98</v>
      </c>
      <c r="AC12" s="551">
        <v>19.43</v>
      </c>
      <c r="AD12" s="551">
        <v>19.93</v>
      </c>
      <c r="AE12" s="604" t="s">
        <v>962</v>
      </c>
      <c r="AF12" s="551">
        <v>12.2</v>
      </c>
      <c r="AG12" s="551">
        <v>10.72</v>
      </c>
      <c r="AH12" s="551">
        <v>0.98</v>
      </c>
      <c r="AI12" s="551">
        <v>1.05</v>
      </c>
      <c r="AJ12" s="551">
        <v>47.4</v>
      </c>
      <c r="AK12" s="551">
        <v>53.08</v>
      </c>
      <c r="AL12" s="551">
        <v>11.07</v>
      </c>
      <c r="AM12" s="551">
        <v>11.66</v>
      </c>
      <c r="AN12" s="551">
        <v>179.29</v>
      </c>
      <c r="AO12" s="551">
        <v>178.7</v>
      </c>
      <c r="AP12" s="551">
        <v>1.1399999999999999</v>
      </c>
      <c r="AQ12" s="551">
        <v>1.1399999999999999</v>
      </c>
      <c r="AR12" s="551">
        <v>1.41</v>
      </c>
      <c r="AS12" s="551">
        <v>1.49</v>
      </c>
      <c r="AT12" s="604" t="s">
        <v>962</v>
      </c>
      <c r="AU12" s="551">
        <v>18.96</v>
      </c>
      <c r="AV12" s="551">
        <v>18.899999999999999</v>
      </c>
      <c r="AW12" s="551">
        <v>2.62</v>
      </c>
      <c r="AX12" s="551">
        <v>2.68</v>
      </c>
      <c r="AY12" s="551">
        <v>18.41</v>
      </c>
      <c r="AZ12" s="551">
        <v>18.34</v>
      </c>
      <c r="BA12" s="551">
        <v>7.0000000000000007E-2</v>
      </c>
      <c r="BB12" s="551">
        <v>7.0000000000000007E-2</v>
      </c>
      <c r="BC12" s="551">
        <v>44.59</v>
      </c>
      <c r="BD12" s="551">
        <v>44.93</v>
      </c>
      <c r="BE12" s="551">
        <v>9.8000000000000007</v>
      </c>
      <c r="BF12" s="551">
        <v>10.08</v>
      </c>
      <c r="BG12" s="551">
        <v>0.64</v>
      </c>
      <c r="BH12" s="551">
        <v>0.62</v>
      </c>
      <c r="BI12" s="526" t="s">
        <v>962</v>
      </c>
      <c r="BJ12" s="551">
        <v>56.06</v>
      </c>
      <c r="BK12" s="551">
        <v>56.28</v>
      </c>
      <c r="BL12" s="551">
        <v>1.32</v>
      </c>
      <c r="BM12" s="551">
        <v>1.31</v>
      </c>
      <c r="BN12" s="551">
        <v>103.35</v>
      </c>
      <c r="BO12" s="551">
        <v>104.27</v>
      </c>
      <c r="BP12" s="551">
        <v>1.97</v>
      </c>
      <c r="BQ12" s="551">
        <v>2.17</v>
      </c>
      <c r="BR12" s="551">
        <v>18.84</v>
      </c>
      <c r="BS12" s="551">
        <v>18.899999999999999</v>
      </c>
      <c r="BT12" s="551">
        <v>69.03</v>
      </c>
      <c r="BU12" s="551">
        <v>68.8</v>
      </c>
      <c r="BV12" s="551">
        <v>133.44</v>
      </c>
      <c r="BW12" s="551">
        <v>138.15</v>
      </c>
    </row>
    <row r="13" spans="1:75" ht="11.85" customHeight="1">
      <c r="A13" s="444" t="s">
        <v>675</v>
      </c>
      <c r="B13" s="20">
        <v>61.53</v>
      </c>
      <c r="C13" s="20">
        <v>65.78</v>
      </c>
      <c r="D13" s="20">
        <v>68.599999999999994</v>
      </c>
      <c r="E13" s="20">
        <v>68.52</v>
      </c>
      <c r="F13" s="20">
        <v>183.95</v>
      </c>
      <c r="G13" s="20">
        <v>181.81</v>
      </c>
      <c r="H13" s="20">
        <v>67.819999999999993</v>
      </c>
      <c r="I13" s="20">
        <v>67.78</v>
      </c>
      <c r="J13" s="20">
        <v>9.44</v>
      </c>
      <c r="K13" s="20">
        <v>9.99</v>
      </c>
      <c r="L13" s="20">
        <v>13.54</v>
      </c>
      <c r="M13" s="20">
        <v>14.5</v>
      </c>
      <c r="N13" s="20">
        <v>100.96</v>
      </c>
      <c r="O13" s="20">
        <v>108.18</v>
      </c>
      <c r="P13" s="12" t="s">
        <v>675</v>
      </c>
      <c r="Q13" s="20">
        <v>8.8000000000000007</v>
      </c>
      <c r="R13" s="20">
        <v>8.7799999999999994</v>
      </c>
      <c r="S13" s="20">
        <v>1.71</v>
      </c>
      <c r="T13" s="20">
        <v>1.6</v>
      </c>
      <c r="U13" s="20">
        <v>0.01</v>
      </c>
      <c r="V13" s="20">
        <v>0.01</v>
      </c>
      <c r="W13" s="20">
        <v>0.01</v>
      </c>
      <c r="X13" s="20">
        <v>0.01</v>
      </c>
      <c r="Y13" s="20">
        <v>0.62</v>
      </c>
      <c r="Z13" s="20">
        <v>0.65</v>
      </c>
      <c r="AA13" s="20">
        <v>245.83</v>
      </c>
      <c r="AB13" s="20">
        <v>257.67</v>
      </c>
      <c r="AC13" s="20">
        <v>20.72</v>
      </c>
      <c r="AD13" s="20">
        <v>20.98</v>
      </c>
      <c r="AE13" s="444" t="s">
        <v>675</v>
      </c>
      <c r="AF13" s="20">
        <v>10.69</v>
      </c>
      <c r="AG13" s="20">
        <v>10.67</v>
      </c>
      <c r="AH13" s="20">
        <v>1.06</v>
      </c>
      <c r="AI13" s="20">
        <v>1</v>
      </c>
      <c r="AJ13" s="20">
        <v>52.75</v>
      </c>
      <c r="AK13" s="20">
        <v>52.1</v>
      </c>
      <c r="AL13" s="20">
        <v>12.74</v>
      </c>
      <c r="AM13" s="20">
        <v>13.53</v>
      </c>
      <c r="AN13" s="419">
        <v>178.24</v>
      </c>
      <c r="AO13" s="419">
        <v>177.94</v>
      </c>
      <c r="AP13" s="419">
        <v>1.1000000000000001</v>
      </c>
      <c r="AQ13" s="419">
        <v>1</v>
      </c>
      <c r="AR13" s="419">
        <v>1.6</v>
      </c>
      <c r="AS13" s="419">
        <v>1.53</v>
      </c>
      <c r="AT13" s="444" t="s">
        <v>675</v>
      </c>
      <c r="AU13" s="419">
        <v>18.850000000000001</v>
      </c>
      <c r="AV13" s="419">
        <v>18.84</v>
      </c>
      <c r="AW13" s="419">
        <v>2.8</v>
      </c>
      <c r="AX13" s="419">
        <v>2.93</v>
      </c>
      <c r="AY13" s="419">
        <v>18.32</v>
      </c>
      <c r="AZ13" s="419">
        <v>18.27</v>
      </c>
      <c r="BA13" s="419">
        <v>7.0000000000000007E-2</v>
      </c>
      <c r="BB13" s="419">
        <v>7.0000000000000007E-2</v>
      </c>
      <c r="BC13" s="419">
        <v>47.84</v>
      </c>
      <c r="BD13" s="419">
        <v>50.26</v>
      </c>
      <c r="BE13" s="419">
        <v>10.82</v>
      </c>
      <c r="BF13" s="419">
        <v>11.46</v>
      </c>
      <c r="BG13" s="20">
        <v>0.63</v>
      </c>
      <c r="BH13" s="20">
        <v>0.64</v>
      </c>
      <c r="BI13" s="444" t="s">
        <v>675</v>
      </c>
      <c r="BJ13" s="20">
        <v>62</v>
      </c>
      <c r="BK13" s="21">
        <v>67.290000000000006</v>
      </c>
      <c r="BL13" s="20">
        <v>1.34</v>
      </c>
      <c r="BM13" s="20">
        <v>1.34</v>
      </c>
      <c r="BN13" s="20">
        <v>108.64</v>
      </c>
      <c r="BO13" s="20">
        <v>111.68</v>
      </c>
      <c r="BP13" s="20">
        <v>2.1800000000000002</v>
      </c>
      <c r="BQ13" s="20">
        <v>2.04</v>
      </c>
      <c r="BR13" s="20">
        <v>18.68</v>
      </c>
      <c r="BS13" s="20">
        <v>18.66</v>
      </c>
      <c r="BT13" s="20">
        <v>68.599999999999994</v>
      </c>
      <c r="BU13" s="20">
        <v>68.52</v>
      </c>
      <c r="BV13" s="20">
        <v>137.47999999999999</v>
      </c>
      <c r="BW13" s="20">
        <v>136.66</v>
      </c>
    </row>
    <row r="14" spans="1:75" ht="11.85" customHeight="1">
      <c r="A14" s="604" t="s">
        <v>141</v>
      </c>
      <c r="B14" s="551">
        <v>51.44</v>
      </c>
      <c r="C14" s="551">
        <v>55.81</v>
      </c>
      <c r="D14" s="551">
        <v>68.803333333333327</v>
      </c>
      <c r="E14" s="551">
        <v>69.06</v>
      </c>
      <c r="F14" s="551">
        <v>182.53</v>
      </c>
      <c r="G14" s="551">
        <v>183.21</v>
      </c>
      <c r="H14" s="551">
        <v>59.38</v>
      </c>
      <c r="I14" s="551">
        <v>59.71</v>
      </c>
      <c r="J14" s="551">
        <v>10.065</v>
      </c>
      <c r="K14" s="551">
        <v>10.11</v>
      </c>
      <c r="L14" s="551">
        <v>12.68</v>
      </c>
      <c r="M14" s="551">
        <v>13.06</v>
      </c>
      <c r="N14" s="551">
        <v>94.52</v>
      </c>
      <c r="O14" s="551">
        <v>97.26</v>
      </c>
      <c r="P14" s="526" t="s">
        <v>141</v>
      </c>
      <c r="Q14" s="551">
        <v>8.8633333333333315</v>
      </c>
      <c r="R14" s="551">
        <v>8.91</v>
      </c>
      <c r="S14" s="551">
        <v>1.4483333333333335</v>
      </c>
      <c r="T14" s="551">
        <v>1.44</v>
      </c>
      <c r="U14" s="551">
        <v>9.9999999999999985E-3</v>
      </c>
      <c r="V14" s="551">
        <v>0.01</v>
      </c>
      <c r="W14" s="551">
        <v>9.9999999999999985E-3</v>
      </c>
      <c r="X14" s="551">
        <v>0.01</v>
      </c>
      <c r="Y14" s="551">
        <v>0.69916666666666671</v>
      </c>
      <c r="Z14" s="551">
        <v>0.72</v>
      </c>
      <c r="AA14" s="551">
        <v>254.38416666666663</v>
      </c>
      <c r="AB14" s="551">
        <v>238.3</v>
      </c>
      <c r="AC14" s="551">
        <v>19.582499999999996</v>
      </c>
      <c r="AD14" s="551">
        <v>19.600000000000001</v>
      </c>
      <c r="AE14" s="604" t="s">
        <v>141</v>
      </c>
      <c r="AF14" s="551">
        <v>10.715833333333334</v>
      </c>
      <c r="AG14" s="551">
        <v>10.76</v>
      </c>
      <c r="AH14" s="551">
        <v>0.9</v>
      </c>
      <c r="AI14" s="551">
        <v>0.89</v>
      </c>
      <c r="AJ14" s="551">
        <v>41.83</v>
      </c>
      <c r="AK14" s="551">
        <v>44.93</v>
      </c>
      <c r="AL14" s="551">
        <v>10.91</v>
      </c>
      <c r="AM14" s="551">
        <v>10.62</v>
      </c>
      <c r="AN14" s="510">
        <v>178.72833333333332</v>
      </c>
      <c r="AO14" s="510">
        <v>179.35</v>
      </c>
      <c r="AP14" s="510">
        <v>0.8783333333333333</v>
      </c>
      <c r="AQ14" s="510">
        <v>0.85</v>
      </c>
      <c r="AR14" s="510">
        <v>1.4591666666666665</v>
      </c>
      <c r="AS14" s="510">
        <v>1.43</v>
      </c>
      <c r="AT14" s="604" t="s">
        <v>141</v>
      </c>
      <c r="AU14" s="510">
        <v>18.907499999999999</v>
      </c>
      <c r="AV14" s="510">
        <v>18.98</v>
      </c>
      <c r="AW14" s="510">
        <v>2.39</v>
      </c>
      <c r="AX14" s="510">
        <v>2.2200000000000002</v>
      </c>
      <c r="AY14" s="510">
        <v>18.336666666666666</v>
      </c>
      <c r="AZ14" s="510">
        <v>18.41</v>
      </c>
      <c r="BA14" s="510">
        <v>0.06</v>
      </c>
      <c r="BB14" s="510">
        <v>0.05</v>
      </c>
      <c r="BC14" s="510">
        <v>46.96</v>
      </c>
      <c r="BD14" s="510">
        <v>47.59</v>
      </c>
      <c r="BE14" s="510">
        <v>9.19</v>
      </c>
      <c r="BF14" s="510">
        <v>9.0299999999999994</v>
      </c>
      <c r="BG14" s="551">
        <v>0.61666666666666659</v>
      </c>
      <c r="BH14" s="551">
        <v>0.6</v>
      </c>
      <c r="BI14" s="604" t="s">
        <v>141</v>
      </c>
      <c r="BJ14" s="551">
        <v>61.44</v>
      </c>
      <c r="BK14" s="511">
        <v>63.78</v>
      </c>
      <c r="BL14" s="551">
        <v>1.4400000000000002</v>
      </c>
      <c r="BM14" s="551">
        <v>1.5</v>
      </c>
      <c r="BN14" s="551">
        <v>105.15</v>
      </c>
      <c r="BO14" s="551">
        <v>107.07</v>
      </c>
      <c r="BP14" s="551">
        <v>1.9883333333333333</v>
      </c>
      <c r="BQ14" s="551">
        <v>2.0299999999999998</v>
      </c>
      <c r="BR14" s="551">
        <v>18.736666666666668</v>
      </c>
      <c r="BS14" s="551">
        <v>18.8</v>
      </c>
      <c r="BT14" s="551">
        <v>68.8</v>
      </c>
      <c r="BU14" s="551">
        <v>69.06</v>
      </c>
      <c r="BV14" s="551">
        <v>111.17</v>
      </c>
      <c r="BW14" s="551">
        <v>114.42</v>
      </c>
    </row>
    <row r="15" spans="1:75" ht="11.85" customHeight="1">
      <c r="A15" s="444" t="s">
        <v>136</v>
      </c>
      <c r="B15" s="21">
        <v>61.05</v>
      </c>
      <c r="C15" s="21">
        <v>58.93</v>
      </c>
      <c r="D15" s="21">
        <v>69.180000000000007</v>
      </c>
      <c r="E15" s="21">
        <v>69.45</v>
      </c>
      <c r="F15" s="21">
        <v>183.54</v>
      </c>
      <c r="G15" s="21">
        <v>184.2</v>
      </c>
      <c r="H15" s="21">
        <v>65.569999999999993</v>
      </c>
      <c r="I15" s="21">
        <v>65.67</v>
      </c>
      <c r="J15" s="21">
        <v>10.130000000000001</v>
      </c>
      <c r="K15" s="21">
        <v>10.23</v>
      </c>
      <c r="L15" s="21">
        <v>12.93</v>
      </c>
      <c r="M15" s="21">
        <v>11.37</v>
      </c>
      <c r="N15" s="21">
        <v>96.24</v>
      </c>
      <c r="O15" s="21">
        <v>84.66</v>
      </c>
      <c r="P15" s="444" t="s">
        <v>136</v>
      </c>
      <c r="Q15" s="21">
        <v>8.92</v>
      </c>
      <c r="R15" s="21">
        <v>8.92</v>
      </c>
      <c r="S15" s="21">
        <v>1.49</v>
      </c>
      <c r="T15" s="21">
        <v>1.5</v>
      </c>
      <c r="U15" s="21">
        <v>0.01</v>
      </c>
      <c r="V15" s="21">
        <v>0.01</v>
      </c>
      <c r="W15" s="21">
        <v>0.01</v>
      </c>
      <c r="X15" s="21">
        <v>0.01</v>
      </c>
      <c r="Y15" s="21">
        <v>0.76</v>
      </c>
      <c r="Z15" s="21">
        <v>0.78</v>
      </c>
      <c r="AA15" s="21">
        <v>253.28</v>
      </c>
      <c r="AB15" s="21">
        <v>238.89</v>
      </c>
      <c r="AC15" s="21">
        <v>20.47</v>
      </c>
      <c r="AD15" s="21">
        <v>21.33</v>
      </c>
      <c r="AE15" s="444" t="s">
        <v>136</v>
      </c>
      <c r="AF15" s="21">
        <v>10.78</v>
      </c>
      <c r="AG15" s="21">
        <v>10.82</v>
      </c>
      <c r="AH15" s="21">
        <v>0.93</v>
      </c>
      <c r="AI15" s="21">
        <v>0.93</v>
      </c>
      <c r="AJ15" s="21">
        <v>48.64</v>
      </c>
      <c r="AK15" s="21">
        <v>48.06</v>
      </c>
      <c r="AL15" s="21">
        <v>11.61</v>
      </c>
      <c r="AM15" s="21">
        <v>10.67</v>
      </c>
      <c r="AN15" s="21">
        <v>179.7</v>
      </c>
      <c r="AO15" s="21">
        <v>180.38</v>
      </c>
      <c r="AP15" s="21">
        <v>0.83</v>
      </c>
      <c r="AQ15" s="21">
        <v>0.81</v>
      </c>
      <c r="AR15" s="21">
        <v>1.49</v>
      </c>
      <c r="AS15" s="21">
        <v>1.5</v>
      </c>
      <c r="AT15" s="444" t="s">
        <v>136</v>
      </c>
      <c r="AU15" s="21">
        <v>19.010000000000002</v>
      </c>
      <c r="AV15" s="21">
        <v>19.079999999999998</v>
      </c>
      <c r="AW15" s="21">
        <v>2.29</v>
      </c>
      <c r="AX15" s="21">
        <v>2.2200000000000002</v>
      </c>
      <c r="AY15" s="21">
        <v>18.63</v>
      </c>
      <c r="AZ15" s="21">
        <v>18.52</v>
      </c>
      <c r="BA15" s="21">
        <v>0.06</v>
      </c>
      <c r="BB15" s="21">
        <v>0.06</v>
      </c>
      <c r="BC15" s="21">
        <v>49.19</v>
      </c>
      <c r="BD15" s="21">
        <v>49.51</v>
      </c>
      <c r="BE15" s="21">
        <v>9.5399999999999991</v>
      </c>
      <c r="BF15" s="21">
        <v>8.94</v>
      </c>
      <c r="BG15" s="21">
        <v>0.61</v>
      </c>
      <c r="BH15" s="21">
        <v>0.61</v>
      </c>
      <c r="BI15" s="444" t="s">
        <v>136</v>
      </c>
      <c r="BJ15" s="21">
        <v>65.19</v>
      </c>
      <c r="BK15" s="21">
        <v>64.180000000000007</v>
      </c>
      <c r="BL15" s="21">
        <v>1.5</v>
      </c>
      <c r="BM15" s="21">
        <v>1.48</v>
      </c>
      <c r="BN15" s="21">
        <v>106.99</v>
      </c>
      <c r="BO15" s="21">
        <v>184.2</v>
      </c>
      <c r="BP15" s="21">
        <v>2.09</v>
      </c>
      <c r="BQ15" s="21">
        <v>2.14</v>
      </c>
      <c r="BR15" s="21">
        <v>18.84</v>
      </c>
      <c r="BS15" s="21">
        <v>18.91</v>
      </c>
      <c r="BT15" s="21">
        <v>69.180000000000007</v>
      </c>
      <c r="BU15" s="21">
        <v>69.45</v>
      </c>
      <c r="BV15" s="21">
        <v>109.42</v>
      </c>
      <c r="BW15" s="21">
        <v>104.62</v>
      </c>
    </row>
    <row r="16" spans="1:75" ht="11.85" customHeight="1">
      <c r="A16" s="604" t="s">
        <v>317</v>
      </c>
      <c r="B16" s="511">
        <v>70.510000000000005</v>
      </c>
      <c r="C16" s="511">
        <v>79.22</v>
      </c>
      <c r="D16" s="511">
        <v>71.17</v>
      </c>
      <c r="E16" s="511">
        <v>74.150000000000006</v>
      </c>
      <c r="F16" s="511">
        <v>188.78</v>
      </c>
      <c r="G16" s="511">
        <v>196.65</v>
      </c>
      <c r="H16" s="511">
        <v>71.12</v>
      </c>
      <c r="I16" s="511">
        <v>76.41</v>
      </c>
      <c r="J16" s="511">
        <v>10.74</v>
      </c>
      <c r="K16" s="511">
        <v>11.46</v>
      </c>
      <c r="L16" s="511">
        <v>13.03</v>
      </c>
      <c r="M16" s="511">
        <v>14.35</v>
      </c>
      <c r="N16" s="511">
        <v>97.14</v>
      </c>
      <c r="O16" s="511">
        <v>107.02</v>
      </c>
      <c r="P16" s="604" t="s">
        <v>317</v>
      </c>
      <c r="Q16" s="511">
        <v>9.15</v>
      </c>
      <c r="R16" s="511">
        <v>9.5299999999999994</v>
      </c>
      <c r="S16" s="511">
        <v>1.57</v>
      </c>
      <c r="T16" s="511">
        <v>1.66</v>
      </c>
      <c r="U16" s="511">
        <v>0.01</v>
      </c>
      <c r="V16" s="511">
        <v>0.01</v>
      </c>
      <c r="W16" s="511">
        <v>0.01</v>
      </c>
      <c r="X16" s="511">
        <v>0.01</v>
      </c>
      <c r="Y16" s="511">
        <v>0.86</v>
      </c>
      <c r="Z16" s="511">
        <v>0.92</v>
      </c>
      <c r="AA16" s="511">
        <v>253.51</v>
      </c>
      <c r="AB16" s="511">
        <v>270.16000000000003</v>
      </c>
      <c r="AC16" s="511">
        <v>23.09</v>
      </c>
      <c r="AD16" s="511">
        <v>24.56</v>
      </c>
      <c r="AE16" s="604" t="s">
        <v>317</v>
      </c>
      <c r="AF16" s="511">
        <v>11.09</v>
      </c>
      <c r="AG16" s="511">
        <v>11.55</v>
      </c>
      <c r="AH16" s="511">
        <v>0.98</v>
      </c>
      <c r="AI16" s="511">
        <v>1.03</v>
      </c>
      <c r="AJ16" s="511">
        <v>53.99</v>
      </c>
      <c r="AK16" s="511">
        <v>61.19</v>
      </c>
      <c r="AL16" s="511">
        <v>12.28</v>
      </c>
      <c r="AM16" s="511">
        <v>13.78</v>
      </c>
      <c r="AN16" s="511">
        <v>184.85</v>
      </c>
      <c r="AO16" s="511">
        <v>192.58</v>
      </c>
      <c r="AP16" s="511">
        <v>0.83</v>
      </c>
      <c r="AQ16" s="511">
        <v>0.86</v>
      </c>
      <c r="AR16" s="511">
        <v>1.62</v>
      </c>
      <c r="AS16" s="511">
        <v>1.71</v>
      </c>
      <c r="AT16" s="604" t="s">
        <v>317</v>
      </c>
      <c r="AU16" s="511">
        <v>19.55</v>
      </c>
      <c r="AV16" s="511">
        <v>20.36</v>
      </c>
      <c r="AW16" s="511">
        <v>2.41</v>
      </c>
      <c r="AX16" s="511">
        <v>2.65</v>
      </c>
      <c r="AY16" s="511">
        <v>18.98</v>
      </c>
      <c r="AZ16" s="511">
        <v>19.77</v>
      </c>
      <c r="BA16" s="511">
        <v>0.06</v>
      </c>
      <c r="BB16" s="511">
        <v>7.0000000000000007E-2</v>
      </c>
      <c r="BC16" s="511">
        <v>55.09</v>
      </c>
      <c r="BD16" s="511">
        <v>60.14</v>
      </c>
      <c r="BE16" s="511">
        <v>10.67</v>
      </c>
      <c r="BF16" s="511">
        <v>11.75</v>
      </c>
      <c r="BG16" s="511">
        <v>0.64</v>
      </c>
      <c r="BH16" s="511">
        <v>0.68</v>
      </c>
      <c r="BI16" s="604" t="s">
        <v>317</v>
      </c>
      <c r="BJ16" s="511">
        <v>74.92</v>
      </c>
      <c r="BK16" s="511">
        <v>88.84</v>
      </c>
      <c r="BL16" s="511">
        <v>1.52</v>
      </c>
      <c r="BM16" s="511">
        <v>1.56</v>
      </c>
      <c r="BN16" s="511">
        <v>110.89</v>
      </c>
      <c r="BO16" s="511">
        <v>118.42</v>
      </c>
      <c r="BP16" s="511">
        <v>2.33</v>
      </c>
      <c r="BQ16" s="511">
        <v>2.41</v>
      </c>
      <c r="BR16" s="511">
        <v>19.38</v>
      </c>
      <c r="BS16" s="511">
        <v>20.190000000000001</v>
      </c>
      <c r="BT16" s="511">
        <v>71.17</v>
      </c>
      <c r="BU16" s="511">
        <v>74.150000000000006</v>
      </c>
      <c r="BV16" s="511">
        <v>113.26</v>
      </c>
      <c r="BW16" s="511">
        <v>119.13</v>
      </c>
    </row>
    <row r="17" spans="1:75" ht="11.85" customHeight="1">
      <c r="A17" s="444" t="s">
        <v>1299</v>
      </c>
      <c r="B17" s="21">
        <v>81.650000000000006</v>
      </c>
      <c r="C17" s="21">
        <v>83.78</v>
      </c>
      <c r="D17" s="21">
        <v>79.099999999999994</v>
      </c>
      <c r="E17" s="21">
        <v>81.819999999999993</v>
      </c>
      <c r="F17" s="21">
        <v>209.8</v>
      </c>
      <c r="G17" s="21">
        <v>217.03</v>
      </c>
      <c r="H17" s="21">
        <v>78.84</v>
      </c>
      <c r="I17" s="21">
        <v>80.45</v>
      </c>
      <c r="J17" s="21">
        <v>12.47</v>
      </c>
      <c r="K17" s="21">
        <v>12.94</v>
      </c>
      <c r="L17" s="21">
        <v>14.22</v>
      </c>
      <c r="M17" s="21">
        <v>13.91</v>
      </c>
      <c r="N17" s="21">
        <v>105.78</v>
      </c>
      <c r="O17" s="21">
        <v>103.45</v>
      </c>
      <c r="P17" s="444" t="s">
        <v>1299</v>
      </c>
      <c r="Q17" s="21">
        <v>10.18</v>
      </c>
      <c r="R17" s="21">
        <v>10.55</v>
      </c>
      <c r="S17" s="21">
        <v>1.58</v>
      </c>
      <c r="T17" s="21">
        <v>1.47</v>
      </c>
      <c r="U17" s="21">
        <v>0.01</v>
      </c>
      <c r="V17" s="21">
        <v>0.01</v>
      </c>
      <c r="W17" s="21">
        <v>0.01</v>
      </c>
      <c r="X17" s="21">
        <v>0.01</v>
      </c>
      <c r="Y17" s="21">
        <v>1.01</v>
      </c>
      <c r="Z17" s="21">
        <v>1.02</v>
      </c>
      <c r="AA17" s="21">
        <v>285.58</v>
      </c>
      <c r="AB17" s="21">
        <v>292.27</v>
      </c>
      <c r="AC17" s="21">
        <v>25.63</v>
      </c>
      <c r="AD17" s="21">
        <v>25.81</v>
      </c>
      <c r="AE17" s="444" t="s">
        <v>1299</v>
      </c>
      <c r="AF17" s="21">
        <v>12.32</v>
      </c>
      <c r="AG17" s="21">
        <v>12.74</v>
      </c>
      <c r="AH17" s="21">
        <v>0.99</v>
      </c>
      <c r="AI17" s="21">
        <v>0.9</v>
      </c>
      <c r="AJ17" s="21">
        <v>63.62</v>
      </c>
      <c r="AK17" s="21">
        <v>65.52</v>
      </c>
      <c r="AL17" s="21">
        <v>13.79</v>
      </c>
      <c r="AM17" s="21">
        <v>13.72</v>
      </c>
      <c r="AN17" s="21">
        <v>205.3</v>
      </c>
      <c r="AO17" s="21">
        <v>212.52</v>
      </c>
      <c r="AP17" s="21">
        <v>0.89</v>
      </c>
      <c r="AQ17" s="21">
        <v>0.87</v>
      </c>
      <c r="AR17" s="21">
        <v>1.84</v>
      </c>
      <c r="AS17" s="21">
        <v>1.94</v>
      </c>
      <c r="AT17" s="444" t="s">
        <v>1299</v>
      </c>
      <c r="AU17" s="21">
        <v>21.72</v>
      </c>
      <c r="AV17" s="21">
        <v>22.47</v>
      </c>
      <c r="AW17" s="21">
        <v>2.61</v>
      </c>
      <c r="AX17" s="21">
        <v>2.4900000000000002</v>
      </c>
      <c r="AY17" s="21">
        <v>21.09</v>
      </c>
      <c r="AZ17" s="21">
        <v>21.82</v>
      </c>
      <c r="BA17" s="21">
        <v>7.0000000000000007E-2</v>
      </c>
      <c r="BB17" s="21">
        <v>7.0000000000000007E-2</v>
      </c>
      <c r="BC17" s="21">
        <v>62.78</v>
      </c>
      <c r="BD17" s="21">
        <v>64.650000000000006</v>
      </c>
      <c r="BE17" s="21">
        <v>11.76</v>
      </c>
      <c r="BF17" s="21">
        <v>11.82</v>
      </c>
      <c r="BG17" s="21">
        <v>0.68</v>
      </c>
      <c r="BH17" s="21">
        <v>0.61</v>
      </c>
      <c r="BI17" s="444" t="s">
        <v>1299</v>
      </c>
      <c r="BJ17" s="21">
        <v>88.18</v>
      </c>
      <c r="BK17" s="21">
        <v>86.11</v>
      </c>
      <c r="BL17" s="21">
        <v>1.47</v>
      </c>
      <c r="BM17" s="21">
        <v>1.28</v>
      </c>
      <c r="BN17" s="21">
        <v>123.03</v>
      </c>
      <c r="BO17" s="21">
        <v>124.16</v>
      </c>
      <c r="BP17" s="21">
        <v>2.56</v>
      </c>
      <c r="BQ17" s="21">
        <v>2.59</v>
      </c>
      <c r="BR17" s="21">
        <v>21.53</v>
      </c>
      <c r="BS17" s="21">
        <v>22.28</v>
      </c>
      <c r="BT17" s="21">
        <v>79.099999999999994</v>
      </c>
      <c r="BU17" s="21">
        <v>81.819999999999993</v>
      </c>
      <c r="BV17" s="21">
        <v>125.28</v>
      </c>
      <c r="BW17" s="21">
        <v>128.19999999999999</v>
      </c>
    </row>
    <row r="18" spans="1:75" ht="11.85" customHeight="1">
      <c r="A18" s="604" t="s">
        <v>1505</v>
      </c>
      <c r="B18" s="511">
        <v>82.13</v>
      </c>
      <c r="C18" s="511">
        <v>71.099999999999994</v>
      </c>
      <c r="D18" s="511">
        <v>79.930000000000007</v>
      </c>
      <c r="E18" s="511">
        <v>77.77</v>
      </c>
      <c r="F18" s="511">
        <v>212.02</v>
      </c>
      <c r="G18" s="511">
        <v>206.27</v>
      </c>
      <c r="H18" s="511">
        <v>79.62</v>
      </c>
      <c r="I18" s="511">
        <v>73.900000000000006</v>
      </c>
      <c r="J18" s="511">
        <v>12.72</v>
      </c>
      <c r="K18" s="511">
        <v>12.59</v>
      </c>
      <c r="L18" s="511">
        <v>13.87</v>
      </c>
      <c r="M18" s="511">
        <v>13.57</v>
      </c>
      <c r="N18" s="511">
        <v>103.37</v>
      </c>
      <c r="O18" s="511">
        <v>101.19</v>
      </c>
      <c r="P18" s="604" t="s">
        <v>1505</v>
      </c>
      <c r="Q18" s="511">
        <v>10.31</v>
      </c>
      <c r="R18" s="511">
        <v>10.029999999999999</v>
      </c>
      <c r="S18" s="511">
        <v>1.46</v>
      </c>
      <c r="T18" s="511">
        <v>1.31</v>
      </c>
      <c r="U18" s="511">
        <v>0.01</v>
      </c>
      <c r="V18" s="511">
        <v>0.01</v>
      </c>
      <c r="W18" s="511">
        <v>0.01</v>
      </c>
      <c r="X18" s="511">
        <v>0.01</v>
      </c>
      <c r="Y18" s="511">
        <v>0.92</v>
      </c>
      <c r="Z18" s="511">
        <v>0.78</v>
      </c>
      <c r="AA18" s="511">
        <v>282.77999999999997</v>
      </c>
      <c r="AB18" s="511">
        <v>272.62</v>
      </c>
      <c r="AC18" s="511">
        <v>25.93</v>
      </c>
      <c r="AD18" s="511">
        <v>24.61</v>
      </c>
      <c r="AE18" s="604" t="s">
        <v>1505</v>
      </c>
      <c r="AF18" s="511">
        <v>12.45</v>
      </c>
      <c r="AG18" s="511">
        <v>12.11</v>
      </c>
      <c r="AH18" s="511">
        <v>0.91</v>
      </c>
      <c r="AI18" s="511">
        <v>0.81</v>
      </c>
      <c r="AJ18" s="511">
        <v>65.7</v>
      </c>
      <c r="AK18" s="511">
        <v>60.24</v>
      </c>
      <c r="AL18" s="511">
        <v>13.88</v>
      </c>
      <c r="AM18" s="511">
        <v>12.81</v>
      </c>
      <c r="AN18" s="511">
        <v>207.59</v>
      </c>
      <c r="AO18" s="511">
        <v>201.99</v>
      </c>
      <c r="AP18" s="511">
        <v>0.83</v>
      </c>
      <c r="AQ18" s="511">
        <v>0.78</v>
      </c>
      <c r="AR18" s="511">
        <v>1.93</v>
      </c>
      <c r="AS18" s="511">
        <v>1.8</v>
      </c>
      <c r="AT18" s="604" t="s">
        <v>1505</v>
      </c>
      <c r="AU18" s="511">
        <v>21.95</v>
      </c>
      <c r="AV18" s="511">
        <v>21.36</v>
      </c>
      <c r="AW18" s="511">
        <v>2.56</v>
      </c>
      <c r="AX18" s="511">
        <v>2.36</v>
      </c>
      <c r="AY18" s="511">
        <v>21.31</v>
      </c>
      <c r="AZ18" s="511">
        <v>20.74</v>
      </c>
      <c r="BA18" s="511">
        <v>7.0000000000000007E-2</v>
      </c>
      <c r="BB18" s="511">
        <v>7.0000000000000007E-2</v>
      </c>
      <c r="BC18" s="511">
        <v>64.540000000000006</v>
      </c>
      <c r="BD18" s="511">
        <v>61.36</v>
      </c>
      <c r="BE18" s="511">
        <v>12.12</v>
      </c>
      <c r="BF18" s="511">
        <v>11.6</v>
      </c>
      <c r="BG18" s="511">
        <v>0.62</v>
      </c>
      <c r="BH18" s="511">
        <v>0.6</v>
      </c>
      <c r="BI18" s="604" t="s">
        <v>1505</v>
      </c>
      <c r="BJ18" s="511">
        <v>84.91</v>
      </c>
      <c r="BK18" s="511">
        <v>82.32</v>
      </c>
      <c r="BL18" s="511">
        <v>1.1200000000000001</v>
      </c>
      <c r="BM18" s="511">
        <v>0.77</v>
      </c>
      <c r="BN18" s="511">
        <v>121.56</v>
      </c>
      <c r="BO18" s="511">
        <v>116.96</v>
      </c>
      <c r="BP18" s="511">
        <v>2.63</v>
      </c>
      <c r="BQ18" s="511">
        <v>2.5</v>
      </c>
      <c r="BR18" s="511">
        <v>21.76</v>
      </c>
      <c r="BS18" s="511">
        <v>21.17</v>
      </c>
      <c r="BT18" s="511">
        <v>79.930000000000007</v>
      </c>
      <c r="BU18" s="511">
        <v>77.77</v>
      </c>
      <c r="BV18" s="511">
        <v>125.45</v>
      </c>
      <c r="BW18" s="511">
        <v>118.24</v>
      </c>
    </row>
    <row r="19" spans="1:75" s="245" customFormat="1" ht="11.85" customHeight="1">
      <c r="A19" s="1210" t="s">
        <v>1886</v>
      </c>
      <c r="B19" s="605">
        <v>71.37</v>
      </c>
      <c r="C19" s="605">
        <v>73.17</v>
      </c>
      <c r="D19" s="605">
        <v>77.72</v>
      </c>
      <c r="E19" s="605">
        <v>77.63</v>
      </c>
      <c r="F19" s="605">
        <v>206.16</v>
      </c>
      <c r="G19" s="605">
        <v>205.92</v>
      </c>
      <c r="H19" s="605">
        <v>72.69</v>
      </c>
      <c r="I19" s="605">
        <v>72.81</v>
      </c>
      <c r="J19" s="605">
        <v>12.65</v>
      </c>
      <c r="K19" s="605">
        <v>12.62</v>
      </c>
      <c r="L19" s="605">
        <v>14.14</v>
      </c>
      <c r="M19" s="605">
        <v>14.21</v>
      </c>
      <c r="N19" s="605">
        <v>105.46</v>
      </c>
      <c r="O19" s="605">
        <v>105.96</v>
      </c>
      <c r="P19" s="1210" t="s">
        <v>1886</v>
      </c>
      <c r="Q19" s="605">
        <v>10.02</v>
      </c>
      <c r="R19" s="605">
        <v>10.02</v>
      </c>
      <c r="S19" s="605">
        <v>1.27</v>
      </c>
      <c r="T19" s="605">
        <v>1.29</v>
      </c>
      <c r="U19" s="605">
        <v>0.01</v>
      </c>
      <c r="V19" s="605">
        <v>0.01</v>
      </c>
      <c r="W19" s="605">
        <v>0</v>
      </c>
      <c r="X19" s="605">
        <v>0</v>
      </c>
      <c r="Y19" s="605">
        <v>0.77</v>
      </c>
      <c r="Z19" s="605">
        <v>0.77</v>
      </c>
      <c r="AA19" s="605">
        <v>274.81</v>
      </c>
      <c r="AB19" s="605">
        <v>275.48</v>
      </c>
      <c r="AC19" s="605">
        <v>23.95</v>
      </c>
      <c r="AD19" s="605">
        <v>24.19</v>
      </c>
      <c r="AE19" s="1210" t="s">
        <v>1886</v>
      </c>
      <c r="AF19" s="605">
        <v>12.11</v>
      </c>
      <c r="AG19" s="605">
        <v>12.09</v>
      </c>
      <c r="AH19" s="605">
        <v>0.79</v>
      </c>
      <c r="AI19" s="605">
        <v>0.81</v>
      </c>
      <c r="AJ19" s="605">
        <v>64.540000000000006</v>
      </c>
      <c r="AK19" s="605">
        <v>68.16</v>
      </c>
      <c r="AL19" s="605">
        <v>12.9</v>
      </c>
      <c r="AM19" s="605">
        <v>12.68</v>
      </c>
      <c r="AN19" s="605">
        <v>201.88</v>
      </c>
      <c r="AO19" s="605">
        <v>201.64</v>
      </c>
      <c r="AP19" s="605">
        <v>0.76</v>
      </c>
      <c r="AQ19" s="605">
        <v>0.79</v>
      </c>
      <c r="AR19" s="605">
        <v>1.79</v>
      </c>
      <c r="AS19" s="605">
        <v>1.78</v>
      </c>
      <c r="AT19" s="1210" t="s">
        <v>1886</v>
      </c>
      <c r="AU19" s="605">
        <v>21.35</v>
      </c>
      <c r="AV19" s="605">
        <v>21.32</v>
      </c>
      <c r="AW19" s="605">
        <v>2.2999999999999998</v>
      </c>
      <c r="AX19" s="605">
        <v>2.2999999999999998</v>
      </c>
      <c r="AY19" s="605">
        <v>20.72</v>
      </c>
      <c r="AZ19" s="605">
        <v>20.7</v>
      </c>
      <c r="BA19" s="605">
        <v>7.0000000000000007E-2</v>
      </c>
      <c r="BB19" s="605">
        <v>0.08</v>
      </c>
      <c r="BC19" s="605">
        <v>61.7</v>
      </c>
      <c r="BD19" s="605">
        <v>62.12</v>
      </c>
      <c r="BE19" s="605">
        <v>11.9</v>
      </c>
      <c r="BF19" s="605">
        <v>11.52</v>
      </c>
      <c r="BG19" s="605">
        <v>0.59</v>
      </c>
      <c r="BH19" s="605">
        <v>0.6</v>
      </c>
      <c r="BI19" s="1210" t="s">
        <v>1886</v>
      </c>
      <c r="BJ19" s="605">
        <v>85.99</v>
      </c>
      <c r="BK19" s="605">
        <v>87.15</v>
      </c>
      <c r="BL19" s="605">
        <v>0.57999999999999996</v>
      </c>
      <c r="BM19" s="605">
        <v>0.52</v>
      </c>
      <c r="BN19" s="605">
        <v>119.23</v>
      </c>
      <c r="BO19" s="605">
        <v>119.87</v>
      </c>
      <c r="BP19" s="605">
        <v>2.46</v>
      </c>
      <c r="BQ19" s="605">
        <v>2.39</v>
      </c>
      <c r="BR19" s="605">
        <v>21.16</v>
      </c>
      <c r="BS19" s="605">
        <v>21.14</v>
      </c>
      <c r="BT19" s="605">
        <v>77.72</v>
      </c>
      <c r="BU19" s="605">
        <v>77.63</v>
      </c>
      <c r="BV19" s="605">
        <v>126.4</v>
      </c>
      <c r="BW19" s="605">
        <v>132.24</v>
      </c>
    </row>
    <row r="20" spans="1:75" s="41" customFormat="1" ht="11.85" customHeight="1">
      <c r="A20" s="973" t="s">
        <v>2017</v>
      </c>
      <c r="B20" s="974">
        <v>64.968333333333348</v>
      </c>
      <c r="C20" s="974">
        <v>59.81</v>
      </c>
      <c r="D20" s="974">
        <v>77.67</v>
      </c>
      <c r="E20" s="974">
        <v>77.81</v>
      </c>
      <c r="F20" s="974">
        <v>206.03</v>
      </c>
      <c r="G20" s="974">
        <v>206.35</v>
      </c>
      <c r="H20" s="974">
        <v>66.412499999999994</v>
      </c>
      <c r="I20" s="974">
        <v>62.78</v>
      </c>
      <c r="J20" s="974">
        <v>12.65</v>
      </c>
      <c r="K20" s="974">
        <v>12.73</v>
      </c>
      <c r="L20" s="974">
        <v>12.54</v>
      </c>
      <c r="M20" s="974">
        <v>11.72</v>
      </c>
      <c r="N20" s="974">
        <v>93.386666666666656</v>
      </c>
      <c r="O20" s="974">
        <v>87.43</v>
      </c>
      <c r="P20" s="973" t="s">
        <v>2017</v>
      </c>
      <c r="Q20" s="974">
        <v>10.02</v>
      </c>
      <c r="R20" s="974">
        <v>10.039999999999999</v>
      </c>
      <c r="S20" s="974">
        <v>1.25</v>
      </c>
      <c r="T20" s="974">
        <v>1.22</v>
      </c>
      <c r="U20" s="974">
        <v>0.01</v>
      </c>
      <c r="V20" s="974">
        <v>0.01</v>
      </c>
      <c r="W20" s="974">
        <v>0</v>
      </c>
      <c r="X20" s="974">
        <v>0</v>
      </c>
      <c r="Y20" s="974">
        <v>0.68</v>
      </c>
      <c r="Z20" s="974">
        <v>0.63</v>
      </c>
      <c r="AA20" s="974">
        <v>265.05</v>
      </c>
      <c r="AB20" s="974">
        <v>257.42</v>
      </c>
      <c r="AC20" s="974">
        <v>22.54</v>
      </c>
      <c r="AD20" s="974">
        <v>20.55</v>
      </c>
      <c r="AE20" s="973" t="s">
        <v>2017</v>
      </c>
      <c r="AF20" s="974">
        <v>0.08</v>
      </c>
      <c r="AG20" s="974">
        <v>7.0000000000000007E-2</v>
      </c>
      <c r="AH20" s="974">
        <v>0.78</v>
      </c>
      <c r="AI20" s="974">
        <v>0.76</v>
      </c>
      <c r="AJ20" s="974">
        <v>60.44</v>
      </c>
      <c r="AK20" s="974">
        <v>53.34</v>
      </c>
      <c r="AL20" s="974">
        <v>10.96</v>
      </c>
      <c r="AM20" s="974">
        <v>9.9</v>
      </c>
      <c r="AN20" s="974">
        <v>201.75</v>
      </c>
      <c r="AO20" s="974">
        <v>202.12</v>
      </c>
      <c r="AP20" s="974">
        <v>0.77</v>
      </c>
      <c r="AQ20" s="974">
        <v>0.76</v>
      </c>
      <c r="AR20" s="974">
        <v>1.75</v>
      </c>
      <c r="AS20" s="974">
        <v>1.72</v>
      </c>
      <c r="AT20" s="973" t="s">
        <v>2017</v>
      </c>
      <c r="AU20" s="974">
        <v>21.33</v>
      </c>
      <c r="AV20" s="974">
        <v>21.37</v>
      </c>
      <c r="AW20" s="974">
        <v>1.64</v>
      </c>
      <c r="AX20" s="974">
        <v>1.4</v>
      </c>
      <c r="AY20" s="974">
        <v>20.71</v>
      </c>
      <c r="AZ20" s="974">
        <v>20.74</v>
      </c>
      <c r="BA20" s="974">
        <v>7.0000000000000007E-2</v>
      </c>
      <c r="BB20" s="974">
        <v>7.0000000000000007E-2</v>
      </c>
      <c r="BC20" s="974">
        <v>59.31</v>
      </c>
      <c r="BD20" s="974">
        <v>57.8</v>
      </c>
      <c r="BE20" s="974">
        <v>10.06</v>
      </c>
      <c r="BF20" s="974">
        <v>9.44</v>
      </c>
      <c r="BG20" s="974">
        <v>0.59</v>
      </c>
      <c r="BH20" s="974">
        <v>0.57999999999999996</v>
      </c>
      <c r="BI20" s="973" t="s">
        <v>2017</v>
      </c>
      <c r="BJ20" s="974">
        <v>82.44</v>
      </c>
      <c r="BK20" s="974">
        <v>84.03</v>
      </c>
      <c r="BL20" s="974">
        <v>0.43</v>
      </c>
      <c r="BM20" s="974">
        <v>0.36</v>
      </c>
      <c r="BN20" s="974">
        <v>112.65</v>
      </c>
      <c r="BO20" s="974">
        <v>109.18</v>
      </c>
      <c r="BP20" s="974">
        <v>2.38</v>
      </c>
      <c r="BQ20" s="974">
        <v>2.2999999999999998</v>
      </c>
      <c r="BR20" s="974">
        <v>21.15</v>
      </c>
      <c r="BS20" s="974">
        <v>21.18</v>
      </c>
      <c r="BT20" s="974">
        <v>77.67</v>
      </c>
      <c r="BU20" s="974">
        <v>77.81</v>
      </c>
      <c r="BV20" s="974">
        <v>122.41</v>
      </c>
      <c r="BW20" s="974">
        <v>122.42</v>
      </c>
    </row>
    <row r="21" spans="1:75" s="460" customFormat="1" ht="10.5" customHeight="1">
      <c r="A21" s="1131" t="s">
        <v>2226</v>
      </c>
      <c r="B21" s="1276">
        <f>AVERAGE(B22:B33)</f>
        <v>57.01250000000001</v>
      </c>
      <c r="C21" s="1276">
        <f>C33</f>
        <v>58.42</v>
      </c>
      <c r="D21" s="1276">
        <f>AVERAGE(D22:D33)</f>
        <v>78.265833333333319</v>
      </c>
      <c r="E21" s="1276">
        <f>E33</f>
        <v>78.400000000000006</v>
      </c>
      <c r="F21" s="1276">
        <f>AVERAGE(F22:F33)</f>
        <v>207.57166666666663</v>
      </c>
      <c r="G21" s="1276">
        <f>G33</f>
        <v>207.76</v>
      </c>
      <c r="H21" s="1276">
        <f>AVERAGE(H22:H33)</f>
        <v>59.071666666666665</v>
      </c>
      <c r="I21" s="1276">
        <f>I33</f>
        <v>60.63</v>
      </c>
      <c r="J21" s="1276">
        <f>AVERAGE(J22:J33)</f>
        <v>12.182499999999999</v>
      </c>
      <c r="K21" s="1276">
        <f>K33</f>
        <v>11.82</v>
      </c>
      <c r="L21" s="1276">
        <f>AVERAGE(L22:L33)</f>
        <v>11.653333333333334</v>
      </c>
      <c r="M21" s="1276">
        <f>M33</f>
        <v>11.73</v>
      </c>
      <c r="N21" s="1276">
        <f>AVERAGE(N22:N33)</f>
        <v>86.88</v>
      </c>
      <c r="O21" s="1276">
        <f>O33</f>
        <v>87.21</v>
      </c>
      <c r="P21" s="1131" t="s">
        <v>2226</v>
      </c>
      <c r="Q21" s="1276">
        <f>AVERAGE(Q22:Q33)</f>
        <v>10.084166666666667</v>
      </c>
      <c r="R21" s="1276">
        <f>R33</f>
        <v>10.1</v>
      </c>
      <c r="S21" s="1276">
        <f>AVERAGE(S22:S33)</f>
        <v>1.18</v>
      </c>
      <c r="T21" s="1276">
        <f>T33</f>
        <v>1.1599999999999999</v>
      </c>
      <c r="U21" s="1276">
        <f>AVERAGE(U22:U33)</f>
        <v>9.9999999999999985E-3</v>
      </c>
      <c r="V21" s="1276">
        <f>V33</f>
        <v>0.01</v>
      </c>
      <c r="W21" s="1276">
        <f>AVERAGE(W22:W33)</f>
        <v>0</v>
      </c>
      <c r="X21" s="1276">
        <f>X33</f>
        <v>0</v>
      </c>
      <c r="Y21" s="1276">
        <f>AVERAGE(Y22:Y33)</f>
        <v>0.67083333333333328</v>
      </c>
      <c r="Z21" s="1276">
        <f>Z33</f>
        <v>0.76</v>
      </c>
      <c r="AA21" s="1276">
        <f>AVERAGE(AA22:AA33)</f>
        <v>258.95499999999998</v>
      </c>
      <c r="AB21" s="1276">
        <f>AB33</f>
        <v>259.52</v>
      </c>
      <c r="AC21" s="1276">
        <f>AVERAGE(AC22:AC33)</f>
        <v>18.94916666666667</v>
      </c>
      <c r="AD21" s="1276">
        <f>AD33</f>
        <v>19.5</v>
      </c>
      <c r="AE21" s="1131" t="s">
        <v>2226</v>
      </c>
      <c r="AF21" s="1276">
        <f>AVERAGE(AF22:AF33)</f>
        <v>6.3333333333333353E-2</v>
      </c>
      <c r="AG21" s="1276">
        <f>AG33</f>
        <v>7.0000000000000007E-2</v>
      </c>
      <c r="AH21" s="1276">
        <f>AVERAGE(AH22:AH33)</f>
        <v>0.73750000000000016</v>
      </c>
      <c r="AI21" s="1276">
        <f>AI33</f>
        <v>0.72</v>
      </c>
      <c r="AJ21" s="1276">
        <f>AVERAGE(AJ22:AJ33)</f>
        <v>52.295000000000009</v>
      </c>
      <c r="AK21" s="1276">
        <f>AK33</f>
        <v>55.76</v>
      </c>
      <c r="AL21" s="1276">
        <f>AVERAGE(AL22:AL33)</f>
        <v>9.3158333333333321</v>
      </c>
      <c r="AM21" s="1276">
        <f>AM33</f>
        <v>9.34</v>
      </c>
      <c r="AN21" s="1276">
        <f>AVERAGE(AN22:AN33)</f>
        <v>203.28250000000003</v>
      </c>
      <c r="AO21" s="1276">
        <f>AO33</f>
        <v>203.63</v>
      </c>
      <c r="AP21" s="1276">
        <f>AVERAGE(AP22:AP33)</f>
        <v>0.75</v>
      </c>
      <c r="AQ21" s="1276">
        <f>AQ33</f>
        <v>0.75</v>
      </c>
      <c r="AR21" s="1276">
        <f>AVERAGE(AR22:AR33)</f>
        <v>1.674166666666667</v>
      </c>
      <c r="AS21" s="1276">
        <f>AS33</f>
        <v>1.67</v>
      </c>
      <c r="AT21" s="1131" t="s">
        <v>2226</v>
      </c>
      <c r="AU21" s="1276">
        <f>AVERAGE(AU22:AU33)</f>
        <v>21.495000000000001</v>
      </c>
      <c r="AV21" s="1276">
        <f>AV33</f>
        <v>21.53</v>
      </c>
      <c r="AW21" s="1276">
        <f>AVERAGE(AW22:AW33)</f>
        <v>1.1674999999999998</v>
      </c>
      <c r="AX21" s="1276">
        <f>AX33</f>
        <v>1.22</v>
      </c>
      <c r="AY21" s="1276">
        <f>AVERAGE(AY22:AY33)</f>
        <v>20.865833333333331</v>
      </c>
      <c r="AZ21" s="1276">
        <f>AZ33</f>
        <v>20.9</v>
      </c>
      <c r="BA21" s="1276">
        <f>AVERAGE(BA22:BA33)</f>
        <v>6.9166666666666696E-2</v>
      </c>
      <c r="BB21" s="1276">
        <f>BB33</f>
        <v>7.0000000000000007E-2</v>
      </c>
      <c r="BC21" s="1276">
        <f>AVERAGE(BC22:BC33)</f>
        <v>56.328333333333326</v>
      </c>
      <c r="BD21" s="1276">
        <f>BD33</f>
        <v>58.16</v>
      </c>
      <c r="BE21" s="1276">
        <f>AVERAGE(BE22:BE33)</f>
        <v>9.3074999999999992</v>
      </c>
      <c r="BF21" s="1276">
        <f>BF33</f>
        <v>9.25</v>
      </c>
      <c r="BG21" s="1276">
        <f>AVERAGE(BG22:BG33)</f>
        <v>0.5508333333333334</v>
      </c>
      <c r="BH21" s="1276">
        <f>BH33</f>
        <v>0.54</v>
      </c>
      <c r="BI21" s="1131" t="s">
        <v>2226</v>
      </c>
      <c r="BJ21" s="1276">
        <f>AVERAGE(BJ22:BJ33)</f>
        <v>79.894166666666692</v>
      </c>
      <c r="BK21" s="1276">
        <f>BK33</f>
        <v>80.02</v>
      </c>
      <c r="BL21" s="1276">
        <f>AVERAGE(BL22:BL33)</f>
        <v>0.35749999999999993</v>
      </c>
      <c r="BM21" s="1276">
        <f>BM33</f>
        <v>0.36</v>
      </c>
      <c r="BN21" s="1276">
        <f>AVERAGE(BN22:BN33)</f>
        <v>109.41833333333334</v>
      </c>
      <c r="BO21" s="1276">
        <f>BO33</f>
        <v>109.44</v>
      </c>
      <c r="BP21" s="1276">
        <f>AVERAGE(BP22:BP33)</f>
        <v>2.2041666666666666</v>
      </c>
      <c r="BQ21" s="1276">
        <f>BQ33</f>
        <v>2.2200000000000002</v>
      </c>
      <c r="BR21" s="1276">
        <f>AVERAGE(BR22:BR33)</f>
        <v>21.307500000000001</v>
      </c>
      <c r="BS21" s="1276">
        <f>BS33</f>
        <v>21.35</v>
      </c>
      <c r="BT21" s="1276">
        <f>AVERAGE(BT22:BT33)</f>
        <v>78.265833333333319</v>
      </c>
      <c r="BU21" s="1276">
        <f>BU33</f>
        <v>78.400000000000006</v>
      </c>
      <c r="BV21" s="1276">
        <f>AVERAGE(BV22:BV33)</f>
        <v>116.13583333333337</v>
      </c>
      <c r="BW21" s="1276">
        <f>BW33</f>
        <v>105.25</v>
      </c>
    </row>
    <row r="22" spans="1:75" s="460" customFormat="1" ht="10.5" customHeight="1">
      <c r="A22" s="875" t="s">
        <v>954</v>
      </c>
      <c r="B22" s="690">
        <v>57.76</v>
      </c>
      <c r="C22" s="690">
        <v>56.73</v>
      </c>
      <c r="D22" s="690">
        <v>77.8</v>
      </c>
      <c r="E22" s="690">
        <v>77.8</v>
      </c>
      <c r="F22" s="690">
        <v>206.35</v>
      </c>
      <c r="G22" s="690">
        <v>206.34</v>
      </c>
      <c r="H22" s="690">
        <v>60.68</v>
      </c>
      <c r="I22" s="690">
        <v>59.83</v>
      </c>
      <c r="J22" s="690">
        <v>12.72</v>
      </c>
      <c r="K22" s="690">
        <v>12.72</v>
      </c>
      <c r="L22" s="690">
        <v>11.48</v>
      </c>
      <c r="M22" s="690">
        <v>11.4</v>
      </c>
      <c r="N22" s="690">
        <v>85.63</v>
      </c>
      <c r="O22" s="690">
        <v>85.04</v>
      </c>
      <c r="P22" s="875" t="s">
        <v>954</v>
      </c>
      <c r="Q22" s="690">
        <v>10.039999999999999</v>
      </c>
      <c r="R22" s="690">
        <v>10.029999999999999</v>
      </c>
      <c r="S22" s="690">
        <v>1.22</v>
      </c>
      <c r="T22" s="690">
        <v>1.21</v>
      </c>
      <c r="U22" s="690">
        <v>0.01</v>
      </c>
      <c r="V22" s="690">
        <v>0.01</v>
      </c>
      <c r="W22" s="690">
        <v>0</v>
      </c>
      <c r="X22" s="690">
        <v>0</v>
      </c>
      <c r="Y22" s="690">
        <v>0.63</v>
      </c>
      <c r="Z22" s="690">
        <v>0.63</v>
      </c>
      <c r="AA22" s="690">
        <v>256.95</v>
      </c>
      <c r="AB22" s="690">
        <v>256.81</v>
      </c>
      <c r="AC22" s="690">
        <v>20.47</v>
      </c>
      <c r="AD22" s="690">
        <v>20.38</v>
      </c>
      <c r="AE22" s="875" t="s">
        <v>954</v>
      </c>
      <c r="AF22" s="690">
        <v>7.0000000000000007E-2</v>
      </c>
      <c r="AG22" s="690">
        <v>0.06</v>
      </c>
      <c r="AH22" s="690">
        <v>0.76</v>
      </c>
      <c r="AI22" s="690">
        <v>0.76</v>
      </c>
      <c r="AJ22" s="690">
        <v>51.73</v>
      </c>
      <c r="AK22" s="690">
        <v>51.41</v>
      </c>
      <c r="AL22" s="690">
        <v>9.6</v>
      </c>
      <c r="AM22" s="690">
        <v>9.52</v>
      </c>
      <c r="AN22" s="690">
        <v>202.06</v>
      </c>
      <c r="AO22" s="690">
        <v>202.08</v>
      </c>
      <c r="AP22" s="690">
        <v>0.76</v>
      </c>
      <c r="AQ22" s="690">
        <v>0.76</v>
      </c>
      <c r="AR22" s="690">
        <v>1.72</v>
      </c>
      <c r="AS22" s="690">
        <v>1.7</v>
      </c>
      <c r="AT22" s="875" t="s">
        <v>954</v>
      </c>
      <c r="AU22" s="690">
        <v>21.37</v>
      </c>
      <c r="AV22" s="690">
        <v>21.37</v>
      </c>
      <c r="AW22" s="690">
        <v>1.36</v>
      </c>
      <c r="AX22" s="690">
        <v>1.32</v>
      </c>
      <c r="AY22" s="690">
        <v>20.74</v>
      </c>
      <c r="AZ22" s="690">
        <v>20.75</v>
      </c>
      <c r="BA22" s="690">
        <v>7.0000000000000007E-2</v>
      </c>
      <c r="BB22" s="690">
        <v>7.0000000000000007E-2</v>
      </c>
      <c r="BC22" s="690">
        <v>57.21</v>
      </c>
      <c r="BD22" s="690">
        <v>56.57</v>
      </c>
      <c r="BE22" s="690">
        <v>9.1300000000000008</v>
      </c>
      <c r="BF22" s="690">
        <v>9.0299999999999994</v>
      </c>
      <c r="BG22" s="690">
        <v>0.57999999999999996</v>
      </c>
      <c r="BH22" s="690">
        <v>0.57999999999999996</v>
      </c>
      <c r="BI22" s="875" t="s">
        <v>954</v>
      </c>
      <c r="BJ22" s="690">
        <v>81.66</v>
      </c>
      <c r="BK22" s="690">
        <v>80.239999999999995</v>
      </c>
      <c r="BL22" s="690">
        <v>0.36</v>
      </c>
      <c r="BM22" s="690">
        <v>0.36</v>
      </c>
      <c r="BN22" s="690">
        <v>108.66</v>
      </c>
      <c r="BO22" s="690">
        <v>108.48</v>
      </c>
      <c r="BP22" s="690">
        <v>2.27</v>
      </c>
      <c r="BQ22" s="690">
        <v>2.21</v>
      </c>
      <c r="BR22" s="690">
        <v>21.18</v>
      </c>
      <c r="BS22" s="690">
        <v>21.18</v>
      </c>
      <c r="BT22" s="690">
        <v>77.8</v>
      </c>
      <c r="BU22" s="690">
        <v>77.8</v>
      </c>
      <c r="BV22" s="690">
        <v>121.07</v>
      </c>
      <c r="BW22" s="690">
        <v>121.34</v>
      </c>
    </row>
    <row r="23" spans="1:75" s="460" customFormat="1" ht="9.75" customHeight="1">
      <c r="A23" s="883" t="s">
        <v>955</v>
      </c>
      <c r="B23" s="1104">
        <v>56.86</v>
      </c>
      <c r="C23" s="1104">
        <v>55.79</v>
      </c>
      <c r="D23" s="1104">
        <v>77.8</v>
      </c>
      <c r="E23" s="1104">
        <v>77.8</v>
      </c>
      <c r="F23" s="1104">
        <v>206.21</v>
      </c>
      <c r="G23" s="1104">
        <v>206.15</v>
      </c>
      <c r="H23" s="1104">
        <v>59.21</v>
      </c>
      <c r="I23" s="1104">
        <v>58.89</v>
      </c>
      <c r="J23" s="1104">
        <v>12.35</v>
      </c>
      <c r="K23" s="1104">
        <v>12.18</v>
      </c>
      <c r="L23" s="1104">
        <v>11.61</v>
      </c>
      <c r="M23" s="1104">
        <v>11.67</v>
      </c>
      <c r="N23" s="1104">
        <v>86.61</v>
      </c>
      <c r="O23" s="1104">
        <v>87.04</v>
      </c>
      <c r="P23" s="883" t="s">
        <v>955</v>
      </c>
      <c r="Q23" s="1104">
        <v>10.029999999999999</v>
      </c>
      <c r="R23" s="1104">
        <v>10.039999999999999</v>
      </c>
      <c r="S23" s="1104">
        <v>1.2</v>
      </c>
      <c r="T23" s="1104">
        <v>1.18</v>
      </c>
      <c r="U23" s="1104">
        <v>0.01</v>
      </c>
      <c r="V23" s="1104">
        <v>0.01</v>
      </c>
      <c r="W23" s="1104">
        <v>0</v>
      </c>
      <c r="X23" s="1104">
        <v>0</v>
      </c>
      <c r="Y23" s="1104">
        <v>0.63</v>
      </c>
      <c r="Z23" s="1104">
        <v>0.64</v>
      </c>
      <c r="AA23" s="1104">
        <v>257.2</v>
      </c>
      <c r="AB23" s="1104">
        <v>257.66000000000003</v>
      </c>
      <c r="AC23" s="1104">
        <v>19.190000000000001</v>
      </c>
      <c r="AD23" s="1104">
        <v>18.55</v>
      </c>
      <c r="AE23" s="883" t="s">
        <v>955</v>
      </c>
      <c r="AF23" s="1104">
        <v>0.06</v>
      </c>
      <c r="AG23" s="1104">
        <v>0.06</v>
      </c>
      <c r="AH23" s="1104">
        <v>0.75</v>
      </c>
      <c r="AI23" s="1104">
        <v>0.74</v>
      </c>
      <c r="AJ23" s="1104">
        <v>51.05</v>
      </c>
      <c r="AK23" s="1104">
        <v>50.31</v>
      </c>
      <c r="AL23" s="1104">
        <v>9.44</v>
      </c>
      <c r="AM23" s="1104">
        <v>9.39</v>
      </c>
      <c r="AN23" s="1104">
        <v>202.02</v>
      </c>
      <c r="AO23" s="1104">
        <v>202.03</v>
      </c>
      <c r="AP23" s="1104">
        <v>0.76</v>
      </c>
      <c r="AQ23" s="1104">
        <v>0.75</v>
      </c>
      <c r="AR23" s="1104">
        <v>1.68</v>
      </c>
      <c r="AS23" s="1104">
        <v>1.66</v>
      </c>
      <c r="AT23" s="883" t="s">
        <v>955</v>
      </c>
      <c r="AU23" s="1104">
        <v>21.36</v>
      </c>
      <c r="AV23" s="1104">
        <v>21.36</v>
      </c>
      <c r="AW23" s="1104">
        <v>1.19</v>
      </c>
      <c r="AX23" s="1104">
        <v>1.19</v>
      </c>
      <c r="AY23" s="1104">
        <v>20.74</v>
      </c>
      <c r="AZ23" s="1104">
        <v>20.74</v>
      </c>
      <c r="BA23" s="1104">
        <v>7.0000000000000007E-2</v>
      </c>
      <c r="BB23" s="1104">
        <v>7.0000000000000007E-2</v>
      </c>
      <c r="BC23" s="1104">
        <v>55.72</v>
      </c>
      <c r="BD23" s="1104">
        <v>55.23</v>
      </c>
      <c r="BE23" s="1104">
        <v>9.1</v>
      </c>
      <c r="BF23" s="1104">
        <v>9.23</v>
      </c>
      <c r="BG23" s="1104">
        <v>0.57999999999999996</v>
      </c>
      <c r="BH23" s="1104">
        <v>0.57999999999999996</v>
      </c>
      <c r="BI23" s="883" t="s">
        <v>955</v>
      </c>
      <c r="BJ23" s="1104">
        <v>80.37</v>
      </c>
      <c r="BK23" s="1104">
        <v>80.84</v>
      </c>
      <c r="BL23" s="1104">
        <v>0.35</v>
      </c>
      <c r="BM23" s="1104">
        <v>0.35</v>
      </c>
      <c r="BN23" s="1104">
        <v>109.07</v>
      </c>
      <c r="BO23" s="1104">
        <v>109.55</v>
      </c>
      <c r="BP23" s="1104">
        <v>2.2000000000000002</v>
      </c>
      <c r="BQ23" s="1104">
        <v>2.17</v>
      </c>
      <c r="BR23" s="1104">
        <v>21.18</v>
      </c>
      <c r="BS23" s="1104">
        <v>21.18</v>
      </c>
      <c r="BT23" s="1104">
        <v>77.8</v>
      </c>
      <c r="BU23" s="1104">
        <v>77.8</v>
      </c>
      <c r="BV23" s="1104">
        <v>121.29</v>
      </c>
      <c r="BW23" s="1104">
        <v>119.79</v>
      </c>
    </row>
    <row r="24" spans="1:75" s="460" customFormat="1" ht="11.85" customHeight="1">
      <c r="A24" s="875" t="s">
        <v>949</v>
      </c>
      <c r="B24" s="690">
        <v>54.92</v>
      </c>
      <c r="C24" s="690">
        <v>54.39</v>
      </c>
      <c r="D24" s="690">
        <v>77.8</v>
      </c>
      <c r="E24" s="690">
        <v>77.8</v>
      </c>
      <c r="F24" s="690">
        <v>206.23</v>
      </c>
      <c r="G24" s="690">
        <v>206.07</v>
      </c>
      <c r="H24" s="690">
        <v>58.68</v>
      </c>
      <c r="I24" s="690">
        <v>57.98</v>
      </c>
      <c r="J24" s="690">
        <v>12.22</v>
      </c>
      <c r="K24" s="690">
        <v>12.23</v>
      </c>
      <c r="L24" s="690">
        <v>11.72</v>
      </c>
      <c r="M24" s="690">
        <v>11.73</v>
      </c>
      <c r="N24" s="690">
        <v>87.44</v>
      </c>
      <c r="O24" s="690">
        <v>87.52</v>
      </c>
      <c r="P24" s="875" t="s">
        <v>949</v>
      </c>
      <c r="Q24" s="690">
        <v>10.039999999999999</v>
      </c>
      <c r="R24" s="690">
        <v>10.039999999999999</v>
      </c>
      <c r="S24" s="690">
        <v>1.17</v>
      </c>
      <c r="T24" s="690">
        <v>1.18</v>
      </c>
      <c r="U24" s="690">
        <v>0.01</v>
      </c>
      <c r="V24" s="690">
        <v>0.01</v>
      </c>
      <c r="W24" s="690">
        <v>0</v>
      </c>
      <c r="X24" s="690">
        <v>0</v>
      </c>
      <c r="Y24" s="690">
        <v>0.65</v>
      </c>
      <c r="Z24" s="690">
        <v>0.65</v>
      </c>
      <c r="AA24" s="690">
        <v>257.52999999999997</v>
      </c>
      <c r="AB24" s="690">
        <v>257.52999999999997</v>
      </c>
      <c r="AC24" s="690">
        <v>18.07</v>
      </c>
      <c r="AD24" s="690">
        <v>17.48</v>
      </c>
      <c r="AE24" s="875" t="s">
        <v>949</v>
      </c>
      <c r="AF24" s="690">
        <v>0.06</v>
      </c>
      <c r="AG24" s="690">
        <v>0.06</v>
      </c>
      <c r="AH24" s="690">
        <v>0.73</v>
      </c>
      <c r="AI24" s="690">
        <v>0.73</v>
      </c>
      <c r="AJ24" s="690">
        <v>49.31</v>
      </c>
      <c r="AK24" s="690">
        <v>49.42</v>
      </c>
      <c r="AL24" s="690">
        <v>9.4</v>
      </c>
      <c r="AM24" s="690">
        <v>9.18</v>
      </c>
      <c r="AN24" s="690">
        <v>202.07</v>
      </c>
      <c r="AO24" s="690">
        <v>202.08</v>
      </c>
      <c r="AP24" s="690">
        <v>0.75</v>
      </c>
      <c r="AQ24" s="690">
        <v>0.75</v>
      </c>
      <c r="AR24" s="690">
        <v>1.66</v>
      </c>
      <c r="AS24" s="690">
        <v>1.66</v>
      </c>
      <c r="AT24" s="875" t="s">
        <v>949</v>
      </c>
      <c r="AU24" s="690">
        <v>21.37</v>
      </c>
      <c r="AV24" s="690">
        <v>21.36</v>
      </c>
      <c r="AW24" s="690">
        <v>1.17</v>
      </c>
      <c r="AX24" s="690">
        <v>1.18</v>
      </c>
      <c r="AY24" s="690">
        <v>20.75</v>
      </c>
      <c r="AZ24" s="690">
        <v>20.74</v>
      </c>
      <c r="BA24" s="690">
        <v>7.0000000000000007E-2</v>
      </c>
      <c r="BB24" s="690">
        <v>7.0000000000000007E-2</v>
      </c>
      <c r="BC24" s="690">
        <v>54.97</v>
      </c>
      <c r="BD24" s="690">
        <v>54.48</v>
      </c>
      <c r="BE24" s="690">
        <v>9.31</v>
      </c>
      <c r="BF24" s="690">
        <v>9.2799999999999994</v>
      </c>
      <c r="BG24" s="690">
        <v>0.56000000000000005</v>
      </c>
      <c r="BH24" s="690">
        <v>0.55000000000000004</v>
      </c>
      <c r="BI24" s="875" t="s">
        <v>949</v>
      </c>
      <c r="BJ24" s="690">
        <v>80.05</v>
      </c>
      <c r="BK24" s="690">
        <v>80.010000000000005</v>
      </c>
      <c r="BL24" s="690">
        <v>0.35</v>
      </c>
      <c r="BM24" s="690">
        <v>0.35</v>
      </c>
      <c r="BN24" s="690">
        <v>109.41</v>
      </c>
      <c r="BO24" s="690">
        <v>109.29</v>
      </c>
      <c r="BP24" s="690">
        <v>2.16</v>
      </c>
      <c r="BQ24" s="690">
        <v>2.14</v>
      </c>
      <c r="BR24" s="690">
        <v>21.18</v>
      </c>
      <c r="BS24" s="690">
        <v>21.18</v>
      </c>
      <c r="BT24" s="690">
        <v>77.8</v>
      </c>
      <c r="BU24" s="690">
        <v>77.8</v>
      </c>
      <c r="BV24" s="690">
        <v>119.37</v>
      </c>
      <c r="BW24" s="690">
        <v>117.88</v>
      </c>
    </row>
    <row r="25" spans="1:75" s="460" customFormat="1" ht="11.85" customHeight="1">
      <c r="A25" s="883" t="s">
        <v>956</v>
      </c>
      <c r="B25" s="658">
        <v>56.04</v>
      </c>
      <c r="C25" s="658">
        <v>55.62</v>
      </c>
      <c r="D25" s="658">
        <v>77.819999999999993</v>
      </c>
      <c r="E25" s="658">
        <v>77.959999999999994</v>
      </c>
      <c r="F25" s="658">
        <v>206.33</v>
      </c>
      <c r="G25" s="658">
        <v>206.75</v>
      </c>
      <c r="H25" s="658">
        <v>59.52</v>
      </c>
      <c r="I25" s="658">
        <v>59.61</v>
      </c>
      <c r="J25" s="658">
        <v>12.25</v>
      </c>
      <c r="K25" s="658">
        <v>12.28</v>
      </c>
      <c r="L25" s="658">
        <v>11.7</v>
      </c>
      <c r="M25" s="658">
        <v>11.49</v>
      </c>
      <c r="N25" s="658">
        <v>87.31</v>
      </c>
      <c r="O25" s="658">
        <v>85.73</v>
      </c>
      <c r="P25" s="883" t="s">
        <v>956</v>
      </c>
      <c r="Q25" s="658">
        <v>10.039999999999999</v>
      </c>
      <c r="R25" s="658">
        <v>10.06</v>
      </c>
      <c r="S25" s="658">
        <v>1.2</v>
      </c>
      <c r="T25" s="658">
        <v>1.19</v>
      </c>
      <c r="U25" s="658">
        <v>0.01</v>
      </c>
      <c r="V25" s="658">
        <v>0.01</v>
      </c>
      <c r="W25" s="658">
        <v>0</v>
      </c>
      <c r="X25" s="658">
        <v>0</v>
      </c>
      <c r="Y25" s="658">
        <v>0.65</v>
      </c>
      <c r="Z25" s="658">
        <v>0.65</v>
      </c>
      <c r="AA25" s="658">
        <v>257.52999999999997</v>
      </c>
      <c r="AB25" s="658">
        <v>257.07</v>
      </c>
      <c r="AC25" s="658">
        <v>18.260000000000002</v>
      </c>
      <c r="AD25" s="658">
        <v>18.149999999999999</v>
      </c>
      <c r="AE25" s="883" t="s">
        <v>956</v>
      </c>
      <c r="AF25" s="658">
        <v>0.06</v>
      </c>
      <c r="AG25" s="658">
        <v>0.06</v>
      </c>
      <c r="AH25" s="658">
        <v>0.75</v>
      </c>
      <c r="AI25" s="658">
        <v>0.75</v>
      </c>
      <c r="AJ25" s="658">
        <v>51.97</v>
      </c>
      <c r="AK25" s="658">
        <v>52.77</v>
      </c>
      <c r="AL25" s="658">
        <v>9.41</v>
      </c>
      <c r="AM25" s="658">
        <v>9.18</v>
      </c>
      <c r="AN25" s="658">
        <v>202.12</v>
      </c>
      <c r="AO25" s="658">
        <v>202.48</v>
      </c>
      <c r="AP25" s="658">
        <v>0.74</v>
      </c>
      <c r="AQ25" s="658">
        <v>0.74</v>
      </c>
      <c r="AR25" s="658">
        <v>1.68</v>
      </c>
      <c r="AS25" s="658">
        <v>1.67</v>
      </c>
      <c r="AT25" s="883" t="s">
        <v>956</v>
      </c>
      <c r="AU25" s="658">
        <v>21.37</v>
      </c>
      <c r="AV25" s="658">
        <v>21.41</v>
      </c>
      <c r="AW25" s="658">
        <v>1.23</v>
      </c>
      <c r="AX25" s="658">
        <v>1.22</v>
      </c>
      <c r="AY25" s="658">
        <v>20.76</v>
      </c>
      <c r="AZ25" s="658">
        <v>20.79</v>
      </c>
      <c r="BA25" s="658">
        <v>7.0000000000000007E-2</v>
      </c>
      <c r="BB25" s="658">
        <v>7.0000000000000007E-2</v>
      </c>
      <c r="BC25" s="658">
        <v>55.51</v>
      </c>
      <c r="BD25" s="658">
        <v>55.65</v>
      </c>
      <c r="BE25" s="658">
        <v>9.34</v>
      </c>
      <c r="BF25" s="658">
        <v>9.1300000000000008</v>
      </c>
      <c r="BG25" s="658">
        <v>0.55000000000000004</v>
      </c>
      <c r="BH25" s="658">
        <v>0.55000000000000004</v>
      </c>
      <c r="BI25" s="883" t="s">
        <v>956</v>
      </c>
      <c r="BJ25" s="658">
        <v>80.290000000000006</v>
      </c>
      <c r="BK25" s="658">
        <v>78.92</v>
      </c>
      <c r="BL25" s="658">
        <v>0.35</v>
      </c>
      <c r="BM25" s="658">
        <v>0.35</v>
      </c>
      <c r="BN25" s="658">
        <v>109.43</v>
      </c>
      <c r="BO25" s="658">
        <v>108.89</v>
      </c>
      <c r="BP25" s="658">
        <v>2.1800000000000002</v>
      </c>
      <c r="BQ25" s="658">
        <v>2.19</v>
      </c>
      <c r="BR25" s="658">
        <v>21.19</v>
      </c>
      <c r="BS25" s="658">
        <v>21.23</v>
      </c>
      <c r="BT25" s="658">
        <v>77.819999999999993</v>
      </c>
      <c r="BU25" s="658">
        <v>77.959999999999994</v>
      </c>
      <c r="BV25" s="658">
        <v>119.23</v>
      </c>
      <c r="BW25" s="658">
        <v>120.19</v>
      </c>
    </row>
    <row r="26" spans="1:75" s="460" customFormat="1" ht="10.5" customHeight="1">
      <c r="A26" s="875" t="s">
        <v>957</v>
      </c>
      <c r="B26" s="690">
        <v>56.11</v>
      </c>
      <c r="C26" s="690">
        <v>56.8</v>
      </c>
      <c r="D26" s="690">
        <v>78.53</v>
      </c>
      <c r="E26" s="690">
        <v>78.930000000000007</v>
      </c>
      <c r="F26" s="690">
        <v>208.25</v>
      </c>
      <c r="G26" s="690">
        <v>209.45</v>
      </c>
      <c r="H26" s="690">
        <v>59.17</v>
      </c>
      <c r="I26" s="690">
        <v>59.05</v>
      </c>
      <c r="J26" s="690">
        <v>12.33</v>
      </c>
      <c r="K26" s="690">
        <v>12.34</v>
      </c>
      <c r="L26" s="690">
        <v>11.3</v>
      </c>
      <c r="M26" s="690">
        <v>11.21</v>
      </c>
      <c r="N26" s="690">
        <v>84.29</v>
      </c>
      <c r="O26" s="690">
        <v>83.65</v>
      </c>
      <c r="P26" s="875" t="s">
        <v>957</v>
      </c>
      <c r="Q26" s="690">
        <v>10.130000000000001</v>
      </c>
      <c r="R26" s="690">
        <v>10.18</v>
      </c>
      <c r="S26" s="690">
        <v>1.19</v>
      </c>
      <c r="T26" s="690">
        <v>1.18</v>
      </c>
      <c r="U26" s="690">
        <v>0.01</v>
      </c>
      <c r="V26" s="690">
        <v>0.01</v>
      </c>
      <c r="W26" s="690">
        <v>0</v>
      </c>
      <c r="X26" s="690">
        <v>0</v>
      </c>
      <c r="Y26" s="690">
        <v>0.64</v>
      </c>
      <c r="Z26" s="690">
        <v>0.64</v>
      </c>
      <c r="AA26" s="690">
        <v>258.45</v>
      </c>
      <c r="AB26" s="690">
        <v>259</v>
      </c>
      <c r="AC26" s="690">
        <v>18.2</v>
      </c>
      <c r="AD26" s="690">
        <v>18.52</v>
      </c>
      <c r="AE26" s="875" t="s">
        <v>957</v>
      </c>
      <c r="AF26" s="690">
        <v>0.06</v>
      </c>
      <c r="AG26" s="690">
        <v>0.06</v>
      </c>
      <c r="AH26" s="690">
        <v>0.74</v>
      </c>
      <c r="AI26" s="690">
        <v>0.74</v>
      </c>
      <c r="AJ26" s="690">
        <v>51.52</v>
      </c>
      <c r="AK26" s="690">
        <v>51.58</v>
      </c>
      <c r="AL26" s="690">
        <v>9.09</v>
      </c>
      <c r="AM26" s="690">
        <v>9.07</v>
      </c>
      <c r="AN26" s="690">
        <v>203.96</v>
      </c>
      <c r="AO26" s="690">
        <v>205.01</v>
      </c>
      <c r="AP26" s="690">
        <v>0.74</v>
      </c>
      <c r="AQ26" s="690">
        <v>0.75</v>
      </c>
      <c r="AR26" s="690">
        <v>1.67</v>
      </c>
      <c r="AS26" s="690">
        <v>1.67</v>
      </c>
      <c r="AT26" s="875" t="s">
        <v>957</v>
      </c>
      <c r="AU26" s="690">
        <v>21.57</v>
      </c>
      <c r="AV26" s="690">
        <v>21.68</v>
      </c>
      <c r="AW26" s="690">
        <v>1.21</v>
      </c>
      <c r="AX26" s="690">
        <v>1.19</v>
      </c>
      <c r="AY26" s="690">
        <v>20.93</v>
      </c>
      <c r="AZ26" s="690">
        <v>21.03</v>
      </c>
      <c r="BA26" s="690">
        <v>7.0000000000000007E-2</v>
      </c>
      <c r="BB26" s="690">
        <v>7.0000000000000007E-2</v>
      </c>
      <c r="BC26" s="690">
        <v>55.54</v>
      </c>
      <c r="BD26" s="690">
        <v>55.84</v>
      </c>
      <c r="BE26" s="690">
        <v>9.0500000000000007</v>
      </c>
      <c r="BF26" s="690">
        <v>9.0299999999999994</v>
      </c>
      <c r="BG26" s="690">
        <v>0.55000000000000004</v>
      </c>
      <c r="BH26" s="690">
        <v>0.55000000000000004</v>
      </c>
      <c r="BI26" s="875" t="s">
        <v>957</v>
      </c>
      <c r="BJ26" s="690">
        <v>77.790000000000006</v>
      </c>
      <c r="BK26" s="690">
        <v>76.650000000000006</v>
      </c>
      <c r="BL26" s="690">
        <v>0.36</v>
      </c>
      <c r="BM26" s="690">
        <v>0.36</v>
      </c>
      <c r="BN26" s="690">
        <v>108.56</v>
      </c>
      <c r="BO26" s="690">
        <v>108.42</v>
      </c>
      <c r="BP26" s="690">
        <v>2.19</v>
      </c>
      <c r="BQ26" s="690">
        <v>2.2000000000000002</v>
      </c>
      <c r="BR26" s="690">
        <v>21.38</v>
      </c>
      <c r="BS26" s="690">
        <v>21.49</v>
      </c>
      <c r="BT26" s="690">
        <v>78.53</v>
      </c>
      <c r="BU26" s="690">
        <v>78.930000000000007</v>
      </c>
      <c r="BV26" s="690">
        <v>119.31</v>
      </c>
      <c r="BW26" s="690">
        <v>118.71</v>
      </c>
    </row>
    <row r="27" spans="1:75" s="460" customFormat="1" ht="10.5" customHeight="1">
      <c r="A27" s="883" t="s">
        <v>950</v>
      </c>
      <c r="B27" s="658">
        <v>57.08</v>
      </c>
      <c r="C27" s="658">
        <v>57.22</v>
      </c>
      <c r="D27" s="658">
        <v>78.78</v>
      </c>
      <c r="E27" s="658">
        <v>78.510000000000005</v>
      </c>
      <c r="F27" s="658">
        <v>208.96</v>
      </c>
      <c r="G27" s="658">
        <v>208.61</v>
      </c>
      <c r="H27" s="658">
        <v>57.53</v>
      </c>
      <c r="I27" s="658">
        <v>56.52</v>
      </c>
      <c r="J27" s="658">
        <v>12.22</v>
      </c>
      <c r="K27" s="658">
        <v>12.09</v>
      </c>
      <c r="L27" s="658">
        <v>11.5</v>
      </c>
      <c r="M27" s="658">
        <v>11.5</v>
      </c>
      <c r="N27" s="658">
        <v>85.8</v>
      </c>
      <c r="O27" s="658">
        <v>85.83</v>
      </c>
      <c r="P27" s="883" t="s">
        <v>950</v>
      </c>
      <c r="Q27" s="658">
        <v>10.16</v>
      </c>
      <c r="R27" s="658">
        <v>10.130000000000001</v>
      </c>
      <c r="S27" s="658">
        <v>1.18</v>
      </c>
      <c r="T27" s="658">
        <v>1.18</v>
      </c>
      <c r="U27" s="658">
        <v>0.01</v>
      </c>
      <c r="V27" s="658">
        <v>0.01</v>
      </c>
      <c r="W27" s="658">
        <v>0</v>
      </c>
      <c r="X27" s="658">
        <v>0</v>
      </c>
      <c r="Y27" s="658">
        <v>0.65</v>
      </c>
      <c r="Z27" s="658">
        <v>0.65</v>
      </c>
      <c r="AA27" s="658">
        <v>259.41000000000003</v>
      </c>
      <c r="AB27" s="658">
        <v>258.60000000000002</v>
      </c>
      <c r="AC27" s="658">
        <v>18.399999999999999</v>
      </c>
      <c r="AD27" s="658">
        <v>18.28</v>
      </c>
      <c r="AE27" s="883" t="s">
        <v>950</v>
      </c>
      <c r="AF27" s="658">
        <v>0.06</v>
      </c>
      <c r="AG27" s="658">
        <v>0.06</v>
      </c>
      <c r="AH27" s="658">
        <v>0.74</v>
      </c>
      <c r="AI27" s="658">
        <v>0.74</v>
      </c>
      <c r="AJ27" s="658">
        <v>53.15</v>
      </c>
      <c r="AK27" s="658">
        <v>53.76</v>
      </c>
      <c r="AL27" s="658">
        <v>9.07</v>
      </c>
      <c r="AM27" s="658">
        <v>8.93</v>
      </c>
      <c r="AN27" s="658">
        <v>204.72</v>
      </c>
      <c r="AO27" s="658">
        <v>203.92</v>
      </c>
      <c r="AP27" s="658">
        <v>0.75</v>
      </c>
      <c r="AQ27" s="658">
        <v>0.75</v>
      </c>
      <c r="AR27" s="658">
        <v>1.67</v>
      </c>
      <c r="AS27" s="658">
        <v>1.67</v>
      </c>
      <c r="AT27" s="883" t="s">
        <v>950</v>
      </c>
      <c r="AU27" s="658">
        <v>21.64</v>
      </c>
      <c r="AV27" s="658">
        <v>21.56</v>
      </c>
      <c r="AW27" s="658">
        <v>1.1299999999999999</v>
      </c>
      <c r="AX27" s="658">
        <v>1.07</v>
      </c>
      <c r="AY27" s="658">
        <v>20.99</v>
      </c>
      <c r="AZ27" s="658">
        <v>20.92</v>
      </c>
      <c r="BA27" s="658">
        <v>7.0000000000000007E-2</v>
      </c>
      <c r="BB27" s="658">
        <v>7.0000000000000007E-2</v>
      </c>
      <c r="BC27" s="658">
        <v>55.97</v>
      </c>
      <c r="BD27" s="658">
        <v>55.51</v>
      </c>
      <c r="BE27" s="658">
        <v>9.27</v>
      </c>
      <c r="BF27" s="658">
        <v>9.33</v>
      </c>
      <c r="BG27" s="658">
        <v>0.55000000000000004</v>
      </c>
      <c r="BH27" s="658">
        <v>0.54</v>
      </c>
      <c r="BI27" s="883" t="s">
        <v>950</v>
      </c>
      <c r="BJ27" s="658">
        <v>79.25</v>
      </c>
      <c r="BK27" s="658">
        <v>79.53</v>
      </c>
      <c r="BL27" s="658">
        <v>0.36</v>
      </c>
      <c r="BM27" s="658">
        <v>0.36</v>
      </c>
      <c r="BN27" s="658">
        <v>109.16</v>
      </c>
      <c r="BO27" s="658">
        <v>108.88</v>
      </c>
      <c r="BP27" s="658">
        <v>2.19</v>
      </c>
      <c r="BQ27" s="658">
        <v>2.1800000000000002</v>
      </c>
      <c r="BR27" s="658">
        <v>21.45</v>
      </c>
      <c r="BS27" s="658">
        <v>21.38</v>
      </c>
      <c r="BT27" s="658">
        <v>78.78</v>
      </c>
      <c r="BU27" s="658">
        <v>78.510000000000005</v>
      </c>
      <c r="BV27" s="658">
        <v>118.19</v>
      </c>
      <c r="BW27" s="658">
        <v>116.3</v>
      </c>
    </row>
    <row r="28" spans="1:75" s="460" customFormat="1" ht="9.75" customHeight="1">
      <c r="A28" s="875" t="s">
        <v>958</v>
      </c>
      <c r="B28" s="690">
        <v>55.19</v>
      </c>
      <c r="C28" s="690">
        <v>55.57</v>
      </c>
      <c r="D28" s="690">
        <v>78.5</v>
      </c>
      <c r="E28" s="690">
        <v>78.5</v>
      </c>
      <c r="F28" s="690">
        <v>208.38</v>
      </c>
      <c r="G28" s="690">
        <v>208.42</v>
      </c>
      <c r="H28" s="690">
        <v>55.34</v>
      </c>
      <c r="I28" s="690">
        <v>56.1</v>
      </c>
      <c r="J28" s="690">
        <v>11.99</v>
      </c>
      <c r="K28" s="690">
        <v>11.98</v>
      </c>
      <c r="L28" s="690">
        <v>11.43</v>
      </c>
      <c r="M28" s="690">
        <v>11.4</v>
      </c>
      <c r="N28" s="690">
        <v>85.32</v>
      </c>
      <c r="O28" s="690">
        <v>85.06</v>
      </c>
      <c r="P28" s="875" t="s">
        <v>958</v>
      </c>
      <c r="Q28" s="690">
        <v>10.09</v>
      </c>
      <c r="R28" s="690">
        <v>10.09</v>
      </c>
      <c r="S28" s="690">
        <v>1.17</v>
      </c>
      <c r="T28" s="690">
        <v>1.1599999999999999</v>
      </c>
      <c r="U28" s="690">
        <v>0.01</v>
      </c>
      <c r="V28" s="690">
        <v>0.01</v>
      </c>
      <c r="W28" s="690">
        <v>0</v>
      </c>
      <c r="X28" s="690">
        <v>0</v>
      </c>
      <c r="Y28" s="690">
        <v>0.66</v>
      </c>
      <c r="Z28" s="690">
        <v>0.65</v>
      </c>
      <c r="AA28" s="690">
        <v>258.23</v>
      </c>
      <c r="AB28" s="690">
        <v>258.39</v>
      </c>
      <c r="AC28" s="690">
        <v>18.12</v>
      </c>
      <c r="AD28" s="690">
        <v>18.89</v>
      </c>
      <c r="AE28" s="875" t="s">
        <v>958</v>
      </c>
      <c r="AF28" s="690">
        <v>0.06</v>
      </c>
      <c r="AG28" s="690">
        <v>0.06</v>
      </c>
      <c r="AH28" s="690">
        <v>0.73</v>
      </c>
      <c r="AI28" s="690">
        <v>0.72</v>
      </c>
      <c r="AJ28" s="690">
        <v>51.51</v>
      </c>
      <c r="AK28" s="690">
        <v>50.84</v>
      </c>
      <c r="AL28" s="690">
        <v>8.9</v>
      </c>
      <c r="AM28" s="690">
        <v>9.0399999999999991</v>
      </c>
      <c r="AN28" s="690">
        <v>203.89</v>
      </c>
      <c r="AO28" s="690">
        <v>203.98</v>
      </c>
      <c r="AP28" s="690">
        <v>0.75</v>
      </c>
      <c r="AQ28" s="690">
        <v>0.75</v>
      </c>
      <c r="AR28" s="690">
        <v>1.65</v>
      </c>
      <c r="AS28" s="690">
        <v>1.65</v>
      </c>
      <c r="AT28" s="875" t="s">
        <v>958</v>
      </c>
      <c r="AU28" s="690">
        <v>21.56</v>
      </c>
      <c r="AV28" s="690">
        <v>21.56</v>
      </c>
      <c r="AW28" s="690">
        <v>1.02</v>
      </c>
      <c r="AX28" s="690">
        <v>1.01</v>
      </c>
      <c r="AY28" s="690">
        <v>20.92</v>
      </c>
      <c r="AZ28" s="690">
        <v>20.93</v>
      </c>
      <c r="BA28" s="690">
        <v>7.0000000000000007E-2</v>
      </c>
      <c r="BB28" s="690">
        <v>0.06</v>
      </c>
      <c r="BC28" s="690">
        <v>54.83</v>
      </c>
      <c r="BD28" s="690">
        <v>55.12</v>
      </c>
      <c r="BE28" s="690">
        <v>9.1999999999999993</v>
      </c>
      <c r="BF28" s="690">
        <v>9.15</v>
      </c>
      <c r="BG28" s="690">
        <v>0.55000000000000004</v>
      </c>
      <c r="BH28" s="690">
        <v>0.54</v>
      </c>
      <c r="BI28" s="875" t="s">
        <v>958</v>
      </c>
      <c r="BJ28" s="690">
        <v>78.010000000000005</v>
      </c>
      <c r="BK28" s="690">
        <v>76.709999999999994</v>
      </c>
      <c r="BL28" s="690">
        <v>0.36</v>
      </c>
      <c r="BM28" s="690">
        <v>0.36</v>
      </c>
      <c r="BN28" s="690">
        <v>108.54</v>
      </c>
      <c r="BO28" s="690">
        <v>108.37</v>
      </c>
      <c r="BP28" s="690">
        <v>2.17</v>
      </c>
      <c r="BQ28" s="690">
        <v>2.2000000000000002</v>
      </c>
      <c r="BR28" s="690">
        <v>21.37</v>
      </c>
      <c r="BS28" s="690">
        <v>21.37</v>
      </c>
      <c r="BT28" s="690">
        <v>78.5</v>
      </c>
      <c r="BU28" s="690">
        <v>78.5</v>
      </c>
      <c r="BV28" s="690">
        <v>113.23</v>
      </c>
      <c r="BW28" s="690">
        <v>111.83</v>
      </c>
    </row>
    <row r="29" spans="1:75" s="460" customFormat="1" ht="10.5" customHeight="1">
      <c r="A29" s="883" t="s">
        <v>959</v>
      </c>
      <c r="B29" s="658">
        <v>56.04</v>
      </c>
      <c r="C29" s="658">
        <v>55.94</v>
      </c>
      <c r="D29" s="658">
        <v>78.55</v>
      </c>
      <c r="E29" s="658">
        <v>78.45</v>
      </c>
      <c r="F29" s="658">
        <v>208.35</v>
      </c>
      <c r="G29" s="658">
        <v>208.12</v>
      </c>
      <c r="H29" s="658">
        <v>56.92</v>
      </c>
      <c r="I29" s="658">
        <v>58.03</v>
      </c>
      <c r="J29" s="658">
        <v>12.03</v>
      </c>
      <c r="K29" s="658">
        <v>11.98</v>
      </c>
      <c r="L29" s="658">
        <v>11.69</v>
      </c>
      <c r="M29" s="658">
        <v>11.5</v>
      </c>
      <c r="N29" s="658">
        <v>87.24</v>
      </c>
      <c r="O29" s="658">
        <v>85.82</v>
      </c>
      <c r="P29" s="883" t="s">
        <v>959</v>
      </c>
      <c r="Q29" s="658">
        <v>10.09</v>
      </c>
      <c r="R29" s="658">
        <v>10.09</v>
      </c>
      <c r="S29" s="658">
        <v>1.1499999999999999</v>
      </c>
      <c r="T29" s="658">
        <v>1.1399999999999999</v>
      </c>
      <c r="U29" s="658">
        <v>0.01</v>
      </c>
      <c r="V29" s="658">
        <v>0.01</v>
      </c>
      <c r="W29" s="658">
        <v>0</v>
      </c>
      <c r="X29" s="658">
        <v>0</v>
      </c>
      <c r="Y29" s="658">
        <v>0.68</v>
      </c>
      <c r="Z29" s="658">
        <v>0.68</v>
      </c>
      <c r="AA29" s="658">
        <v>261.77999999999997</v>
      </c>
      <c r="AB29" s="658">
        <v>260.93</v>
      </c>
      <c r="AC29" s="658">
        <v>18.77</v>
      </c>
      <c r="AD29" s="658">
        <v>18.59</v>
      </c>
      <c r="AE29" s="883" t="s">
        <v>959</v>
      </c>
      <c r="AF29" s="658">
        <v>0.06</v>
      </c>
      <c r="AG29" s="658">
        <v>0.06</v>
      </c>
      <c r="AH29" s="658">
        <v>0.72</v>
      </c>
      <c r="AI29" s="658">
        <v>0.71</v>
      </c>
      <c r="AJ29" s="658">
        <v>52.11</v>
      </c>
      <c r="AK29" s="658">
        <v>52.01</v>
      </c>
      <c r="AL29" s="658">
        <v>9.1300000000000008</v>
      </c>
      <c r="AM29" s="658">
        <v>9.0399999999999991</v>
      </c>
      <c r="AN29" s="658">
        <v>203.99</v>
      </c>
      <c r="AO29" s="658">
        <v>203.76</v>
      </c>
      <c r="AP29" s="658">
        <v>0.75</v>
      </c>
      <c r="AQ29" s="658">
        <v>0.75</v>
      </c>
      <c r="AR29" s="658">
        <v>1.65</v>
      </c>
      <c r="AS29" s="658">
        <v>1.65</v>
      </c>
      <c r="AT29" s="883" t="s">
        <v>959</v>
      </c>
      <c r="AU29" s="658">
        <v>21.57</v>
      </c>
      <c r="AV29" s="658">
        <v>21.54</v>
      </c>
      <c r="AW29" s="658">
        <v>1.02</v>
      </c>
      <c r="AX29" s="658">
        <v>1.03</v>
      </c>
      <c r="AY29" s="658">
        <v>20.94</v>
      </c>
      <c r="AZ29" s="658">
        <v>20.92</v>
      </c>
      <c r="BA29" s="658">
        <v>0.06</v>
      </c>
      <c r="BB29" s="658">
        <v>0.06</v>
      </c>
      <c r="BC29" s="658">
        <v>55.91</v>
      </c>
      <c r="BD29" s="658">
        <v>55.72</v>
      </c>
      <c r="BE29" s="658">
        <v>9.27</v>
      </c>
      <c r="BF29" s="658">
        <v>9.16</v>
      </c>
      <c r="BG29" s="658">
        <v>0.54</v>
      </c>
      <c r="BH29" s="658">
        <v>0.54</v>
      </c>
      <c r="BI29" s="883" t="s">
        <v>959</v>
      </c>
      <c r="BJ29" s="658">
        <v>79.180000000000007</v>
      </c>
      <c r="BK29" s="658">
        <v>78.75</v>
      </c>
      <c r="BL29" s="658">
        <v>0.36</v>
      </c>
      <c r="BM29" s="658">
        <v>0.36</v>
      </c>
      <c r="BN29" s="658">
        <v>109.48</v>
      </c>
      <c r="BO29" s="658">
        <v>108.93</v>
      </c>
      <c r="BP29" s="658">
        <v>2.21</v>
      </c>
      <c r="BQ29" s="658">
        <v>2.19</v>
      </c>
      <c r="BR29" s="658">
        <v>21.39</v>
      </c>
      <c r="BS29" s="658">
        <v>21.36</v>
      </c>
      <c r="BT29" s="658">
        <v>78.55</v>
      </c>
      <c r="BU29" s="658">
        <v>78.45</v>
      </c>
      <c r="BV29" s="658">
        <v>112.52</v>
      </c>
      <c r="BW29" s="658">
        <v>108.83</v>
      </c>
    </row>
    <row r="30" spans="1:75" s="460" customFormat="1" ht="11.85" customHeight="1">
      <c r="A30" s="875" t="s">
        <v>951</v>
      </c>
      <c r="B30" s="690">
        <v>58.74</v>
      </c>
      <c r="C30" s="690">
        <v>60.14</v>
      </c>
      <c r="D30" s="690">
        <v>78.41</v>
      </c>
      <c r="E30" s="690">
        <v>78.400000000000006</v>
      </c>
      <c r="F30" s="690">
        <v>207.98</v>
      </c>
      <c r="G30" s="690">
        <v>207.93</v>
      </c>
      <c r="H30" s="690">
        <v>59.27</v>
      </c>
      <c r="I30" s="690">
        <v>60.5</v>
      </c>
      <c r="J30" s="690">
        <v>12.05</v>
      </c>
      <c r="K30" s="690">
        <v>12.13</v>
      </c>
      <c r="L30" s="690">
        <v>11.7</v>
      </c>
      <c r="M30" s="690">
        <v>11.92</v>
      </c>
      <c r="N30" s="690">
        <v>87.24</v>
      </c>
      <c r="O30" s="690">
        <v>88.87</v>
      </c>
      <c r="P30" s="875" t="s">
        <v>951</v>
      </c>
      <c r="Q30" s="690">
        <v>10.1</v>
      </c>
      <c r="R30" s="690">
        <v>10.11</v>
      </c>
      <c r="S30" s="690">
        <v>1.17</v>
      </c>
      <c r="T30" s="690">
        <v>1.18</v>
      </c>
      <c r="U30" s="690">
        <v>0.01</v>
      </c>
      <c r="V30" s="690">
        <v>0.01</v>
      </c>
      <c r="W30" s="690">
        <v>0</v>
      </c>
      <c r="X30" s="690">
        <v>0</v>
      </c>
      <c r="Y30" s="690">
        <v>0.69</v>
      </c>
      <c r="Z30" s="690">
        <v>0.7</v>
      </c>
      <c r="AA30" s="690">
        <v>260.41000000000003</v>
      </c>
      <c r="AB30" s="690">
        <v>259.60000000000002</v>
      </c>
      <c r="AC30" s="690">
        <v>19.239999999999998</v>
      </c>
      <c r="AD30" s="690">
        <v>20.02</v>
      </c>
      <c r="AE30" s="875" t="s">
        <v>951</v>
      </c>
      <c r="AF30" s="690">
        <v>0.06</v>
      </c>
      <c r="AG30" s="690">
        <v>0.06</v>
      </c>
      <c r="AH30" s="690">
        <v>0.73</v>
      </c>
      <c r="AI30" s="690">
        <v>0.74</v>
      </c>
      <c r="AJ30" s="690">
        <v>52.8</v>
      </c>
      <c r="AK30" s="690">
        <v>54.33</v>
      </c>
      <c r="AL30" s="690">
        <v>9.25</v>
      </c>
      <c r="AM30" s="690">
        <v>9.44</v>
      </c>
      <c r="AN30" s="690">
        <v>203.68</v>
      </c>
      <c r="AO30" s="690">
        <v>203.64</v>
      </c>
      <c r="AP30" s="690">
        <v>0.75</v>
      </c>
      <c r="AQ30" s="690">
        <v>0.75</v>
      </c>
      <c r="AR30" s="690">
        <v>1.68</v>
      </c>
      <c r="AS30" s="690">
        <v>1.7</v>
      </c>
      <c r="AT30" s="875" t="s">
        <v>951</v>
      </c>
      <c r="AU30" s="690">
        <v>21.53</v>
      </c>
      <c r="AV30" s="690">
        <v>21.53</v>
      </c>
      <c r="AW30" s="690">
        <v>1.1100000000000001</v>
      </c>
      <c r="AX30" s="690">
        <v>1.1499999999999999</v>
      </c>
      <c r="AY30" s="690">
        <v>20.91</v>
      </c>
      <c r="AZ30" s="690">
        <v>20.9</v>
      </c>
      <c r="BA30" s="690">
        <v>7.0000000000000007E-2</v>
      </c>
      <c r="BB30" s="690">
        <v>7.0000000000000007E-2</v>
      </c>
      <c r="BC30" s="690">
        <v>57.1</v>
      </c>
      <c r="BD30" s="690">
        <v>58.06</v>
      </c>
      <c r="BE30" s="690">
        <v>9.39</v>
      </c>
      <c r="BF30" s="690">
        <v>9.6199999999999992</v>
      </c>
      <c r="BG30" s="690">
        <v>0.54</v>
      </c>
      <c r="BH30" s="690">
        <v>0.53</v>
      </c>
      <c r="BI30" s="875" t="s">
        <v>951</v>
      </c>
      <c r="BJ30" s="690">
        <v>79.83</v>
      </c>
      <c r="BK30" s="690">
        <v>81.25</v>
      </c>
      <c r="BL30" s="690">
        <v>0.36</v>
      </c>
      <c r="BM30" s="690">
        <v>0.36</v>
      </c>
      <c r="BN30" s="690">
        <v>109.27</v>
      </c>
      <c r="BO30" s="690">
        <v>110.28</v>
      </c>
      <c r="BP30" s="690">
        <v>2.2200000000000002</v>
      </c>
      <c r="BQ30" s="690">
        <v>2.2200000000000002</v>
      </c>
      <c r="BR30" s="690">
        <v>21.35</v>
      </c>
      <c r="BS30" s="690">
        <v>21.35</v>
      </c>
      <c r="BT30" s="690">
        <v>78.41</v>
      </c>
      <c r="BU30" s="690">
        <v>78.400000000000006</v>
      </c>
      <c r="BV30" s="690">
        <v>111.71</v>
      </c>
      <c r="BW30" s="690">
        <v>112.72</v>
      </c>
    </row>
    <row r="31" spans="1:75" s="460" customFormat="1" ht="11.85" customHeight="1">
      <c r="A31" s="883" t="s">
        <v>960</v>
      </c>
      <c r="B31" s="658">
        <v>60.07</v>
      </c>
      <c r="C31" s="658">
        <v>59.63</v>
      </c>
      <c r="D31" s="658">
        <v>78.400000000000006</v>
      </c>
      <c r="E31" s="658">
        <v>78.400000000000006</v>
      </c>
      <c r="F31" s="658">
        <v>207.95</v>
      </c>
      <c r="G31" s="658">
        <v>207.96</v>
      </c>
      <c r="H31" s="658">
        <v>61.12</v>
      </c>
      <c r="I31" s="658">
        <v>62.51</v>
      </c>
      <c r="J31" s="658">
        <v>12.11</v>
      </c>
      <c r="K31" s="658">
        <v>12.14</v>
      </c>
      <c r="L31" s="658">
        <v>11.94</v>
      </c>
      <c r="M31" s="658">
        <v>12.06</v>
      </c>
      <c r="N31" s="658">
        <v>88.89</v>
      </c>
      <c r="O31" s="658">
        <v>89.78</v>
      </c>
      <c r="P31" s="883" t="s">
        <v>960</v>
      </c>
      <c r="Q31" s="658">
        <v>10.11</v>
      </c>
      <c r="R31" s="658">
        <v>10.11</v>
      </c>
      <c r="S31" s="658">
        <v>1.18</v>
      </c>
      <c r="T31" s="658">
        <v>1.18</v>
      </c>
      <c r="U31" s="658">
        <v>0.01</v>
      </c>
      <c r="V31" s="658">
        <v>0.01</v>
      </c>
      <c r="W31" s="658">
        <v>0</v>
      </c>
      <c r="X31" s="658">
        <v>0</v>
      </c>
      <c r="Y31" s="658">
        <v>0.71</v>
      </c>
      <c r="Z31" s="658">
        <v>0.74</v>
      </c>
      <c r="AA31" s="658">
        <v>259.92</v>
      </c>
      <c r="AB31" s="658">
        <v>260.51</v>
      </c>
      <c r="AC31" s="658">
        <v>20.09</v>
      </c>
      <c r="AD31" s="658">
        <v>20.07</v>
      </c>
      <c r="AE31" s="883" t="s">
        <v>960</v>
      </c>
      <c r="AF31" s="658">
        <v>7.0000000000000007E-2</v>
      </c>
      <c r="AG31" s="658">
        <v>7.0000000000000007E-2</v>
      </c>
      <c r="AH31" s="658">
        <v>0.74</v>
      </c>
      <c r="AI31" s="658">
        <v>0.73</v>
      </c>
      <c r="AJ31" s="658">
        <v>53.99</v>
      </c>
      <c r="AK31" s="658">
        <v>54.74</v>
      </c>
      <c r="AL31" s="658">
        <v>9.5299999999999994</v>
      </c>
      <c r="AM31" s="658">
        <v>9.74</v>
      </c>
      <c r="AN31" s="658">
        <v>203.62</v>
      </c>
      <c r="AO31" s="658">
        <v>203.61</v>
      </c>
      <c r="AP31" s="658">
        <v>0.75</v>
      </c>
      <c r="AQ31" s="658">
        <v>0.75</v>
      </c>
      <c r="AR31" s="658">
        <v>1.69</v>
      </c>
      <c r="AS31" s="658">
        <v>1.67</v>
      </c>
      <c r="AT31" s="883" t="s">
        <v>960</v>
      </c>
      <c r="AU31" s="658">
        <v>21.53</v>
      </c>
      <c r="AV31" s="658">
        <v>21.54</v>
      </c>
      <c r="AW31" s="658">
        <v>1.18</v>
      </c>
      <c r="AX31" s="658">
        <v>1.2</v>
      </c>
      <c r="AY31" s="658">
        <v>20.91</v>
      </c>
      <c r="AZ31" s="658">
        <v>20.91</v>
      </c>
      <c r="BA31" s="658">
        <v>7.0000000000000007E-2</v>
      </c>
      <c r="BB31" s="658">
        <v>7.0000000000000007E-2</v>
      </c>
      <c r="BC31" s="658">
        <v>58.06</v>
      </c>
      <c r="BD31" s="658">
        <v>58.31</v>
      </c>
      <c r="BE31" s="658">
        <v>9.65</v>
      </c>
      <c r="BF31" s="658">
        <v>9.76</v>
      </c>
      <c r="BG31" s="658">
        <v>0.54</v>
      </c>
      <c r="BH31" s="658">
        <v>0.54</v>
      </c>
      <c r="BI31" s="883" t="s">
        <v>960</v>
      </c>
      <c r="BJ31" s="658">
        <v>81.31</v>
      </c>
      <c r="BK31" s="658">
        <v>81.7</v>
      </c>
      <c r="BL31" s="658">
        <v>0.36</v>
      </c>
      <c r="BM31" s="658">
        <v>0.36</v>
      </c>
      <c r="BN31" s="658">
        <v>110.43</v>
      </c>
      <c r="BO31" s="658">
        <v>111.11</v>
      </c>
      <c r="BP31" s="658">
        <v>2.23</v>
      </c>
      <c r="BQ31" s="658">
        <v>2.25</v>
      </c>
      <c r="BR31" s="658">
        <v>21.34</v>
      </c>
      <c r="BS31" s="658">
        <v>21.34</v>
      </c>
      <c r="BT31" s="658">
        <v>78.400000000000006</v>
      </c>
      <c r="BU31" s="658">
        <v>78.400000000000006</v>
      </c>
      <c r="BV31" s="658">
        <v>112.14</v>
      </c>
      <c r="BW31" s="658">
        <v>114.5</v>
      </c>
    </row>
    <row r="32" spans="1:75" s="460" customFormat="1" ht="11.85" customHeight="1">
      <c r="A32" s="875" t="s">
        <v>961</v>
      </c>
      <c r="B32" s="690">
        <v>57.37</v>
      </c>
      <c r="C32" s="690">
        <v>56.31</v>
      </c>
      <c r="D32" s="690">
        <v>78.400000000000006</v>
      </c>
      <c r="E32" s="690">
        <v>78.400000000000006</v>
      </c>
      <c r="F32" s="690">
        <v>207.96</v>
      </c>
      <c r="G32" s="690">
        <v>207.93</v>
      </c>
      <c r="H32" s="690">
        <v>60.64</v>
      </c>
      <c r="I32" s="690">
        <v>60.09</v>
      </c>
      <c r="J32" s="690">
        <v>12.01</v>
      </c>
      <c r="K32" s="690">
        <v>11.92</v>
      </c>
      <c r="L32" s="690">
        <v>11.92</v>
      </c>
      <c r="M32" s="690">
        <v>11.74</v>
      </c>
      <c r="N32" s="690">
        <v>88.66</v>
      </c>
      <c r="O32" s="690">
        <v>87.39</v>
      </c>
      <c r="P32" s="875" t="s">
        <v>961</v>
      </c>
      <c r="Q32" s="690">
        <v>10.09</v>
      </c>
      <c r="R32" s="690">
        <v>10.09</v>
      </c>
      <c r="S32" s="690">
        <v>1.17</v>
      </c>
      <c r="T32" s="690">
        <v>1.17</v>
      </c>
      <c r="U32" s="690">
        <v>0.01</v>
      </c>
      <c r="V32" s="690">
        <v>0.01</v>
      </c>
      <c r="W32" s="690">
        <v>0</v>
      </c>
      <c r="X32" s="690">
        <v>0</v>
      </c>
      <c r="Y32" s="690">
        <v>0.72</v>
      </c>
      <c r="Z32" s="690">
        <v>0.71</v>
      </c>
      <c r="AA32" s="690">
        <v>260.05</v>
      </c>
      <c r="AB32" s="690">
        <v>259.60000000000002</v>
      </c>
      <c r="AC32" s="690">
        <v>19.399999999999999</v>
      </c>
      <c r="AD32" s="690">
        <v>19.07</v>
      </c>
      <c r="AE32" s="875" t="s">
        <v>961</v>
      </c>
      <c r="AF32" s="690">
        <v>7.0000000000000007E-2</v>
      </c>
      <c r="AG32" s="690">
        <v>7.0000000000000007E-2</v>
      </c>
      <c r="AH32" s="690">
        <v>0.73</v>
      </c>
      <c r="AI32" s="690">
        <v>0.73</v>
      </c>
      <c r="AJ32" s="690">
        <v>53.32</v>
      </c>
      <c r="AK32" s="690">
        <v>52.48</v>
      </c>
      <c r="AL32" s="690">
        <v>9.5299999999999994</v>
      </c>
      <c r="AM32" s="690">
        <v>9.39</v>
      </c>
      <c r="AN32" s="690">
        <v>203.63</v>
      </c>
      <c r="AO32" s="690">
        <v>203.61</v>
      </c>
      <c r="AP32" s="690">
        <v>0.75</v>
      </c>
      <c r="AQ32" s="690">
        <v>0.75</v>
      </c>
      <c r="AR32" s="690">
        <v>1.67</v>
      </c>
      <c r="AS32" s="690">
        <v>1.68</v>
      </c>
      <c r="AT32" s="875" t="s">
        <v>961</v>
      </c>
      <c r="AU32" s="690">
        <v>21.53</v>
      </c>
      <c r="AV32" s="690">
        <v>21.53</v>
      </c>
      <c r="AW32" s="690">
        <v>1.19</v>
      </c>
      <c r="AX32" s="690">
        <v>1.19</v>
      </c>
      <c r="AY32" s="690">
        <v>20.9</v>
      </c>
      <c r="AZ32" s="690">
        <v>20.9</v>
      </c>
      <c r="BA32" s="690">
        <v>7.0000000000000007E-2</v>
      </c>
      <c r="BB32" s="690">
        <v>7.0000000000000007E-2</v>
      </c>
      <c r="BC32" s="690">
        <v>57.23</v>
      </c>
      <c r="BD32" s="690">
        <v>56.74</v>
      </c>
      <c r="BE32" s="690">
        <v>9.5399999999999991</v>
      </c>
      <c r="BF32" s="690">
        <v>9.43</v>
      </c>
      <c r="BG32" s="690">
        <v>0.53</v>
      </c>
      <c r="BH32" s="690">
        <v>0.53</v>
      </c>
      <c r="BI32" s="875" t="s">
        <v>961</v>
      </c>
      <c r="BJ32" s="690">
        <v>80.14</v>
      </c>
      <c r="BK32" s="690">
        <v>79.02</v>
      </c>
      <c r="BL32" s="690">
        <v>0.36</v>
      </c>
      <c r="BM32" s="690">
        <v>0.36</v>
      </c>
      <c r="BN32" s="690">
        <v>110.66</v>
      </c>
      <c r="BO32" s="690">
        <v>110.22</v>
      </c>
      <c r="BP32" s="690">
        <v>2.21</v>
      </c>
      <c r="BQ32" s="690">
        <v>2.19</v>
      </c>
      <c r="BR32" s="690">
        <v>21.34</v>
      </c>
      <c r="BS32" s="690">
        <v>21.34</v>
      </c>
      <c r="BT32" s="690">
        <v>78.400000000000006</v>
      </c>
      <c r="BU32" s="690">
        <v>78.400000000000006</v>
      </c>
      <c r="BV32" s="690">
        <v>113.87</v>
      </c>
      <c r="BW32" s="690">
        <v>114.77</v>
      </c>
    </row>
    <row r="33" spans="1:75" s="460" customFormat="1" ht="11.85" customHeight="1">
      <c r="A33" s="883" t="s">
        <v>952</v>
      </c>
      <c r="B33" s="658">
        <v>57.97</v>
      </c>
      <c r="C33" s="658">
        <v>58.42</v>
      </c>
      <c r="D33" s="658">
        <v>78.400000000000006</v>
      </c>
      <c r="E33" s="658">
        <v>78.400000000000006</v>
      </c>
      <c r="F33" s="658">
        <v>207.91</v>
      </c>
      <c r="G33" s="658">
        <v>207.76</v>
      </c>
      <c r="H33" s="658">
        <v>60.78</v>
      </c>
      <c r="I33" s="658">
        <v>60.63</v>
      </c>
      <c r="J33" s="658">
        <v>11.91</v>
      </c>
      <c r="K33" s="658">
        <v>11.82</v>
      </c>
      <c r="L33" s="658">
        <v>11.85</v>
      </c>
      <c r="M33" s="658">
        <v>11.73</v>
      </c>
      <c r="N33" s="658">
        <v>88.13</v>
      </c>
      <c r="O33" s="658">
        <v>87.21</v>
      </c>
      <c r="P33" s="883" t="s">
        <v>952</v>
      </c>
      <c r="Q33" s="658">
        <v>10.09</v>
      </c>
      <c r="R33" s="658">
        <v>10.1</v>
      </c>
      <c r="S33" s="658">
        <v>1.1599999999999999</v>
      </c>
      <c r="T33" s="658">
        <v>1.1599999999999999</v>
      </c>
      <c r="U33" s="658">
        <v>0.01</v>
      </c>
      <c r="V33" s="658">
        <v>0.01</v>
      </c>
      <c r="W33" s="658">
        <v>0</v>
      </c>
      <c r="X33" s="658">
        <v>0</v>
      </c>
      <c r="Y33" s="658">
        <v>0.74</v>
      </c>
      <c r="Z33" s="658">
        <v>0.76</v>
      </c>
      <c r="AA33" s="658">
        <v>260</v>
      </c>
      <c r="AB33" s="658">
        <v>259.52</v>
      </c>
      <c r="AC33" s="658">
        <v>19.18</v>
      </c>
      <c r="AD33" s="658">
        <v>19.5</v>
      </c>
      <c r="AE33" s="883" t="s">
        <v>952</v>
      </c>
      <c r="AF33" s="658">
        <v>7.0000000000000007E-2</v>
      </c>
      <c r="AG33" s="658">
        <v>7.0000000000000007E-2</v>
      </c>
      <c r="AH33" s="658">
        <v>0.73</v>
      </c>
      <c r="AI33" s="658">
        <v>0.72</v>
      </c>
      <c r="AJ33" s="658">
        <v>55.08</v>
      </c>
      <c r="AK33" s="658">
        <v>55.76</v>
      </c>
      <c r="AL33" s="658">
        <v>9.44</v>
      </c>
      <c r="AM33" s="658">
        <v>9.34</v>
      </c>
      <c r="AN33" s="658">
        <v>203.63</v>
      </c>
      <c r="AO33" s="658">
        <v>203.63</v>
      </c>
      <c r="AP33" s="658">
        <v>0.75</v>
      </c>
      <c r="AQ33" s="658">
        <v>0.75</v>
      </c>
      <c r="AR33" s="658">
        <v>1.67</v>
      </c>
      <c r="AS33" s="658">
        <v>1.67</v>
      </c>
      <c r="AT33" s="883" t="s">
        <v>952</v>
      </c>
      <c r="AU33" s="658">
        <v>21.54</v>
      </c>
      <c r="AV33" s="658">
        <v>21.53</v>
      </c>
      <c r="AW33" s="658">
        <v>1.2</v>
      </c>
      <c r="AX33" s="658">
        <v>1.22</v>
      </c>
      <c r="AY33" s="658">
        <v>20.9</v>
      </c>
      <c r="AZ33" s="658">
        <v>20.9</v>
      </c>
      <c r="BA33" s="658">
        <v>7.0000000000000007E-2</v>
      </c>
      <c r="BB33" s="658">
        <v>7.0000000000000007E-2</v>
      </c>
      <c r="BC33" s="658">
        <v>57.89</v>
      </c>
      <c r="BD33" s="658">
        <v>58.16</v>
      </c>
      <c r="BE33" s="658">
        <v>9.44</v>
      </c>
      <c r="BF33" s="658">
        <v>9.25</v>
      </c>
      <c r="BG33" s="658">
        <v>0.54</v>
      </c>
      <c r="BH33" s="658">
        <v>0.54</v>
      </c>
      <c r="BI33" s="883" t="s">
        <v>952</v>
      </c>
      <c r="BJ33" s="658">
        <v>80.849999999999994</v>
      </c>
      <c r="BK33" s="658">
        <v>80.02</v>
      </c>
      <c r="BL33" s="658">
        <v>0.36</v>
      </c>
      <c r="BM33" s="658">
        <v>0.36</v>
      </c>
      <c r="BN33" s="658">
        <v>110.35</v>
      </c>
      <c r="BO33" s="658">
        <v>109.44</v>
      </c>
      <c r="BP33" s="658">
        <v>2.2200000000000002</v>
      </c>
      <c r="BQ33" s="658">
        <v>2.2200000000000002</v>
      </c>
      <c r="BR33" s="658">
        <v>21.34</v>
      </c>
      <c r="BS33" s="658">
        <v>21.35</v>
      </c>
      <c r="BT33" s="658">
        <v>78.400000000000006</v>
      </c>
      <c r="BU33" s="658">
        <v>78.400000000000006</v>
      </c>
      <c r="BV33" s="658">
        <v>111.7</v>
      </c>
      <c r="BW33" s="658">
        <v>105.25</v>
      </c>
    </row>
    <row r="34" spans="1:75" s="460" customFormat="1" ht="11.85" customHeight="1">
      <c r="A34" s="973" t="s">
        <v>2384</v>
      </c>
      <c r="B34" s="974">
        <f>AVERAGE(B35:B46)</f>
        <v>59.668333333333344</v>
      </c>
      <c r="C34" s="974">
        <f>C46</f>
        <v>61.93</v>
      </c>
      <c r="D34" s="974">
        <f>AVERAGE(D35:D46)</f>
        <v>79.125000000000014</v>
      </c>
      <c r="E34" s="974">
        <f>E46</f>
        <v>80.599999999999994</v>
      </c>
      <c r="F34" s="974">
        <f>AVERAGE(F35:F46)</f>
        <v>209.84333333333333</v>
      </c>
      <c r="G34" s="974">
        <f>G46</f>
        <v>213.64</v>
      </c>
      <c r="H34" s="974">
        <f>AVERAGE(H35:H46)</f>
        <v>59.649999999999984</v>
      </c>
      <c r="I34" s="974">
        <f>I46</f>
        <v>61.98</v>
      </c>
      <c r="J34" s="974">
        <f>AVERAGE(J35:J46)</f>
        <v>11.624166666666667</v>
      </c>
      <c r="K34" s="974">
        <f>K46</f>
        <v>11.9</v>
      </c>
      <c r="L34" s="974">
        <f>AVERAGE(L35:L46)</f>
        <v>11.592499999999999</v>
      </c>
      <c r="M34" s="974">
        <f>M46</f>
        <v>12.4</v>
      </c>
      <c r="N34" s="974">
        <f>AVERAGE(N35:N46)</f>
        <v>86.25833333333334</v>
      </c>
      <c r="O34" s="974">
        <f>O46</f>
        <v>92.21</v>
      </c>
      <c r="P34" s="973" t="s">
        <v>2384</v>
      </c>
      <c r="Q34" s="974">
        <f>AVERAGE(Q35:Q46)</f>
        <v>10.190833333333334</v>
      </c>
      <c r="R34" s="974">
        <f>R46</f>
        <v>10.33</v>
      </c>
      <c r="S34" s="974">
        <f>AVERAGE(S35:S46)</f>
        <v>1.1908333333333334</v>
      </c>
      <c r="T34" s="974">
        <f>T46</f>
        <v>1.25</v>
      </c>
      <c r="U34" s="974">
        <f>AVERAGE(U35:U46)</f>
        <v>9.9999999999999985E-3</v>
      </c>
      <c r="V34" s="974">
        <f>V46</f>
        <v>0.01</v>
      </c>
      <c r="W34" s="974">
        <f>AVERAGE(W35:W46)</f>
        <v>0</v>
      </c>
      <c r="X34" s="974">
        <f>X46</f>
        <v>0</v>
      </c>
      <c r="Y34" s="974">
        <f>AVERAGE(Y35:Y46)</f>
        <v>0.72750000000000015</v>
      </c>
      <c r="Z34" s="974">
        <f>Z46</f>
        <v>0.72</v>
      </c>
      <c r="AA34" s="974">
        <f>AVERAGE(AA35:AA46)</f>
        <v>260.46333333333331</v>
      </c>
      <c r="AB34" s="974">
        <f>AB46</f>
        <v>265.73</v>
      </c>
      <c r="AC34" s="974">
        <f>AVERAGE(AC35:AC46)</f>
        <v>18.475000000000005</v>
      </c>
      <c r="AD34" s="974">
        <f>AD46</f>
        <v>18.77</v>
      </c>
      <c r="AE34" s="973" t="s">
        <v>2384</v>
      </c>
      <c r="AF34" s="974">
        <f>AVERAGE(AF35:AF46)</f>
        <v>6.1666666666666682E-2</v>
      </c>
      <c r="AG34" s="974">
        <f>AG46</f>
        <v>0.06</v>
      </c>
      <c r="AH34" s="974">
        <f>AVERAGE(AH35:AH46)</f>
        <v>0.74333333333333318</v>
      </c>
      <c r="AI34" s="974">
        <f>AI46</f>
        <v>0.78</v>
      </c>
      <c r="AJ34" s="974">
        <f>AVERAGE(AJ35:AJ46)</f>
        <v>56.385833333333352</v>
      </c>
      <c r="AK34" s="974">
        <f>AK46</f>
        <v>58.84</v>
      </c>
      <c r="AL34" s="974">
        <f>AVERAGE(AL35:AL46)</f>
        <v>9.4049999999999994</v>
      </c>
      <c r="AM34" s="974">
        <f>AM46</f>
        <v>9.61</v>
      </c>
      <c r="AN34" s="974">
        <f>AVERAGE(AN35:AN46)</f>
        <v>205.50666666666666</v>
      </c>
      <c r="AO34" s="974">
        <f>AO46</f>
        <v>209.23</v>
      </c>
      <c r="AP34" s="974">
        <f>AVERAGE(AP35:AP46)</f>
        <v>0.75583333333333325</v>
      </c>
      <c r="AQ34" s="974">
        <f>AQ46</f>
        <v>0.77</v>
      </c>
      <c r="AR34" s="974">
        <f>AVERAGE(AR35:AR46)</f>
        <v>1.6166666666666669</v>
      </c>
      <c r="AS34" s="974">
        <f>AS46</f>
        <v>1.6</v>
      </c>
      <c r="AT34" s="973" t="s">
        <v>2384</v>
      </c>
      <c r="AU34" s="974">
        <f>AVERAGE(AU35:AU46)</f>
        <v>21.715</v>
      </c>
      <c r="AV34" s="974">
        <f>AV46</f>
        <v>21.58</v>
      </c>
      <c r="AW34" s="974">
        <f>AVERAGE(AW35:AW46)</f>
        <v>1.3033333333333335</v>
      </c>
      <c r="AX34" s="974">
        <f>AX46</f>
        <v>1.36</v>
      </c>
      <c r="AY34" s="974">
        <f>AVERAGE(AY35:AY46)</f>
        <v>21.098333333333336</v>
      </c>
      <c r="AZ34" s="974">
        <f>AZ46</f>
        <v>21.49</v>
      </c>
      <c r="BA34" s="974">
        <f>AVERAGE(BA35:BA46)</f>
        <v>7.0000000000000021E-2</v>
      </c>
      <c r="BB34" s="974">
        <f>BB46</f>
        <v>7.0000000000000007E-2</v>
      </c>
      <c r="BC34" s="974">
        <f>AVERAGE(BC35:BC46)</f>
        <v>56.837500000000006</v>
      </c>
      <c r="BD34" s="974">
        <f>BD46</f>
        <v>58.43</v>
      </c>
      <c r="BE34" s="974">
        <f>AVERAGE(BE35:BE46)</f>
        <v>8.9750000000000014</v>
      </c>
      <c r="BF34" s="974">
        <f>BF46</f>
        <v>9.52</v>
      </c>
      <c r="BG34" s="974">
        <f>AVERAGE(BG35:BG46)</f>
        <v>0.53000000000000014</v>
      </c>
      <c r="BH34" s="974">
        <f>BH46</f>
        <v>0.52</v>
      </c>
      <c r="BI34" s="973" t="s">
        <v>2384</v>
      </c>
      <c r="BJ34" s="974">
        <f>AVERAGE(BJ35:BJ46)</f>
        <v>79.833333333333329</v>
      </c>
      <c r="BK34" s="974">
        <f>BK46</f>
        <v>84.32</v>
      </c>
      <c r="BL34" s="974">
        <f>AVERAGE(BL35:BL46)</f>
        <v>0.20499999999999999</v>
      </c>
      <c r="BM34" s="974">
        <f>BM46</f>
        <v>0.16</v>
      </c>
      <c r="BN34" s="974">
        <f>AVERAGE(BN35:BN46)</f>
        <v>108.55583333333334</v>
      </c>
      <c r="BO34" s="974">
        <f>BO46</f>
        <v>112.08</v>
      </c>
      <c r="BP34" s="974">
        <f>AVERAGE(BP35:BP46)</f>
        <v>2.2675000000000005</v>
      </c>
      <c r="BQ34" s="974">
        <f>BQ46</f>
        <v>2.37</v>
      </c>
      <c r="BR34" s="974">
        <f>AVERAGE(BR35:BR46)</f>
        <v>21.5425</v>
      </c>
      <c r="BS34" s="974">
        <f>BS46</f>
        <v>21.94</v>
      </c>
      <c r="BT34" s="974">
        <f>AVERAGE(BT35:BT46)</f>
        <v>79.125000000000014</v>
      </c>
      <c r="BU34" s="974">
        <f>BU46</f>
        <v>80.599999999999994</v>
      </c>
      <c r="BV34" s="974">
        <f>AVERAGE(BV35:BV46)</f>
        <v>100.37666666666667</v>
      </c>
      <c r="BW34" s="974">
        <f>BW46</f>
        <v>104.82</v>
      </c>
    </row>
    <row r="35" spans="1:75" s="460" customFormat="1" ht="11.85" customHeight="1">
      <c r="A35" s="883" t="s">
        <v>954</v>
      </c>
      <c r="B35" s="658">
        <v>59.02</v>
      </c>
      <c r="C35" s="658">
        <v>59.56</v>
      </c>
      <c r="D35" s="658">
        <v>78.400000000000006</v>
      </c>
      <c r="E35" s="658">
        <v>78.400000000000006</v>
      </c>
      <c r="F35" s="658">
        <v>207.79</v>
      </c>
      <c r="G35" s="658">
        <v>207.85</v>
      </c>
      <c r="H35" s="658">
        <v>60.19</v>
      </c>
      <c r="I35" s="658">
        <v>60.17</v>
      </c>
      <c r="J35" s="658">
        <v>11.75</v>
      </c>
      <c r="K35" s="658">
        <v>11.79</v>
      </c>
      <c r="L35" s="658">
        <v>11.66</v>
      </c>
      <c r="M35" s="658">
        <v>11.78</v>
      </c>
      <c r="N35" s="658">
        <v>86.75</v>
      </c>
      <c r="O35" s="658">
        <v>87.6</v>
      </c>
      <c r="P35" s="883" t="s">
        <v>954</v>
      </c>
      <c r="Q35" s="658">
        <v>10.11</v>
      </c>
      <c r="R35" s="658">
        <v>10.11</v>
      </c>
      <c r="S35" s="658">
        <v>1.17</v>
      </c>
      <c r="T35" s="658">
        <v>1.18</v>
      </c>
      <c r="U35" s="658">
        <v>0.01</v>
      </c>
      <c r="V35" s="658">
        <v>0.01</v>
      </c>
      <c r="W35" s="658">
        <v>0</v>
      </c>
      <c r="X35" s="658">
        <v>0</v>
      </c>
      <c r="Y35" s="658">
        <v>0.75</v>
      </c>
      <c r="Z35" s="658">
        <v>0.77</v>
      </c>
      <c r="AA35" s="658">
        <v>259.44</v>
      </c>
      <c r="AB35" s="658">
        <v>259.26</v>
      </c>
      <c r="AC35" s="658">
        <v>19.510000000000002</v>
      </c>
      <c r="AD35" s="658">
        <v>19.260000000000002</v>
      </c>
      <c r="AE35" s="883" t="s">
        <v>954</v>
      </c>
      <c r="AF35" s="658">
        <v>7.0000000000000007E-2</v>
      </c>
      <c r="AG35" s="658">
        <v>7.0000000000000007E-2</v>
      </c>
      <c r="AH35" s="658">
        <v>0.73</v>
      </c>
      <c r="AI35" s="658">
        <v>0.73</v>
      </c>
      <c r="AJ35" s="658">
        <v>56.04</v>
      </c>
      <c r="AK35" s="658">
        <v>56.51</v>
      </c>
      <c r="AL35" s="658">
        <v>9.26</v>
      </c>
      <c r="AM35" s="658">
        <v>9.2799999999999994</v>
      </c>
      <c r="AN35" s="658">
        <v>203.63</v>
      </c>
      <c r="AO35" s="658">
        <v>203.56</v>
      </c>
      <c r="AP35" s="658">
        <v>0.75</v>
      </c>
      <c r="AQ35" s="658">
        <v>0.75</v>
      </c>
      <c r="AR35" s="658">
        <v>1.67</v>
      </c>
      <c r="AS35" s="658">
        <v>1.67</v>
      </c>
      <c r="AT35" s="883" t="s">
        <v>954</v>
      </c>
      <c r="AU35" s="808">
        <v>21.53</v>
      </c>
      <c r="AV35" s="658">
        <v>21.53</v>
      </c>
      <c r="AW35" s="658">
        <v>1.22</v>
      </c>
      <c r="AX35" s="658">
        <v>1.19</v>
      </c>
      <c r="AY35" s="658">
        <v>20.9</v>
      </c>
      <c r="AZ35" s="658">
        <v>20.9</v>
      </c>
      <c r="BA35" s="658">
        <v>7.0000000000000007E-2</v>
      </c>
      <c r="BB35" s="658">
        <v>7.0000000000000007E-2</v>
      </c>
      <c r="BC35" s="658">
        <v>58.07</v>
      </c>
      <c r="BD35" s="658">
        <v>58.052</v>
      </c>
      <c r="BE35" s="658">
        <v>9.16</v>
      </c>
      <c r="BF35" s="658">
        <v>9.16</v>
      </c>
      <c r="BG35" s="658">
        <v>0.54</v>
      </c>
      <c r="BH35" s="658">
        <v>0.54</v>
      </c>
      <c r="BI35" s="883" t="s">
        <v>954</v>
      </c>
      <c r="BJ35" s="658">
        <v>79.87</v>
      </c>
      <c r="BK35" s="658">
        <v>80.88</v>
      </c>
      <c r="BL35" s="658">
        <v>0.36</v>
      </c>
      <c r="BM35" s="658">
        <v>0.36</v>
      </c>
      <c r="BN35" s="658">
        <v>109.06</v>
      </c>
      <c r="BO35" s="658">
        <v>109.24</v>
      </c>
      <c r="BP35" s="658">
        <v>2.2400000000000002</v>
      </c>
      <c r="BQ35" s="658">
        <v>2.25</v>
      </c>
      <c r="BR35" s="658">
        <v>21.35</v>
      </c>
      <c r="BS35" s="658">
        <v>21.35</v>
      </c>
      <c r="BT35" s="658">
        <v>78.400000000000006</v>
      </c>
      <c r="BU35" s="658">
        <v>78.400000000000006</v>
      </c>
      <c r="BV35" s="658">
        <v>103.18</v>
      </c>
      <c r="BW35" s="658">
        <v>103.73</v>
      </c>
    </row>
    <row r="36" spans="1:75" s="460" customFormat="1" ht="11.85" customHeight="1">
      <c r="A36" s="875" t="s">
        <v>955</v>
      </c>
      <c r="B36" s="690">
        <v>59.77</v>
      </c>
      <c r="C36" s="690">
        <v>58.87</v>
      </c>
      <c r="D36" s="690">
        <v>78.400000000000006</v>
      </c>
      <c r="E36" s="690">
        <v>78.400000000000006</v>
      </c>
      <c r="F36" s="690">
        <v>207.91</v>
      </c>
      <c r="G36" s="690">
        <v>207.93</v>
      </c>
      <c r="H36" s="690">
        <v>60.33</v>
      </c>
      <c r="I36" s="690">
        <v>59.85</v>
      </c>
      <c r="J36" s="690">
        <v>11.79</v>
      </c>
      <c r="K36" s="690">
        <v>11.72</v>
      </c>
      <c r="L36" s="690">
        <v>11.8</v>
      </c>
      <c r="M36" s="690">
        <v>11.73</v>
      </c>
      <c r="N36" s="690">
        <v>87.84</v>
      </c>
      <c r="O36" s="690">
        <v>87.36</v>
      </c>
      <c r="P36" s="875" t="s">
        <v>955</v>
      </c>
      <c r="Q36" s="690">
        <v>10.11</v>
      </c>
      <c r="R36" s="690">
        <v>10.11</v>
      </c>
      <c r="S36" s="690">
        <v>1.17</v>
      </c>
      <c r="T36" s="690">
        <v>1.17</v>
      </c>
      <c r="U36" s="690">
        <v>0.01</v>
      </c>
      <c r="V36" s="690">
        <v>0.01</v>
      </c>
      <c r="W36" s="690">
        <v>0</v>
      </c>
      <c r="X36" s="690">
        <v>0</v>
      </c>
      <c r="Y36" s="690">
        <v>0.77</v>
      </c>
      <c r="Z36" s="690">
        <v>0.76</v>
      </c>
      <c r="AA36" s="690">
        <v>259.99</v>
      </c>
      <c r="AB36" s="690">
        <v>259.69</v>
      </c>
      <c r="AC36" s="690">
        <v>19.47</v>
      </c>
      <c r="AD36" s="690">
        <v>19.36</v>
      </c>
      <c r="AE36" s="875" t="s">
        <v>955</v>
      </c>
      <c r="AF36" s="690">
        <v>7.0000000000000007E-2</v>
      </c>
      <c r="AG36" s="690">
        <v>0.06</v>
      </c>
      <c r="AH36" s="690">
        <v>0.73</v>
      </c>
      <c r="AI36" s="690">
        <v>0.73</v>
      </c>
      <c r="AJ36" s="690">
        <v>56.65</v>
      </c>
      <c r="AK36" s="690">
        <v>56.6</v>
      </c>
      <c r="AL36" s="690">
        <v>9.44</v>
      </c>
      <c r="AM36" s="690">
        <v>9.4</v>
      </c>
      <c r="AN36" s="690">
        <v>203.64</v>
      </c>
      <c r="AO36" s="690">
        <v>203.64</v>
      </c>
      <c r="AP36" s="690">
        <v>0.75</v>
      </c>
      <c r="AQ36" s="690">
        <v>0.75</v>
      </c>
      <c r="AR36" s="690">
        <v>1.68</v>
      </c>
      <c r="AS36" s="690">
        <v>1.68</v>
      </c>
      <c r="AT36" s="875" t="s">
        <v>955</v>
      </c>
      <c r="AU36" s="774">
        <v>21.53</v>
      </c>
      <c r="AV36" s="690">
        <v>21.53</v>
      </c>
      <c r="AW36" s="690">
        <v>1.21</v>
      </c>
      <c r="AX36" s="690">
        <v>1.2</v>
      </c>
      <c r="AY36" s="690">
        <v>20.91</v>
      </c>
      <c r="AZ36" s="690">
        <v>20.9</v>
      </c>
      <c r="BA36" s="690">
        <v>7.0000000000000007E-2</v>
      </c>
      <c r="BB36" s="690">
        <v>7.0000000000000007E-2</v>
      </c>
      <c r="BC36" s="690">
        <v>58.19</v>
      </c>
      <c r="BD36" s="690">
        <v>57.44</v>
      </c>
      <c r="BE36" s="690">
        <v>9.25</v>
      </c>
      <c r="BF36" s="690">
        <v>9.19</v>
      </c>
      <c r="BG36" s="690">
        <v>0.54</v>
      </c>
      <c r="BH36" s="690">
        <v>0.54</v>
      </c>
      <c r="BI36" s="875" t="s">
        <v>955</v>
      </c>
      <c r="BJ36" s="690">
        <v>80.709999999999994</v>
      </c>
      <c r="BK36" s="690">
        <v>79.680000000000007</v>
      </c>
      <c r="BL36" s="690">
        <v>0.36</v>
      </c>
      <c r="BM36" s="690">
        <v>0.37</v>
      </c>
      <c r="BN36" s="690">
        <v>109.71</v>
      </c>
      <c r="BO36" s="690">
        <v>109.44</v>
      </c>
      <c r="BP36" s="690">
        <v>2.2599999999999998</v>
      </c>
      <c r="BQ36" s="690">
        <v>2.2599999999999998</v>
      </c>
      <c r="BR36" s="690">
        <v>21.34</v>
      </c>
      <c r="BS36" s="690">
        <v>21.34</v>
      </c>
      <c r="BT36" s="690">
        <v>78.400000000000006</v>
      </c>
      <c r="BU36" s="690">
        <v>78.400000000000006</v>
      </c>
      <c r="BV36" s="690">
        <v>102.71</v>
      </c>
      <c r="BW36" s="690">
        <v>102.57</v>
      </c>
    </row>
    <row r="37" spans="1:75" s="460" customFormat="1" ht="11.85" customHeight="1">
      <c r="A37" s="883" t="s">
        <v>949</v>
      </c>
      <c r="B37" s="658">
        <v>59.46</v>
      </c>
      <c r="C37" s="658">
        <v>59.86</v>
      </c>
      <c r="D37" s="658">
        <v>78.400000000000006</v>
      </c>
      <c r="E37" s="658">
        <v>78.400000000000006</v>
      </c>
      <c r="F37" s="658">
        <v>207.96</v>
      </c>
      <c r="G37" s="658">
        <v>207.96</v>
      </c>
      <c r="H37" s="658">
        <v>59.91</v>
      </c>
      <c r="I37" s="658">
        <v>59.65</v>
      </c>
      <c r="J37" s="658">
        <v>11.75</v>
      </c>
      <c r="K37" s="658">
        <v>11.74</v>
      </c>
      <c r="L37" s="658">
        <v>11.79</v>
      </c>
      <c r="M37" s="658">
        <v>11.81</v>
      </c>
      <c r="N37" s="658">
        <v>87.87</v>
      </c>
      <c r="O37" s="658">
        <v>87.98</v>
      </c>
      <c r="P37" s="883" t="s">
        <v>949</v>
      </c>
      <c r="Q37" s="658">
        <v>10.11</v>
      </c>
      <c r="R37" s="658">
        <v>10.11</v>
      </c>
      <c r="S37" s="658">
        <v>1.17</v>
      </c>
      <c r="T37" s="658">
        <v>1.17</v>
      </c>
      <c r="U37" s="658">
        <v>0.01</v>
      </c>
      <c r="V37" s="658">
        <v>0.01</v>
      </c>
      <c r="W37" s="658">
        <v>0</v>
      </c>
      <c r="X37" s="658">
        <v>0</v>
      </c>
      <c r="Y37" s="658">
        <v>0.77</v>
      </c>
      <c r="Z37" s="658">
        <v>0.78</v>
      </c>
      <c r="AA37" s="658">
        <v>260.02999999999997</v>
      </c>
      <c r="AB37" s="658">
        <v>260.16000000000003</v>
      </c>
      <c r="AC37" s="658">
        <v>19.09</v>
      </c>
      <c r="AD37" s="658">
        <v>18.920000000000002</v>
      </c>
      <c r="AE37" s="883" t="s">
        <v>949</v>
      </c>
      <c r="AF37" s="658">
        <v>0.06</v>
      </c>
      <c r="AG37" s="658">
        <v>0.06</v>
      </c>
      <c r="AH37" s="658">
        <v>0.73</v>
      </c>
      <c r="AI37" s="658">
        <v>0.73</v>
      </c>
      <c r="AJ37" s="658">
        <v>57.3</v>
      </c>
      <c r="AK37" s="658">
        <v>56.87</v>
      </c>
      <c r="AL37" s="658">
        <v>9.5399999999999991</v>
      </c>
      <c r="AM37" s="658">
        <v>9.74</v>
      </c>
      <c r="AN37" s="658">
        <v>203.62</v>
      </c>
      <c r="AO37" s="658">
        <v>203.63</v>
      </c>
      <c r="AP37" s="658">
        <v>0.75</v>
      </c>
      <c r="AQ37" s="658">
        <v>0.75</v>
      </c>
      <c r="AR37" s="658">
        <v>1.65</v>
      </c>
      <c r="AS37" s="658">
        <v>1.62</v>
      </c>
      <c r="AT37" s="883" t="s">
        <v>949</v>
      </c>
      <c r="AU37" s="808">
        <v>21.53</v>
      </c>
      <c r="AV37" s="658">
        <v>21.53</v>
      </c>
      <c r="AW37" s="658">
        <v>1.22</v>
      </c>
      <c r="AX37" s="658">
        <v>1.24</v>
      </c>
      <c r="AY37" s="658">
        <v>20.9</v>
      </c>
      <c r="AZ37" s="658">
        <v>20.88</v>
      </c>
      <c r="BA37" s="658">
        <v>7.0000000000000007E-2</v>
      </c>
      <c r="BB37" s="658">
        <v>7.0000000000000007E-2</v>
      </c>
      <c r="BC37" s="658">
        <v>57.68</v>
      </c>
      <c r="BD37" s="658">
        <v>57.46</v>
      </c>
      <c r="BE37" s="658">
        <v>9.19</v>
      </c>
      <c r="BF37" s="658">
        <v>9.14</v>
      </c>
      <c r="BG37" s="658">
        <v>0.54</v>
      </c>
      <c r="BH37" s="658">
        <v>0.53</v>
      </c>
      <c r="BI37" s="883" t="s">
        <v>949</v>
      </c>
      <c r="BJ37" s="658">
        <v>80.430000000000007</v>
      </c>
      <c r="BK37" s="658">
        <v>81.150000000000006</v>
      </c>
      <c r="BL37" s="658">
        <v>0.36</v>
      </c>
      <c r="BM37" s="658">
        <v>0.37</v>
      </c>
      <c r="BN37" s="658">
        <v>109.69</v>
      </c>
      <c r="BO37" s="658">
        <v>109.62</v>
      </c>
      <c r="BP37" s="658">
        <v>2.2599999999999998</v>
      </c>
      <c r="BQ37" s="658">
        <v>2.2599999999999998</v>
      </c>
      <c r="BR37" s="658">
        <v>21.34</v>
      </c>
      <c r="BS37" s="658">
        <v>21.34</v>
      </c>
      <c r="BT37" s="658">
        <v>78.400000000000006</v>
      </c>
      <c r="BU37" s="658">
        <v>78.400000000000006</v>
      </c>
      <c r="BV37" s="658">
        <v>103.1</v>
      </c>
      <c r="BW37" s="658">
        <v>101.68</v>
      </c>
    </row>
    <row r="38" spans="1:75" s="460" customFormat="1" ht="11.85" customHeight="1">
      <c r="A38" s="875" t="s">
        <v>956</v>
      </c>
      <c r="B38" s="690">
        <v>59.72</v>
      </c>
      <c r="C38" s="690">
        <v>59.59</v>
      </c>
      <c r="D38" s="690">
        <v>78.400000000000006</v>
      </c>
      <c r="E38" s="690">
        <v>78.42</v>
      </c>
      <c r="F38" s="690">
        <v>207.95</v>
      </c>
      <c r="G38" s="690">
        <v>207.97</v>
      </c>
      <c r="H38" s="690">
        <v>59.23</v>
      </c>
      <c r="I38" s="690">
        <v>58.53</v>
      </c>
      <c r="J38" s="690">
        <v>11.65</v>
      </c>
      <c r="K38" s="690">
        <v>11.59</v>
      </c>
      <c r="L38" s="690">
        <v>11.63</v>
      </c>
      <c r="M38" s="690">
        <v>11.57</v>
      </c>
      <c r="N38" s="690">
        <v>86.56</v>
      </c>
      <c r="O38" s="690">
        <v>86.15</v>
      </c>
      <c r="P38" s="875" t="s">
        <v>956</v>
      </c>
      <c r="Q38" s="690">
        <v>10.11</v>
      </c>
      <c r="R38" s="690">
        <v>10.11</v>
      </c>
      <c r="S38" s="690">
        <v>1.17</v>
      </c>
      <c r="T38" s="690">
        <v>1.17</v>
      </c>
      <c r="U38" s="690">
        <v>0.01</v>
      </c>
      <c r="V38" s="690">
        <v>0.01</v>
      </c>
      <c r="W38" s="690">
        <v>0</v>
      </c>
      <c r="X38" s="690">
        <v>0</v>
      </c>
      <c r="Y38" s="690">
        <v>0.76</v>
      </c>
      <c r="Z38" s="690">
        <v>0.75</v>
      </c>
      <c r="AA38" s="690">
        <v>259.14</v>
      </c>
      <c r="AB38" s="690">
        <v>258.58</v>
      </c>
      <c r="AC38" s="690">
        <v>18.78</v>
      </c>
      <c r="AD38" s="690">
        <v>18.66</v>
      </c>
      <c r="AE38" s="875" t="s">
        <v>956</v>
      </c>
      <c r="AF38" s="690">
        <v>0.06</v>
      </c>
      <c r="AG38" s="690">
        <v>0.06</v>
      </c>
      <c r="AH38" s="690">
        <v>0.73</v>
      </c>
      <c r="AI38" s="690">
        <v>0.73</v>
      </c>
      <c r="AJ38" s="690">
        <v>56.16</v>
      </c>
      <c r="AK38" s="690">
        <v>56.16</v>
      </c>
      <c r="AL38" s="690">
        <v>9.61</v>
      </c>
      <c r="AM38" s="690">
        <v>9.49</v>
      </c>
      <c r="AN38" s="690">
        <v>203.63</v>
      </c>
      <c r="AO38" s="690">
        <v>203.68</v>
      </c>
      <c r="AP38" s="690">
        <v>0.75</v>
      </c>
      <c r="AQ38" s="690">
        <v>0.75</v>
      </c>
      <c r="AR38" s="690">
        <v>1.62</v>
      </c>
      <c r="AS38" s="690">
        <v>1.62</v>
      </c>
      <c r="AT38" s="875" t="s">
        <v>956</v>
      </c>
      <c r="AU38" s="774">
        <v>21.53</v>
      </c>
      <c r="AV38" s="690">
        <v>21.54</v>
      </c>
      <c r="AW38" s="690">
        <v>1.25</v>
      </c>
      <c r="AX38" s="690">
        <v>1.24</v>
      </c>
      <c r="AY38" s="690">
        <v>20.9</v>
      </c>
      <c r="AZ38" s="690">
        <v>20.91</v>
      </c>
      <c r="BA38" s="690">
        <v>7.0000000000000007E-2</v>
      </c>
      <c r="BB38" s="690">
        <v>7.0000000000000007E-2</v>
      </c>
      <c r="BC38" s="690">
        <v>56.71</v>
      </c>
      <c r="BD38" s="690">
        <v>56.33</v>
      </c>
      <c r="BE38" s="690">
        <v>8.92</v>
      </c>
      <c r="BF38" s="690">
        <v>8.69</v>
      </c>
      <c r="BG38" s="690">
        <v>0.53</v>
      </c>
      <c r="BH38" s="690">
        <v>0.53</v>
      </c>
      <c r="BI38" s="875" t="s">
        <v>956</v>
      </c>
      <c r="BJ38" s="690">
        <v>79.53</v>
      </c>
      <c r="BK38" s="690">
        <v>79.319999999999993</v>
      </c>
      <c r="BL38" s="690">
        <v>0.16</v>
      </c>
      <c r="BM38" s="690">
        <v>0.15</v>
      </c>
      <c r="BN38" s="690">
        <v>108.32</v>
      </c>
      <c r="BO38" s="690">
        <v>107.57</v>
      </c>
      <c r="BP38" s="690">
        <v>2.2400000000000002</v>
      </c>
      <c r="BQ38" s="690">
        <v>2.2400000000000002</v>
      </c>
      <c r="BR38" s="690">
        <v>21.35</v>
      </c>
      <c r="BS38" s="690">
        <v>21.35</v>
      </c>
      <c r="BT38" s="690">
        <v>78.400000000000006</v>
      </c>
      <c r="BU38" s="690">
        <v>78.42</v>
      </c>
      <c r="BV38" s="690">
        <v>97.03</v>
      </c>
      <c r="BW38" s="690">
        <v>95.55</v>
      </c>
    </row>
    <row r="39" spans="1:75" s="460" customFormat="1" ht="11.85" customHeight="1">
      <c r="A39" s="883" t="s">
        <v>957</v>
      </c>
      <c r="B39" s="658">
        <v>59.17</v>
      </c>
      <c r="C39" s="658">
        <v>58.91</v>
      </c>
      <c r="D39" s="658">
        <v>78.540000000000006</v>
      </c>
      <c r="E39" s="658">
        <v>78.72</v>
      </c>
      <c r="F39" s="658">
        <v>208.32</v>
      </c>
      <c r="G39" s="658">
        <v>208.82</v>
      </c>
      <c r="H39" s="658">
        <v>58.37</v>
      </c>
      <c r="I39" s="658">
        <v>58.6</v>
      </c>
      <c r="J39" s="658">
        <v>11.49</v>
      </c>
      <c r="K39" s="658">
        <v>11.43</v>
      </c>
      <c r="L39" s="658">
        <v>11.4</v>
      </c>
      <c r="M39" s="658">
        <v>11.27</v>
      </c>
      <c r="N39" s="658">
        <v>84.84</v>
      </c>
      <c r="O39" s="658">
        <v>83.83</v>
      </c>
      <c r="P39" s="883" t="s">
        <v>957</v>
      </c>
      <c r="Q39" s="658">
        <v>10.130000000000001</v>
      </c>
      <c r="R39" s="658">
        <v>10.15</v>
      </c>
      <c r="S39" s="658">
        <v>1.1599999999999999</v>
      </c>
      <c r="T39" s="658">
        <v>1.1499999999999999</v>
      </c>
      <c r="U39" s="658">
        <v>0.01</v>
      </c>
      <c r="V39" s="658">
        <v>0.01</v>
      </c>
      <c r="W39" s="658">
        <v>0</v>
      </c>
      <c r="X39" s="658">
        <v>0</v>
      </c>
      <c r="Y39" s="658">
        <v>0.73</v>
      </c>
      <c r="Z39" s="658">
        <v>0.7</v>
      </c>
      <c r="AA39" s="658">
        <v>258.51</v>
      </c>
      <c r="AB39" s="658">
        <v>258.04000000000002</v>
      </c>
      <c r="AC39" s="658">
        <v>18.13</v>
      </c>
      <c r="AD39" s="658">
        <v>17.63</v>
      </c>
      <c r="AE39" s="883" t="s">
        <v>957</v>
      </c>
      <c r="AF39" s="658">
        <v>0.06</v>
      </c>
      <c r="AG39" s="658">
        <v>0.06</v>
      </c>
      <c r="AH39" s="658">
        <v>0.73</v>
      </c>
      <c r="AI39" s="658">
        <v>0.72</v>
      </c>
      <c r="AJ39" s="658">
        <v>56.14</v>
      </c>
      <c r="AK39" s="658">
        <v>56.09</v>
      </c>
      <c r="AL39" s="658">
        <v>9.34</v>
      </c>
      <c r="AM39" s="658">
        <v>9.23</v>
      </c>
      <c r="AN39" s="658">
        <v>204</v>
      </c>
      <c r="AO39" s="658">
        <v>204.45</v>
      </c>
      <c r="AP39" s="658">
        <v>0.75</v>
      </c>
      <c r="AQ39" s="658">
        <v>0.75</v>
      </c>
      <c r="AR39" s="658">
        <v>1.6</v>
      </c>
      <c r="AS39" s="658">
        <v>1.58</v>
      </c>
      <c r="AT39" s="883" t="s">
        <v>957</v>
      </c>
      <c r="AU39" s="808">
        <v>21.57</v>
      </c>
      <c r="AV39" s="658">
        <v>21.62</v>
      </c>
      <c r="AW39" s="658">
        <v>1.22</v>
      </c>
      <c r="AX39" s="658">
        <v>1.21</v>
      </c>
      <c r="AY39" s="658">
        <v>20.95</v>
      </c>
      <c r="AZ39" s="658">
        <v>20.99</v>
      </c>
      <c r="BA39" s="658">
        <v>7.0000000000000007E-2</v>
      </c>
      <c r="BB39" s="658">
        <v>7.0000000000000007E-2</v>
      </c>
      <c r="BC39" s="658">
        <v>55.71</v>
      </c>
      <c r="BD39" s="658">
        <v>55.24</v>
      </c>
      <c r="BE39" s="658">
        <v>8.61</v>
      </c>
      <c r="BF39" s="658">
        <v>8.57</v>
      </c>
      <c r="BG39" s="658">
        <v>0.53</v>
      </c>
      <c r="BH39" s="658">
        <v>0.53</v>
      </c>
      <c r="BI39" s="883" t="s">
        <v>957</v>
      </c>
      <c r="BJ39" s="658">
        <v>78.92</v>
      </c>
      <c r="BK39" s="658">
        <v>77.8</v>
      </c>
      <c r="BL39" s="658">
        <v>0.15</v>
      </c>
      <c r="BM39" s="658">
        <v>0.15</v>
      </c>
      <c r="BN39" s="658">
        <v>107.36</v>
      </c>
      <c r="BO39" s="658">
        <v>106.43</v>
      </c>
      <c r="BP39" s="658">
        <v>2.2200000000000002</v>
      </c>
      <c r="BQ39" s="658">
        <v>2.21</v>
      </c>
      <c r="BR39" s="658">
        <v>21.38</v>
      </c>
      <c r="BS39" s="658">
        <v>21.43</v>
      </c>
      <c r="BT39" s="658">
        <v>78.540000000000006</v>
      </c>
      <c r="BU39" s="658">
        <v>78.72</v>
      </c>
      <c r="BV39" s="658">
        <v>97.69</v>
      </c>
      <c r="BW39" s="658">
        <v>98.32</v>
      </c>
    </row>
    <row r="40" spans="1:75" s="460" customFormat="1" ht="11.85" customHeight="1">
      <c r="A40" s="875" t="s">
        <v>950</v>
      </c>
      <c r="B40" s="690">
        <v>57.85</v>
      </c>
      <c r="C40" s="690">
        <v>56.79</v>
      </c>
      <c r="D40" s="690">
        <v>78.8</v>
      </c>
      <c r="E40" s="690">
        <v>78.7</v>
      </c>
      <c r="F40" s="690">
        <v>209.02</v>
      </c>
      <c r="G40" s="690">
        <v>208.84</v>
      </c>
      <c r="H40" s="690">
        <v>59.01</v>
      </c>
      <c r="I40" s="690">
        <v>58.59</v>
      </c>
      <c r="J40" s="690">
        <v>11.39</v>
      </c>
      <c r="K40" s="690">
        <v>11.34</v>
      </c>
      <c r="L40" s="690">
        <v>11.17</v>
      </c>
      <c r="M40" s="690">
        <v>11.14</v>
      </c>
      <c r="N40" s="690">
        <v>83.1</v>
      </c>
      <c r="O40" s="690">
        <v>82.76</v>
      </c>
      <c r="P40" s="875" t="s">
        <v>950</v>
      </c>
      <c r="Q40" s="690">
        <v>10.16</v>
      </c>
      <c r="R40" s="690">
        <v>10.15</v>
      </c>
      <c r="S40" s="690">
        <v>1.1599999999999999</v>
      </c>
      <c r="T40" s="690">
        <v>1.1599999999999999</v>
      </c>
      <c r="U40" s="690">
        <v>0.01</v>
      </c>
      <c r="V40" s="690">
        <v>0.01</v>
      </c>
      <c r="W40" s="690">
        <v>0</v>
      </c>
      <c r="X40" s="690">
        <v>0</v>
      </c>
      <c r="Y40" s="690">
        <v>0.68</v>
      </c>
      <c r="Z40" s="690">
        <v>0.67</v>
      </c>
      <c r="AA40" s="690">
        <v>257.88</v>
      </c>
      <c r="AB40" s="690">
        <v>257.48</v>
      </c>
      <c r="AC40" s="690">
        <v>17.670000000000002</v>
      </c>
      <c r="AD40" s="690">
        <v>17.54</v>
      </c>
      <c r="AE40" s="875" t="s">
        <v>950</v>
      </c>
      <c r="AF40" s="690">
        <v>0.06</v>
      </c>
      <c r="AG40" s="690">
        <v>0.06</v>
      </c>
      <c r="AH40" s="690">
        <v>0.73</v>
      </c>
      <c r="AI40" s="690">
        <v>0.72</v>
      </c>
      <c r="AJ40" s="690">
        <v>55.41</v>
      </c>
      <c r="AK40" s="690">
        <v>54.67</v>
      </c>
      <c r="AL40" s="690">
        <v>9.1999999999999993</v>
      </c>
      <c r="AM40" s="690">
        <v>9.11</v>
      </c>
      <c r="AN40" s="690">
        <v>204.68</v>
      </c>
      <c r="AO40" s="690">
        <v>204.36</v>
      </c>
      <c r="AP40" s="690">
        <v>0.75</v>
      </c>
      <c r="AQ40" s="690">
        <v>0.75</v>
      </c>
      <c r="AR40" s="690">
        <v>1.58</v>
      </c>
      <c r="AS40" s="690">
        <v>1.59</v>
      </c>
      <c r="AT40" s="875" t="s">
        <v>950</v>
      </c>
      <c r="AU40" s="774">
        <v>21.64</v>
      </c>
      <c r="AV40" s="690">
        <v>21.61</v>
      </c>
      <c r="AW40" s="690">
        <v>1.27</v>
      </c>
      <c r="AX40" s="690">
        <v>1.28</v>
      </c>
      <c r="AY40" s="690">
        <v>21.01</v>
      </c>
      <c r="AZ40" s="690">
        <v>20.98</v>
      </c>
      <c r="BA40" s="690">
        <v>7.0000000000000007E-2</v>
      </c>
      <c r="BB40" s="690">
        <v>7.0000000000000007E-2</v>
      </c>
      <c r="BC40" s="690">
        <v>54.87</v>
      </c>
      <c r="BD40" s="690">
        <v>54.34</v>
      </c>
      <c r="BE40" s="690">
        <v>8.56</v>
      </c>
      <c r="BF40" s="690">
        <v>8.64</v>
      </c>
      <c r="BG40" s="690">
        <v>0.53</v>
      </c>
      <c r="BH40" s="690">
        <v>0.53</v>
      </c>
      <c r="BI40" s="875" t="s">
        <v>950</v>
      </c>
      <c r="BJ40" s="690">
        <v>77.28</v>
      </c>
      <c r="BK40" s="690">
        <v>77.28</v>
      </c>
      <c r="BL40" s="690">
        <v>0.15</v>
      </c>
      <c r="BM40" s="690">
        <v>0.15</v>
      </c>
      <c r="BN40" s="690">
        <v>106.14</v>
      </c>
      <c r="BO40" s="690">
        <v>105.79</v>
      </c>
      <c r="BP40" s="690">
        <v>2.2000000000000002</v>
      </c>
      <c r="BQ40" s="690">
        <v>2.2000000000000002</v>
      </c>
      <c r="BR40" s="690">
        <v>21.46</v>
      </c>
      <c r="BS40" s="690">
        <v>21.43</v>
      </c>
      <c r="BT40" s="690">
        <v>78.8</v>
      </c>
      <c r="BU40" s="690">
        <v>78.7</v>
      </c>
      <c r="BV40" s="690">
        <v>98.37</v>
      </c>
      <c r="BW40" s="690">
        <v>97.11</v>
      </c>
    </row>
    <row r="41" spans="1:75" s="460" customFormat="1" ht="11.85" customHeight="1">
      <c r="A41" s="883" t="s">
        <v>958</v>
      </c>
      <c r="B41" s="658">
        <v>58.73</v>
      </c>
      <c r="C41" s="658">
        <v>59.74</v>
      </c>
      <c r="D41" s="658">
        <v>78.86</v>
      </c>
      <c r="E41" s="658">
        <v>79.069999999999993</v>
      </c>
      <c r="F41" s="658">
        <v>209.17</v>
      </c>
      <c r="G41" s="658">
        <v>209.72</v>
      </c>
      <c r="H41" s="658">
        <v>59.65</v>
      </c>
      <c r="I41" s="658">
        <v>60.27</v>
      </c>
      <c r="J41" s="658">
        <v>11.45</v>
      </c>
      <c r="K41" s="658">
        <v>11.53</v>
      </c>
      <c r="L41" s="658">
        <v>11.26</v>
      </c>
      <c r="M41" s="658">
        <v>11.37</v>
      </c>
      <c r="N41" s="658">
        <v>83.77</v>
      </c>
      <c r="O41" s="658">
        <v>84.56</v>
      </c>
      <c r="P41" s="883" t="s">
        <v>958</v>
      </c>
      <c r="Q41" s="658">
        <v>10.17</v>
      </c>
      <c r="R41" s="658">
        <v>10.19</v>
      </c>
      <c r="S41" s="658">
        <v>1.1599999999999999</v>
      </c>
      <c r="T41" s="658">
        <v>1.17</v>
      </c>
      <c r="U41" s="658">
        <v>0.01</v>
      </c>
      <c r="V41" s="658">
        <v>0.01</v>
      </c>
      <c r="W41" s="658">
        <v>0</v>
      </c>
      <c r="X41" s="658">
        <v>0</v>
      </c>
      <c r="Y41" s="658">
        <v>0.69</v>
      </c>
      <c r="Z41" s="658">
        <v>0.69</v>
      </c>
      <c r="AA41" s="658">
        <v>258.13</v>
      </c>
      <c r="AB41" s="658">
        <v>259.44</v>
      </c>
      <c r="AC41" s="658">
        <v>17.690000000000001</v>
      </c>
      <c r="AD41" s="658">
        <v>17.850000000000001</v>
      </c>
      <c r="AE41" s="883" t="s">
        <v>958</v>
      </c>
      <c r="AF41" s="658">
        <v>0.06</v>
      </c>
      <c r="AG41" s="658">
        <v>0.06</v>
      </c>
      <c r="AH41" s="658">
        <v>0.72</v>
      </c>
      <c r="AI41" s="658">
        <v>0.73</v>
      </c>
      <c r="AJ41" s="658">
        <v>56.09</v>
      </c>
      <c r="AK41" s="658">
        <v>57.6</v>
      </c>
      <c r="AL41" s="658">
        <v>9.3000000000000007</v>
      </c>
      <c r="AM41" s="658">
        <v>9.51</v>
      </c>
      <c r="AN41" s="658">
        <v>204.81</v>
      </c>
      <c r="AO41" s="658">
        <v>205.36</v>
      </c>
      <c r="AP41" s="658">
        <v>0.75</v>
      </c>
      <c r="AQ41" s="658">
        <v>0.75</v>
      </c>
      <c r="AR41" s="658">
        <v>1.59</v>
      </c>
      <c r="AS41" s="658">
        <v>1.59</v>
      </c>
      <c r="AT41" s="883" t="s">
        <v>958</v>
      </c>
      <c r="AU41" s="808">
        <v>21.66</v>
      </c>
      <c r="AV41" s="658">
        <v>21.71</v>
      </c>
      <c r="AW41" s="658">
        <v>1.32</v>
      </c>
      <c r="AX41" s="658">
        <v>1.32</v>
      </c>
      <c r="AY41" s="658">
        <v>21.03</v>
      </c>
      <c r="AZ41" s="658">
        <v>21.08</v>
      </c>
      <c r="BA41" s="658">
        <v>7.0000000000000007E-2</v>
      </c>
      <c r="BB41" s="658">
        <v>7.0000000000000007E-2</v>
      </c>
      <c r="BC41" s="658">
        <v>55.13</v>
      </c>
      <c r="BD41" s="658">
        <v>55.63</v>
      </c>
      <c r="BE41" s="658">
        <v>8.81</v>
      </c>
      <c r="BF41" s="658">
        <v>8.9600000000000009</v>
      </c>
      <c r="BG41" s="658">
        <v>0.53</v>
      </c>
      <c r="BH41" s="658">
        <v>0.53</v>
      </c>
      <c r="BI41" s="883" t="s">
        <v>958</v>
      </c>
      <c r="BJ41" s="658">
        <v>78.16</v>
      </c>
      <c r="BK41" s="658">
        <v>79.45</v>
      </c>
      <c r="BL41" s="658">
        <v>0.15</v>
      </c>
      <c r="BM41" s="658">
        <v>0.15</v>
      </c>
      <c r="BN41" s="658">
        <v>106.53</v>
      </c>
      <c r="BO41" s="658">
        <v>107.09</v>
      </c>
      <c r="BP41" s="658">
        <v>2.2200000000000002</v>
      </c>
      <c r="BQ41" s="658">
        <v>2.25</v>
      </c>
      <c r="BR41" s="658">
        <v>21.47</v>
      </c>
      <c r="BS41" s="658">
        <v>21.53</v>
      </c>
      <c r="BT41" s="658">
        <v>78.86</v>
      </c>
      <c r="BU41" s="658">
        <v>79.069999999999993</v>
      </c>
      <c r="BV41" s="658">
        <v>97.34</v>
      </c>
      <c r="BW41" s="658">
        <v>98.72</v>
      </c>
    </row>
    <row r="42" spans="1:75" s="460" customFormat="1" ht="11.85" customHeight="1">
      <c r="A42" s="875" t="s">
        <v>959</v>
      </c>
      <c r="B42" s="690">
        <v>60.73</v>
      </c>
      <c r="C42" s="690">
        <v>60.9</v>
      </c>
      <c r="D42" s="690">
        <v>79.239999999999995</v>
      </c>
      <c r="E42" s="690">
        <v>79.37</v>
      </c>
      <c r="F42" s="690">
        <v>210.17</v>
      </c>
      <c r="G42" s="690">
        <v>210.49</v>
      </c>
      <c r="H42" s="690">
        <v>60.52</v>
      </c>
      <c r="I42" s="690">
        <v>60.21</v>
      </c>
      <c r="J42" s="690">
        <v>11.54</v>
      </c>
      <c r="K42" s="690">
        <v>11.54</v>
      </c>
      <c r="L42" s="690">
        <v>11.35</v>
      </c>
      <c r="M42" s="690">
        <v>11.3</v>
      </c>
      <c r="N42" s="690">
        <v>84.4</v>
      </c>
      <c r="O42" s="690">
        <v>84.03</v>
      </c>
      <c r="P42" s="875" t="s">
        <v>959</v>
      </c>
      <c r="Q42" s="690">
        <v>10.210000000000001</v>
      </c>
      <c r="R42" s="690">
        <v>10.23</v>
      </c>
      <c r="S42" s="690">
        <v>1.18</v>
      </c>
      <c r="T42" s="690">
        <v>1.19</v>
      </c>
      <c r="U42" s="690">
        <v>0.01</v>
      </c>
      <c r="V42" s="690">
        <v>0.01</v>
      </c>
      <c r="W42" s="690">
        <v>0</v>
      </c>
      <c r="X42" s="690">
        <v>0</v>
      </c>
      <c r="Y42" s="690">
        <v>0.7</v>
      </c>
      <c r="Z42" s="690">
        <v>0.7</v>
      </c>
      <c r="AA42" s="690">
        <v>259.60000000000002</v>
      </c>
      <c r="AB42" s="690">
        <v>259.87</v>
      </c>
      <c r="AC42" s="690">
        <v>17.829999999999998</v>
      </c>
      <c r="AD42" s="690">
        <v>17.850000000000001</v>
      </c>
      <c r="AE42" s="875" t="s">
        <v>959</v>
      </c>
      <c r="AF42" s="690">
        <v>0.06</v>
      </c>
      <c r="AG42" s="690">
        <v>0.06</v>
      </c>
      <c r="AH42" s="690">
        <v>0.74</v>
      </c>
      <c r="AI42" s="690">
        <v>0.74</v>
      </c>
      <c r="AJ42" s="690">
        <v>57.29</v>
      </c>
      <c r="AK42" s="690">
        <v>57.08</v>
      </c>
      <c r="AL42" s="690">
        <v>9.52</v>
      </c>
      <c r="AM42" s="690">
        <v>9.48</v>
      </c>
      <c r="AN42" s="690">
        <v>205.8</v>
      </c>
      <c r="AO42" s="690">
        <v>206.14</v>
      </c>
      <c r="AP42" s="690">
        <v>0.76</v>
      </c>
      <c r="AQ42" s="690">
        <v>0.76</v>
      </c>
      <c r="AR42" s="690">
        <v>1.59</v>
      </c>
      <c r="AS42" s="690">
        <v>1.58</v>
      </c>
      <c r="AT42" s="875" t="s">
        <v>959</v>
      </c>
      <c r="AU42" s="774">
        <v>21.76</v>
      </c>
      <c r="AV42" s="690">
        <v>21.8</v>
      </c>
      <c r="AW42" s="690">
        <v>1.35</v>
      </c>
      <c r="AX42" s="690">
        <v>1.37</v>
      </c>
      <c r="AY42" s="690">
        <v>21.13</v>
      </c>
      <c r="AZ42" s="690">
        <v>21.16</v>
      </c>
      <c r="BA42" s="690">
        <v>7.0000000000000007E-2</v>
      </c>
      <c r="BB42" s="690">
        <v>7.0000000000000007E-2</v>
      </c>
      <c r="BC42" s="690">
        <v>56.02</v>
      </c>
      <c r="BD42" s="690">
        <v>56.52</v>
      </c>
      <c r="BE42" s="690">
        <v>8.91</v>
      </c>
      <c r="BF42" s="690">
        <v>8.76</v>
      </c>
      <c r="BG42" s="690">
        <v>0.52</v>
      </c>
      <c r="BH42" s="690">
        <v>0.52</v>
      </c>
      <c r="BI42" s="875" t="s">
        <v>959</v>
      </c>
      <c r="BJ42" s="690">
        <v>79.16</v>
      </c>
      <c r="BK42" s="690">
        <v>78.66</v>
      </c>
      <c r="BL42" s="690">
        <v>0.15</v>
      </c>
      <c r="BM42" s="690">
        <v>0.15</v>
      </c>
      <c r="BN42" s="690">
        <v>107.41</v>
      </c>
      <c r="BO42" s="690">
        <v>107.37</v>
      </c>
      <c r="BP42" s="690">
        <v>2.2599999999999998</v>
      </c>
      <c r="BQ42" s="690">
        <v>2.27</v>
      </c>
      <c r="BR42" s="690">
        <v>21.57</v>
      </c>
      <c r="BS42" s="690">
        <v>21.61</v>
      </c>
      <c r="BT42" s="690">
        <v>79.239999999999995</v>
      </c>
      <c r="BU42" s="690">
        <v>79.37</v>
      </c>
      <c r="BV42" s="690">
        <v>98.97</v>
      </c>
      <c r="BW42" s="690">
        <v>98.76</v>
      </c>
    </row>
    <row r="43" spans="1:75" s="460" customFormat="1" ht="11.85" customHeight="1">
      <c r="A43" s="883" t="s">
        <v>951</v>
      </c>
      <c r="B43" s="658">
        <v>60.65</v>
      </c>
      <c r="C43" s="658">
        <v>60.78</v>
      </c>
      <c r="D43" s="658">
        <v>79.540000000000006</v>
      </c>
      <c r="E43" s="658">
        <v>79.67</v>
      </c>
      <c r="F43" s="658">
        <v>210.95</v>
      </c>
      <c r="G43" s="658">
        <v>211.24</v>
      </c>
      <c r="H43" s="658">
        <v>59.44</v>
      </c>
      <c r="I43" s="658">
        <v>59.84</v>
      </c>
      <c r="J43" s="658">
        <v>11.54</v>
      </c>
      <c r="K43" s="658">
        <v>11.55</v>
      </c>
      <c r="L43" s="658">
        <v>11.43</v>
      </c>
      <c r="M43" s="658">
        <v>11.41</v>
      </c>
      <c r="N43" s="658">
        <v>85.01</v>
      </c>
      <c r="O43" s="658">
        <v>84.86</v>
      </c>
      <c r="P43" s="883" t="s">
        <v>951</v>
      </c>
      <c r="Q43" s="658">
        <v>10.24</v>
      </c>
      <c r="R43" s="658">
        <v>10.25</v>
      </c>
      <c r="S43" s="658">
        <v>1.21</v>
      </c>
      <c r="T43" s="658">
        <v>1.23</v>
      </c>
      <c r="U43" s="658">
        <v>0.01</v>
      </c>
      <c r="V43" s="658">
        <v>0.01</v>
      </c>
      <c r="W43" s="658">
        <v>0</v>
      </c>
      <c r="X43" s="658">
        <v>0</v>
      </c>
      <c r="Y43" s="658">
        <v>0.7</v>
      </c>
      <c r="Z43" s="658">
        <v>0.72</v>
      </c>
      <c r="AA43" s="658">
        <v>260.56</v>
      </c>
      <c r="AB43" s="658">
        <v>261.26</v>
      </c>
      <c r="AC43" s="658">
        <v>17.920000000000002</v>
      </c>
      <c r="AD43" s="658">
        <v>18</v>
      </c>
      <c r="AE43" s="883" t="s">
        <v>951</v>
      </c>
      <c r="AF43" s="658">
        <v>0.06</v>
      </c>
      <c r="AG43" s="658">
        <v>0.06</v>
      </c>
      <c r="AH43" s="658">
        <v>0.75</v>
      </c>
      <c r="AI43" s="658">
        <v>0.77</v>
      </c>
      <c r="AJ43" s="658">
        <v>55.79</v>
      </c>
      <c r="AK43" s="658">
        <v>56.02</v>
      </c>
      <c r="AL43" s="658">
        <v>9.36</v>
      </c>
      <c r="AM43" s="658">
        <v>9.27</v>
      </c>
      <c r="AN43" s="658">
        <v>206.59</v>
      </c>
      <c r="AO43" s="658">
        <v>206.85</v>
      </c>
      <c r="AP43" s="658">
        <v>0.76</v>
      </c>
      <c r="AQ43" s="658">
        <v>0.76</v>
      </c>
      <c r="AR43" s="658">
        <v>1.58</v>
      </c>
      <c r="AS43" s="658">
        <v>1.59</v>
      </c>
      <c r="AT43" s="883" t="s">
        <v>951</v>
      </c>
      <c r="AU43" s="808">
        <v>21.84</v>
      </c>
      <c r="AV43" s="658">
        <v>21.88</v>
      </c>
      <c r="AW43" s="658">
        <v>1.37</v>
      </c>
      <c r="AX43" s="658">
        <v>1.4</v>
      </c>
      <c r="AY43" s="658">
        <v>21.21</v>
      </c>
      <c r="AZ43" s="658">
        <v>21.24</v>
      </c>
      <c r="BA43" s="658">
        <v>7.0000000000000007E-2</v>
      </c>
      <c r="BB43" s="658">
        <v>7.0000000000000007E-2</v>
      </c>
      <c r="BC43" s="658">
        <v>56.61</v>
      </c>
      <c r="BD43" s="658">
        <v>57.03</v>
      </c>
      <c r="BE43" s="658">
        <v>8.92</v>
      </c>
      <c r="BF43" s="658">
        <v>8.89</v>
      </c>
      <c r="BG43" s="658">
        <v>0.52</v>
      </c>
      <c r="BH43" s="658">
        <v>0.52</v>
      </c>
      <c r="BI43" s="883" t="s">
        <v>951</v>
      </c>
      <c r="BJ43" s="658">
        <v>79.36</v>
      </c>
      <c r="BK43" s="658">
        <v>79.42</v>
      </c>
      <c r="BL43" s="658">
        <v>0.15</v>
      </c>
      <c r="BM43" s="658">
        <v>0.15</v>
      </c>
      <c r="BN43" s="658">
        <v>107.75</v>
      </c>
      <c r="BO43" s="658">
        <v>108.35</v>
      </c>
      <c r="BP43" s="658">
        <v>2.2799999999999998</v>
      </c>
      <c r="BQ43" s="658">
        <v>2.3199999999999998</v>
      </c>
      <c r="BR43" s="658">
        <v>21.66</v>
      </c>
      <c r="BS43" s="658">
        <v>21.69</v>
      </c>
      <c r="BT43" s="658">
        <v>79.540000000000006</v>
      </c>
      <c r="BU43" s="658">
        <v>79.67</v>
      </c>
      <c r="BV43" s="658">
        <v>98.16</v>
      </c>
      <c r="BW43" s="658">
        <v>99.99</v>
      </c>
    </row>
    <row r="44" spans="1:75" s="460" customFormat="1" ht="11.85" customHeight="1">
      <c r="A44" s="875" t="s">
        <v>960</v>
      </c>
      <c r="B44" s="690">
        <v>60.21</v>
      </c>
      <c r="C44" s="690">
        <v>60.08</v>
      </c>
      <c r="D44" s="690">
        <v>79.84</v>
      </c>
      <c r="E44" s="690">
        <v>80.23</v>
      </c>
      <c r="F44" s="690">
        <v>211.76</v>
      </c>
      <c r="G44" s="690">
        <v>212.81</v>
      </c>
      <c r="H44" s="690">
        <v>59.49</v>
      </c>
      <c r="I44" s="690">
        <v>58.77</v>
      </c>
      <c r="J44" s="690">
        <v>11.59</v>
      </c>
      <c r="K44" s="690">
        <v>11.64</v>
      </c>
      <c r="L44" s="690">
        <v>11.49</v>
      </c>
      <c r="M44" s="690">
        <v>11.75</v>
      </c>
      <c r="N44" s="690">
        <v>85.48</v>
      </c>
      <c r="O44" s="690">
        <v>87.43</v>
      </c>
      <c r="P44" s="875" t="s">
        <v>960</v>
      </c>
      <c r="Q44" s="690">
        <v>10.27</v>
      </c>
      <c r="R44" s="690">
        <v>10.31</v>
      </c>
      <c r="S44" s="690">
        <v>1.24</v>
      </c>
      <c r="T44" s="690">
        <v>1.25</v>
      </c>
      <c r="U44" s="690">
        <v>0.01</v>
      </c>
      <c r="V44" s="690">
        <v>0.01</v>
      </c>
      <c r="W44" s="690">
        <v>0</v>
      </c>
      <c r="X44" s="690">
        <v>0</v>
      </c>
      <c r="Y44" s="690">
        <v>0.73</v>
      </c>
      <c r="Z44" s="690">
        <v>0.72</v>
      </c>
      <c r="AA44" s="690">
        <v>261.94</v>
      </c>
      <c r="AB44" s="690">
        <v>263.7</v>
      </c>
      <c r="AC44" s="690">
        <v>18.12</v>
      </c>
      <c r="AD44" s="690">
        <v>18.48</v>
      </c>
      <c r="AE44" s="875" t="s">
        <v>960</v>
      </c>
      <c r="AF44" s="690">
        <v>0.06</v>
      </c>
      <c r="AG44" s="690">
        <v>0.06</v>
      </c>
      <c r="AH44" s="690">
        <v>0.77</v>
      </c>
      <c r="AI44" s="690">
        <v>0.78</v>
      </c>
      <c r="AJ44" s="690">
        <v>55.69</v>
      </c>
      <c r="AK44" s="690">
        <v>55.1</v>
      </c>
      <c r="AL44" s="690">
        <v>9.2899999999999991</v>
      </c>
      <c r="AM44" s="690">
        <v>9.35</v>
      </c>
      <c r="AN44" s="690">
        <v>207.36</v>
      </c>
      <c r="AO44" s="690">
        <v>208.34</v>
      </c>
      <c r="AP44" s="690">
        <v>0.76</v>
      </c>
      <c r="AQ44" s="690">
        <v>0.77</v>
      </c>
      <c r="AR44" s="690">
        <v>1.6</v>
      </c>
      <c r="AS44" s="690">
        <v>1.6</v>
      </c>
      <c r="AT44" s="875" t="s">
        <v>960</v>
      </c>
      <c r="AU44" s="774">
        <v>21.93</v>
      </c>
      <c r="AV44" s="690">
        <v>22.03</v>
      </c>
      <c r="AW44" s="690">
        <v>1.41</v>
      </c>
      <c r="AX44" s="690">
        <v>1.41</v>
      </c>
      <c r="AY44" s="690">
        <v>21.29</v>
      </c>
      <c r="AZ44" s="690">
        <v>21.39</v>
      </c>
      <c r="BA44" s="690">
        <v>7.0000000000000007E-2</v>
      </c>
      <c r="BB44" s="690">
        <v>7.0000000000000007E-2</v>
      </c>
      <c r="BC44" s="690">
        <v>57.1</v>
      </c>
      <c r="BD44" s="690">
        <v>57.43</v>
      </c>
      <c r="BE44" s="690">
        <v>8.92</v>
      </c>
      <c r="BF44" s="690">
        <v>9.06</v>
      </c>
      <c r="BG44" s="690">
        <v>0.52</v>
      </c>
      <c r="BH44" s="690">
        <v>0.53</v>
      </c>
      <c r="BI44" s="875" t="s">
        <v>960</v>
      </c>
      <c r="BJ44" s="690">
        <v>79.739999999999995</v>
      </c>
      <c r="BK44" s="690">
        <v>80.62</v>
      </c>
      <c r="BL44" s="690">
        <v>0.15</v>
      </c>
      <c r="BM44" s="690">
        <v>0.16</v>
      </c>
      <c r="BN44" s="690">
        <v>108.61</v>
      </c>
      <c r="BO44" s="690">
        <v>109.99</v>
      </c>
      <c r="BP44" s="690">
        <v>2.3199999999999998</v>
      </c>
      <c r="BQ44" s="690">
        <v>2.3199999999999998</v>
      </c>
      <c r="BR44" s="690">
        <v>21.74</v>
      </c>
      <c r="BS44" s="690">
        <v>21.84</v>
      </c>
      <c r="BT44" s="690">
        <v>79.84</v>
      </c>
      <c r="BU44" s="690">
        <v>80.23</v>
      </c>
      <c r="BV44" s="690">
        <v>100.8</v>
      </c>
      <c r="BW44" s="690">
        <v>103.9</v>
      </c>
    </row>
    <row r="45" spans="1:75" s="460" customFormat="1" ht="11.85" customHeight="1">
      <c r="A45" s="883" t="s">
        <v>961</v>
      </c>
      <c r="B45" s="658">
        <v>59.88</v>
      </c>
      <c r="C45" s="658">
        <v>60.14</v>
      </c>
      <c r="D45" s="658">
        <v>80.489999999999995</v>
      </c>
      <c r="E45" s="658">
        <v>80.56</v>
      </c>
      <c r="F45" s="658">
        <v>213.48</v>
      </c>
      <c r="G45" s="658">
        <v>213.66</v>
      </c>
      <c r="H45" s="658">
        <v>59.23</v>
      </c>
      <c r="I45" s="658">
        <v>59.85</v>
      </c>
      <c r="J45" s="658">
        <v>11.7</v>
      </c>
      <c r="K45" s="658">
        <v>11.74</v>
      </c>
      <c r="L45" s="658">
        <v>11.96</v>
      </c>
      <c r="M45" s="658">
        <v>12.11</v>
      </c>
      <c r="N45" s="658">
        <v>88.97</v>
      </c>
      <c r="O45" s="658">
        <v>90.11</v>
      </c>
      <c r="P45" s="883" t="s">
        <v>961</v>
      </c>
      <c r="Q45" s="658">
        <v>10.34</v>
      </c>
      <c r="R45" s="658">
        <v>10.34</v>
      </c>
      <c r="S45" s="658">
        <v>1.25</v>
      </c>
      <c r="T45" s="658">
        <v>1.25</v>
      </c>
      <c r="U45" s="658">
        <v>0.01</v>
      </c>
      <c r="V45" s="658">
        <v>0.01</v>
      </c>
      <c r="W45" s="658">
        <v>0</v>
      </c>
      <c r="X45" s="658">
        <v>0</v>
      </c>
      <c r="Y45" s="658">
        <v>0.72</v>
      </c>
      <c r="Z45" s="658">
        <v>0.73</v>
      </c>
      <c r="AA45" s="658">
        <v>264.70999999999998</v>
      </c>
      <c r="AB45" s="658">
        <v>265.48</v>
      </c>
      <c r="AC45" s="658">
        <v>18.649999999999999</v>
      </c>
      <c r="AD45" s="658">
        <v>18.84</v>
      </c>
      <c r="AE45" s="883" t="s">
        <v>961</v>
      </c>
      <c r="AF45" s="658">
        <v>0.06</v>
      </c>
      <c r="AG45" s="658">
        <v>0.06</v>
      </c>
      <c r="AH45" s="658">
        <v>0.78</v>
      </c>
      <c r="AI45" s="658">
        <v>0.78</v>
      </c>
      <c r="AJ45" s="658">
        <v>55.95</v>
      </c>
      <c r="AK45" s="658">
        <v>57.17</v>
      </c>
      <c r="AL45" s="658">
        <v>9.48</v>
      </c>
      <c r="AM45" s="658">
        <v>9.5500000000000007</v>
      </c>
      <c r="AN45" s="658">
        <v>209.02</v>
      </c>
      <c r="AO45" s="658">
        <v>209.25</v>
      </c>
      <c r="AP45" s="658">
        <v>0.77</v>
      </c>
      <c r="AQ45" s="658">
        <v>0.77</v>
      </c>
      <c r="AR45" s="658">
        <v>1.62</v>
      </c>
      <c r="AS45" s="658">
        <v>1.62</v>
      </c>
      <c r="AT45" s="883" t="s">
        <v>961</v>
      </c>
      <c r="AU45" s="986">
        <v>22.1</v>
      </c>
      <c r="AV45" s="658">
        <v>22.12</v>
      </c>
      <c r="AW45" s="658">
        <v>1.41</v>
      </c>
      <c r="AX45" s="658">
        <v>1.42</v>
      </c>
      <c r="AY45" s="658">
        <v>21.46</v>
      </c>
      <c r="AZ45" s="658">
        <v>21.48</v>
      </c>
      <c r="BA45" s="658">
        <v>7.0000000000000007E-2</v>
      </c>
      <c r="BB45" s="658">
        <v>7.0000000000000007E-2</v>
      </c>
      <c r="BC45" s="658">
        <v>57.72</v>
      </c>
      <c r="BD45" s="658">
        <v>58.19</v>
      </c>
      <c r="BE45" s="658">
        <v>9.17</v>
      </c>
      <c r="BF45" s="658">
        <v>9.23</v>
      </c>
      <c r="BG45" s="658">
        <v>0.53</v>
      </c>
      <c r="BH45" s="658">
        <v>0.53</v>
      </c>
      <c r="BI45" s="883" t="s">
        <v>961</v>
      </c>
      <c r="BJ45" s="658">
        <v>81.599999999999994</v>
      </c>
      <c r="BK45" s="658">
        <v>82.65</v>
      </c>
      <c r="BL45" s="658">
        <v>0.16</v>
      </c>
      <c r="BM45" s="658">
        <v>0.16</v>
      </c>
      <c r="BN45" s="658">
        <v>110.65</v>
      </c>
      <c r="BO45" s="658">
        <v>111.22</v>
      </c>
      <c r="BP45" s="658">
        <v>2.34</v>
      </c>
      <c r="BQ45" s="658">
        <v>2.36</v>
      </c>
      <c r="BR45" s="658">
        <v>21.91</v>
      </c>
      <c r="BS45" s="658">
        <v>21.93</v>
      </c>
      <c r="BT45" s="658">
        <v>80.489999999999995</v>
      </c>
      <c r="BU45" s="658">
        <v>80.56</v>
      </c>
      <c r="BV45" s="658">
        <v>104.05</v>
      </c>
      <c r="BW45" s="658">
        <v>103.59</v>
      </c>
    </row>
    <row r="46" spans="1:75" s="460" customFormat="1" ht="11.85" customHeight="1">
      <c r="A46" s="875" t="s">
        <v>952</v>
      </c>
      <c r="B46" s="690">
        <v>60.83</v>
      </c>
      <c r="C46" s="690">
        <v>61.93</v>
      </c>
      <c r="D46" s="690">
        <v>80.59</v>
      </c>
      <c r="E46" s="690">
        <v>80.599999999999994</v>
      </c>
      <c r="F46" s="690">
        <v>213.64</v>
      </c>
      <c r="G46" s="690">
        <v>213.64</v>
      </c>
      <c r="H46" s="690">
        <v>60.43</v>
      </c>
      <c r="I46" s="690">
        <v>61.98</v>
      </c>
      <c r="J46" s="690">
        <v>11.85</v>
      </c>
      <c r="K46" s="690">
        <v>11.9</v>
      </c>
      <c r="L46" s="690">
        <v>12.17</v>
      </c>
      <c r="M46" s="690">
        <v>12.4</v>
      </c>
      <c r="N46" s="690">
        <v>90.51</v>
      </c>
      <c r="O46" s="690">
        <v>92.21</v>
      </c>
      <c r="P46" s="875" t="s">
        <v>952</v>
      </c>
      <c r="Q46" s="690">
        <v>10.33</v>
      </c>
      <c r="R46" s="690">
        <v>10.33</v>
      </c>
      <c r="S46" s="690">
        <v>1.25</v>
      </c>
      <c r="T46" s="690">
        <v>1.25</v>
      </c>
      <c r="U46" s="690">
        <v>0.01</v>
      </c>
      <c r="V46" s="690">
        <v>0.01</v>
      </c>
      <c r="W46" s="690">
        <v>0</v>
      </c>
      <c r="X46" s="690">
        <v>0</v>
      </c>
      <c r="Y46" s="690">
        <v>0.73</v>
      </c>
      <c r="Z46" s="690">
        <v>0.72</v>
      </c>
      <c r="AA46" s="690">
        <v>265.63</v>
      </c>
      <c r="AB46" s="690">
        <v>265.73</v>
      </c>
      <c r="AC46" s="690">
        <v>18.84</v>
      </c>
      <c r="AD46" s="690">
        <v>18.77</v>
      </c>
      <c r="AE46" s="875" t="s">
        <v>952</v>
      </c>
      <c r="AF46" s="690">
        <v>0.06</v>
      </c>
      <c r="AG46" s="690">
        <v>0.06</v>
      </c>
      <c r="AH46" s="690">
        <v>0.78</v>
      </c>
      <c r="AI46" s="690">
        <v>0.78</v>
      </c>
      <c r="AJ46" s="690">
        <v>58.12</v>
      </c>
      <c r="AK46" s="690">
        <v>58.84</v>
      </c>
      <c r="AL46" s="690">
        <v>9.52</v>
      </c>
      <c r="AM46" s="690">
        <v>9.61</v>
      </c>
      <c r="AN46" s="690">
        <v>209.3</v>
      </c>
      <c r="AO46" s="690">
        <v>209.23</v>
      </c>
      <c r="AP46" s="690">
        <v>0.77</v>
      </c>
      <c r="AQ46" s="690">
        <v>0.77</v>
      </c>
      <c r="AR46" s="690">
        <v>1.62</v>
      </c>
      <c r="AS46" s="690">
        <v>1.6</v>
      </c>
      <c r="AT46" s="875" t="s">
        <v>952</v>
      </c>
      <c r="AU46" s="774">
        <v>21.96</v>
      </c>
      <c r="AV46" s="690">
        <v>21.58</v>
      </c>
      <c r="AW46" s="690">
        <v>1.39</v>
      </c>
      <c r="AX46" s="690">
        <v>1.36</v>
      </c>
      <c r="AY46" s="690">
        <v>21.49</v>
      </c>
      <c r="AZ46" s="690">
        <v>21.49</v>
      </c>
      <c r="BA46" s="690">
        <v>7.0000000000000007E-2</v>
      </c>
      <c r="BB46" s="690">
        <v>7.0000000000000007E-2</v>
      </c>
      <c r="BC46" s="690">
        <v>58.24</v>
      </c>
      <c r="BD46" s="690">
        <v>58.43</v>
      </c>
      <c r="BE46" s="690">
        <v>9.2799999999999994</v>
      </c>
      <c r="BF46" s="690">
        <v>9.52</v>
      </c>
      <c r="BG46" s="690">
        <v>0.53</v>
      </c>
      <c r="BH46" s="690">
        <v>0.52</v>
      </c>
      <c r="BI46" s="875" t="s">
        <v>952</v>
      </c>
      <c r="BJ46" s="690">
        <v>83.24</v>
      </c>
      <c r="BK46" s="690">
        <v>84.32</v>
      </c>
      <c r="BL46" s="690">
        <v>0.16</v>
      </c>
      <c r="BM46" s="690">
        <v>0.16</v>
      </c>
      <c r="BN46" s="690">
        <v>111.44</v>
      </c>
      <c r="BO46" s="690">
        <v>112.08</v>
      </c>
      <c r="BP46" s="690">
        <v>2.37</v>
      </c>
      <c r="BQ46" s="690">
        <v>2.37</v>
      </c>
      <c r="BR46" s="690">
        <v>21.94</v>
      </c>
      <c r="BS46" s="690">
        <v>21.94</v>
      </c>
      <c r="BT46" s="690">
        <v>80.59</v>
      </c>
      <c r="BU46" s="690">
        <v>80.599999999999994</v>
      </c>
      <c r="BV46" s="690">
        <v>103.12</v>
      </c>
      <c r="BW46" s="690">
        <v>104.82</v>
      </c>
    </row>
    <row r="47" spans="1:75" s="460" customFormat="1" ht="11.85" customHeight="1">
      <c r="A47" s="1131" t="s">
        <v>2755</v>
      </c>
      <c r="B47" s="658"/>
      <c r="C47" s="658"/>
      <c r="D47" s="658"/>
      <c r="E47" s="658"/>
      <c r="F47" s="658"/>
      <c r="G47" s="658"/>
      <c r="H47" s="658"/>
      <c r="I47" s="658"/>
      <c r="J47" s="658"/>
      <c r="K47" s="658"/>
      <c r="L47" s="658"/>
      <c r="M47" s="658"/>
      <c r="N47" s="658"/>
      <c r="O47" s="658"/>
      <c r="P47" s="1131" t="s">
        <v>2755</v>
      </c>
      <c r="Q47" s="658"/>
      <c r="R47" s="658"/>
      <c r="S47" s="658"/>
      <c r="T47" s="658"/>
      <c r="U47" s="658"/>
      <c r="V47" s="658"/>
      <c r="W47" s="658"/>
      <c r="X47" s="658"/>
      <c r="Y47" s="658"/>
      <c r="Z47" s="658"/>
      <c r="AA47" s="658"/>
      <c r="AB47" s="658"/>
      <c r="AC47" s="658"/>
      <c r="AD47" s="658"/>
      <c r="AE47" s="1131" t="s">
        <v>2755</v>
      </c>
      <c r="AF47" s="658"/>
      <c r="AG47" s="658"/>
      <c r="AH47" s="658"/>
      <c r="AI47" s="658"/>
      <c r="AJ47" s="658"/>
      <c r="AK47" s="658"/>
      <c r="AL47" s="658"/>
      <c r="AM47" s="658"/>
      <c r="AN47" s="658"/>
      <c r="AO47" s="658"/>
      <c r="AP47" s="658"/>
      <c r="AQ47" s="658"/>
      <c r="AR47" s="658"/>
      <c r="AS47" s="658"/>
      <c r="AT47" s="1131" t="s">
        <v>2755</v>
      </c>
      <c r="AU47" s="808"/>
      <c r="AV47" s="658"/>
      <c r="AW47" s="658"/>
      <c r="AX47" s="658"/>
      <c r="AY47" s="658"/>
      <c r="AZ47" s="658"/>
      <c r="BA47" s="658"/>
      <c r="BB47" s="658"/>
      <c r="BC47" s="658"/>
      <c r="BD47" s="658"/>
      <c r="BE47" s="658"/>
      <c r="BF47" s="658"/>
      <c r="BG47" s="658"/>
      <c r="BH47" s="658"/>
      <c r="BI47" s="1131" t="s">
        <v>2755</v>
      </c>
      <c r="BJ47" s="658"/>
      <c r="BK47" s="658"/>
      <c r="BL47" s="658"/>
      <c r="BM47" s="658"/>
      <c r="BN47" s="658"/>
      <c r="BO47" s="658"/>
      <c r="BP47" s="658"/>
      <c r="BQ47" s="658"/>
      <c r="BR47" s="658"/>
      <c r="BS47" s="658"/>
      <c r="BT47" s="658"/>
      <c r="BU47" s="658"/>
      <c r="BV47" s="658"/>
      <c r="BW47" s="658"/>
    </row>
    <row r="48" spans="1:75" s="460" customFormat="1" ht="11.85" customHeight="1" thickBot="1">
      <c r="A48" s="1509" t="s">
        <v>954</v>
      </c>
      <c r="B48" s="1510">
        <v>62.84</v>
      </c>
      <c r="C48" s="1510">
        <v>64.42</v>
      </c>
      <c r="D48" s="1510">
        <v>80.63</v>
      </c>
      <c r="E48" s="1510">
        <v>80.66</v>
      </c>
      <c r="F48" s="1510">
        <v>213.77</v>
      </c>
      <c r="G48" s="1510">
        <v>213.9</v>
      </c>
      <c r="H48" s="1510">
        <v>63.44</v>
      </c>
      <c r="I48" s="1510">
        <v>64.87</v>
      </c>
      <c r="J48" s="1510">
        <v>11.92</v>
      </c>
      <c r="K48" s="1510">
        <v>11.99</v>
      </c>
      <c r="L48" s="1510">
        <v>12.48</v>
      </c>
      <c r="M48" s="1510">
        <v>12.75</v>
      </c>
      <c r="N48" s="1510">
        <v>92.83</v>
      </c>
      <c r="O48" s="1510">
        <v>94.79</v>
      </c>
      <c r="P48" s="1509" t="s">
        <v>954</v>
      </c>
      <c r="Q48" s="1510">
        <v>10.33</v>
      </c>
      <c r="R48" s="1510">
        <v>10.33</v>
      </c>
      <c r="S48" s="1510">
        <v>1.25</v>
      </c>
      <c r="T48" s="1510">
        <v>1.26</v>
      </c>
      <c r="U48" s="1510">
        <v>0.01</v>
      </c>
      <c r="V48" s="1510">
        <v>0.01</v>
      </c>
      <c r="W48" s="1510">
        <v>0</v>
      </c>
      <c r="X48" s="1510">
        <v>0</v>
      </c>
      <c r="Y48" s="1510">
        <v>0.72</v>
      </c>
      <c r="Z48" s="1510">
        <v>0.73</v>
      </c>
      <c r="AA48" s="1510">
        <v>266.27999999999997</v>
      </c>
      <c r="AB48" s="1510">
        <v>267.04000000000002</v>
      </c>
      <c r="AC48" s="1510">
        <v>18.8</v>
      </c>
      <c r="AD48" s="1510">
        <v>18.850000000000001</v>
      </c>
      <c r="AE48" s="1509" t="s">
        <v>954</v>
      </c>
      <c r="AF48" s="1510">
        <v>0.06</v>
      </c>
      <c r="AG48" s="1510">
        <v>0.06</v>
      </c>
      <c r="AH48" s="1510">
        <v>0.78</v>
      </c>
      <c r="AI48" s="1510">
        <v>0.79</v>
      </c>
      <c r="AJ48" s="1510">
        <v>59.33</v>
      </c>
      <c r="AK48" s="1510">
        <v>60.6</v>
      </c>
      <c r="AL48" s="1510">
        <v>9.8699999999999992</v>
      </c>
      <c r="AM48" s="1510">
        <v>10.19</v>
      </c>
      <c r="AN48" s="1510">
        <v>209.32</v>
      </c>
      <c r="AO48" s="1510">
        <v>209.51</v>
      </c>
      <c r="AP48" s="1510">
        <v>0.76</v>
      </c>
      <c r="AQ48" s="1510">
        <v>0.77</v>
      </c>
      <c r="AR48" s="1510">
        <v>1.59</v>
      </c>
      <c r="AS48" s="1510">
        <v>1.6</v>
      </c>
      <c r="AT48" s="1509" t="s">
        <v>954</v>
      </c>
      <c r="AU48" s="1330">
        <v>21.96</v>
      </c>
      <c r="AV48" s="1510">
        <v>22.15</v>
      </c>
      <c r="AW48" s="1510">
        <v>1.35</v>
      </c>
      <c r="AX48" s="1510">
        <v>1.35</v>
      </c>
      <c r="AY48" s="1510">
        <v>21.5</v>
      </c>
      <c r="AZ48" s="1510">
        <v>21.51</v>
      </c>
      <c r="BA48" s="1510">
        <v>7.0000000000000007E-2</v>
      </c>
      <c r="BB48" s="1510">
        <v>7.0000000000000007E-2</v>
      </c>
      <c r="BC48" s="1510">
        <v>58.79</v>
      </c>
      <c r="BD48" s="1510">
        <v>59.46</v>
      </c>
      <c r="BE48" s="1510">
        <v>9.68</v>
      </c>
      <c r="BF48" s="1510">
        <v>9.93</v>
      </c>
      <c r="BG48" s="1510">
        <v>0.52</v>
      </c>
      <c r="BH48" s="1510">
        <v>0.52</v>
      </c>
      <c r="BI48" s="1509" t="s">
        <v>954</v>
      </c>
      <c r="BJ48" s="1510">
        <v>84.03</v>
      </c>
      <c r="BK48" s="1510">
        <v>83.26</v>
      </c>
      <c r="BL48" s="1510">
        <v>0.16</v>
      </c>
      <c r="BM48" s="1510">
        <v>0.16</v>
      </c>
      <c r="BN48" s="1510">
        <v>112.45</v>
      </c>
      <c r="BO48" s="1510">
        <v>113.37</v>
      </c>
      <c r="BP48" s="1510">
        <v>2.39</v>
      </c>
      <c r="BQ48" s="1510">
        <v>2.42</v>
      </c>
      <c r="BR48" s="1510">
        <v>21.95</v>
      </c>
      <c r="BS48" s="1510">
        <v>21.96</v>
      </c>
      <c r="BT48" s="1510">
        <v>80.63</v>
      </c>
      <c r="BU48" s="1510">
        <v>80.66</v>
      </c>
      <c r="BV48" s="1510">
        <v>104.8</v>
      </c>
      <c r="BW48" s="1510">
        <v>105.95</v>
      </c>
    </row>
    <row r="49" spans="1:75" s="103" customFormat="1" ht="9.9499999999999993" customHeight="1">
      <c r="A49" s="1205" t="s">
        <v>751</v>
      </c>
      <c r="B49" s="1206" t="s">
        <v>2698</v>
      </c>
      <c r="C49" s="46"/>
      <c r="D49" s="46"/>
      <c r="E49" s="46"/>
      <c r="F49" s="46"/>
      <c r="G49" s="46"/>
      <c r="H49" s="1207" t="s">
        <v>750</v>
      </c>
      <c r="I49" s="1922" t="s">
        <v>2508</v>
      </c>
      <c r="J49" s="1922"/>
      <c r="K49" s="1922"/>
      <c r="L49" s="1922"/>
      <c r="M49" s="1922"/>
      <c r="N49" s="6"/>
      <c r="O49" s="6"/>
      <c r="P49" s="1208"/>
      <c r="Q49" s="1922"/>
      <c r="R49" s="1922"/>
      <c r="S49" s="1922"/>
      <c r="T49" s="1922"/>
      <c r="U49" s="1922"/>
      <c r="V49" s="1922"/>
      <c r="AE49" s="1208" t="s">
        <v>1216</v>
      </c>
      <c r="AF49" s="1922" t="s">
        <v>2589</v>
      </c>
      <c r="AG49" s="1922"/>
      <c r="AH49" s="1922"/>
      <c r="AI49" s="1922"/>
      <c r="AJ49" s="1922"/>
      <c r="AK49" s="1922"/>
      <c r="AT49" s="179"/>
      <c r="AU49" s="1922"/>
      <c r="AV49" s="1922"/>
      <c r="AW49" s="1922"/>
      <c r="AX49" s="1922"/>
      <c r="AY49" s="1922"/>
      <c r="AZ49" s="1922"/>
      <c r="BI49" s="1208"/>
      <c r="BJ49" s="1209"/>
      <c r="BK49" s="1209"/>
      <c r="BL49" s="1209"/>
      <c r="BM49" s="1209"/>
      <c r="BN49" s="1209"/>
      <c r="BO49" s="1209"/>
      <c r="BP49" s="1209"/>
      <c r="BQ49" s="1209"/>
      <c r="BR49" s="1209"/>
      <c r="BS49" s="1209"/>
      <c r="BT49" s="1209"/>
      <c r="BU49" s="1209"/>
      <c r="BV49" s="1209"/>
      <c r="BW49" s="1209"/>
    </row>
    <row r="50" spans="1:75" s="103" customFormat="1" ht="9" customHeight="1">
      <c r="A50" s="81"/>
      <c r="B50" s="342" t="s">
        <v>2717</v>
      </c>
      <c r="P50" s="81"/>
      <c r="AE50" s="214"/>
      <c r="AT50" s="81"/>
      <c r="BI50" s="81"/>
      <c r="BJ50" s="80"/>
      <c r="BK50" s="80"/>
      <c r="BL50" s="80"/>
      <c r="BM50" s="80"/>
      <c r="BN50" s="80"/>
      <c r="BO50" s="80"/>
      <c r="BP50" s="80"/>
      <c r="BQ50" s="80"/>
      <c r="BR50" s="80"/>
      <c r="BS50" s="80"/>
      <c r="BT50" s="80"/>
      <c r="BU50" s="80"/>
      <c r="BV50" s="80"/>
      <c r="BW50" s="80"/>
    </row>
    <row r="51" spans="1:75" s="103" customFormat="1" ht="9" customHeight="1">
      <c r="A51" s="81"/>
      <c r="B51" s="45" t="s">
        <v>2673</v>
      </c>
      <c r="C51" s="129"/>
      <c r="D51" s="129"/>
      <c r="E51" s="129"/>
      <c r="F51" s="129"/>
      <c r="G51" s="129"/>
      <c r="P51" s="81"/>
      <c r="AE51" s="81"/>
      <c r="AT51" s="81"/>
      <c r="BI51" s="81"/>
      <c r="BJ51" s="80"/>
      <c r="BK51" s="80"/>
      <c r="BL51" s="80"/>
      <c r="BM51" s="80"/>
      <c r="BN51" s="80"/>
      <c r="BO51" s="80"/>
      <c r="BP51" s="80"/>
      <c r="BQ51" s="80"/>
      <c r="BR51" s="80"/>
      <c r="BS51" s="80"/>
      <c r="BT51" s="80"/>
      <c r="BU51" s="80"/>
      <c r="BV51" s="80"/>
      <c r="BW51" s="80"/>
    </row>
    <row r="52" spans="1:75" s="103" customFormat="1" ht="9" customHeight="1">
      <c r="A52" s="81"/>
      <c r="P52" s="81"/>
      <c r="AE52" s="81"/>
      <c r="AT52" s="81"/>
      <c r="BI52" s="81"/>
    </row>
  </sheetData>
  <mergeCells count="125">
    <mergeCell ref="BW4:BW5"/>
    <mergeCell ref="I49:M49"/>
    <mergeCell ref="Q49:V49"/>
    <mergeCell ref="AF49:AK49"/>
    <mergeCell ref="AU49:AZ49"/>
    <mergeCell ref="BQ4:BQ5"/>
    <mergeCell ref="BR4:BR5"/>
    <mergeCell ref="BS4:BS5"/>
    <mergeCell ref="BT4:BT5"/>
    <mergeCell ref="BU4:BU5"/>
    <mergeCell ref="BV4:BV5"/>
    <mergeCell ref="BK4:BK5"/>
    <mergeCell ref="BL4:BL5"/>
    <mergeCell ref="BM4:BM5"/>
    <mergeCell ref="BN4:BN5"/>
    <mergeCell ref="BO4:BO5"/>
    <mergeCell ref="BP4:BP5"/>
    <mergeCell ref="AZ4:AZ5"/>
    <mergeCell ref="BA4:BA5"/>
    <mergeCell ref="BB4:BB5"/>
    <mergeCell ref="BC4:BC5"/>
    <mergeCell ref="BD4:BD5"/>
    <mergeCell ref="BE4:BE5"/>
    <mergeCell ref="AO4:AO5"/>
    <mergeCell ref="Z4:Z5"/>
    <mergeCell ref="AA4:AA5"/>
    <mergeCell ref="AP4:AP5"/>
    <mergeCell ref="AQ4:AQ5"/>
    <mergeCell ref="AR4:AR5"/>
    <mergeCell ref="AS4:AS5"/>
    <mergeCell ref="AU4:AU5"/>
    <mergeCell ref="AI4:AI5"/>
    <mergeCell ref="AJ4:AJ5"/>
    <mergeCell ref="AK4:AK5"/>
    <mergeCell ref="AL4:AL5"/>
    <mergeCell ref="AM4:AM5"/>
    <mergeCell ref="AN4:AN5"/>
    <mergeCell ref="BP3:BQ3"/>
    <mergeCell ref="BR3:BS3"/>
    <mergeCell ref="AW4:AW5"/>
    <mergeCell ref="AX4:AX5"/>
    <mergeCell ref="AY4:AY5"/>
    <mergeCell ref="AF3:AG3"/>
    <mergeCell ref="AH3:AI3"/>
    <mergeCell ref="AJ3:AK3"/>
    <mergeCell ref="AL3:AM3"/>
    <mergeCell ref="AN3:AO3"/>
    <mergeCell ref="AP3:AQ3"/>
    <mergeCell ref="AF4:AF5"/>
    <mergeCell ref="AG4:AG5"/>
    <mergeCell ref="AH4:AH5"/>
    <mergeCell ref="BA3:BB3"/>
    <mergeCell ref="AV4:AV5"/>
    <mergeCell ref="I4:I5"/>
    <mergeCell ref="J4:J5"/>
    <mergeCell ref="K4:K5"/>
    <mergeCell ref="L4:L5"/>
    <mergeCell ref="BN3:BO3"/>
    <mergeCell ref="U3:V3"/>
    <mergeCell ref="W3:X3"/>
    <mergeCell ref="Y3:Z3"/>
    <mergeCell ref="AA3:AB3"/>
    <mergeCell ref="AC3:AD3"/>
    <mergeCell ref="AE3:AE6"/>
    <mergeCell ref="AB4:AB5"/>
    <mergeCell ref="AC4:AC5"/>
    <mergeCell ref="AD4:AD5"/>
    <mergeCell ref="R4:R5"/>
    <mergeCell ref="S4:S5"/>
    <mergeCell ref="T4:T5"/>
    <mergeCell ref="U4:U5"/>
    <mergeCell ref="V4:V5"/>
    <mergeCell ref="W4:W5"/>
    <mergeCell ref="O4:O5"/>
    <mergeCell ref="Q4:Q5"/>
    <mergeCell ref="X4:X5"/>
    <mergeCell ref="Y4:Y5"/>
    <mergeCell ref="BT3:BU3"/>
    <mergeCell ref="BV3:BW3"/>
    <mergeCell ref="B4:B5"/>
    <mergeCell ref="C4:C5"/>
    <mergeCell ref="D4:D5"/>
    <mergeCell ref="E4:E5"/>
    <mergeCell ref="F4:F5"/>
    <mergeCell ref="BC3:BD3"/>
    <mergeCell ref="BE3:BF3"/>
    <mergeCell ref="BG3:BH3"/>
    <mergeCell ref="BI3:BI6"/>
    <mergeCell ref="BJ3:BK3"/>
    <mergeCell ref="BL3:BM3"/>
    <mergeCell ref="BF4:BF5"/>
    <mergeCell ref="BG4:BG5"/>
    <mergeCell ref="BH4:BH5"/>
    <mergeCell ref="BJ4:BJ5"/>
    <mergeCell ref="AR3:AS3"/>
    <mergeCell ref="AT3:AT6"/>
    <mergeCell ref="AU3:AV3"/>
    <mergeCell ref="AW3:AX3"/>
    <mergeCell ref="AY3:AZ3"/>
    <mergeCell ref="G4:G5"/>
    <mergeCell ref="H4:H5"/>
    <mergeCell ref="AY1:AZ1"/>
    <mergeCell ref="BF1:BH1"/>
    <mergeCell ref="BN1:BO1"/>
    <mergeCell ref="BU1:BW1"/>
    <mergeCell ref="AC2:AD2"/>
    <mergeCell ref="A3:A6"/>
    <mergeCell ref="B3:C3"/>
    <mergeCell ref="D3:E3"/>
    <mergeCell ref="F3:G3"/>
    <mergeCell ref="H3:I3"/>
    <mergeCell ref="F1:G1"/>
    <mergeCell ref="M1:O1"/>
    <mergeCell ref="U1:V1"/>
    <mergeCell ref="AB1:AD1"/>
    <mergeCell ref="AJ1:AK1"/>
    <mergeCell ref="AQ1:AS1"/>
    <mergeCell ref="J3:K3"/>
    <mergeCell ref="L3:M3"/>
    <mergeCell ref="N3:O3"/>
    <mergeCell ref="P3:P6"/>
    <mergeCell ref="Q3:R3"/>
    <mergeCell ref="S3:T3"/>
    <mergeCell ref="M4:M5"/>
    <mergeCell ref="N4:N5"/>
  </mergeCells>
  <pageMargins left="0.70866141732283505" right="0.70866141732283505" top="0.74803149606299202" bottom="0.74803149606299202" header="0.31496062992126" footer="0.511811023622047"/>
  <pageSetup paperSize="151" firstPageNumber="86" orientation="portrait" useFirstPageNumber="1" r:id="rId1"/>
  <headerFooter>
    <oddFooter>&amp;C&amp;"Times New Roman,Regular"&amp;8&amp;P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AJ46"/>
  <sheetViews>
    <sheetView zoomScaleNormal="100" workbookViewId="0">
      <pane xSplit="1" ySplit="3" topLeftCell="I31" activePane="bottomRight" state="frozen"/>
      <selection pane="topRight" activeCell="B1" sqref="B1"/>
      <selection pane="bottomLeft" activeCell="A4" sqref="A4"/>
      <selection pane="bottomRight" activeCell="P56" sqref="P56"/>
    </sheetView>
  </sheetViews>
  <sheetFormatPr defaultColWidth="9.140625" defaultRowHeight="11.25"/>
  <cols>
    <col min="1" max="1" width="12.7109375" style="10" customWidth="1"/>
    <col min="2" max="2" width="9.42578125" style="10" customWidth="1"/>
    <col min="3" max="3" width="10.140625" style="10" customWidth="1"/>
    <col min="4" max="4" width="9.140625" style="10" customWidth="1"/>
    <col min="5" max="5" width="8.140625" style="10" customWidth="1"/>
    <col min="6" max="6" width="8.85546875" style="10" customWidth="1"/>
    <col min="7" max="7" width="8.42578125" style="10" customWidth="1"/>
    <col min="8" max="8" width="7.7109375" style="10" customWidth="1"/>
    <col min="9" max="9" width="8.42578125" style="10" customWidth="1"/>
    <col min="10" max="10" width="7.28515625" style="10" customWidth="1"/>
    <col min="11" max="11" width="7.140625" style="10" customWidth="1"/>
    <col min="12" max="12" width="7.7109375" style="10" customWidth="1"/>
    <col min="13" max="13" width="7.85546875" style="10" customWidth="1"/>
    <col min="14" max="14" width="7.5703125" style="10" customWidth="1"/>
    <col min="15" max="15" width="7.42578125" style="10" customWidth="1"/>
    <col min="16" max="17" width="7.28515625" style="10" customWidth="1"/>
    <col min="18" max="18" width="9" style="10" customWidth="1"/>
    <col min="19" max="19" width="9.28515625" style="10" customWidth="1"/>
    <col min="20" max="20" width="8.28515625" style="10" customWidth="1"/>
    <col min="21" max="21" width="8.42578125" style="10" customWidth="1"/>
    <col min="22" max="22" width="8.5703125" style="10" customWidth="1"/>
    <col min="23" max="23" width="8.28515625" style="10" customWidth="1"/>
    <col min="24" max="24" width="8.85546875" style="10" customWidth="1"/>
    <col min="25" max="25" width="8.140625" style="10" customWidth="1"/>
    <col min="26" max="26" width="8.5703125" style="10" customWidth="1"/>
    <col min="27" max="27" width="9" style="10" customWidth="1"/>
    <col min="28" max="28" width="9.140625" style="10" customWidth="1"/>
    <col min="29" max="29" width="8.5703125" style="10" customWidth="1"/>
    <col min="30" max="30" width="9.42578125" style="10" customWidth="1"/>
    <col min="31" max="31" width="9" style="10" customWidth="1"/>
    <col min="32" max="32" width="8.28515625" style="10" customWidth="1"/>
    <col min="33" max="33" width="7.7109375" style="10" customWidth="1"/>
    <col min="34" max="34" width="8.5703125" style="10" customWidth="1"/>
    <col min="35" max="35" width="7.42578125" style="10" customWidth="1"/>
    <col min="36" max="36" width="8.5703125" style="10" customWidth="1"/>
    <col min="37" max="37" width="10" style="10" customWidth="1"/>
    <col min="38" max="38" width="13.28515625" style="10" customWidth="1"/>
    <col min="39" max="39" width="15.42578125" style="10" customWidth="1"/>
    <col min="40" max="40" width="12.7109375" style="10" customWidth="1"/>
    <col min="41" max="42" width="9.140625" style="10"/>
    <col min="43" max="43" width="12.140625" style="10" customWidth="1"/>
    <col min="44" max="16384" width="9.140625" style="10"/>
  </cols>
  <sheetData>
    <row r="1" spans="1:36" s="210" customFormat="1" ht="15" customHeight="1">
      <c r="A1" s="2096" t="s">
        <v>657</v>
      </c>
      <c r="B1" s="2096"/>
      <c r="C1" s="2096"/>
      <c r="D1" s="2096"/>
      <c r="E1" s="2096"/>
      <c r="F1" s="2096"/>
      <c r="G1" s="2096"/>
      <c r="H1" s="2096"/>
      <c r="I1" s="2097" t="s">
        <v>658</v>
      </c>
      <c r="J1" s="2097"/>
      <c r="K1" s="2097"/>
      <c r="L1" s="2097"/>
      <c r="M1" s="2097"/>
      <c r="N1" s="2097"/>
      <c r="O1" s="627"/>
      <c r="P1" s="2095" t="s">
        <v>2092</v>
      </c>
      <c r="Q1" s="2095"/>
      <c r="R1" s="2095"/>
      <c r="S1" s="2096" t="s">
        <v>1532</v>
      </c>
      <c r="T1" s="2096"/>
      <c r="U1" s="2096"/>
      <c r="V1" s="2096"/>
      <c r="W1" s="2096"/>
      <c r="X1" s="2096"/>
      <c r="Y1" s="2096"/>
      <c r="Z1" s="2096"/>
      <c r="AA1" s="2096"/>
      <c r="AB1" s="2097" t="s">
        <v>658</v>
      </c>
      <c r="AC1" s="2097"/>
      <c r="AD1" s="2097"/>
      <c r="AE1" s="2097"/>
      <c r="AF1" s="2097"/>
      <c r="AG1" s="627"/>
      <c r="AH1" s="2095" t="s">
        <v>2093</v>
      </c>
      <c r="AI1" s="2095"/>
      <c r="AJ1" s="2095"/>
    </row>
    <row r="2" spans="1:36" s="24" customFormat="1" ht="10.5" customHeight="1">
      <c r="A2" s="64"/>
      <c r="B2" s="64"/>
      <c r="C2" s="64"/>
      <c r="E2" s="197"/>
      <c r="H2" s="108"/>
      <c r="I2" s="118"/>
      <c r="J2" s="108"/>
      <c r="K2" s="108"/>
      <c r="L2" s="108"/>
      <c r="M2" s="108"/>
      <c r="N2" s="108"/>
      <c r="O2" s="64"/>
      <c r="P2" s="64"/>
      <c r="Q2" s="2066" t="s">
        <v>1033</v>
      </c>
      <c r="R2" s="2066"/>
      <c r="W2" s="197"/>
      <c r="AI2" s="2066" t="s">
        <v>1033</v>
      </c>
      <c r="AJ2" s="2066"/>
    </row>
    <row r="3" spans="1:36" s="134" customFormat="1" ht="39" customHeight="1">
      <c r="A3" s="28" t="s">
        <v>1682</v>
      </c>
      <c r="B3" s="28" t="s">
        <v>1034</v>
      </c>
      <c r="C3" s="28" t="s">
        <v>744</v>
      </c>
      <c r="D3" s="28" t="s">
        <v>910</v>
      </c>
      <c r="E3" s="28" t="s">
        <v>911</v>
      </c>
      <c r="F3" s="28" t="s">
        <v>1513</v>
      </c>
      <c r="G3" s="28" t="s">
        <v>1514</v>
      </c>
      <c r="H3" s="28" t="s">
        <v>637</v>
      </c>
      <c r="I3" s="28" t="s">
        <v>1515</v>
      </c>
      <c r="J3" s="28" t="s">
        <v>913</v>
      </c>
      <c r="K3" s="28" t="s">
        <v>1516</v>
      </c>
      <c r="L3" s="28" t="s">
        <v>378</v>
      </c>
      <c r="M3" s="28" t="s">
        <v>1517</v>
      </c>
      <c r="N3" s="28" t="s">
        <v>1518</v>
      </c>
      <c r="O3" s="28" t="s">
        <v>1519</v>
      </c>
      <c r="P3" s="28" t="s">
        <v>1520</v>
      </c>
      <c r="Q3" s="28" t="s">
        <v>916</v>
      </c>
      <c r="R3" s="28" t="s">
        <v>917</v>
      </c>
      <c r="S3" s="28" t="s">
        <v>1677</v>
      </c>
      <c r="T3" s="1580" t="s">
        <v>918</v>
      </c>
      <c r="U3" s="28" t="s">
        <v>919</v>
      </c>
      <c r="V3" s="28" t="s">
        <v>1521</v>
      </c>
      <c r="W3" s="28" t="s">
        <v>1522</v>
      </c>
      <c r="X3" s="28" t="s">
        <v>1352</v>
      </c>
      <c r="Y3" s="28" t="s">
        <v>1523</v>
      </c>
      <c r="Z3" s="28" t="s">
        <v>1524</v>
      </c>
      <c r="AA3" s="28" t="s">
        <v>745</v>
      </c>
      <c r="AB3" s="28" t="s">
        <v>1525</v>
      </c>
      <c r="AC3" s="28" t="s">
        <v>1526</v>
      </c>
      <c r="AD3" s="138" t="s">
        <v>1527</v>
      </c>
      <c r="AE3" s="28" t="s">
        <v>1353</v>
      </c>
      <c r="AF3" s="28" t="s">
        <v>1036</v>
      </c>
      <c r="AG3" s="1414" t="s">
        <v>927</v>
      </c>
      <c r="AH3" s="28" t="s">
        <v>1528</v>
      </c>
      <c r="AI3" s="1414" t="s">
        <v>2591</v>
      </c>
      <c r="AJ3" s="1414" t="s">
        <v>2590</v>
      </c>
    </row>
    <row r="4" spans="1:36" ht="13.15" customHeight="1">
      <c r="A4" s="526" t="s">
        <v>946</v>
      </c>
      <c r="B4" s="551">
        <v>18.399999999999999</v>
      </c>
      <c r="C4" s="551">
        <v>0</v>
      </c>
      <c r="D4" s="551">
        <v>-0.01</v>
      </c>
      <c r="E4" s="551">
        <v>12.73</v>
      </c>
      <c r="F4" s="551">
        <v>0</v>
      </c>
      <c r="G4" s="551">
        <v>15.29</v>
      </c>
      <c r="H4" s="551">
        <v>15.36</v>
      </c>
      <c r="I4" s="551">
        <v>0.02</v>
      </c>
      <c r="J4" s="551">
        <v>5.12</v>
      </c>
      <c r="K4" s="551">
        <v>5.24</v>
      </c>
      <c r="L4" s="551">
        <v>-3.18</v>
      </c>
      <c r="M4" s="551">
        <v>-0.02</v>
      </c>
      <c r="N4" s="551">
        <v>0.8</v>
      </c>
      <c r="O4" s="551">
        <v>0</v>
      </c>
      <c r="P4" s="551">
        <v>6.15</v>
      </c>
      <c r="Q4" s="551">
        <v>2.92</v>
      </c>
      <c r="R4" s="551">
        <v>19.440000000000001</v>
      </c>
      <c r="S4" s="526" t="s">
        <v>946</v>
      </c>
      <c r="T4" s="551">
        <v>3.36</v>
      </c>
      <c r="U4" s="551">
        <v>0.01</v>
      </c>
      <c r="V4" s="551">
        <v>3.85</v>
      </c>
      <c r="W4" s="551">
        <v>-6.15</v>
      </c>
      <c r="X4" s="551">
        <v>0</v>
      </c>
      <c r="Y4" s="551">
        <v>3.76</v>
      </c>
      <c r="Z4" s="551">
        <v>0</v>
      </c>
      <c r="AA4" s="551">
        <v>1.25</v>
      </c>
      <c r="AB4" s="551">
        <v>0.61</v>
      </c>
      <c r="AC4" s="551">
        <v>14.14</v>
      </c>
      <c r="AD4" s="551">
        <v>-0.95</v>
      </c>
      <c r="AE4" s="551">
        <v>9.74</v>
      </c>
      <c r="AF4" s="551">
        <v>12.12</v>
      </c>
      <c r="AG4" s="551">
        <v>5.35</v>
      </c>
      <c r="AH4" s="551">
        <v>-1.1200000000000001</v>
      </c>
      <c r="AI4" s="551">
        <v>0</v>
      </c>
      <c r="AJ4" s="551">
        <v>7.61</v>
      </c>
    </row>
    <row r="5" spans="1:36" ht="13.15" customHeight="1">
      <c r="A5" s="12" t="s">
        <v>947</v>
      </c>
      <c r="B5" s="19">
        <v>3.51</v>
      </c>
      <c r="C5" s="19">
        <v>-4.18</v>
      </c>
      <c r="D5" s="19">
        <v>0</v>
      </c>
      <c r="E5" s="19">
        <v>0.11</v>
      </c>
      <c r="F5" s="19">
        <v>0.01</v>
      </c>
      <c r="G5" s="19">
        <v>5.69</v>
      </c>
      <c r="H5" s="19">
        <v>5.7</v>
      </c>
      <c r="I5" s="19">
        <v>-0.02</v>
      </c>
      <c r="J5" s="19">
        <v>0.99</v>
      </c>
      <c r="K5" s="19">
        <v>-11.99</v>
      </c>
      <c r="L5" s="19">
        <v>-5.32</v>
      </c>
      <c r="M5" s="19">
        <v>10.54</v>
      </c>
      <c r="N5" s="19">
        <v>1.63</v>
      </c>
      <c r="O5" s="19">
        <v>0</v>
      </c>
      <c r="P5" s="19">
        <v>4.82</v>
      </c>
      <c r="Q5" s="19">
        <v>2.19</v>
      </c>
      <c r="R5" s="19">
        <v>8.6</v>
      </c>
      <c r="S5" s="12" t="s">
        <v>947</v>
      </c>
      <c r="T5" s="19">
        <v>5.01</v>
      </c>
      <c r="U5" s="19">
        <v>0</v>
      </c>
      <c r="V5" s="19">
        <v>-0.62</v>
      </c>
      <c r="W5" s="19">
        <v>-4.54</v>
      </c>
      <c r="X5" s="19">
        <v>0</v>
      </c>
      <c r="Y5" s="19">
        <v>4.5999999999999996</v>
      </c>
      <c r="Z5" s="19">
        <v>0</v>
      </c>
      <c r="AA5" s="19">
        <v>3.06</v>
      </c>
      <c r="AB5" s="19">
        <v>2.34</v>
      </c>
      <c r="AC5" s="19">
        <v>6.39</v>
      </c>
      <c r="AD5" s="19">
        <v>-5.1100000000000003</v>
      </c>
      <c r="AE5" s="19">
        <v>6.63</v>
      </c>
      <c r="AF5" s="19">
        <v>-5.28</v>
      </c>
      <c r="AG5" s="19">
        <v>4.7</v>
      </c>
      <c r="AH5" s="19">
        <v>2.7</v>
      </c>
      <c r="AI5" s="19">
        <v>0</v>
      </c>
      <c r="AJ5" s="19">
        <v>9.59</v>
      </c>
    </row>
    <row r="6" spans="1:36" ht="13.15" customHeight="1">
      <c r="A6" s="526" t="s">
        <v>948</v>
      </c>
      <c r="B6" s="551">
        <v>10.26</v>
      </c>
      <c r="C6" s="551">
        <v>-5.21</v>
      </c>
      <c r="D6" s="551">
        <v>0</v>
      </c>
      <c r="E6" s="551">
        <v>9.48</v>
      </c>
      <c r="F6" s="551">
        <v>0</v>
      </c>
      <c r="G6" s="551">
        <v>-0.43</v>
      </c>
      <c r="H6" s="551">
        <v>-0.18</v>
      </c>
      <c r="I6" s="551">
        <v>0.38</v>
      </c>
      <c r="J6" s="551">
        <v>5.75</v>
      </c>
      <c r="K6" s="551">
        <v>-3.21</v>
      </c>
      <c r="L6" s="551">
        <v>-3.73</v>
      </c>
      <c r="M6" s="551">
        <v>-2.0499999999999998</v>
      </c>
      <c r="N6" s="551">
        <v>0.98</v>
      </c>
      <c r="O6" s="551">
        <v>0</v>
      </c>
      <c r="P6" s="551">
        <v>36.630000000000003</v>
      </c>
      <c r="Q6" s="551">
        <v>5.38</v>
      </c>
      <c r="R6" s="551">
        <v>10.69</v>
      </c>
      <c r="S6" s="526" t="s">
        <v>948</v>
      </c>
      <c r="T6" s="551">
        <v>5.4</v>
      </c>
      <c r="U6" s="551">
        <v>0</v>
      </c>
      <c r="V6" s="551">
        <v>-2.5299999999999998</v>
      </c>
      <c r="W6" s="551">
        <v>0.36</v>
      </c>
      <c r="X6" s="551">
        <v>0.01</v>
      </c>
      <c r="Y6" s="551">
        <v>1.3</v>
      </c>
      <c r="Z6" s="551">
        <v>0</v>
      </c>
      <c r="AA6" s="551">
        <v>12.25</v>
      </c>
      <c r="AB6" s="551">
        <v>1.83</v>
      </c>
      <c r="AC6" s="551">
        <v>-3.47</v>
      </c>
      <c r="AD6" s="551">
        <v>2.5099999999999998</v>
      </c>
      <c r="AE6" s="551">
        <v>-1.36</v>
      </c>
      <c r="AF6" s="551">
        <v>-6.98</v>
      </c>
      <c r="AG6" s="551">
        <v>-0.37</v>
      </c>
      <c r="AH6" s="551">
        <v>-1.05</v>
      </c>
      <c r="AI6" s="551">
        <v>0</v>
      </c>
      <c r="AJ6" s="551">
        <v>0.12</v>
      </c>
    </row>
    <row r="7" spans="1:36" ht="13.15" customHeight="1">
      <c r="A7" s="12" t="s">
        <v>953</v>
      </c>
      <c r="B7" s="19">
        <v>-4.2300000000000004</v>
      </c>
      <c r="C7" s="19">
        <v>-8.5</v>
      </c>
      <c r="D7" s="19">
        <v>0.04</v>
      </c>
      <c r="E7" s="19">
        <v>9.44</v>
      </c>
      <c r="F7" s="19">
        <v>3.45</v>
      </c>
      <c r="G7" s="19">
        <v>3.96</v>
      </c>
      <c r="H7" s="19">
        <v>4.09</v>
      </c>
      <c r="I7" s="19">
        <v>0.02</v>
      </c>
      <c r="J7" s="19">
        <v>-5.9</v>
      </c>
      <c r="K7" s="19">
        <v>4.05</v>
      </c>
      <c r="L7" s="19">
        <v>-2.02</v>
      </c>
      <c r="M7" s="19">
        <v>-5.09</v>
      </c>
      <c r="N7" s="19">
        <v>0.97</v>
      </c>
      <c r="O7" s="19">
        <v>3.06</v>
      </c>
      <c r="P7" s="19">
        <v>-2.97</v>
      </c>
      <c r="Q7" s="19">
        <v>-4.8499999999999996</v>
      </c>
      <c r="R7" s="19">
        <v>-14.66</v>
      </c>
      <c r="S7" s="12" t="s">
        <v>953</v>
      </c>
      <c r="T7" s="19">
        <v>4.2699999999999996</v>
      </c>
      <c r="U7" s="19">
        <v>-0.04</v>
      </c>
      <c r="V7" s="19">
        <v>-0.9</v>
      </c>
      <c r="W7" s="19">
        <v>4.43</v>
      </c>
      <c r="X7" s="19">
        <v>-0.01</v>
      </c>
      <c r="Y7" s="19">
        <v>5.87</v>
      </c>
      <c r="Z7" s="19">
        <v>0</v>
      </c>
      <c r="AA7" s="19">
        <v>7.1</v>
      </c>
      <c r="AB7" s="19">
        <v>5.41</v>
      </c>
      <c r="AC7" s="19">
        <v>6.42</v>
      </c>
      <c r="AD7" s="19">
        <v>-4.04</v>
      </c>
      <c r="AE7" s="19">
        <v>2.99</v>
      </c>
      <c r="AF7" s="19">
        <v>0</v>
      </c>
      <c r="AG7" s="19">
        <v>0.73</v>
      </c>
      <c r="AH7" s="19">
        <v>7.53</v>
      </c>
      <c r="AI7" s="19">
        <v>0</v>
      </c>
      <c r="AJ7" s="19">
        <v>0.75</v>
      </c>
    </row>
    <row r="8" spans="1:36" ht="13.15" customHeight="1">
      <c r="A8" s="526" t="s">
        <v>962</v>
      </c>
      <c r="B8" s="551">
        <v>16.3</v>
      </c>
      <c r="C8" s="551">
        <v>1.26</v>
      </c>
      <c r="D8" s="551">
        <v>-0.42</v>
      </c>
      <c r="E8" s="551">
        <v>5.37</v>
      </c>
      <c r="F8" s="551">
        <v>5.05</v>
      </c>
      <c r="G8" s="551">
        <v>8.02</v>
      </c>
      <c r="H8" s="551">
        <v>7.78</v>
      </c>
      <c r="I8" s="551">
        <v>-1.58</v>
      </c>
      <c r="J8" s="551">
        <v>14.15</v>
      </c>
      <c r="K8" s="551">
        <v>3.38</v>
      </c>
      <c r="L8" s="551">
        <v>-1.19</v>
      </c>
      <c r="M8" s="551">
        <v>-5.5</v>
      </c>
      <c r="N8" s="551">
        <v>0.02</v>
      </c>
      <c r="O8" s="551">
        <v>6.79</v>
      </c>
      <c r="P8" s="551">
        <v>-31.96</v>
      </c>
      <c r="Q8" s="551">
        <v>13.1</v>
      </c>
      <c r="R8" s="551">
        <v>29.3</v>
      </c>
      <c r="S8" s="526" t="s">
        <v>962</v>
      </c>
      <c r="T8" s="551">
        <v>6.58</v>
      </c>
      <c r="U8" s="551">
        <v>0.03</v>
      </c>
      <c r="V8" s="551">
        <v>-0.55000000000000004</v>
      </c>
      <c r="W8" s="551">
        <v>15.82</v>
      </c>
      <c r="X8" s="551">
        <v>0.01</v>
      </c>
      <c r="Y8" s="551">
        <v>5.31</v>
      </c>
      <c r="Z8" s="551">
        <v>-0.01</v>
      </c>
      <c r="AA8" s="551">
        <v>3.7</v>
      </c>
      <c r="AB8" s="551">
        <v>4.43</v>
      </c>
      <c r="AC8" s="551">
        <v>7.59</v>
      </c>
      <c r="AD8" s="551">
        <v>-6.47</v>
      </c>
      <c r="AE8" s="551">
        <v>1.91</v>
      </c>
      <c r="AF8" s="551">
        <v>-0.38</v>
      </c>
      <c r="AG8" s="551">
        <v>3.11</v>
      </c>
      <c r="AH8" s="551">
        <v>21.23</v>
      </c>
      <c r="AI8" s="551">
        <v>0.91</v>
      </c>
      <c r="AJ8" s="551">
        <v>10.4</v>
      </c>
    </row>
    <row r="9" spans="1:36" ht="13.15" customHeight="1">
      <c r="A9" s="12" t="s">
        <v>675</v>
      </c>
      <c r="B9" s="21">
        <v>13.2</v>
      </c>
      <c r="C9" s="21">
        <v>0.42</v>
      </c>
      <c r="D9" s="21">
        <v>0.41</v>
      </c>
      <c r="E9" s="21">
        <v>5.37</v>
      </c>
      <c r="F9" s="21">
        <v>11.03</v>
      </c>
      <c r="G9" s="21">
        <v>16.41</v>
      </c>
      <c r="H9" s="21">
        <v>16.670000000000002</v>
      </c>
      <c r="I9" s="21">
        <v>1.1499999999999999</v>
      </c>
      <c r="J9" s="21">
        <v>-5.29</v>
      </c>
      <c r="K9" s="21">
        <v>-2.06</v>
      </c>
      <c r="L9" s="21">
        <v>0.89</v>
      </c>
      <c r="M9" s="21">
        <v>16.16</v>
      </c>
      <c r="N9" s="21">
        <v>8.73</v>
      </c>
      <c r="O9" s="21">
        <v>5.69</v>
      </c>
      <c r="P9" s="21">
        <v>0</v>
      </c>
      <c r="Q9" s="21">
        <v>-4.0199999999999996</v>
      </c>
      <c r="R9" s="21">
        <v>-1.44</v>
      </c>
      <c r="S9" s="12" t="s">
        <v>675</v>
      </c>
      <c r="T9" s="21">
        <v>16.48</v>
      </c>
      <c r="U9" s="21">
        <v>-0.01</v>
      </c>
      <c r="V9" s="21">
        <v>-11.54</v>
      </c>
      <c r="W9" s="21">
        <v>3.53</v>
      </c>
      <c r="X9" s="282">
        <v>0.06</v>
      </c>
      <c r="Y9" s="282">
        <v>9.7899999999999991</v>
      </c>
      <c r="Z9" s="282">
        <v>0.01</v>
      </c>
      <c r="AA9" s="282">
        <v>-11.04</v>
      </c>
      <c r="AB9" s="282">
        <v>12.34</v>
      </c>
      <c r="AC9" s="282">
        <v>14.38</v>
      </c>
      <c r="AD9" s="282">
        <v>3.29</v>
      </c>
      <c r="AE9" s="282">
        <v>20.059999999999999</v>
      </c>
      <c r="AF9" s="282">
        <v>2.76</v>
      </c>
      <c r="AG9" s="282">
        <v>7.55</v>
      </c>
      <c r="AH9" s="282">
        <v>-5.43</v>
      </c>
      <c r="AI9" s="282">
        <v>-0.9</v>
      </c>
      <c r="AJ9" s="282">
        <v>-0.67</v>
      </c>
    </row>
    <row r="10" spans="1:36" ht="13.15" customHeight="1">
      <c r="A10" s="517" t="s">
        <v>141</v>
      </c>
      <c r="B10" s="511">
        <v>-15.831</v>
      </c>
      <c r="C10" s="511">
        <v>-0.78800000000000003</v>
      </c>
      <c r="D10" s="511">
        <v>-2.5999999999999999E-2</v>
      </c>
      <c r="E10" s="511">
        <v>-12.601000000000001</v>
      </c>
      <c r="F10" s="511">
        <v>0.39800000000000002</v>
      </c>
      <c r="G10" s="511">
        <v>-10.66</v>
      </c>
      <c r="H10" s="511">
        <v>-10.802</v>
      </c>
      <c r="I10" s="511">
        <v>0.68500000000000005</v>
      </c>
      <c r="J10" s="511">
        <v>-10.9</v>
      </c>
      <c r="K10" s="511">
        <v>-9.6910000000000007</v>
      </c>
      <c r="L10" s="511">
        <v>-7.6079999999999997</v>
      </c>
      <c r="M10" s="511">
        <v>10.449</v>
      </c>
      <c r="N10" s="511">
        <v>-8.2469999999999999</v>
      </c>
      <c r="O10" s="511">
        <v>-7.2830000000000004</v>
      </c>
      <c r="P10" s="511">
        <v>0</v>
      </c>
      <c r="Q10" s="511">
        <v>-12.002000000000001</v>
      </c>
      <c r="R10" s="511">
        <v>-14.455</v>
      </c>
      <c r="S10" s="517" t="s">
        <v>141</v>
      </c>
      <c r="T10" s="511">
        <v>-22.157</v>
      </c>
      <c r="U10" s="511">
        <v>0</v>
      </c>
      <c r="V10" s="511">
        <v>-15.763</v>
      </c>
      <c r="W10" s="511">
        <v>-7.3670999999999998</v>
      </c>
      <c r="X10" s="511">
        <v>-4.1000000000000002E-2</v>
      </c>
      <c r="Y10" s="543">
        <v>-24.79</v>
      </c>
      <c r="Z10" s="543">
        <v>0</v>
      </c>
      <c r="AA10" s="543">
        <v>-19.683</v>
      </c>
      <c r="AB10" s="543">
        <v>-6.07</v>
      </c>
      <c r="AC10" s="543">
        <v>-21.937999999999999</v>
      </c>
      <c r="AD10" s="543">
        <v>-6.3259999999999996</v>
      </c>
      <c r="AE10" s="543">
        <v>-5.9569999999999999</v>
      </c>
      <c r="AF10" s="543">
        <v>10.749000000000001</v>
      </c>
      <c r="AG10" s="543">
        <v>-4.883</v>
      </c>
      <c r="AH10" s="543">
        <v>-1.542</v>
      </c>
      <c r="AI10" s="543">
        <v>-4.0840219448168291E-3</v>
      </c>
      <c r="AJ10" s="543">
        <v>-16.933</v>
      </c>
    </row>
    <row r="11" spans="1:36" ht="13.15" customHeight="1">
      <c r="A11" s="11" t="s">
        <v>136</v>
      </c>
      <c r="B11" s="21">
        <v>5.01</v>
      </c>
      <c r="C11" s="21">
        <v>-0.55000000000000004</v>
      </c>
      <c r="D11" s="21">
        <v>-0.01</v>
      </c>
      <c r="E11" s="21">
        <v>9.3800000000000008</v>
      </c>
      <c r="F11" s="21">
        <v>0.6</v>
      </c>
      <c r="G11" s="21">
        <v>-13.47</v>
      </c>
      <c r="H11" s="21">
        <v>-13.43</v>
      </c>
      <c r="I11" s="21">
        <v>-0.44</v>
      </c>
      <c r="J11" s="21">
        <v>3.45</v>
      </c>
      <c r="K11" s="21">
        <v>12.64</v>
      </c>
      <c r="L11" s="21">
        <v>-0.55000000000000004</v>
      </c>
      <c r="M11" s="21">
        <v>8.43</v>
      </c>
      <c r="N11" s="21">
        <v>-0.31</v>
      </c>
      <c r="O11" s="21">
        <v>8.1999999999999993</v>
      </c>
      <c r="P11" s="21">
        <v>0</v>
      </c>
      <c r="Q11" s="21">
        <v>4.55</v>
      </c>
      <c r="R11" s="21">
        <v>6.39</v>
      </c>
      <c r="S11" s="11" t="s">
        <v>136</v>
      </c>
      <c r="T11" s="21">
        <v>-0.04</v>
      </c>
      <c r="U11" s="21">
        <v>0.01</v>
      </c>
      <c r="V11" s="21">
        <v>-4.92</v>
      </c>
      <c r="W11" s="21">
        <v>4.01</v>
      </c>
      <c r="X11" s="21">
        <v>-0.01</v>
      </c>
      <c r="Y11" s="282">
        <v>-0.52</v>
      </c>
      <c r="Z11" s="282">
        <v>-0.01</v>
      </c>
      <c r="AA11" s="282">
        <v>5.81</v>
      </c>
      <c r="AB11" s="282">
        <v>3.45</v>
      </c>
      <c r="AC11" s="282">
        <v>-1.58</v>
      </c>
      <c r="AD11" s="282">
        <v>1.3</v>
      </c>
      <c r="AE11" s="282">
        <v>0.06</v>
      </c>
      <c r="AF11" s="282">
        <v>1.92</v>
      </c>
      <c r="AG11" s="282">
        <v>-4.8499999999999996</v>
      </c>
      <c r="AH11" s="282">
        <v>5.0599999999999996</v>
      </c>
      <c r="AI11" s="282">
        <v>0</v>
      </c>
      <c r="AJ11" s="282">
        <v>-9.07</v>
      </c>
    </row>
    <row r="12" spans="1:36" ht="13.15" customHeight="1">
      <c r="A12" s="517" t="s">
        <v>317</v>
      </c>
      <c r="B12" s="511">
        <v>25.89</v>
      </c>
      <c r="C12" s="511">
        <v>-6.34</v>
      </c>
      <c r="D12" s="511">
        <v>-0.01</v>
      </c>
      <c r="E12" s="511">
        <v>8.98</v>
      </c>
      <c r="F12" s="511">
        <v>4.93</v>
      </c>
      <c r="G12" s="511">
        <v>18.23</v>
      </c>
      <c r="H12" s="511">
        <v>18.39</v>
      </c>
      <c r="I12" s="511">
        <v>0.01</v>
      </c>
      <c r="J12" s="511">
        <v>3.74</v>
      </c>
      <c r="K12" s="511">
        <v>5.5</v>
      </c>
      <c r="L12" s="511">
        <v>-6.22</v>
      </c>
      <c r="M12" s="511">
        <v>9.65</v>
      </c>
      <c r="N12" s="511">
        <v>5.92</v>
      </c>
      <c r="O12" s="511">
        <v>7.84</v>
      </c>
      <c r="P12" s="511">
        <v>0</v>
      </c>
      <c r="Q12" s="511">
        <v>3.05</v>
      </c>
      <c r="R12" s="511">
        <v>19.25</v>
      </c>
      <c r="S12" s="517" t="s">
        <v>317</v>
      </c>
      <c r="T12" s="511">
        <v>20.96</v>
      </c>
      <c r="U12" s="511">
        <v>0</v>
      </c>
      <c r="V12" s="511">
        <v>-0.84</v>
      </c>
      <c r="W12" s="511">
        <v>6.77</v>
      </c>
      <c r="X12" s="511">
        <v>-0.05</v>
      </c>
      <c r="Y12" s="543">
        <v>11.69</v>
      </c>
      <c r="Z12" s="543">
        <v>0.01</v>
      </c>
      <c r="AA12" s="543">
        <v>12.92</v>
      </c>
      <c r="AB12" s="543">
        <v>13.77</v>
      </c>
      <c r="AC12" s="543">
        <v>23.15</v>
      </c>
      <c r="AD12" s="543">
        <v>3.56</v>
      </c>
      <c r="AE12" s="543">
        <v>29.66</v>
      </c>
      <c r="AF12" s="543">
        <v>-1.1399999999999999</v>
      </c>
      <c r="AG12" s="543">
        <v>8.27</v>
      </c>
      <c r="AH12" s="543">
        <v>5.23</v>
      </c>
      <c r="AI12" s="543">
        <v>0</v>
      </c>
      <c r="AJ12" s="543">
        <v>6.65</v>
      </c>
    </row>
    <row r="13" spans="1:36" s="300" customFormat="1" ht="13.15" customHeight="1">
      <c r="A13" s="298" t="s">
        <v>1299</v>
      </c>
      <c r="B13" s="41">
        <v>-4.16</v>
      </c>
      <c r="C13" s="41">
        <v>-9.3800000000000008</v>
      </c>
      <c r="D13" s="41">
        <v>0.01</v>
      </c>
      <c r="E13" s="41">
        <v>-4.59</v>
      </c>
      <c r="F13" s="41">
        <v>2.3199999999999998</v>
      </c>
      <c r="G13" s="41">
        <v>-12.1</v>
      </c>
      <c r="H13" s="41">
        <v>-12.4</v>
      </c>
      <c r="I13" s="41">
        <v>0.38</v>
      </c>
      <c r="J13" s="41">
        <v>-19.38</v>
      </c>
      <c r="K13" s="41">
        <v>8.4700000000000006</v>
      </c>
      <c r="L13" s="41">
        <v>-13.15</v>
      </c>
      <c r="M13" s="41">
        <v>1.1100000000000001</v>
      </c>
      <c r="N13" s="41">
        <v>-1.96</v>
      </c>
      <c r="O13" s="41">
        <v>-4.7699999999999996</v>
      </c>
      <c r="P13" s="41">
        <v>0</v>
      </c>
      <c r="Q13" s="41">
        <v>-20.63</v>
      </c>
      <c r="R13" s="41">
        <v>-2.97</v>
      </c>
      <c r="S13" s="298" t="s">
        <v>1299</v>
      </c>
      <c r="T13" s="41">
        <v>-9.77</v>
      </c>
      <c r="U13" s="41">
        <v>0</v>
      </c>
      <c r="V13" s="41">
        <v>-8.94</v>
      </c>
      <c r="W13" s="41">
        <v>3.29</v>
      </c>
      <c r="X13" s="41">
        <v>0.02</v>
      </c>
      <c r="Y13" s="892">
        <v>-14.8</v>
      </c>
      <c r="Z13" s="892">
        <v>-0.01</v>
      </c>
      <c r="AA13" s="892">
        <v>-6.01</v>
      </c>
      <c r="AB13" s="892">
        <v>-2.57</v>
      </c>
      <c r="AC13" s="892">
        <v>-8.85</v>
      </c>
      <c r="AD13" s="892">
        <v>-17.760000000000002</v>
      </c>
      <c r="AE13" s="892">
        <v>-12.17</v>
      </c>
      <c r="AF13" s="892">
        <v>-25.91</v>
      </c>
      <c r="AG13" s="892">
        <v>-4.99</v>
      </c>
      <c r="AH13" s="892">
        <v>-2.56</v>
      </c>
      <c r="AI13" s="892">
        <v>0</v>
      </c>
      <c r="AJ13" s="892">
        <v>-2.48</v>
      </c>
    </row>
    <row r="14" spans="1:36" s="300" customFormat="1" ht="13.15" customHeight="1">
      <c r="A14" s="517" t="s">
        <v>1505</v>
      </c>
      <c r="B14" s="511">
        <v>-10.71</v>
      </c>
      <c r="C14" s="511">
        <v>5.21</v>
      </c>
      <c r="D14" s="511">
        <v>0</v>
      </c>
      <c r="E14" s="511">
        <v>-3.35</v>
      </c>
      <c r="F14" s="511">
        <v>2.37</v>
      </c>
      <c r="G14" s="511">
        <v>2.58</v>
      </c>
      <c r="H14" s="511">
        <v>2.92</v>
      </c>
      <c r="I14" s="511">
        <v>0.02</v>
      </c>
      <c r="J14" s="511">
        <v>-6.75</v>
      </c>
      <c r="K14" s="511">
        <v>-5.37</v>
      </c>
      <c r="L14" s="511">
        <v>0.04</v>
      </c>
      <c r="M14" s="511">
        <v>-19.53</v>
      </c>
      <c r="N14" s="511">
        <v>-1.86</v>
      </c>
      <c r="O14" s="511">
        <v>0.35</v>
      </c>
      <c r="P14" s="511">
        <v>0</v>
      </c>
      <c r="Q14" s="511">
        <v>-4.8600000000000003</v>
      </c>
      <c r="R14" s="511">
        <v>-3.26</v>
      </c>
      <c r="S14" s="517" t="s">
        <v>1505</v>
      </c>
      <c r="T14" s="511">
        <v>-1.79</v>
      </c>
      <c r="U14" s="511">
        <v>0</v>
      </c>
      <c r="V14" s="511">
        <v>-4.99</v>
      </c>
      <c r="W14" s="511">
        <v>-2.56</v>
      </c>
      <c r="X14" s="511">
        <v>0.01</v>
      </c>
      <c r="Y14" s="543">
        <v>-0.22</v>
      </c>
      <c r="Z14" s="543">
        <v>0.01</v>
      </c>
      <c r="AA14" s="543">
        <v>0.3</v>
      </c>
      <c r="AB14" s="543">
        <v>-0.15</v>
      </c>
      <c r="AC14" s="543">
        <v>3.24</v>
      </c>
      <c r="AD14" s="543">
        <v>2.04</v>
      </c>
      <c r="AE14" s="543">
        <v>0.57999999999999996</v>
      </c>
      <c r="AF14" s="543">
        <v>-36.24</v>
      </c>
      <c r="AG14" s="543">
        <v>-0.89</v>
      </c>
      <c r="AH14" s="543">
        <v>1.76</v>
      </c>
      <c r="AI14" s="543">
        <v>0</v>
      </c>
      <c r="AJ14" s="543">
        <v>-2.96</v>
      </c>
    </row>
    <row r="15" spans="1:36" s="459" customFormat="1" ht="13.15" customHeight="1">
      <c r="A15" s="1543" t="s">
        <v>1887</v>
      </c>
      <c r="B15" s="414">
        <v>3.09</v>
      </c>
      <c r="C15" s="414">
        <v>0.17</v>
      </c>
      <c r="D15" s="414">
        <v>0</v>
      </c>
      <c r="E15" s="414">
        <v>-1.3</v>
      </c>
      <c r="F15" s="414">
        <v>0.42</v>
      </c>
      <c r="G15" s="414">
        <v>4.9400000000000004</v>
      </c>
      <c r="H15" s="414">
        <v>4.9000000000000004</v>
      </c>
      <c r="I15" s="414">
        <v>0.06</v>
      </c>
      <c r="J15" s="414">
        <v>-0.86</v>
      </c>
      <c r="K15" s="414">
        <v>-17.149999999999999</v>
      </c>
      <c r="L15" s="414">
        <v>-52.09</v>
      </c>
      <c r="M15" s="414">
        <v>-2.16</v>
      </c>
      <c r="N15" s="414">
        <v>1.22</v>
      </c>
      <c r="O15" s="414">
        <v>-1.54</v>
      </c>
      <c r="P15" s="414">
        <v>0</v>
      </c>
      <c r="Q15" s="414">
        <v>-0.71</v>
      </c>
      <c r="R15" s="414">
        <v>13.34</v>
      </c>
      <c r="S15" s="1543" t="s">
        <v>1887</v>
      </c>
      <c r="T15" s="414">
        <v>-0.86</v>
      </c>
      <c r="U15" s="414">
        <v>0</v>
      </c>
      <c r="V15" s="414">
        <v>0.86</v>
      </c>
      <c r="W15" s="414">
        <v>-1.28</v>
      </c>
      <c r="X15" s="414">
        <v>-0.02</v>
      </c>
      <c r="Y15" s="414">
        <v>-2.2799999999999998</v>
      </c>
      <c r="Z15" s="414">
        <v>-0.01</v>
      </c>
      <c r="AA15" s="414">
        <v>12.42</v>
      </c>
      <c r="AB15" s="414">
        <v>1.42</v>
      </c>
      <c r="AC15" s="414">
        <v>-0.51</v>
      </c>
      <c r="AD15" s="414">
        <v>0.16</v>
      </c>
      <c r="AE15" s="414">
        <v>6.06</v>
      </c>
      <c r="AF15" s="414">
        <v>-32.82</v>
      </c>
      <c r="AG15" s="414">
        <v>2.67</v>
      </c>
      <c r="AH15" s="414">
        <v>-4.33</v>
      </c>
      <c r="AI15" s="414">
        <v>0.01</v>
      </c>
      <c r="AJ15" s="414">
        <v>12.04</v>
      </c>
    </row>
    <row r="16" spans="1:36" s="459" customFormat="1" ht="13.15" customHeight="1">
      <c r="A16" s="975" t="s">
        <v>2017</v>
      </c>
      <c r="B16" s="974">
        <v>-18.440000000000001</v>
      </c>
      <c r="C16" s="974">
        <v>-0.22</v>
      </c>
      <c r="D16" s="974">
        <v>-0.01</v>
      </c>
      <c r="E16" s="974">
        <v>-13.97</v>
      </c>
      <c r="F16" s="974">
        <v>0.64</v>
      </c>
      <c r="G16" s="974">
        <v>-17.73</v>
      </c>
      <c r="H16" s="974">
        <v>-17.670000000000002</v>
      </c>
      <c r="I16" s="974">
        <v>-0.01</v>
      </c>
      <c r="J16" s="974">
        <v>-5.75</v>
      </c>
      <c r="K16" s="974">
        <v>-10.130000000000001</v>
      </c>
      <c r="L16" s="974">
        <v>-12.59</v>
      </c>
      <c r="M16" s="974">
        <v>-17.21</v>
      </c>
      <c r="N16" s="974">
        <v>-6.77</v>
      </c>
      <c r="O16" s="974">
        <v>-15.23</v>
      </c>
      <c r="P16" s="974">
        <v>-99.43</v>
      </c>
      <c r="Q16" s="974">
        <v>-5.44</v>
      </c>
      <c r="R16" s="974">
        <v>-21.92</v>
      </c>
      <c r="S16" s="975" t="s">
        <v>2017</v>
      </c>
      <c r="T16" s="974">
        <v>-22.06</v>
      </c>
      <c r="U16" s="974">
        <v>0.01</v>
      </c>
      <c r="V16" s="974">
        <v>-3.09</v>
      </c>
      <c r="W16" s="974">
        <v>-3.09</v>
      </c>
      <c r="X16" s="974">
        <v>-0.01</v>
      </c>
      <c r="Y16" s="974">
        <v>-39.450000000000003</v>
      </c>
      <c r="Z16" s="974">
        <v>-0.01</v>
      </c>
      <c r="AA16" s="974">
        <v>-9.57</v>
      </c>
      <c r="AB16" s="974">
        <v>-7.17</v>
      </c>
      <c r="AC16" s="974">
        <v>-18.239999999999998</v>
      </c>
      <c r="AD16" s="974">
        <v>-2.5499999999999998</v>
      </c>
      <c r="AE16" s="974">
        <v>-3.8</v>
      </c>
      <c r="AF16" s="974">
        <v>-31.24</v>
      </c>
      <c r="AG16" s="974">
        <v>-9.1199999999999992</v>
      </c>
      <c r="AH16" s="974">
        <v>-3.91</v>
      </c>
      <c r="AI16" s="974">
        <v>0</v>
      </c>
      <c r="AJ16" s="974">
        <v>-7.63</v>
      </c>
    </row>
    <row r="17" spans="1:36" s="459" customFormat="1" ht="13.15" customHeight="1">
      <c r="A17" s="1132" t="s">
        <v>2226</v>
      </c>
      <c r="B17" s="1276">
        <v>-3.89</v>
      </c>
      <c r="C17" s="1276">
        <v>-0.76</v>
      </c>
      <c r="D17" s="1276">
        <v>-0.08</v>
      </c>
      <c r="E17" s="1276">
        <v>-4.84</v>
      </c>
      <c r="F17" s="1276">
        <v>-7.82</v>
      </c>
      <c r="G17" s="1276">
        <v>-1.31</v>
      </c>
      <c r="H17" s="1276">
        <v>-1.52</v>
      </c>
      <c r="I17" s="1276">
        <v>-0.08</v>
      </c>
      <c r="J17" s="1276">
        <v>-5.91</v>
      </c>
      <c r="K17" s="1276">
        <v>1.28</v>
      </c>
      <c r="L17" s="1276">
        <v>-2.61</v>
      </c>
      <c r="M17" s="1276">
        <v>19.25</v>
      </c>
      <c r="N17" s="1276">
        <v>0.05</v>
      </c>
      <c r="O17" s="1276">
        <v>-6.68</v>
      </c>
      <c r="P17" s="1276">
        <v>-5.53</v>
      </c>
      <c r="Q17" s="1276">
        <v>-6.41</v>
      </c>
      <c r="R17" s="1276">
        <v>2.8</v>
      </c>
      <c r="S17" s="1132" t="s">
        <v>2226</v>
      </c>
      <c r="T17" s="1276">
        <v>-7.3</v>
      </c>
      <c r="U17" s="1276">
        <v>-0.01</v>
      </c>
      <c r="V17" s="1276">
        <v>-2.68</v>
      </c>
      <c r="W17" s="1276">
        <v>-3.89</v>
      </c>
      <c r="X17" s="1276">
        <v>0</v>
      </c>
      <c r="Y17" s="1276">
        <v>-13.36</v>
      </c>
      <c r="Z17" s="1276">
        <v>0.01</v>
      </c>
      <c r="AA17" s="1276">
        <v>-3.69</v>
      </c>
      <c r="AB17" s="1276">
        <v>-0.55000000000000004</v>
      </c>
      <c r="AC17" s="1276">
        <v>-3.04</v>
      </c>
      <c r="AD17" s="1276">
        <v>-9.5299999999999994</v>
      </c>
      <c r="AE17" s="1276">
        <v>-5.73</v>
      </c>
      <c r="AF17" s="1276">
        <v>0.35</v>
      </c>
      <c r="AG17" s="1276">
        <v>-0.56999999999999995</v>
      </c>
      <c r="AH17" s="1276">
        <v>-4.17</v>
      </c>
      <c r="AI17" s="1276">
        <v>0</v>
      </c>
      <c r="AJ17" s="1276">
        <v>-15.21</v>
      </c>
    </row>
    <row r="18" spans="1:36" s="459" customFormat="1" ht="13.15" customHeight="1">
      <c r="A18" s="1071" t="s">
        <v>954</v>
      </c>
      <c r="B18" s="690">
        <v>-5.14</v>
      </c>
      <c r="C18" s="690">
        <v>0.01</v>
      </c>
      <c r="D18" s="690">
        <v>0</v>
      </c>
      <c r="E18" s="690">
        <v>-4.71</v>
      </c>
      <c r="F18" s="690">
        <v>-0.06</v>
      </c>
      <c r="G18" s="690">
        <v>-2.73</v>
      </c>
      <c r="H18" s="690">
        <v>-2.72</v>
      </c>
      <c r="I18" s="690">
        <v>-0.02</v>
      </c>
      <c r="J18" s="690">
        <v>-0.69</v>
      </c>
      <c r="K18" s="690">
        <v>-1.1599999999999999</v>
      </c>
      <c r="L18" s="690">
        <v>-0.95</v>
      </c>
      <c r="M18" s="690">
        <v>-1.3</v>
      </c>
      <c r="N18" s="690">
        <v>-0.23</v>
      </c>
      <c r="O18" s="690">
        <v>-0.84</v>
      </c>
      <c r="P18" s="690">
        <v>-9.25</v>
      </c>
      <c r="Q18" s="690">
        <v>-0.85</v>
      </c>
      <c r="R18" s="690">
        <v>-3.62</v>
      </c>
      <c r="S18" s="1071" t="s">
        <v>954</v>
      </c>
      <c r="T18" s="690">
        <v>-3.87</v>
      </c>
      <c r="U18" s="690">
        <v>-0.01</v>
      </c>
      <c r="V18" s="690">
        <v>0</v>
      </c>
      <c r="W18" s="690">
        <v>-1.1599999999999999</v>
      </c>
      <c r="X18" s="690">
        <v>0</v>
      </c>
      <c r="Y18" s="690">
        <v>-5.34</v>
      </c>
      <c r="Z18" s="690">
        <v>0.01</v>
      </c>
      <c r="AA18" s="690">
        <v>-4.2</v>
      </c>
      <c r="AB18" s="690">
        <v>-2.12</v>
      </c>
      <c r="AC18" s="690">
        <v>-4.32</v>
      </c>
      <c r="AD18" s="690">
        <v>0</v>
      </c>
      <c r="AE18" s="690">
        <v>-4.5</v>
      </c>
      <c r="AF18" s="690">
        <v>0.88</v>
      </c>
      <c r="AG18" s="690">
        <v>-0.64</v>
      </c>
      <c r="AH18" s="690">
        <v>-3.84</v>
      </c>
      <c r="AI18" s="690">
        <v>-0.01</v>
      </c>
      <c r="AJ18" s="690">
        <v>-0.87</v>
      </c>
    </row>
    <row r="19" spans="1:36" s="459" customFormat="1" ht="13.15" customHeight="1">
      <c r="A19" s="1058" t="s">
        <v>955</v>
      </c>
      <c r="B19" s="658">
        <v>-1.67</v>
      </c>
      <c r="C19" s="658">
        <v>0</v>
      </c>
      <c r="D19" s="658">
        <v>-0.09</v>
      </c>
      <c r="E19" s="658">
        <v>-1.56</v>
      </c>
      <c r="F19" s="658">
        <v>-4.26</v>
      </c>
      <c r="G19" s="658">
        <v>2.35</v>
      </c>
      <c r="H19" s="658">
        <v>2.35</v>
      </c>
      <c r="I19" s="658">
        <v>0.05</v>
      </c>
      <c r="J19" s="658">
        <v>-3.02</v>
      </c>
      <c r="K19" s="658">
        <v>-3.9</v>
      </c>
      <c r="L19" s="658">
        <v>-1.1000000000000001</v>
      </c>
      <c r="M19" s="658">
        <v>2.27</v>
      </c>
      <c r="N19" s="658">
        <v>0.33</v>
      </c>
      <c r="O19" s="658">
        <v>-9</v>
      </c>
      <c r="P19" s="658">
        <v>-3.33</v>
      </c>
      <c r="Q19" s="658">
        <v>-2.68</v>
      </c>
      <c r="R19" s="658">
        <v>-2.13</v>
      </c>
      <c r="S19" s="1058" t="s">
        <v>955</v>
      </c>
      <c r="T19" s="658">
        <v>-1.31</v>
      </c>
      <c r="U19" s="658">
        <v>-0.03</v>
      </c>
      <c r="V19" s="658">
        <v>-1.98</v>
      </c>
      <c r="W19" s="658">
        <v>-2.4500000000000002</v>
      </c>
      <c r="X19" s="658">
        <v>-0.02</v>
      </c>
      <c r="Y19" s="658">
        <v>-9.7200000000000006</v>
      </c>
      <c r="Z19" s="658">
        <v>-0.02</v>
      </c>
      <c r="AA19" s="658">
        <v>-1.24</v>
      </c>
      <c r="AB19" s="658">
        <v>-2.36</v>
      </c>
      <c r="AC19" s="658">
        <v>2.2000000000000002</v>
      </c>
      <c r="AD19" s="658">
        <v>-0.48</v>
      </c>
      <c r="AE19" s="658">
        <v>0.74</v>
      </c>
      <c r="AF19" s="658">
        <v>-2</v>
      </c>
      <c r="AG19" s="658">
        <v>0.99</v>
      </c>
      <c r="AH19" s="658">
        <v>-2.09</v>
      </c>
      <c r="AI19" s="658">
        <v>0</v>
      </c>
      <c r="AJ19" s="658">
        <v>-1.28</v>
      </c>
    </row>
    <row r="20" spans="1:36" s="459" customFormat="1" ht="13.15" customHeight="1">
      <c r="A20" s="1071" t="s">
        <v>949</v>
      </c>
      <c r="B20" s="690">
        <v>-2.5</v>
      </c>
      <c r="C20" s="690">
        <v>0</v>
      </c>
      <c r="D20" s="690">
        <v>-0.04</v>
      </c>
      <c r="E20" s="690">
        <v>-1.54</v>
      </c>
      <c r="F20" s="690">
        <v>0.44</v>
      </c>
      <c r="G20" s="690">
        <v>0.56999999999999995</v>
      </c>
      <c r="H20" s="690">
        <v>0.55000000000000004</v>
      </c>
      <c r="I20" s="690">
        <v>0</v>
      </c>
      <c r="J20" s="690">
        <v>0.47</v>
      </c>
      <c r="K20" s="690">
        <v>-4.2</v>
      </c>
      <c r="L20" s="690">
        <v>-0.08</v>
      </c>
      <c r="M20" s="690">
        <v>1.34</v>
      </c>
      <c r="N20" s="690">
        <v>-0.05</v>
      </c>
      <c r="O20" s="690">
        <v>-5.74</v>
      </c>
      <c r="P20" s="690">
        <v>-0.86</v>
      </c>
      <c r="Q20" s="690">
        <v>-0.37</v>
      </c>
      <c r="R20" s="690">
        <v>-1.78</v>
      </c>
      <c r="S20" s="1071" t="s">
        <v>949</v>
      </c>
      <c r="T20" s="690">
        <v>-2.2400000000000002</v>
      </c>
      <c r="U20" s="690">
        <v>0.03</v>
      </c>
      <c r="V20" s="690">
        <v>-0.47</v>
      </c>
      <c r="W20" s="690">
        <v>-0.12</v>
      </c>
      <c r="X20" s="690">
        <v>0</v>
      </c>
      <c r="Y20" s="690">
        <v>-0.98</v>
      </c>
      <c r="Z20" s="690">
        <v>0.01</v>
      </c>
      <c r="AA20" s="690">
        <v>-0.6</v>
      </c>
      <c r="AB20" s="690">
        <v>-1.36</v>
      </c>
      <c r="AC20" s="690">
        <v>0.53</v>
      </c>
      <c r="AD20" s="690">
        <v>-4.7300000000000004</v>
      </c>
      <c r="AE20" s="690">
        <v>-1.02</v>
      </c>
      <c r="AF20" s="690">
        <v>-0.28999999999999998</v>
      </c>
      <c r="AG20" s="690">
        <v>-0.24</v>
      </c>
      <c r="AH20" s="690">
        <v>-1.35</v>
      </c>
      <c r="AI20" s="690">
        <v>0</v>
      </c>
      <c r="AJ20" s="690">
        <v>-1.59</v>
      </c>
    </row>
    <row r="21" spans="1:36" s="459" customFormat="1" ht="13.15" customHeight="1">
      <c r="A21" s="1058" t="s">
        <v>956</v>
      </c>
      <c r="B21" s="658">
        <v>2.0499999999999998</v>
      </c>
      <c r="C21" s="658">
        <v>-0.2</v>
      </c>
      <c r="D21" s="658">
        <v>0.13</v>
      </c>
      <c r="E21" s="658">
        <v>2.6</v>
      </c>
      <c r="F21" s="658">
        <v>0.19</v>
      </c>
      <c r="G21" s="658">
        <v>-2.21</v>
      </c>
      <c r="H21" s="658">
        <v>-2.2400000000000002</v>
      </c>
      <c r="I21" s="658">
        <v>0</v>
      </c>
      <c r="J21" s="658">
        <v>0.69</v>
      </c>
      <c r="K21" s="658">
        <v>7.03</v>
      </c>
      <c r="L21" s="658">
        <v>0.01</v>
      </c>
      <c r="M21" s="658">
        <v>-0.73</v>
      </c>
      <c r="N21" s="658">
        <v>-0.38</v>
      </c>
      <c r="O21" s="658">
        <v>3.6</v>
      </c>
      <c r="P21" s="658">
        <v>0.82</v>
      </c>
      <c r="Q21" s="658">
        <v>1.89</v>
      </c>
      <c r="R21" s="658">
        <v>6.57</v>
      </c>
      <c r="S21" s="1058" t="s">
        <v>956</v>
      </c>
      <c r="T21" s="658">
        <v>-0.21</v>
      </c>
      <c r="U21" s="658">
        <v>0</v>
      </c>
      <c r="V21" s="658">
        <v>-0.95</v>
      </c>
      <c r="W21" s="658">
        <v>0.28999999999999998</v>
      </c>
      <c r="X21" s="658">
        <v>0.05</v>
      </c>
      <c r="Y21" s="658">
        <v>2.97</v>
      </c>
      <c r="Z21" s="658">
        <v>0</v>
      </c>
      <c r="AA21" s="658">
        <v>4.3</v>
      </c>
      <c r="AB21" s="658">
        <v>1.95</v>
      </c>
      <c r="AC21" s="658">
        <v>-1.79</v>
      </c>
      <c r="AD21" s="658">
        <v>-0.02</v>
      </c>
      <c r="AE21" s="658">
        <v>-1.56</v>
      </c>
      <c r="AF21" s="658">
        <v>0</v>
      </c>
      <c r="AG21" s="658">
        <v>-0.56000000000000005</v>
      </c>
      <c r="AH21" s="658">
        <v>2.16</v>
      </c>
      <c r="AI21" s="658">
        <v>0.01</v>
      </c>
      <c r="AJ21" s="658">
        <v>1.76</v>
      </c>
    </row>
    <row r="22" spans="1:36" s="459" customFormat="1" ht="13.15" customHeight="1">
      <c r="A22" s="1071" t="s">
        <v>957</v>
      </c>
      <c r="B22" s="690">
        <v>0.87</v>
      </c>
      <c r="C22" s="690">
        <v>-1.24</v>
      </c>
      <c r="D22" s="690">
        <v>0.05</v>
      </c>
      <c r="E22" s="690">
        <v>-2.16</v>
      </c>
      <c r="F22" s="690">
        <v>-0.73</v>
      </c>
      <c r="G22" s="690">
        <v>-3.7</v>
      </c>
      <c r="H22" s="690">
        <v>-3.64</v>
      </c>
      <c r="I22" s="690">
        <v>0</v>
      </c>
      <c r="J22" s="690">
        <v>-2.27</v>
      </c>
      <c r="K22" s="690">
        <v>-1.05</v>
      </c>
      <c r="L22" s="690">
        <v>0.22</v>
      </c>
      <c r="M22" s="690">
        <v>-1.77</v>
      </c>
      <c r="N22" s="690">
        <v>-0.49</v>
      </c>
      <c r="O22" s="690">
        <v>0.79</v>
      </c>
      <c r="P22" s="690">
        <v>-1.88</v>
      </c>
      <c r="Q22" s="690">
        <v>-2.2599999999999998</v>
      </c>
      <c r="R22" s="690">
        <v>-3.46</v>
      </c>
      <c r="S22" s="1071" t="s">
        <v>957</v>
      </c>
      <c r="T22" s="690">
        <v>-2.4</v>
      </c>
      <c r="U22" s="690">
        <v>0</v>
      </c>
      <c r="V22" s="690">
        <v>-0.12</v>
      </c>
      <c r="W22" s="690">
        <v>-0.99</v>
      </c>
      <c r="X22" s="690">
        <v>-0.02</v>
      </c>
      <c r="Y22" s="690">
        <v>-3.8</v>
      </c>
      <c r="Z22" s="690">
        <v>-0.06</v>
      </c>
      <c r="AA22" s="690">
        <v>-1.23</v>
      </c>
      <c r="AB22" s="690">
        <v>-0.91</v>
      </c>
      <c r="AC22" s="690">
        <v>-2.34</v>
      </c>
      <c r="AD22" s="690">
        <v>-1.48</v>
      </c>
      <c r="AE22" s="690">
        <v>-4.08</v>
      </c>
      <c r="AF22" s="690">
        <v>0</v>
      </c>
      <c r="AG22" s="690">
        <v>-1.66</v>
      </c>
      <c r="AH22" s="690">
        <v>-0.75</v>
      </c>
      <c r="AI22" s="690">
        <v>-0.01</v>
      </c>
      <c r="AJ22" s="690">
        <v>-2.4500000000000002</v>
      </c>
    </row>
    <row r="23" spans="1:36" s="459" customFormat="1" ht="13.15" customHeight="1">
      <c r="A23" s="1058" t="s">
        <v>950</v>
      </c>
      <c r="B23" s="1104">
        <v>1.28</v>
      </c>
      <c r="C23" s="1104">
        <v>0.53</v>
      </c>
      <c r="D23" s="1104">
        <v>0.13</v>
      </c>
      <c r="E23" s="1104">
        <v>-3.77</v>
      </c>
      <c r="F23" s="1104">
        <v>-1.5</v>
      </c>
      <c r="G23" s="1104">
        <v>3.17</v>
      </c>
      <c r="H23" s="1104">
        <v>3.16</v>
      </c>
      <c r="I23" s="1104">
        <v>0</v>
      </c>
      <c r="J23" s="1104">
        <v>0.63</v>
      </c>
      <c r="K23" s="1104">
        <v>0.25</v>
      </c>
      <c r="L23" s="1104">
        <v>0.18</v>
      </c>
      <c r="M23" s="1104">
        <v>1.95</v>
      </c>
      <c r="N23" s="1104">
        <v>0.38</v>
      </c>
      <c r="O23" s="1104">
        <v>-0.76</v>
      </c>
      <c r="P23" s="1104">
        <v>-0.76</v>
      </c>
      <c r="Q23" s="1104">
        <v>0.46</v>
      </c>
      <c r="R23" s="1104">
        <v>4.7699999999999996</v>
      </c>
      <c r="S23" s="1058" t="s">
        <v>950</v>
      </c>
      <c r="T23" s="1104">
        <v>-1.04</v>
      </c>
      <c r="U23" s="1104">
        <v>0</v>
      </c>
      <c r="V23" s="1104">
        <v>0.6</v>
      </c>
      <c r="W23" s="1104">
        <v>0.56999999999999995</v>
      </c>
      <c r="X23" s="1104">
        <v>-0.03</v>
      </c>
      <c r="Y23" s="1104">
        <v>-9.4600000000000009</v>
      </c>
      <c r="Z23" s="1104">
        <v>0.01</v>
      </c>
      <c r="AA23" s="1104">
        <v>-1.88</v>
      </c>
      <c r="AB23" s="1104">
        <v>-0.06</v>
      </c>
      <c r="AC23" s="1104">
        <v>3.9</v>
      </c>
      <c r="AD23" s="1104">
        <v>-0.59</v>
      </c>
      <c r="AE23" s="1104">
        <v>4.32</v>
      </c>
      <c r="AF23" s="1104">
        <v>0.39</v>
      </c>
      <c r="AG23" s="1104">
        <v>0.96</v>
      </c>
      <c r="AH23" s="1104">
        <v>-0.61</v>
      </c>
      <c r="AI23" s="1104">
        <v>0.02</v>
      </c>
      <c r="AJ23" s="1104">
        <v>-1.5</v>
      </c>
    </row>
    <row r="24" spans="1:36" s="459" customFormat="1" ht="13.15" customHeight="1">
      <c r="A24" s="1071" t="s">
        <v>958</v>
      </c>
      <c r="B24" s="690">
        <v>-2.87</v>
      </c>
      <c r="C24" s="690">
        <v>0.01</v>
      </c>
      <c r="D24" s="690">
        <v>-0.08</v>
      </c>
      <c r="E24" s="690">
        <v>-0.74</v>
      </c>
      <c r="F24" s="690">
        <v>-0.89</v>
      </c>
      <c r="G24" s="690">
        <v>-0.88</v>
      </c>
      <c r="H24" s="690">
        <v>-0.88</v>
      </c>
      <c r="I24" s="690">
        <v>-0.38</v>
      </c>
      <c r="J24" s="690">
        <v>-2.0499999999999998</v>
      </c>
      <c r="K24" s="690">
        <v>0.17</v>
      </c>
      <c r="L24" s="690">
        <v>0.2</v>
      </c>
      <c r="M24" s="690">
        <v>-0.48</v>
      </c>
      <c r="N24" s="690">
        <v>-7.0000000000000007E-2</v>
      </c>
      <c r="O24" s="690">
        <v>3.37</v>
      </c>
      <c r="P24" s="690">
        <v>0.89</v>
      </c>
      <c r="Q24" s="690">
        <v>-2.41</v>
      </c>
      <c r="R24" s="690">
        <v>-5.41</v>
      </c>
      <c r="S24" s="1071" t="s">
        <v>958</v>
      </c>
      <c r="T24" s="690">
        <v>1.28</v>
      </c>
      <c r="U24" s="690">
        <v>0.04</v>
      </c>
      <c r="V24" s="690">
        <v>0.05</v>
      </c>
      <c r="W24" s="690">
        <v>-1.64</v>
      </c>
      <c r="X24" s="690">
        <v>0.04</v>
      </c>
      <c r="Y24" s="690">
        <v>-5.93</v>
      </c>
      <c r="Z24" s="690">
        <v>0.06</v>
      </c>
      <c r="AA24" s="690">
        <v>-2.5299999999999998</v>
      </c>
      <c r="AB24" s="690">
        <v>-0.68</v>
      </c>
      <c r="AC24" s="690">
        <v>-1.95</v>
      </c>
      <c r="AD24" s="690">
        <v>-0.13</v>
      </c>
      <c r="AE24" s="690">
        <v>-3.54</v>
      </c>
      <c r="AF24" s="690">
        <v>-0.02</v>
      </c>
      <c r="AG24" s="690">
        <v>-0.46</v>
      </c>
      <c r="AH24" s="690">
        <v>1.04</v>
      </c>
      <c r="AI24" s="690">
        <v>-0.01</v>
      </c>
      <c r="AJ24" s="690">
        <v>-3.83</v>
      </c>
    </row>
    <row r="25" spans="1:36" s="459" customFormat="1" ht="13.15" customHeight="1">
      <c r="A25" s="1058" t="s">
        <v>959</v>
      </c>
      <c r="B25" s="1104">
        <v>0.73</v>
      </c>
      <c r="C25" s="1104">
        <v>0.06</v>
      </c>
      <c r="D25" s="1104">
        <v>-0.08</v>
      </c>
      <c r="E25" s="1104">
        <v>3.51</v>
      </c>
      <c r="F25" s="1104">
        <v>0.1</v>
      </c>
      <c r="G25" s="1104">
        <v>1</v>
      </c>
      <c r="H25" s="1104">
        <v>0.96</v>
      </c>
      <c r="I25" s="1104">
        <v>7.0000000000000007E-2</v>
      </c>
      <c r="J25" s="1104">
        <v>-1.25</v>
      </c>
      <c r="K25" s="1104">
        <v>2.87</v>
      </c>
      <c r="L25" s="1104">
        <v>-1.37</v>
      </c>
      <c r="M25" s="1104">
        <v>6.24</v>
      </c>
      <c r="N25" s="1104">
        <v>1.05</v>
      </c>
      <c r="O25" s="1104">
        <v>-1.52</v>
      </c>
      <c r="P25" s="1104">
        <v>4.97</v>
      </c>
      <c r="Q25" s="1104">
        <v>-1.42</v>
      </c>
      <c r="R25" s="1104">
        <v>2.36</v>
      </c>
      <c r="S25" s="1058" t="s">
        <v>959</v>
      </c>
      <c r="T25" s="1104">
        <v>0.05</v>
      </c>
      <c r="U25" s="1104">
        <v>-0.04</v>
      </c>
      <c r="V25" s="1104">
        <v>0.1</v>
      </c>
      <c r="W25" s="1104">
        <v>0.24</v>
      </c>
      <c r="X25" s="1104">
        <v>-0.03</v>
      </c>
      <c r="Y25" s="1104">
        <v>2.6</v>
      </c>
      <c r="Z25" s="1104">
        <v>0</v>
      </c>
      <c r="AA25" s="1104">
        <v>-2.52</v>
      </c>
      <c r="AB25" s="1104">
        <v>1.1599999999999999</v>
      </c>
      <c r="AC25" s="1104">
        <v>0.23</v>
      </c>
      <c r="AD25" s="1104">
        <v>-0.27</v>
      </c>
      <c r="AE25" s="1104">
        <v>2.74</v>
      </c>
      <c r="AF25" s="1104">
        <v>0.02</v>
      </c>
      <c r="AG25" s="1104">
        <v>0.57999999999999996</v>
      </c>
      <c r="AH25" s="1104">
        <v>-0.03</v>
      </c>
      <c r="AI25" s="1104">
        <v>-0.01</v>
      </c>
      <c r="AJ25" s="1104">
        <v>-2.62</v>
      </c>
    </row>
    <row r="26" spans="1:36" s="459" customFormat="1" ht="13.15" customHeight="1">
      <c r="A26" s="1071" t="s">
        <v>951</v>
      </c>
      <c r="B26" s="690">
        <v>7.58</v>
      </c>
      <c r="C26" s="690">
        <v>0.06</v>
      </c>
      <c r="D26" s="690">
        <v>-0.03</v>
      </c>
      <c r="E26" s="690">
        <v>4.3099999999999996</v>
      </c>
      <c r="F26" s="690">
        <v>1.3</v>
      </c>
      <c r="G26" s="690">
        <v>3.72</v>
      </c>
      <c r="H26" s="690">
        <v>3.62</v>
      </c>
      <c r="I26" s="690">
        <v>0.28000000000000003</v>
      </c>
      <c r="J26" s="690">
        <v>3.56</v>
      </c>
      <c r="K26" s="690">
        <v>0.79</v>
      </c>
      <c r="L26" s="690">
        <v>7.0000000000000007E-2</v>
      </c>
      <c r="M26" s="690">
        <v>1.37</v>
      </c>
      <c r="N26" s="690">
        <v>-0.45</v>
      </c>
      <c r="O26" s="690">
        <v>7.71</v>
      </c>
      <c r="P26" s="690">
        <v>1.73</v>
      </c>
      <c r="Q26" s="690">
        <v>3.22</v>
      </c>
      <c r="R26" s="690">
        <v>4.53</v>
      </c>
      <c r="S26" s="1071" t="s">
        <v>951</v>
      </c>
      <c r="T26" s="690">
        <v>4.5</v>
      </c>
      <c r="U26" s="690">
        <v>0</v>
      </c>
      <c r="V26" s="690">
        <v>0.05</v>
      </c>
      <c r="W26" s="690">
        <v>3.45</v>
      </c>
      <c r="X26" s="690">
        <v>0.03</v>
      </c>
      <c r="Y26" s="690">
        <v>11.29</v>
      </c>
      <c r="Z26" s="690">
        <v>-0.01</v>
      </c>
      <c r="AA26" s="690">
        <v>8.3000000000000007</v>
      </c>
      <c r="AB26" s="690">
        <v>4.2699999999999996</v>
      </c>
      <c r="AC26" s="690">
        <v>5.0199999999999996</v>
      </c>
      <c r="AD26" s="690">
        <v>-3.06</v>
      </c>
      <c r="AE26" s="690">
        <v>3.23</v>
      </c>
      <c r="AF26" s="690">
        <v>0.3</v>
      </c>
      <c r="AG26" s="690">
        <v>1.31</v>
      </c>
      <c r="AH26" s="690">
        <v>1.39</v>
      </c>
      <c r="AI26" s="690">
        <v>0.01</v>
      </c>
      <c r="AJ26" s="690">
        <v>3.64</v>
      </c>
    </row>
    <row r="27" spans="1:36" s="459" customFormat="1" ht="13.15" customHeight="1">
      <c r="A27" s="1058" t="s">
        <v>960</v>
      </c>
      <c r="B27" s="658">
        <v>-0.85</v>
      </c>
      <c r="C27" s="658">
        <v>0</v>
      </c>
      <c r="D27" s="658">
        <v>0.01</v>
      </c>
      <c r="E27" s="658">
        <v>3.33</v>
      </c>
      <c r="F27" s="658">
        <v>0.04</v>
      </c>
      <c r="G27" s="658">
        <v>1.1599999999999999</v>
      </c>
      <c r="H27" s="658">
        <v>1.03</v>
      </c>
      <c r="I27" s="658">
        <v>-0.05</v>
      </c>
      <c r="J27" s="658">
        <v>-0.08</v>
      </c>
      <c r="K27" s="658">
        <v>0.76</v>
      </c>
      <c r="L27" s="658">
        <v>-0.01</v>
      </c>
      <c r="M27" s="658">
        <v>5.67</v>
      </c>
      <c r="N27" s="658">
        <v>0.35</v>
      </c>
      <c r="O27" s="658">
        <v>0.27</v>
      </c>
      <c r="P27" s="658">
        <v>4.0199999999999996</v>
      </c>
      <c r="Q27" s="658">
        <v>-0.18</v>
      </c>
      <c r="R27" s="658">
        <v>0.76</v>
      </c>
      <c r="S27" s="1058" t="s">
        <v>960</v>
      </c>
      <c r="T27" s="658">
        <v>3.09</v>
      </c>
      <c r="U27" s="658">
        <v>-0.01</v>
      </c>
      <c r="V27" s="658">
        <v>-0.1</v>
      </c>
      <c r="W27" s="658">
        <v>-1.94</v>
      </c>
      <c r="X27" s="658">
        <v>0.02</v>
      </c>
      <c r="Y27" s="658">
        <v>4.9400000000000004</v>
      </c>
      <c r="Z27" s="658">
        <v>0.01</v>
      </c>
      <c r="AA27" s="658">
        <v>-0.04</v>
      </c>
      <c r="AB27" s="658">
        <v>0.43</v>
      </c>
      <c r="AC27" s="658">
        <v>1.5</v>
      </c>
      <c r="AD27" s="658">
        <v>2.08</v>
      </c>
      <c r="AE27" s="658">
        <v>0.56000000000000005</v>
      </c>
      <c r="AF27" s="658">
        <v>0.11</v>
      </c>
      <c r="AG27" s="658">
        <v>0.75</v>
      </c>
      <c r="AH27" s="658">
        <v>0.97</v>
      </c>
      <c r="AI27" s="658">
        <v>0</v>
      </c>
      <c r="AJ27" s="658">
        <v>1.58</v>
      </c>
    </row>
    <row r="28" spans="1:36" s="459" customFormat="1" ht="13.15" customHeight="1">
      <c r="A28" s="1071" t="s">
        <v>961</v>
      </c>
      <c r="B28" s="690">
        <v>-5.57</v>
      </c>
      <c r="C28" s="690">
        <v>0</v>
      </c>
      <c r="D28" s="690">
        <v>-0.01</v>
      </c>
      <c r="E28" s="690">
        <v>-3.88</v>
      </c>
      <c r="F28" s="690">
        <v>-1.83</v>
      </c>
      <c r="G28" s="690">
        <v>-2.66</v>
      </c>
      <c r="H28" s="690">
        <v>-2.67</v>
      </c>
      <c r="I28" s="690">
        <v>-0.16</v>
      </c>
      <c r="J28" s="690">
        <v>-1.1000000000000001</v>
      </c>
      <c r="K28" s="690">
        <v>-3.12</v>
      </c>
      <c r="L28" s="690">
        <v>0.12</v>
      </c>
      <c r="M28" s="690">
        <v>-4.25</v>
      </c>
      <c r="N28" s="690">
        <v>-0.35</v>
      </c>
      <c r="O28" s="690">
        <v>-4.99</v>
      </c>
      <c r="P28" s="690">
        <v>-1.31</v>
      </c>
      <c r="Q28" s="690">
        <v>-0.7</v>
      </c>
      <c r="R28" s="690">
        <v>-4.1100000000000003</v>
      </c>
      <c r="S28" s="1071" t="s">
        <v>961</v>
      </c>
      <c r="T28" s="690">
        <v>-3.51</v>
      </c>
      <c r="U28" s="690">
        <v>0</v>
      </c>
      <c r="V28" s="690">
        <v>-0.02</v>
      </c>
      <c r="W28" s="690">
        <v>0.48</v>
      </c>
      <c r="X28" s="690">
        <v>-0.02</v>
      </c>
      <c r="Y28" s="690">
        <v>-1.1399999999999999</v>
      </c>
      <c r="Z28" s="690">
        <v>0</v>
      </c>
      <c r="AA28" s="690">
        <v>-3.73</v>
      </c>
      <c r="AB28" s="690">
        <v>-2.69</v>
      </c>
      <c r="AC28" s="690">
        <v>-3.41</v>
      </c>
      <c r="AD28" s="690">
        <v>-1.23</v>
      </c>
      <c r="AE28" s="690">
        <v>-3.29</v>
      </c>
      <c r="AF28" s="690">
        <v>0.39</v>
      </c>
      <c r="AG28" s="690">
        <v>-0.8</v>
      </c>
      <c r="AH28" s="690">
        <v>-2.27</v>
      </c>
      <c r="AI28" s="690">
        <v>0</v>
      </c>
      <c r="AJ28" s="690">
        <v>0.23</v>
      </c>
    </row>
    <row r="29" spans="1:36" s="459" customFormat="1" ht="13.15" customHeight="1">
      <c r="A29" s="1058" t="s">
        <v>952</v>
      </c>
      <c r="B29" s="658">
        <v>2.86</v>
      </c>
      <c r="C29" s="658">
        <v>0</v>
      </c>
      <c r="D29" s="658">
        <v>-0.08</v>
      </c>
      <c r="E29" s="658">
        <v>0.19</v>
      </c>
      <c r="F29" s="658">
        <v>-0.81</v>
      </c>
      <c r="G29" s="658">
        <v>-0.75</v>
      </c>
      <c r="H29" s="658">
        <v>-0.72</v>
      </c>
      <c r="I29" s="658">
        <v>0.14000000000000001</v>
      </c>
      <c r="J29" s="658">
        <v>-0.8</v>
      </c>
      <c r="K29" s="658">
        <v>3.4</v>
      </c>
      <c r="L29" s="658">
        <v>0.1</v>
      </c>
      <c r="M29" s="658">
        <v>8.15</v>
      </c>
      <c r="N29" s="658">
        <v>-0.03</v>
      </c>
      <c r="O29" s="658">
        <v>1.36</v>
      </c>
      <c r="P29" s="658">
        <v>0.04</v>
      </c>
      <c r="Q29" s="658">
        <v>-1.1399999999999999</v>
      </c>
      <c r="R29" s="658">
        <v>5.27</v>
      </c>
      <c r="S29" s="1058" t="s">
        <v>952</v>
      </c>
      <c r="T29" s="658">
        <v>-1.54</v>
      </c>
      <c r="U29" s="658">
        <v>0.01</v>
      </c>
      <c r="V29" s="658">
        <v>0.17</v>
      </c>
      <c r="W29" s="658">
        <v>-0.56000000000000005</v>
      </c>
      <c r="X29" s="658">
        <v>-0.02</v>
      </c>
      <c r="Y29" s="658">
        <v>2.44</v>
      </c>
      <c r="Z29" s="658">
        <v>0</v>
      </c>
      <c r="AA29" s="658">
        <v>2.3199999999999998</v>
      </c>
      <c r="AB29" s="658">
        <v>2.0699999999999998</v>
      </c>
      <c r="AC29" s="658">
        <v>-2.17</v>
      </c>
      <c r="AD29" s="658">
        <v>0.11</v>
      </c>
      <c r="AE29" s="658">
        <v>1.02</v>
      </c>
      <c r="AF29" s="658">
        <v>0.6</v>
      </c>
      <c r="AG29" s="658">
        <v>-0.75</v>
      </c>
      <c r="AH29" s="658">
        <v>1.3</v>
      </c>
      <c r="AI29" s="658">
        <v>0.01</v>
      </c>
      <c r="AJ29" s="658">
        <v>-8.86</v>
      </c>
    </row>
    <row r="30" spans="1:36" s="459" customFormat="1" ht="13.15" customHeight="1">
      <c r="A30" s="1270" t="s">
        <v>2384</v>
      </c>
      <c r="B30" s="1102">
        <v>4.01</v>
      </c>
      <c r="C30" s="1102">
        <v>-2.72</v>
      </c>
      <c r="D30" s="1102">
        <v>0.03</v>
      </c>
      <c r="E30" s="1102">
        <v>0.15</v>
      </c>
      <c r="F30" s="1102">
        <v>-2.1</v>
      </c>
      <c r="G30" s="1102">
        <v>3.51</v>
      </c>
      <c r="H30" s="1102">
        <v>3.38</v>
      </c>
      <c r="I30" s="1102">
        <v>-0.6</v>
      </c>
      <c r="J30" s="1102">
        <v>4.72</v>
      </c>
      <c r="K30" s="1102">
        <v>-1.24</v>
      </c>
      <c r="L30" s="1102">
        <v>-7.34</v>
      </c>
      <c r="M30" s="1102">
        <v>-8.4</v>
      </c>
      <c r="N30" s="1102">
        <v>-0.4</v>
      </c>
      <c r="O30" s="1102">
        <v>-5.53</v>
      </c>
      <c r="P30" s="1102">
        <v>-13.2</v>
      </c>
      <c r="Q30" s="1102">
        <v>5.32</v>
      </c>
      <c r="R30" s="1102">
        <v>3.58</v>
      </c>
      <c r="S30" s="1270" t="s">
        <v>2384</v>
      </c>
      <c r="T30" s="1102">
        <v>1.07</v>
      </c>
      <c r="U30" s="1102">
        <v>-0.05</v>
      </c>
      <c r="V30" s="1102">
        <v>-0.2</v>
      </c>
      <c r="W30" s="1102">
        <v>-6.8</v>
      </c>
      <c r="X30" s="1102">
        <v>-2.5099999999999998</v>
      </c>
      <c r="Y30" s="1102">
        <v>8.65</v>
      </c>
      <c r="Z30" s="1102">
        <v>0.01</v>
      </c>
      <c r="AA30" s="1102">
        <v>1.68</v>
      </c>
      <c r="AB30" s="1102">
        <v>-1.86</v>
      </c>
      <c r="AC30" s="1102">
        <v>0.46</v>
      </c>
      <c r="AD30" s="1102">
        <v>-3.74</v>
      </c>
      <c r="AE30" s="1102">
        <v>2.76</v>
      </c>
      <c r="AF30" s="1102">
        <v>-57.91</v>
      </c>
      <c r="AG30" s="1102">
        <v>-0.33</v>
      </c>
      <c r="AH30" s="1102">
        <v>3.75</v>
      </c>
      <c r="AI30" s="1102">
        <v>-0.01</v>
      </c>
      <c r="AJ30" s="1102">
        <v>-2.52</v>
      </c>
    </row>
    <row r="31" spans="1:36" s="459" customFormat="1" ht="13.15" customHeight="1">
      <c r="A31" s="1302" t="s">
        <v>954</v>
      </c>
      <c r="B31" s="658">
        <v>2.83</v>
      </c>
      <c r="C31" s="658">
        <v>0</v>
      </c>
      <c r="D31" s="658">
        <v>0.04</v>
      </c>
      <c r="E31" s="658">
        <v>-0.05</v>
      </c>
      <c r="F31" s="658">
        <v>-0.28000000000000003</v>
      </c>
      <c r="G31" s="658">
        <v>1.06</v>
      </c>
      <c r="H31" s="658">
        <v>0.97</v>
      </c>
      <c r="I31" s="658">
        <v>0.01</v>
      </c>
      <c r="J31" s="658">
        <v>1.59</v>
      </c>
      <c r="K31" s="658">
        <v>0.49</v>
      </c>
      <c r="L31" s="658">
        <v>0.13</v>
      </c>
      <c r="M31" s="658">
        <v>0.68</v>
      </c>
      <c r="N31" s="658">
        <v>-0.1</v>
      </c>
      <c r="O31" s="658">
        <v>-0.34</v>
      </c>
      <c r="P31" s="658">
        <v>-0.08</v>
      </c>
      <c r="Q31" s="658">
        <v>1.36</v>
      </c>
      <c r="R31" s="658">
        <v>2.27</v>
      </c>
      <c r="S31" s="1302" t="s">
        <v>954</v>
      </c>
      <c r="T31" s="658">
        <v>0.32</v>
      </c>
      <c r="U31" s="658">
        <v>-0.04</v>
      </c>
      <c r="V31" s="658">
        <v>-0.16</v>
      </c>
      <c r="W31" s="658">
        <v>-0.13</v>
      </c>
      <c r="X31" s="658">
        <v>0</v>
      </c>
      <c r="Y31" s="658">
        <v>-2.52</v>
      </c>
      <c r="Z31" s="658">
        <v>0</v>
      </c>
      <c r="AA31" s="658">
        <v>4.5</v>
      </c>
      <c r="AB31" s="658">
        <v>1.03</v>
      </c>
      <c r="AC31" s="658">
        <v>-0.62</v>
      </c>
      <c r="AD31" s="658">
        <v>1.6</v>
      </c>
      <c r="AE31" s="658">
        <v>1.33</v>
      </c>
      <c r="AF31" s="658">
        <v>0.57999999999999996</v>
      </c>
      <c r="AG31" s="658">
        <v>-0.14000000000000001</v>
      </c>
      <c r="AH31" s="658">
        <v>1.38</v>
      </c>
      <c r="AI31" s="658">
        <v>-0.01</v>
      </c>
      <c r="AJ31" s="658">
        <v>-0.83</v>
      </c>
    </row>
    <row r="32" spans="1:36" s="459" customFormat="1" ht="13.15" customHeight="1">
      <c r="A32" s="1301" t="s">
        <v>955</v>
      </c>
      <c r="B32" s="690">
        <v>-1.1499999999999999</v>
      </c>
      <c r="C32" s="690">
        <v>0</v>
      </c>
      <c r="D32" s="690">
        <v>0.04</v>
      </c>
      <c r="E32" s="690">
        <v>-0.53</v>
      </c>
      <c r="F32" s="690">
        <v>-0.59</v>
      </c>
      <c r="G32" s="690">
        <v>-0.36</v>
      </c>
      <c r="H32" s="690">
        <v>-0.27</v>
      </c>
      <c r="I32" s="690">
        <v>0</v>
      </c>
      <c r="J32" s="690">
        <v>-0.73</v>
      </c>
      <c r="K32" s="690">
        <v>-1.39</v>
      </c>
      <c r="L32" s="690">
        <v>-0.1</v>
      </c>
      <c r="M32" s="690">
        <v>-0.87</v>
      </c>
      <c r="N32" s="690">
        <v>0.17</v>
      </c>
      <c r="O32" s="690">
        <v>0.49</v>
      </c>
      <c r="P32" s="690">
        <v>-2.0299999999999998</v>
      </c>
      <c r="Q32" s="690">
        <v>-0.02</v>
      </c>
      <c r="R32" s="690">
        <v>0.16</v>
      </c>
      <c r="S32" s="1301" t="s">
        <v>955</v>
      </c>
      <c r="T32" s="690">
        <v>1.26</v>
      </c>
      <c r="U32" s="690">
        <v>0.04</v>
      </c>
      <c r="V32" s="690">
        <v>0.02</v>
      </c>
      <c r="W32" s="690">
        <v>1.01</v>
      </c>
      <c r="X32" s="690">
        <v>0.01</v>
      </c>
      <c r="Y32" s="690">
        <v>1.07</v>
      </c>
      <c r="Z32" s="690">
        <v>0</v>
      </c>
      <c r="AA32" s="690">
        <v>-0.5</v>
      </c>
      <c r="AB32" s="690">
        <v>-1.83</v>
      </c>
      <c r="AC32" s="690">
        <v>0.35</v>
      </c>
      <c r="AD32" s="690">
        <v>0</v>
      </c>
      <c r="AE32" s="690">
        <v>-1.48</v>
      </c>
      <c r="AF32" s="690">
        <v>0.44</v>
      </c>
      <c r="AG32" s="690">
        <v>0.18</v>
      </c>
      <c r="AH32" s="690">
        <v>0.43</v>
      </c>
      <c r="AI32" s="690">
        <v>-0.01</v>
      </c>
      <c r="AJ32" s="690">
        <v>-1.1200000000000001</v>
      </c>
    </row>
    <row r="33" spans="1:36" s="459" customFormat="1" ht="13.15" customHeight="1">
      <c r="A33" s="1302" t="s">
        <v>949</v>
      </c>
      <c r="B33" s="658">
        <v>1.68</v>
      </c>
      <c r="C33" s="658">
        <v>0</v>
      </c>
      <c r="D33" s="658">
        <v>0.01</v>
      </c>
      <c r="E33" s="658">
        <v>-0.33</v>
      </c>
      <c r="F33" s="658">
        <v>0.19</v>
      </c>
      <c r="G33" s="658">
        <v>0.62</v>
      </c>
      <c r="H33" s="658">
        <v>0.72</v>
      </c>
      <c r="I33" s="658">
        <v>0.02</v>
      </c>
      <c r="J33" s="658">
        <v>0.5</v>
      </c>
      <c r="K33" s="658">
        <v>2.1800000000000002</v>
      </c>
      <c r="L33" s="658">
        <v>0.12</v>
      </c>
      <c r="M33" s="658">
        <v>1.92</v>
      </c>
      <c r="N33" s="658">
        <v>0.18</v>
      </c>
      <c r="O33" s="658">
        <v>-2.2400000000000002</v>
      </c>
      <c r="P33" s="658">
        <v>-4.2</v>
      </c>
      <c r="Q33" s="658">
        <v>0.56000000000000005</v>
      </c>
      <c r="R33" s="658">
        <v>0.47</v>
      </c>
      <c r="S33" s="1302" t="s">
        <v>949</v>
      </c>
      <c r="T33" s="658">
        <v>3.67</v>
      </c>
      <c r="U33" s="658">
        <v>0</v>
      </c>
      <c r="V33" s="658">
        <v>0.13</v>
      </c>
      <c r="W33" s="658">
        <v>-3.83</v>
      </c>
      <c r="X33" s="658">
        <v>-0.01</v>
      </c>
      <c r="Y33" s="658">
        <v>3.35</v>
      </c>
      <c r="Z33" s="658">
        <v>-0.13</v>
      </c>
      <c r="AA33" s="658">
        <v>1.65</v>
      </c>
      <c r="AB33" s="658">
        <v>0.03</v>
      </c>
      <c r="AC33" s="658">
        <v>-0.6</v>
      </c>
      <c r="AD33" s="658">
        <v>-0.92</v>
      </c>
      <c r="AE33" s="658">
        <v>1.84</v>
      </c>
      <c r="AF33" s="658">
        <v>0.51</v>
      </c>
      <c r="AG33" s="658">
        <v>0.17</v>
      </c>
      <c r="AH33" s="658">
        <v>-0.23</v>
      </c>
      <c r="AI33" s="658">
        <v>0</v>
      </c>
      <c r="AJ33" s="658">
        <v>-0.87</v>
      </c>
    </row>
    <row r="34" spans="1:36" s="459" customFormat="1" ht="13.15" customHeight="1">
      <c r="A34" s="1301" t="s">
        <v>956</v>
      </c>
      <c r="B34" s="690">
        <v>-0.47</v>
      </c>
      <c r="C34" s="690">
        <v>-0.02</v>
      </c>
      <c r="D34" s="690">
        <v>-0.01</v>
      </c>
      <c r="E34" s="690">
        <v>-1.91</v>
      </c>
      <c r="F34" s="690">
        <v>-1.28</v>
      </c>
      <c r="G34" s="690">
        <v>-1.96</v>
      </c>
      <c r="H34" s="690">
        <v>-2.1</v>
      </c>
      <c r="I34" s="690">
        <v>0.01</v>
      </c>
      <c r="J34" s="690">
        <v>0.05</v>
      </c>
      <c r="K34" s="690">
        <v>-0.36</v>
      </c>
      <c r="L34" s="690">
        <v>-5.32</v>
      </c>
      <c r="M34" s="690">
        <v>-3.51</v>
      </c>
      <c r="N34" s="690">
        <v>-0.63</v>
      </c>
      <c r="O34" s="690">
        <v>-1.42</v>
      </c>
      <c r="P34" s="690">
        <v>-2.09</v>
      </c>
      <c r="Q34" s="690">
        <v>-0.27</v>
      </c>
      <c r="R34" s="690">
        <v>-1.25</v>
      </c>
      <c r="S34" s="1301" t="s">
        <v>956</v>
      </c>
      <c r="T34" s="690">
        <v>-2.61</v>
      </c>
      <c r="U34" s="690">
        <v>0</v>
      </c>
      <c r="V34" s="690">
        <v>-0.04</v>
      </c>
      <c r="W34" s="690">
        <v>-0.02</v>
      </c>
      <c r="X34" s="690">
        <v>0.01</v>
      </c>
      <c r="Y34" s="690">
        <v>0.13</v>
      </c>
      <c r="Z34" s="690">
        <v>0.12</v>
      </c>
      <c r="AA34" s="690">
        <v>-3.82</v>
      </c>
      <c r="AB34" s="690">
        <v>-1.99</v>
      </c>
      <c r="AC34" s="690">
        <v>-4.93</v>
      </c>
      <c r="AD34" s="690">
        <v>-0.61</v>
      </c>
      <c r="AE34" s="690">
        <v>-2.2799999999999998</v>
      </c>
      <c r="AF34" s="690">
        <v>-58.71</v>
      </c>
      <c r="AG34" s="690">
        <v>-1.89</v>
      </c>
      <c r="AH34" s="690">
        <v>-0.87</v>
      </c>
      <c r="AI34" s="690">
        <v>0</v>
      </c>
      <c r="AJ34" s="690">
        <v>-6.05</v>
      </c>
    </row>
    <row r="35" spans="1:36" s="459" customFormat="1" ht="13.15" customHeight="1">
      <c r="A35" s="1302" t="s">
        <v>957</v>
      </c>
      <c r="B35" s="658">
        <v>-1.53</v>
      </c>
      <c r="C35" s="658">
        <v>-0.38</v>
      </c>
      <c r="D35" s="658">
        <v>0.03</v>
      </c>
      <c r="E35" s="658">
        <v>-0.25</v>
      </c>
      <c r="F35" s="658">
        <v>-1.78</v>
      </c>
      <c r="G35" s="658">
        <v>-3.06</v>
      </c>
      <c r="H35" s="658">
        <v>-3.07</v>
      </c>
      <c r="I35" s="658">
        <v>-0.02</v>
      </c>
      <c r="J35" s="658">
        <v>-2.68</v>
      </c>
      <c r="K35" s="658">
        <v>-3.81</v>
      </c>
      <c r="L35" s="658">
        <v>-1.06</v>
      </c>
      <c r="M35" s="658">
        <v>-6.83</v>
      </c>
      <c r="N35" s="658">
        <v>-0.59</v>
      </c>
      <c r="O35" s="658">
        <v>-5.89</v>
      </c>
      <c r="P35" s="658">
        <v>-1.86</v>
      </c>
      <c r="Q35" s="658">
        <v>-2.33</v>
      </c>
      <c r="R35" s="658">
        <v>-0.51</v>
      </c>
      <c r="S35" s="1302" t="s">
        <v>957</v>
      </c>
      <c r="T35" s="658">
        <v>-3.14</v>
      </c>
      <c r="U35" s="658">
        <v>0</v>
      </c>
      <c r="V35" s="658">
        <v>-0.2</v>
      </c>
      <c r="W35" s="658">
        <v>-2.57</v>
      </c>
      <c r="X35" s="658">
        <v>0</v>
      </c>
      <c r="Y35" s="658">
        <v>-3.36</v>
      </c>
      <c r="Z35" s="658">
        <v>0</v>
      </c>
      <c r="AA35" s="658">
        <v>-2.16</v>
      </c>
      <c r="AB35" s="658">
        <v>-2.3199999999999998</v>
      </c>
      <c r="AC35" s="658">
        <v>-1.84</v>
      </c>
      <c r="AD35" s="658">
        <v>-0.77</v>
      </c>
      <c r="AE35" s="658">
        <v>-2.2799999999999998</v>
      </c>
      <c r="AF35" s="658">
        <v>0.39</v>
      </c>
      <c r="AG35" s="658">
        <v>-1.43</v>
      </c>
      <c r="AH35" s="658">
        <v>-1.73</v>
      </c>
      <c r="AI35" s="658">
        <v>0</v>
      </c>
      <c r="AJ35" s="658">
        <v>2.5</v>
      </c>
    </row>
    <row r="36" spans="1:36" s="459" customFormat="1" ht="13.15" customHeight="1">
      <c r="A36" s="1301" t="s">
        <v>950</v>
      </c>
      <c r="B36" s="690">
        <v>-4.0999999999999996</v>
      </c>
      <c r="C36" s="690">
        <v>-0.03</v>
      </c>
      <c r="D36" s="690">
        <v>-0.03</v>
      </c>
      <c r="E36" s="690">
        <v>-0.95</v>
      </c>
      <c r="F36" s="690">
        <v>-0.91</v>
      </c>
      <c r="G36" s="690">
        <v>-2.14</v>
      </c>
      <c r="H36" s="690">
        <v>-2.2400000000000002</v>
      </c>
      <c r="I36" s="690">
        <v>-0.02</v>
      </c>
      <c r="J36" s="690">
        <v>0.56000000000000005</v>
      </c>
      <c r="K36" s="690">
        <v>0.68</v>
      </c>
      <c r="L36" s="690">
        <v>-0.79</v>
      </c>
      <c r="M36" s="690">
        <v>-4.1500000000000004</v>
      </c>
      <c r="N36" s="690">
        <v>-0.36</v>
      </c>
      <c r="O36" s="690">
        <v>-0.41</v>
      </c>
      <c r="P36" s="690">
        <v>-3.98</v>
      </c>
      <c r="Q36" s="690">
        <v>0.98</v>
      </c>
      <c r="R36" s="690">
        <v>-2.89</v>
      </c>
      <c r="S36" s="1301" t="s">
        <v>950</v>
      </c>
      <c r="T36" s="690">
        <v>-2.2000000000000002</v>
      </c>
      <c r="U36" s="690">
        <v>0</v>
      </c>
      <c r="V36" s="690">
        <v>7.0000000000000007E-2</v>
      </c>
      <c r="W36" s="690">
        <v>-0.21</v>
      </c>
      <c r="X36" s="690">
        <v>-0.01</v>
      </c>
      <c r="Y36" s="690">
        <v>7.82</v>
      </c>
      <c r="Z36" s="690">
        <v>0.02</v>
      </c>
      <c r="AA36" s="690">
        <v>-3.28</v>
      </c>
      <c r="AB36" s="690">
        <v>-1.75</v>
      </c>
      <c r="AC36" s="690">
        <v>0.26</v>
      </c>
      <c r="AD36" s="690">
        <v>-0.72</v>
      </c>
      <c r="AE36" s="690">
        <v>-1.62</v>
      </c>
      <c r="AF36" s="690">
        <v>0</v>
      </c>
      <c r="AG36" s="690">
        <v>-1.07</v>
      </c>
      <c r="AH36" s="690">
        <v>-1</v>
      </c>
      <c r="AI36" s="690">
        <v>0</v>
      </c>
      <c r="AJ36" s="690">
        <v>-2.11</v>
      </c>
    </row>
    <row r="37" spans="1:36" s="459" customFormat="1" ht="13.15" customHeight="1">
      <c r="A37" s="1302" t="s">
        <v>958</v>
      </c>
      <c r="B37" s="658">
        <v>5.27</v>
      </c>
      <c r="C37" s="658">
        <v>-0.41</v>
      </c>
      <c r="D37" s="658">
        <v>0.01</v>
      </c>
      <c r="E37" s="658">
        <v>3.38</v>
      </c>
      <c r="F37" s="658">
        <v>1.33</v>
      </c>
      <c r="G37" s="658">
        <v>2.66</v>
      </c>
      <c r="H37" s="658">
        <v>2.72</v>
      </c>
      <c r="I37" s="658">
        <v>0</v>
      </c>
      <c r="J37" s="658">
        <v>0.6</v>
      </c>
      <c r="K37" s="658">
        <v>1</v>
      </c>
      <c r="L37" s="658">
        <v>-0.05</v>
      </c>
      <c r="M37" s="658">
        <v>3.06</v>
      </c>
      <c r="N37" s="658">
        <v>0.46</v>
      </c>
      <c r="O37" s="658">
        <v>1.24</v>
      </c>
      <c r="P37" s="658">
        <v>1.37</v>
      </c>
      <c r="Q37" s="658">
        <v>-0.42</v>
      </c>
      <c r="R37" s="658">
        <v>5.27</v>
      </c>
      <c r="S37" s="1302" t="s">
        <v>958</v>
      </c>
      <c r="T37" s="658">
        <v>4.92</v>
      </c>
      <c r="U37" s="658">
        <v>0</v>
      </c>
      <c r="V37" s="658">
        <v>0.05</v>
      </c>
      <c r="W37" s="658">
        <v>0.08</v>
      </c>
      <c r="X37" s="658">
        <v>0</v>
      </c>
      <c r="Y37" s="658">
        <v>1.1100000000000001</v>
      </c>
      <c r="Z37" s="658">
        <v>0</v>
      </c>
      <c r="AA37" s="658">
        <v>3.69</v>
      </c>
      <c r="AB37" s="658">
        <v>2.06</v>
      </c>
      <c r="AC37" s="658">
        <v>3.82</v>
      </c>
      <c r="AD37" s="658">
        <v>-0.2</v>
      </c>
      <c r="AE37" s="658">
        <v>3.34</v>
      </c>
      <c r="AF37" s="658">
        <v>0</v>
      </c>
      <c r="AG37" s="658">
        <v>1.26</v>
      </c>
      <c r="AH37" s="658">
        <v>2.2599999999999998</v>
      </c>
      <c r="AI37" s="658">
        <v>0</v>
      </c>
      <c r="AJ37" s="658">
        <v>2.13</v>
      </c>
    </row>
    <row r="38" spans="1:36" s="459" customFormat="1" ht="13.15" customHeight="1">
      <c r="A38" s="1301" t="s">
        <v>959</v>
      </c>
      <c r="B38" s="690">
        <v>1.56</v>
      </c>
      <c r="C38" s="690">
        <v>-0.38</v>
      </c>
      <c r="D38" s="690">
        <v>-0.01</v>
      </c>
      <c r="E38" s="690">
        <v>-0.49</v>
      </c>
      <c r="F38" s="690">
        <v>-0.24</v>
      </c>
      <c r="G38" s="690">
        <v>-0.95</v>
      </c>
      <c r="H38" s="690">
        <v>-1</v>
      </c>
      <c r="I38" s="690">
        <v>-0.04</v>
      </c>
      <c r="J38" s="690">
        <v>1.69</v>
      </c>
      <c r="K38" s="690">
        <v>-0.02</v>
      </c>
      <c r="L38" s="690">
        <v>-0.13</v>
      </c>
      <c r="M38" s="690">
        <v>0.95</v>
      </c>
      <c r="N38" s="690">
        <v>-0.21</v>
      </c>
      <c r="O38" s="690">
        <v>-0.35</v>
      </c>
      <c r="P38" s="690">
        <v>-1.42</v>
      </c>
      <c r="Q38" s="690">
        <v>1.86</v>
      </c>
      <c r="R38" s="690">
        <v>-1.28</v>
      </c>
      <c r="S38" s="1301" t="s">
        <v>959</v>
      </c>
      <c r="T38" s="690">
        <v>-0.66</v>
      </c>
      <c r="U38" s="690">
        <v>0</v>
      </c>
      <c r="V38" s="690">
        <v>-0.01</v>
      </c>
      <c r="W38" s="690">
        <v>-1.05</v>
      </c>
      <c r="X38" s="690">
        <v>0.01</v>
      </c>
      <c r="Y38" s="690">
        <v>3.36</v>
      </c>
      <c r="Z38" s="690">
        <v>0</v>
      </c>
      <c r="AA38" s="690">
        <v>2.85</v>
      </c>
      <c r="AB38" s="690">
        <v>1.2</v>
      </c>
      <c r="AC38" s="690">
        <v>-2.58</v>
      </c>
      <c r="AD38" s="690">
        <v>-1.02</v>
      </c>
      <c r="AE38" s="690">
        <v>-1.36</v>
      </c>
      <c r="AF38" s="690">
        <v>0</v>
      </c>
      <c r="AG38" s="690">
        <v>-0.12</v>
      </c>
      <c r="AH38" s="690">
        <v>0.8</v>
      </c>
      <c r="AI38" s="690">
        <v>0.01</v>
      </c>
      <c r="AJ38" s="690">
        <v>-0.34</v>
      </c>
    </row>
    <row r="39" spans="1:36" s="459" customFormat="1" ht="13.15" customHeight="1">
      <c r="A39" s="1302" t="s">
        <v>951</v>
      </c>
      <c r="B39" s="658">
        <v>-0.59</v>
      </c>
      <c r="C39" s="658">
        <v>-0.38</v>
      </c>
      <c r="D39" s="658">
        <v>-0.03</v>
      </c>
      <c r="E39" s="658">
        <v>-0.98</v>
      </c>
      <c r="F39" s="658">
        <v>-0.35</v>
      </c>
      <c r="G39" s="658">
        <v>0.56000000000000005</v>
      </c>
      <c r="H39" s="658">
        <v>0.61</v>
      </c>
      <c r="I39" s="658">
        <v>-0.12</v>
      </c>
      <c r="J39" s="658">
        <v>2.84</v>
      </c>
      <c r="K39" s="658">
        <v>0.13</v>
      </c>
      <c r="L39" s="658">
        <v>-0.06</v>
      </c>
      <c r="M39" s="658">
        <v>1.18</v>
      </c>
      <c r="N39" s="658">
        <v>0.15</v>
      </c>
      <c r="O39" s="658">
        <v>0.44</v>
      </c>
      <c r="P39" s="658">
        <v>0.55000000000000004</v>
      </c>
      <c r="Q39" s="658">
        <v>2.71</v>
      </c>
      <c r="R39" s="658">
        <v>-2.23</v>
      </c>
      <c r="S39" s="1302" t="s">
        <v>951</v>
      </c>
      <c r="T39" s="658">
        <v>-2.63</v>
      </c>
      <c r="U39" s="658">
        <v>-0.04</v>
      </c>
      <c r="V39" s="658">
        <v>-0.02</v>
      </c>
      <c r="W39" s="658">
        <v>0.21</v>
      </c>
      <c r="X39" s="658">
        <v>0.01</v>
      </c>
      <c r="Y39" s="658">
        <v>2.15</v>
      </c>
      <c r="Z39" s="658">
        <v>-0.01</v>
      </c>
      <c r="AA39" s="658">
        <v>1.36</v>
      </c>
      <c r="AB39" s="658">
        <v>0.52</v>
      </c>
      <c r="AC39" s="658">
        <v>1.02</v>
      </c>
      <c r="AD39" s="658">
        <v>-0.2</v>
      </c>
      <c r="AE39" s="658">
        <v>0.57999999999999996</v>
      </c>
      <c r="AF39" s="658">
        <v>0</v>
      </c>
      <c r="AG39" s="658">
        <v>0.53</v>
      </c>
      <c r="AH39" s="658">
        <v>1.62</v>
      </c>
      <c r="AI39" s="658">
        <v>-0.01</v>
      </c>
      <c r="AJ39" s="658">
        <v>0.85</v>
      </c>
    </row>
    <row r="40" spans="1:36" s="459" customFormat="1" ht="13.15" customHeight="1">
      <c r="A40" s="1301" t="s">
        <v>960</v>
      </c>
      <c r="B40" s="690">
        <v>-1.84</v>
      </c>
      <c r="C40" s="690">
        <v>-0.7</v>
      </c>
      <c r="D40" s="690">
        <v>0.04</v>
      </c>
      <c r="E40" s="690">
        <v>-2.48</v>
      </c>
      <c r="F40" s="690">
        <v>0.09</v>
      </c>
      <c r="G40" s="690">
        <v>2.2599999999999998</v>
      </c>
      <c r="H40" s="690">
        <v>2.2999999999999998</v>
      </c>
      <c r="I40" s="690">
        <v>-0.1</v>
      </c>
      <c r="J40" s="690">
        <v>0.89</v>
      </c>
      <c r="K40" s="690">
        <v>-0.03</v>
      </c>
      <c r="L40" s="690">
        <v>-0.05</v>
      </c>
      <c r="M40" s="690">
        <v>-0.13</v>
      </c>
      <c r="N40" s="690">
        <v>0.23</v>
      </c>
      <c r="O40" s="690">
        <v>1.95</v>
      </c>
      <c r="P40" s="690">
        <v>0</v>
      </c>
      <c r="Q40" s="690">
        <v>1.48</v>
      </c>
      <c r="R40" s="690">
        <v>-2.33</v>
      </c>
      <c r="S40" s="1301" t="s">
        <v>960</v>
      </c>
      <c r="T40" s="690">
        <v>0.15</v>
      </c>
      <c r="U40" s="690">
        <v>0.01</v>
      </c>
      <c r="V40" s="690">
        <v>0.08</v>
      </c>
      <c r="W40" s="690">
        <v>-7.0000000000000007E-2</v>
      </c>
      <c r="X40" s="690">
        <v>-0.01</v>
      </c>
      <c r="Y40" s="690">
        <v>-0.43</v>
      </c>
      <c r="Z40" s="690">
        <v>0.01</v>
      </c>
      <c r="AA40" s="690">
        <v>-1.78</v>
      </c>
      <c r="AB40" s="690">
        <v>0</v>
      </c>
      <c r="AC40" s="690">
        <v>1.31</v>
      </c>
      <c r="AD40" s="690">
        <v>-0.2</v>
      </c>
      <c r="AE40" s="690">
        <v>0.79</v>
      </c>
      <c r="AF40" s="690">
        <v>0</v>
      </c>
      <c r="AG40" s="690">
        <v>0.81</v>
      </c>
      <c r="AH40" s="690">
        <v>-0.69</v>
      </c>
      <c r="AI40" s="690">
        <v>0</v>
      </c>
      <c r="AJ40" s="690">
        <v>3.19</v>
      </c>
    </row>
    <row r="41" spans="1:36" s="459" customFormat="1" ht="13.15" customHeight="1">
      <c r="A41" s="1302" t="s">
        <v>961</v>
      </c>
      <c r="B41" s="658">
        <v>-0.31</v>
      </c>
      <c r="C41" s="658">
        <v>-0.41</v>
      </c>
      <c r="D41" s="658">
        <v>-0.01</v>
      </c>
      <c r="E41" s="658">
        <v>1.43</v>
      </c>
      <c r="F41" s="658">
        <v>0.43</v>
      </c>
      <c r="G41" s="658">
        <v>2.66</v>
      </c>
      <c r="H41" s="658">
        <v>2.65</v>
      </c>
      <c r="I41" s="658">
        <v>-0.19</v>
      </c>
      <c r="J41" s="658">
        <v>-0.53</v>
      </c>
      <c r="K41" s="658">
        <v>0.05</v>
      </c>
      <c r="L41" s="658">
        <v>-0.04</v>
      </c>
      <c r="M41" s="658">
        <v>0.63</v>
      </c>
      <c r="N41" s="658">
        <v>0.26</v>
      </c>
      <c r="O41" s="658">
        <v>1.52</v>
      </c>
      <c r="P41" s="658">
        <v>0.37</v>
      </c>
      <c r="Q41" s="658">
        <v>-0.67</v>
      </c>
      <c r="R41" s="658">
        <v>3.32</v>
      </c>
      <c r="S41" s="1302" t="s">
        <v>961</v>
      </c>
      <c r="T41" s="658">
        <v>1.8</v>
      </c>
      <c r="U41" s="658">
        <v>0.03</v>
      </c>
      <c r="V41" s="658">
        <v>-0.1</v>
      </c>
      <c r="W41" s="658">
        <v>0.97</v>
      </c>
      <c r="X41" s="658">
        <v>0</v>
      </c>
      <c r="Y41" s="658">
        <v>0.48</v>
      </c>
      <c r="Z41" s="658">
        <v>-0.01</v>
      </c>
      <c r="AA41" s="658">
        <v>1.47</v>
      </c>
      <c r="AB41" s="658">
        <v>0.91</v>
      </c>
      <c r="AC41" s="658">
        <v>1.44</v>
      </c>
      <c r="AD41" s="658">
        <v>-0.13</v>
      </c>
      <c r="AE41" s="658">
        <v>2.1</v>
      </c>
      <c r="AF41" s="658">
        <v>0</v>
      </c>
      <c r="AG41" s="658">
        <v>0.7</v>
      </c>
      <c r="AH41" s="658">
        <v>1.38</v>
      </c>
      <c r="AI41" s="658">
        <v>0</v>
      </c>
      <c r="AJ41" s="658">
        <v>-0.71</v>
      </c>
    </row>
    <row r="42" spans="1:36" s="459" customFormat="1" ht="13.15" customHeight="1">
      <c r="A42" s="1301" t="s">
        <v>952</v>
      </c>
      <c r="B42" s="690">
        <v>2.93</v>
      </c>
      <c r="C42" s="690">
        <v>-0.04</v>
      </c>
      <c r="D42" s="690">
        <v>-0.05</v>
      </c>
      <c r="E42" s="690">
        <v>3.51</v>
      </c>
      <c r="F42" s="690">
        <v>1.31</v>
      </c>
      <c r="G42" s="690">
        <v>2.33</v>
      </c>
      <c r="H42" s="690">
        <v>2.2799999999999998</v>
      </c>
      <c r="I42" s="690">
        <v>-0.16</v>
      </c>
      <c r="J42" s="690">
        <v>-0.04</v>
      </c>
      <c r="K42" s="690">
        <v>-0.04</v>
      </c>
      <c r="L42" s="690">
        <v>-0.11</v>
      </c>
      <c r="M42" s="690">
        <v>-1.19</v>
      </c>
      <c r="N42" s="690">
        <v>0.05</v>
      </c>
      <c r="O42" s="690">
        <v>-0.42</v>
      </c>
      <c r="P42" s="690">
        <v>-0.51</v>
      </c>
      <c r="Q42" s="690">
        <v>0.05</v>
      </c>
      <c r="R42" s="690">
        <v>2.88</v>
      </c>
      <c r="S42" s="1301" t="s">
        <v>952</v>
      </c>
      <c r="T42" s="690">
        <v>0.55000000000000004</v>
      </c>
      <c r="U42" s="690">
        <v>-0.05</v>
      </c>
      <c r="V42" s="690">
        <v>-0.03</v>
      </c>
      <c r="W42" s="690">
        <v>-1.29</v>
      </c>
      <c r="X42" s="690">
        <v>-2.5</v>
      </c>
      <c r="Y42" s="690">
        <v>-4.24</v>
      </c>
      <c r="Z42" s="690">
        <v>0.01</v>
      </c>
      <c r="AA42" s="690">
        <v>-1.89</v>
      </c>
      <c r="AB42" s="690">
        <v>0.37</v>
      </c>
      <c r="AC42" s="690">
        <v>3.15</v>
      </c>
      <c r="AD42" s="690">
        <v>-0.62</v>
      </c>
      <c r="AE42" s="690">
        <v>1.98</v>
      </c>
      <c r="AF42" s="690">
        <v>0</v>
      </c>
      <c r="AG42" s="690">
        <v>0.72</v>
      </c>
      <c r="AH42" s="690">
        <v>0.43</v>
      </c>
      <c r="AI42" s="690">
        <v>0.01</v>
      </c>
      <c r="AJ42" s="690">
        <v>1.1499999999999999</v>
      </c>
    </row>
    <row r="43" spans="1:36" s="459" customFormat="1" ht="13.15" customHeight="1">
      <c r="A43" s="1542" t="s">
        <v>2755</v>
      </c>
      <c r="B43" s="658"/>
      <c r="C43" s="658"/>
      <c r="D43" s="658"/>
      <c r="E43" s="658"/>
      <c r="F43" s="658"/>
      <c r="G43" s="658"/>
      <c r="H43" s="658"/>
      <c r="I43" s="658"/>
      <c r="J43" s="658"/>
      <c r="K43" s="658"/>
      <c r="L43" s="658"/>
      <c r="M43" s="658"/>
      <c r="N43" s="658"/>
      <c r="O43" s="658"/>
      <c r="P43" s="658"/>
      <c r="Q43" s="658"/>
      <c r="R43" s="658"/>
      <c r="S43" s="1542" t="s">
        <v>2755</v>
      </c>
      <c r="T43" s="658"/>
      <c r="U43" s="658"/>
      <c r="V43" s="658"/>
      <c r="W43" s="658"/>
      <c r="X43" s="658"/>
      <c r="Y43" s="658"/>
      <c r="Z43" s="658"/>
      <c r="AA43" s="658"/>
      <c r="AB43" s="658"/>
      <c r="AC43" s="658"/>
      <c r="AD43" s="658"/>
      <c r="AE43" s="658"/>
      <c r="AF43" s="658"/>
      <c r="AG43" s="658"/>
      <c r="AH43" s="658"/>
      <c r="AI43" s="658"/>
      <c r="AJ43" s="658"/>
    </row>
    <row r="44" spans="1:36" s="459" customFormat="1" ht="13.15" customHeight="1" thickBot="1">
      <c r="A44" s="1511" t="s">
        <v>954</v>
      </c>
      <c r="B44" s="1510">
        <v>3.94</v>
      </c>
      <c r="C44" s="1510">
        <v>-0.08</v>
      </c>
      <c r="D44" s="1510">
        <v>0.04</v>
      </c>
      <c r="E44" s="1510">
        <v>4.58</v>
      </c>
      <c r="F44" s="1510">
        <v>0.69</v>
      </c>
      <c r="G44" s="1510">
        <v>2.7</v>
      </c>
      <c r="H44" s="1510">
        <v>2.72</v>
      </c>
      <c r="I44" s="1510">
        <v>-0.05</v>
      </c>
      <c r="J44" s="1510">
        <v>0.85</v>
      </c>
      <c r="K44" s="1510">
        <v>0.02</v>
      </c>
      <c r="L44" s="1510">
        <v>-0.69</v>
      </c>
      <c r="M44" s="1510">
        <v>1.37</v>
      </c>
      <c r="N44" s="1510">
        <v>0.41</v>
      </c>
      <c r="O44" s="1510">
        <v>0.35</v>
      </c>
      <c r="P44" s="1510">
        <v>-0.51</v>
      </c>
      <c r="Q44" s="1510">
        <v>0.62</v>
      </c>
      <c r="R44" s="1510">
        <v>2.91</v>
      </c>
      <c r="S44" s="1511" t="s">
        <v>954</v>
      </c>
      <c r="T44" s="1510">
        <v>5.98</v>
      </c>
      <c r="U44" s="1510">
        <v>0.05</v>
      </c>
      <c r="V44" s="1510">
        <v>-0.47</v>
      </c>
      <c r="W44" s="1510">
        <v>-0.24</v>
      </c>
      <c r="X44" s="1510">
        <v>2.5499999999999998</v>
      </c>
      <c r="Y44" s="1510">
        <v>-0.64</v>
      </c>
      <c r="Z44" s="1510">
        <v>0</v>
      </c>
      <c r="AA44" s="1510">
        <v>1.87</v>
      </c>
      <c r="AB44" s="1510">
        <v>1.67</v>
      </c>
      <c r="AC44" s="1510">
        <v>4.18</v>
      </c>
      <c r="AD44" s="1510">
        <v>-0.08</v>
      </c>
      <c r="AE44" s="1510">
        <v>-1.34</v>
      </c>
      <c r="AF44" s="1510">
        <v>0</v>
      </c>
      <c r="AG44" s="1510">
        <v>1.07</v>
      </c>
      <c r="AH44" s="1510">
        <v>1.97</v>
      </c>
      <c r="AI44" s="1510">
        <v>0</v>
      </c>
      <c r="AJ44" s="1510">
        <v>0.99</v>
      </c>
    </row>
    <row r="45" spans="1:36" s="18" customFormat="1" ht="11.1" customHeight="1">
      <c r="A45" s="363" t="s">
        <v>1012</v>
      </c>
      <c r="B45" s="2094" t="s">
        <v>2699</v>
      </c>
      <c r="C45" s="2094"/>
      <c r="D45" s="2094"/>
      <c r="E45" s="2094"/>
      <c r="F45" s="2094"/>
      <c r="G45" s="2094"/>
      <c r="H45" s="364"/>
      <c r="I45" s="366" t="s">
        <v>560</v>
      </c>
      <c r="J45" s="364" t="s">
        <v>2525</v>
      </c>
      <c r="S45" s="366" t="s">
        <v>560</v>
      </c>
      <c r="T45" s="364" t="s">
        <v>2525</v>
      </c>
    </row>
    <row r="46" spans="1:36" s="18" customFormat="1" ht="10.5" customHeight="1">
      <c r="B46" s="1416"/>
      <c r="C46" s="1416"/>
      <c r="D46" s="1416"/>
      <c r="E46" s="1416"/>
      <c r="F46" s="1416"/>
      <c r="G46" s="1416"/>
      <c r="H46" s="1416"/>
    </row>
  </sheetData>
  <mergeCells count="9">
    <mergeCell ref="B45:G45"/>
    <mergeCell ref="AI2:AJ2"/>
    <mergeCell ref="AH1:AJ1"/>
    <mergeCell ref="A1:H1"/>
    <mergeCell ref="I1:N1"/>
    <mergeCell ref="P1:R1"/>
    <mergeCell ref="Q2:R2"/>
    <mergeCell ref="AB1:AF1"/>
    <mergeCell ref="S1:AA1"/>
  </mergeCells>
  <phoneticPr fontId="47" type="noConversion"/>
  <pageMargins left="0.62992125984252001" right="0.511811023622047" top="0.511811023622047" bottom="0.511811023622047" header="0" footer="0.143700787"/>
  <pageSetup paperSize="151" firstPageNumber="96" orientation="portrait" useFirstPageNumber="1" r:id="rId1"/>
  <headerFooter>
    <oddFooter>&amp;C&amp;"Times New Roman,Regular"&amp;8&amp;P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1:X77"/>
  <sheetViews>
    <sheetView zoomScale="150" zoomScaleNormal="150" workbookViewId="0">
      <pane xSplit="1" ySplit="5" topLeftCell="L43" activePane="bottomRight" state="frozen"/>
      <selection pane="topRight" activeCell="B1" sqref="B1"/>
      <selection pane="bottomLeft" activeCell="A6" sqref="A6"/>
      <selection pane="bottomRight" activeCell="O53" sqref="O53"/>
    </sheetView>
  </sheetViews>
  <sheetFormatPr defaultColWidth="9.140625" defaultRowHeight="11.25"/>
  <cols>
    <col min="1" max="1" width="7.85546875" style="24" customWidth="1"/>
    <col min="2" max="2" width="8.5703125" style="10" customWidth="1"/>
    <col min="3" max="3" width="7.7109375" style="10" customWidth="1"/>
    <col min="4" max="4" width="7" style="10" customWidth="1"/>
    <col min="5" max="5" width="7.42578125" style="10" customWidth="1"/>
    <col min="6" max="6" width="5.85546875" style="10" customWidth="1"/>
    <col min="7" max="7" width="8.5703125" style="10" customWidth="1"/>
    <col min="8" max="8" width="9.28515625" style="10" customWidth="1"/>
    <col min="9" max="9" width="7.42578125" style="10" customWidth="1"/>
    <col min="10" max="10" width="8.7109375" style="10" customWidth="1"/>
    <col min="11" max="11" width="6.85546875" style="10" customWidth="1"/>
    <col min="12" max="12" width="6.42578125" style="10" customWidth="1"/>
    <col min="13" max="13" width="8.5703125" style="10" customWidth="1"/>
    <col min="14" max="14" width="7" style="10" customWidth="1"/>
    <col min="15" max="15" width="7.140625" style="10" customWidth="1"/>
    <col min="16" max="16" width="6.5703125" style="10" customWidth="1"/>
    <col min="17" max="17" width="7.42578125" style="10" customWidth="1"/>
    <col min="18" max="18" width="9" style="10" customWidth="1"/>
    <col min="19" max="19" width="6.140625" style="10" customWidth="1"/>
    <col min="20" max="21" width="6.7109375" style="10" customWidth="1"/>
    <col min="22" max="16384" width="9.140625" style="10"/>
  </cols>
  <sheetData>
    <row r="1" spans="1:22" s="33" customFormat="1" ht="15" customHeight="1">
      <c r="A1" s="2098" t="s">
        <v>1013</v>
      </c>
      <c r="B1" s="2098"/>
      <c r="C1" s="2098"/>
      <c r="D1" s="2098"/>
      <c r="E1" s="2098"/>
      <c r="F1" s="2098"/>
      <c r="G1" s="2098"/>
      <c r="H1" s="2098"/>
      <c r="I1" s="2098"/>
      <c r="J1" s="2098"/>
      <c r="K1" s="1905" t="s">
        <v>653</v>
      </c>
      <c r="L1" s="2099"/>
      <c r="M1" s="2099"/>
      <c r="N1" s="2099"/>
      <c r="O1" s="2099"/>
      <c r="P1" s="2099"/>
      <c r="Q1" s="2099"/>
      <c r="R1" s="2099"/>
      <c r="S1" s="1903" t="s">
        <v>2094</v>
      </c>
      <c r="T1" s="1903"/>
      <c r="U1" s="1903"/>
    </row>
    <row r="2" spans="1:22" s="24" customFormat="1" ht="11.25" customHeight="1">
      <c r="A2" s="143"/>
      <c r="B2" s="143"/>
      <c r="C2" s="143"/>
      <c r="D2" s="143"/>
      <c r="E2" s="143"/>
      <c r="F2" s="143"/>
      <c r="G2" s="143"/>
      <c r="H2" s="64"/>
      <c r="K2" s="204"/>
      <c r="L2" s="204"/>
      <c r="T2" s="2104"/>
      <c r="U2" s="2104"/>
    </row>
    <row r="3" spans="1:22" s="173" customFormat="1" ht="30" customHeight="1">
      <c r="A3" s="92" t="s">
        <v>1002</v>
      </c>
      <c r="B3" s="92" t="s">
        <v>656</v>
      </c>
      <c r="C3" s="348" t="s">
        <v>1391</v>
      </c>
      <c r="D3" s="92" t="s">
        <v>2062</v>
      </c>
      <c r="E3" s="2101" t="s">
        <v>1895</v>
      </c>
      <c r="F3" s="2102"/>
      <c r="G3" s="92" t="s">
        <v>655</v>
      </c>
      <c r="H3" s="92" t="s">
        <v>1924</v>
      </c>
      <c r="I3" s="99" t="s">
        <v>1892</v>
      </c>
      <c r="J3" s="92" t="s">
        <v>1923</v>
      </c>
      <c r="K3" s="92" t="s">
        <v>1894</v>
      </c>
      <c r="L3" s="2105" t="s">
        <v>2474</v>
      </c>
      <c r="M3" s="2106"/>
      <c r="N3" s="2107"/>
      <c r="O3" s="2101" t="s">
        <v>2473</v>
      </c>
      <c r="P3" s="2102"/>
      <c r="Q3" s="92" t="s">
        <v>1362</v>
      </c>
      <c r="R3" s="92" t="s">
        <v>382</v>
      </c>
      <c r="S3" s="2100" t="s">
        <v>1893</v>
      </c>
      <c r="T3" s="2100"/>
      <c r="U3" s="2100"/>
      <c r="V3" s="205"/>
    </row>
    <row r="4" spans="1:22" s="1339" customFormat="1" ht="35.1" customHeight="1">
      <c r="A4" s="1336" t="s">
        <v>1003</v>
      </c>
      <c r="B4" s="1336" t="s">
        <v>1004</v>
      </c>
      <c r="C4" s="1336" t="s">
        <v>930</v>
      </c>
      <c r="D4" s="1346" t="s">
        <v>2063</v>
      </c>
      <c r="E4" s="1336" t="s">
        <v>1014</v>
      </c>
      <c r="F4" s="1336" t="s">
        <v>1015</v>
      </c>
      <c r="G4" s="1336" t="s">
        <v>678</v>
      </c>
      <c r="H4" s="1336" t="s">
        <v>1016</v>
      </c>
      <c r="I4" s="1347" t="s">
        <v>931</v>
      </c>
      <c r="J4" s="1337" t="s">
        <v>1027</v>
      </c>
      <c r="K4" s="1337" t="s">
        <v>1028</v>
      </c>
      <c r="L4" s="1337" t="s">
        <v>1029</v>
      </c>
      <c r="M4" s="1337" t="s">
        <v>2472</v>
      </c>
      <c r="N4" s="1337" t="s">
        <v>932</v>
      </c>
      <c r="O4" s="1337" t="s">
        <v>1017</v>
      </c>
      <c r="P4" s="1337" t="s">
        <v>908</v>
      </c>
      <c r="Q4" s="1337" t="s">
        <v>88</v>
      </c>
      <c r="R4" s="1337" t="s">
        <v>1018</v>
      </c>
      <c r="S4" s="1337" t="s">
        <v>1030</v>
      </c>
      <c r="T4" s="1337" t="s">
        <v>1031</v>
      </c>
      <c r="U4" s="1337" t="s">
        <v>1032</v>
      </c>
      <c r="V4" s="1338"/>
    </row>
    <row r="5" spans="1:22" s="173" customFormat="1" ht="11.1" customHeight="1">
      <c r="A5" s="206" t="s">
        <v>875</v>
      </c>
      <c r="B5" s="206">
        <v>1</v>
      </c>
      <c r="C5" s="206">
        <v>2</v>
      </c>
      <c r="D5" s="206">
        <v>3</v>
      </c>
      <c r="E5" s="206">
        <v>4</v>
      </c>
      <c r="F5" s="206">
        <v>5</v>
      </c>
      <c r="G5" s="206">
        <v>6</v>
      </c>
      <c r="H5" s="206">
        <v>7</v>
      </c>
      <c r="I5" s="206">
        <v>8</v>
      </c>
      <c r="J5" s="206">
        <v>9</v>
      </c>
      <c r="K5" s="206">
        <v>10</v>
      </c>
      <c r="L5" s="206">
        <v>11</v>
      </c>
      <c r="M5" s="206">
        <v>12</v>
      </c>
      <c r="N5" s="206">
        <v>13</v>
      </c>
      <c r="O5" s="206">
        <v>14</v>
      </c>
      <c r="P5" s="206">
        <v>15</v>
      </c>
      <c r="Q5" s="206">
        <v>16</v>
      </c>
      <c r="R5" s="206">
        <v>17</v>
      </c>
      <c r="S5" s="206">
        <v>18</v>
      </c>
      <c r="T5" s="206">
        <v>19</v>
      </c>
      <c r="U5" s="206">
        <v>20</v>
      </c>
      <c r="V5" s="207"/>
    </row>
    <row r="6" spans="1:22" s="300" customFormat="1" ht="11.45" customHeight="1">
      <c r="A6" s="427">
        <v>2002</v>
      </c>
      <c r="B6" s="20">
        <v>310.03500000000003</v>
      </c>
      <c r="C6" s="20">
        <v>27.06</v>
      </c>
      <c r="D6" s="20">
        <v>12.68</v>
      </c>
      <c r="E6" s="20">
        <v>23.734200000000001</v>
      </c>
      <c r="F6" s="20">
        <v>24.9983</v>
      </c>
      <c r="G6" s="20">
        <v>46.260800000000003</v>
      </c>
      <c r="H6" s="20">
        <v>133.06700000000001</v>
      </c>
      <c r="I6" s="20">
        <v>94.361699999999999</v>
      </c>
      <c r="J6" s="20">
        <v>191.827</v>
      </c>
      <c r="K6" s="20">
        <v>222.398</v>
      </c>
      <c r="L6" s="20">
        <v>152.78299999999999</v>
      </c>
      <c r="M6" s="20">
        <v>132.167</v>
      </c>
      <c r="N6" s="20">
        <v>121.22</v>
      </c>
      <c r="O6" s="20">
        <v>356.745</v>
      </c>
      <c r="P6" s="20">
        <v>359.661</v>
      </c>
      <c r="Q6" s="20">
        <v>183.917</v>
      </c>
      <c r="R6" s="20">
        <v>409.84199999999998</v>
      </c>
      <c r="S6" s="20">
        <v>24.978300000000001</v>
      </c>
      <c r="T6" s="20">
        <v>6.2366700000000002</v>
      </c>
      <c r="U6" s="20">
        <v>20.940799999999999</v>
      </c>
      <c r="V6" s="846"/>
    </row>
    <row r="7" spans="1:22" ht="11.45" customHeight="1">
      <c r="A7" s="526">
        <v>2003</v>
      </c>
      <c r="B7" s="551">
        <v>363.50900000000001</v>
      </c>
      <c r="C7" s="551">
        <v>27.9542</v>
      </c>
      <c r="D7" s="551">
        <v>13.82</v>
      </c>
      <c r="E7" s="551">
        <v>26.7333</v>
      </c>
      <c r="F7" s="551">
        <v>28.852499999999999</v>
      </c>
      <c r="G7" s="551">
        <v>63.4437</v>
      </c>
      <c r="H7" s="551">
        <v>149.333</v>
      </c>
      <c r="I7" s="551">
        <v>138.89599999999999</v>
      </c>
      <c r="J7" s="551">
        <v>199.46100000000001</v>
      </c>
      <c r="K7" s="551">
        <v>248.75399999999999</v>
      </c>
      <c r="L7" s="551">
        <v>165.548</v>
      </c>
      <c r="M7" s="551">
        <v>131.571</v>
      </c>
      <c r="N7" s="551">
        <v>152.44999999999999</v>
      </c>
      <c r="O7" s="551">
        <v>410.37299999999999</v>
      </c>
      <c r="P7" s="551">
        <v>425.53800000000001</v>
      </c>
      <c r="Q7" s="551">
        <v>214.65600000000001</v>
      </c>
      <c r="R7" s="551">
        <v>500.28300000000002</v>
      </c>
      <c r="S7" s="551">
        <v>27.1768</v>
      </c>
      <c r="T7" s="551">
        <v>6.9257099999999996</v>
      </c>
      <c r="U7" s="551">
        <v>21.4998</v>
      </c>
      <c r="V7" s="131"/>
    </row>
    <row r="8" spans="1:22" s="300" customFormat="1" ht="11.45" customHeight="1">
      <c r="A8" s="427">
        <v>2004</v>
      </c>
      <c r="B8" s="20">
        <v>409.21199999999999</v>
      </c>
      <c r="C8" s="20">
        <v>56.729900000000001</v>
      </c>
      <c r="D8" s="20">
        <v>16.39</v>
      </c>
      <c r="E8" s="20">
        <v>33.455800000000004</v>
      </c>
      <c r="F8" s="20">
        <v>38.297499999999999</v>
      </c>
      <c r="G8" s="20">
        <v>62.006</v>
      </c>
      <c r="H8" s="20">
        <v>186.31200000000001</v>
      </c>
      <c r="I8" s="20">
        <v>175.292</v>
      </c>
      <c r="J8" s="20">
        <v>245.78299999999999</v>
      </c>
      <c r="K8" s="20">
        <v>269.95499999999998</v>
      </c>
      <c r="L8" s="20">
        <v>167.05</v>
      </c>
      <c r="M8" s="20">
        <v>133.45599999999999</v>
      </c>
      <c r="N8" s="20">
        <v>139.5</v>
      </c>
      <c r="O8" s="20">
        <v>434.72300000000001</v>
      </c>
      <c r="P8" s="20">
        <v>448.73899999999998</v>
      </c>
      <c r="Q8" s="20">
        <v>257.20499999999998</v>
      </c>
      <c r="R8" s="20">
        <v>590.452</v>
      </c>
      <c r="S8" s="20">
        <v>30.459700000000002</v>
      </c>
      <c r="T8" s="20">
        <v>7.5450999999999997</v>
      </c>
      <c r="U8" s="20">
        <v>20.571100000000001</v>
      </c>
      <c r="V8" s="846"/>
    </row>
    <row r="9" spans="1:22" ht="11.45" customHeight="1">
      <c r="A9" s="526">
        <v>2005</v>
      </c>
      <c r="B9" s="551">
        <v>444.84300000000002</v>
      </c>
      <c r="C9" s="551">
        <v>51.022399999999998</v>
      </c>
      <c r="D9" s="551">
        <v>28.11</v>
      </c>
      <c r="E9" s="551">
        <v>49.201700000000002</v>
      </c>
      <c r="F9" s="551">
        <v>54.434199999999997</v>
      </c>
      <c r="G9" s="551">
        <v>55.168300000000002</v>
      </c>
      <c r="H9" s="551">
        <v>201.47900000000001</v>
      </c>
      <c r="I9" s="551">
        <v>219.01900000000001</v>
      </c>
      <c r="J9" s="551">
        <v>287.81099999999998</v>
      </c>
      <c r="K9" s="551">
        <v>308.45100000000002</v>
      </c>
      <c r="L9" s="551">
        <v>163.43100000000001</v>
      </c>
      <c r="M9" s="551">
        <v>129.886</v>
      </c>
      <c r="N9" s="551">
        <v>121.4</v>
      </c>
      <c r="O9" s="551">
        <v>367.68700000000001</v>
      </c>
      <c r="P9" s="551">
        <v>390.75200000000001</v>
      </c>
      <c r="Q9" s="551">
        <v>205.762</v>
      </c>
      <c r="R9" s="551">
        <v>495.74700000000001</v>
      </c>
      <c r="S9" s="551">
        <v>30.2624</v>
      </c>
      <c r="T9" s="551">
        <v>10.0702</v>
      </c>
      <c r="U9" s="551">
        <v>21.0684</v>
      </c>
      <c r="V9" s="131"/>
    </row>
    <row r="10" spans="1:22" s="300" customFormat="1" ht="11.45" customHeight="1">
      <c r="A10" s="427">
        <v>2006</v>
      </c>
      <c r="B10" s="20">
        <v>604.33600000000001</v>
      </c>
      <c r="C10" s="20">
        <v>52.595999999999997</v>
      </c>
      <c r="D10" s="20">
        <v>33.450000000000003</v>
      </c>
      <c r="E10" s="20">
        <v>61.431699999999999</v>
      </c>
      <c r="F10" s="20">
        <v>65.39</v>
      </c>
      <c r="G10" s="20">
        <v>58.052500000000002</v>
      </c>
      <c r="H10" s="20">
        <v>201.63300000000001</v>
      </c>
      <c r="I10" s="20">
        <v>222.95400000000001</v>
      </c>
      <c r="J10" s="20">
        <v>303.51499999999999</v>
      </c>
      <c r="K10" s="20">
        <v>345.83100000000002</v>
      </c>
      <c r="L10" s="20">
        <v>169.399</v>
      </c>
      <c r="M10" s="20">
        <v>168.566</v>
      </c>
      <c r="N10" s="20">
        <v>153.30000000000001</v>
      </c>
      <c r="O10" s="20">
        <v>416.81400000000002</v>
      </c>
      <c r="P10" s="20">
        <v>425.46100000000001</v>
      </c>
      <c r="Q10" s="20">
        <v>193.97499999999999</v>
      </c>
      <c r="R10" s="20">
        <v>551.49599999999998</v>
      </c>
      <c r="S10" s="20">
        <v>30.639700000000001</v>
      </c>
      <c r="T10" s="20">
        <v>14.788500000000001</v>
      </c>
      <c r="U10" s="20">
        <v>22.119499999999999</v>
      </c>
      <c r="V10" s="846"/>
    </row>
    <row r="11" spans="1:22" ht="11.45" customHeight="1">
      <c r="A11" s="526">
        <v>2007</v>
      </c>
      <c r="B11" s="551">
        <v>696.72</v>
      </c>
      <c r="C11" s="551">
        <v>70.428299999999993</v>
      </c>
      <c r="D11" s="551">
        <v>36.630000000000003</v>
      </c>
      <c r="E11" s="551">
        <v>68.368300000000005</v>
      </c>
      <c r="F11" s="551">
        <v>72.712500000000006</v>
      </c>
      <c r="G11" s="551">
        <v>63.283700000000003</v>
      </c>
      <c r="H11" s="551">
        <v>339.05399999999997</v>
      </c>
      <c r="I11" s="551">
        <v>309.39999999999998</v>
      </c>
      <c r="J11" s="551">
        <v>332.39299999999997</v>
      </c>
      <c r="K11" s="551">
        <v>375.70800000000003</v>
      </c>
      <c r="L11" s="551">
        <v>243.411</v>
      </c>
      <c r="M11" s="551">
        <v>226.88499999999999</v>
      </c>
      <c r="N11" s="551">
        <v>209.6</v>
      </c>
      <c r="O11" s="551">
        <v>719.12199999999996</v>
      </c>
      <c r="P11" s="551">
        <v>694.65099999999995</v>
      </c>
      <c r="Q11" s="551">
        <v>263.673</v>
      </c>
      <c r="R11" s="551">
        <v>799.74199999999996</v>
      </c>
      <c r="S11" s="551">
        <v>33.284399999999998</v>
      </c>
      <c r="T11" s="551">
        <v>9.9566400000000002</v>
      </c>
      <c r="U11" s="551">
        <v>20.763200000000001</v>
      </c>
      <c r="V11" s="131"/>
    </row>
    <row r="12" spans="1:22" s="300" customFormat="1" ht="11.45" customHeight="1">
      <c r="A12" s="427">
        <v>2008</v>
      </c>
      <c r="B12" s="20">
        <v>871.70699999999999</v>
      </c>
      <c r="C12" s="20">
        <v>136.18299999999999</v>
      </c>
      <c r="D12" s="20">
        <v>61.565199999999997</v>
      </c>
      <c r="E12" s="20">
        <v>93.776700000000005</v>
      </c>
      <c r="F12" s="20">
        <v>97.66</v>
      </c>
      <c r="G12" s="20">
        <v>71.399900000000002</v>
      </c>
      <c r="H12" s="20">
        <v>879.38099999999997</v>
      </c>
      <c r="I12" s="20">
        <v>492.72500000000002</v>
      </c>
      <c r="J12" s="20">
        <v>700.2</v>
      </c>
      <c r="K12" s="20">
        <v>597.11800000000005</v>
      </c>
      <c r="L12" s="20">
        <v>383.31099999999998</v>
      </c>
      <c r="M12" s="20">
        <v>286.952</v>
      </c>
      <c r="N12" s="20">
        <v>289.39999999999998</v>
      </c>
      <c r="O12" s="20">
        <v>862.91800000000001</v>
      </c>
      <c r="P12" s="20">
        <v>924.9</v>
      </c>
      <c r="Q12" s="20">
        <v>367.93799999999999</v>
      </c>
      <c r="R12" s="20">
        <v>1133.79</v>
      </c>
      <c r="S12" s="20">
        <v>30.816099999999999</v>
      </c>
      <c r="T12" s="20">
        <v>12.452199999999999</v>
      </c>
      <c r="U12" s="20">
        <v>21.323399999999999</v>
      </c>
      <c r="V12" s="846"/>
    </row>
    <row r="13" spans="1:22" s="25" customFormat="1" ht="11.45" customHeight="1">
      <c r="A13" s="1447">
        <v>2009</v>
      </c>
      <c r="B13" s="550">
        <v>972.96600000000001</v>
      </c>
      <c r="C13" s="550">
        <v>76.975899999999996</v>
      </c>
      <c r="D13" s="550">
        <v>79.993899999999996</v>
      </c>
      <c r="E13" s="550">
        <v>61.754899999999999</v>
      </c>
      <c r="F13" s="550">
        <v>61.860599999999998</v>
      </c>
      <c r="G13" s="550">
        <v>62.752000000000002</v>
      </c>
      <c r="H13" s="550">
        <v>257.41699999999997</v>
      </c>
      <c r="I13" s="550">
        <v>249.57400000000001</v>
      </c>
      <c r="J13" s="550">
        <v>589.37599999999998</v>
      </c>
      <c r="K13" s="550">
        <v>582.69000000000005</v>
      </c>
      <c r="L13" s="550">
        <v>246.96899999999999</v>
      </c>
      <c r="M13" s="550">
        <v>190.11199999999999</v>
      </c>
      <c r="N13" s="550">
        <v>200.2</v>
      </c>
      <c r="O13" s="550">
        <v>644.06799999999998</v>
      </c>
      <c r="P13" s="550">
        <v>634.09199999999998</v>
      </c>
      <c r="Q13" s="550">
        <v>359.27</v>
      </c>
      <c r="R13" s="550">
        <v>787.02</v>
      </c>
      <c r="S13" s="550">
        <v>26.014600000000002</v>
      </c>
      <c r="T13" s="550">
        <v>18.150400000000001</v>
      </c>
      <c r="U13" s="550">
        <v>24.335699999999999</v>
      </c>
      <c r="V13" s="394"/>
    </row>
    <row r="14" spans="1:22" s="300" customFormat="1" ht="11.45" customHeight="1">
      <c r="A14" s="427">
        <v>2010</v>
      </c>
      <c r="B14" s="41">
        <v>1224.6600000000001</v>
      </c>
      <c r="C14" s="41">
        <v>106.035</v>
      </c>
      <c r="D14" s="41">
        <v>146.72</v>
      </c>
      <c r="E14" s="41">
        <v>78.057900000000004</v>
      </c>
      <c r="F14" s="41">
        <v>79.631500000000003</v>
      </c>
      <c r="G14" s="41">
        <v>103.545</v>
      </c>
      <c r="H14" s="41">
        <v>381.89</v>
      </c>
      <c r="I14" s="41">
        <v>288.59199999999998</v>
      </c>
      <c r="J14" s="41">
        <v>520.55600000000004</v>
      </c>
      <c r="K14" s="41">
        <v>593.779</v>
      </c>
      <c r="L14" s="41">
        <v>241.82900000000001</v>
      </c>
      <c r="M14" s="41">
        <v>194.5</v>
      </c>
      <c r="N14" s="41">
        <v>233.5</v>
      </c>
      <c r="O14" s="41">
        <v>859.94200000000001</v>
      </c>
      <c r="P14" s="41">
        <v>819.53099999999995</v>
      </c>
      <c r="Q14" s="41">
        <v>331.31700000000001</v>
      </c>
      <c r="R14" s="41">
        <v>924.82799999999997</v>
      </c>
      <c r="S14" s="41">
        <v>25.712800000000001</v>
      </c>
      <c r="T14" s="41">
        <v>20.890899999999998</v>
      </c>
      <c r="U14" s="41">
        <v>31.051200000000001</v>
      </c>
      <c r="V14" s="446"/>
    </row>
    <row r="15" spans="1:22" s="300" customFormat="1" ht="11.45" customHeight="1">
      <c r="A15" s="526">
        <v>2011</v>
      </c>
      <c r="B15" s="511">
        <v>1569.21</v>
      </c>
      <c r="C15" s="511">
        <v>130.12299999999999</v>
      </c>
      <c r="D15" s="511">
        <v>167.79</v>
      </c>
      <c r="E15" s="511">
        <v>106.027</v>
      </c>
      <c r="F15" s="511">
        <v>110.952</v>
      </c>
      <c r="G15" s="511">
        <v>154.608</v>
      </c>
      <c r="H15" s="511">
        <v>538.26</v>
      </c>
      <c r="I15" s="511">
        <v>420.96</v>
      </c>
      <c r="J15" s="511">
        <v>551.71100000000001</v>
      </c>
      <c r="K15" s="511">
        <v>593.49199999999996</v>
      </c>
      <c r="L15" s="511">
        <v>317.43599999999998</v>
      </c>
      <c r="M15" s="511">
        <v>279.98899999999998</v>
      </c>
      <c r="N15" s="511">
        <v>304.8</v>
      </c>
      <c r="O15" s="511">
        <v>1076.5</v>
      </c>
      <c r="P15" s="511">
        <v>1068.3699999999999</v>
      </c>
      <c r="Q15" s="511">
        <v>378.86099999999999</v>
      </c>
      <c r="R15" s="511">
        <v>1215.82</v>
      </c>
      <c r="S15" s="511">
        <v>26.665199999999999</v>
      </c>
      <c r="T15" s="511">
        <v>26.235600000000002</v>
      </c>
      <c r="U15" s="511">
        <v>37.572499999999998</v>
      </c>
      <c r="V15" s="446"/>
    </row>
    <row r="16" spans="1:22" s="300" customFormat="1" ht="11.45" customHeight="1">
      <c r="A16" s="427">
        <v>2012</v>
      </c>
      <c r="B16" s="41">
        <v>1669.52</v>
      </c>
      <c r="C16" s="41">
        <v>103.247</v>
      </c>
      <c r="D16" s="41">
        <v>128.52600000000001</v>
      </c>
      <c r="E16" s="41">
        <v>108.919</v>
      </c>
      <c r="F16" s="41">
        <v>111.96</v>
      </c>
      <c r="G16" s="41">
        <v>89.241</v>
      </c>
      <c r="H16" s="41">
        <v>462</v>
      </c>
      <c r="I16" s="41">
        <v>405.40199999999999</v>
      </c>
      <c r="J16" s="41">
        <v>580.23599999999999</v>
      </c>
      <c r="K16" s="41">
        <v>683.029</v>
      </c>
      <c r="L16" s="41">
        <v>287.19799999999998</v>
      </c>
      <c r="M16" s="41">
        <v>276.12200000000001</v>
      </c>
      <c r="N16" s="41">
        <v>248.5</v>
      </c>
      <c r="O16" s="41">
        <v>939.83399999999995</v>
      </c>
      <c r="P16" s="41">
        <v>960.327</v>
      </c>
      <c r="Q16" s="41">
        <v>473.28399999999999</v>
      </c>
      <c r="R16" s="41">
        <v>1151.75</v>
      </c>
      <c r="S16" s="41">
        <v>26.360900000000001</v>
      </c>
      <c r="T16" s="41">
        <v>21.374500000000001</v>
      </c>
      <c r="U16" s="41">
        <v>28.895399999999999</v>
      </c>
      <c r="V16" s="446"/>
    </row>
    <row r="17" spans="1:24" s="298" customFormat="1" ht="11.45" customHeight="1">
      <c r="A17" s="526">
        <v>2013</v>
      </c>
      <c r="B17" s="511">
        <v>1411.46</v>
      </c>
      <c r="C17" s="511">
        <v>90.6023</v>
      </c>
      <c r="D17" s="511">
        <v>135.36099999999999</v>
      </c>
      <c r="E17" s="511">
        <v>105.43</v>
      </c>
      <c r="F17" s="511">
        <v>108.84399999999999</v>
      </c>
      <c r="G17" s="511">
        <v>90.400599999999997</v>
      </c>
      <c r="H17" s="511">
        <v>382.06299999999999</v>
      </c>
      <c r="I17" s="511">
        <v>340.12299999999999</v>
      </c>
      <c r="J17" s="511">
        <v>518.81200000000001</v>
      </c>
      <c r="K17" s="511">
        <v>658.726</v>
      </c>
      <c r="L17" s="511">
        <v>326.16699999999997</v>
      </c>
      <c r="M17" s="511">
        <v>265.75099999999998</v>
      </c>
      <c r="N17" s="511">
        <v>314</v>
      </c>
      <c r="O17" s="511">
        <v>764.197</v>
      </c>
      <c r="P17" s="511">
        <v>743.37900000000002</v>
      </c>
      <c r="Q17" s="511">
        <v>477.29899999999998</v>
      </c>
      <c r="R17" s="511">
        <v>1011.11</v>
      </c>
      <c r="S17" s="511">
        <v>26.011800000000001</v>
      </c>
      <c r="T17" s="511">
        <v>17.708500000000001</v>
      </c>
      <c r="U17" s="511">
        <v>21.214500000000001</v>
      </c>
      <c r="V17" s="446"/>
    </row>
    <row r="18" spans="1:24" s="336" customFormat="1" ht="11.45" customHeight="1">
      <c r="A18" s="1448">
        <v>2014</v>
      </c>
      <c r="B18" s="245">
        <v>1265.58</v>
      </c>
      <c r="C18" s="245">
        <v>75.139300000000006</v>
      </c>
      <c r="D18" s="245">
        <v>96.841499999999996</v>
      </c>
      <c r="E18" s="245">
        <v>96.664100000000005</v>
      </c>
      <c r="F18" s="245">
        <v>98.943299999999994</v>
      </c>
      <c r="G18" s="245">
        <v>83.096699999999998</v>
      </c>
      <c r="H18" s="245">
        <v>388.34399999999999</v>
      </c>
      <c r="I18" s="245">
        <v>316.20999999999998</v>
      </c>
      <c r="J18" s="245" t="s">
        <v>603</v>
      </c>
      <c r="K18" s="245">
        <v>490.76400000000001</v>
      </c>
      <c r="L18" s="245">
        <v>291.87299999999999</v>
      </c>
      <c r="M18" s="245">
        <v>242.49600000000001</v>
      </c>
      <c r="N18" s="245">
        <v>324.02499999999998</v>
      </c>
      <c r="O18" s="245">
        <v>739.40800000000002</v>
      </c>
      <c r="P18" s="245">
        <v>743.99199999999996</v>
      </c>
      <c r="Q18" s="245">
        <v>466.96600000000001</v>
      </c>
      <c r="R18" s="245">
        <v>812.71</v>
      </c>
      <c r="S18" s="245">
        <v>27.394400000000001</v>
      </c>
      <c r="T18" s="245">
        <v>17.1264</v>
      </c>
      <c r="U18" s="245">
        <v>24.865400000000001</v>
      </c>
      <c r="V18" s="947"/>
    </row>
    <row r="19" spans="1:24" s="298" customFormat="1" ht="11.45" customHeight="1">
      <c r="A19" s="1445">
        <v>2015</v>
      </c>
      <c r="B19" s="516">
        <f>AVERAGE(B20:B31)</f>
        <v>1160.6633333333334</v>
      </c>
      <c r="C19" s="516">
        <f t="shared" ref="C19:U19" si="0">AVERAGE(C20:C31)</f>
        <v>61.618599999999994</v>
      </c>
      <c r="D19" s="516">
        <f t="shared" si="0"/>
        <v>55.209266666666657</v>
      </c>
      <c r="E19" s="516">
        <f t="shared" si="0"/>
        <v>51.232049999999994</v>
      </c>
      <c r="F19" s="516">
        <f t="shared" si="0"/>
        <v>52.399408333333348</v>
      </c>
      <c r="G19" s="516">
        <f t="shared" si="0"/>
        <v>70.417191666666668</v>
      </c>
      <c r="H19" s="516">
        <f t="shared" si="0"/>
        <v>385</v>
      </c>
      <c r="I19" s="516">
        <f t="shared" si="0"/>
        <v>272.91941666666668</v>
      </c>
      <c r="J19" s="516" t="s">
        <v>603</v>
      </c>
      <c r="K19" s="516">
        <f t="shared" si="0"/>
        <v>469.92883333333333</v>
      </c>
      <c r="L19" s="516" t="s">
        <v>603</v>
      </c>
      <c r="M19" s="516">
        <f t="shared" si="0"/>
        <v>185.60733333333334</v>
      </c>
      <c r="N19" s="516">
        <f t="shared" si="0"/>
        <v>236.21666666666667</v>
      </c>
      <c r="O19" s="516">
        <f t="shared" si="0"/>
        <v>565.09</v>
      </c>
      <c r="P19" s="516">
        <f>AVERAGE(P20:P28)</f>
        <v>593.50144444444459</v>
      </c>
      <c r="Q19" s="516">
        <f t="shared" si="0"/>
        <v>352.72174999999993</v>
      </c>
      <c r="R19" s="516">
        <f t="shared" si="0"/>
        <v>672.16466666666656</v>
      </c>
      <c r="S19" s="516">
        <f t="shared" si="0"/>
        <v>25.423941666666668</v>
      </c>
      <c r="T19" s="516">
        <f t="shared" si="0"/>
        <v>13.238658333333335</v>
      </c>
      <c r="U19" s="516">
        <f t="shared" si="0"/>
        <v>24.850825</v>
      </c>
      <c r="V19" s="446"/>
    </row>
    <row r="20" spans="1:24" s="298" customFormat="1" ht="11.45" customHeight="1">
      <c r="A20" s="1446" t="s">
        <v>958</v>
      </c>
      <c r="B20" s="460">
        <v>1250.75</v>
      </c>
      <c r="C20" s="460">
        <v>66.535700000000006</v>
      </c>
      <c r="D20" s="460">
        <v>67.386399999999995</v>
      </c>
      <c r="E20" s="460">
        <v>46.335000000000001</v>
      </c>
      <c r="F20" s="460">
        <v>48.416800000000002</v>
      </c>
      <c r="G20" s="460">
        <v>67.349999999999994</v>
      </c>
      <c r="H20" s="460">
        <v>400</v>
      </c>
      <c r="I20" s="460">
        <v>319.2</v>
      </c>
      <c r="J20" s="460" t="s">
        <v>603</v>
      </c>
      <c r="K20" s="460">
        <v>546.59199999999998</v>
      </c>
      <c r="L20" s="460" t="s">
        <v>603</v>
      </c>
      <c r="M20" s="460">
        <v>210.608</v>
      </c>
      <c r="N20" s="460">
        <v>261.8</v>
      </c>
      <c r="O20" s="460">
        <v>641.59699999999998</v>
      </c>
      <c r="P20" s="460">
        <v>617.11199999999997</v>
      </c>
      <c r="Q20" s="460">
        <v>379.041</v>
      </c>
      <c r="R20" s="460">
        <v>707.88099999999997</v>
      </c>
      <c r="S20" s="460">
        <v>25.170200000000001</v>
      </c>
      <c r="T20" s="460">
        <v>15.0625</v>
      </c>
      <c r="U20" s="460">
        <v>25.24</v>
      </c>
      <c r="V20" s="446"/>
      <c r="X20" s="446"/>
    </row>
    <row r="21" spans="1:24" s="298" customFormat="1" ht="11.45" customHeight="1">
      <c r="A21" s="1447" t="s">
        <v>959</v>
      </c>
      <c r="B21" s="505">
        <v>1227.08</v>
      </c>
      <c r="C21" s="505">
        <v>65.785700000000006</v>
      </c>
      <c r="D21" s="505">
        <v>62.69</v>
      </c>
      <c r="E21" s="505">
        <v>56.15</v>
      </c>
      <c r="F21" s="505">
        <v>57.930500000000002</v>
      </c>
      <c r="G21" s="505">
        <v>69.842500000000001</v>
      </c>
      <c r="H21" s="505">
        <v>400</v>
      </c>
      <c r="I21" s="505">
        <v>297</v>
      </c>
      <c r="J21" s="505" t="s">
        <v>603</v>
      </c>
      <c r="K21" s="505">
        <v>501.76499999999999</v>
      </c>
      <c r="L21" s="505" t="s">
        <v>603</v>
      </c>
      <c r="M21" s="505">
        <v>201.714</v>
      </c>
      <c r="N21" s="505">
        <v>253</v>
      </c>
      <c r="O21" s="505">
        <v>634.37800000000004</v>
      </c>
      <c r="P21" s="505">
        <v>628.54300000000001</v>
      </c>
      <c r="Q21" s="505">
        <v>374.25200000000001</v>
      </c>
      <c r="R21" s="505">
        <v>697.93600000000004</v>
      </c>
      <c r="S21" s="505">
        <v>25.485399999999998</v>
      </c>
      <c r="T21" s="505">
        <v>14.5121</v>
      </c>
      <c r="U21" s="505">
        <v>24.62</v>
      </c>
      <c r="V21" s="446"/>
      <c r="X21" s="446"/>
    </row>
    <row r="22" spans="1:24" s="298" customFormat="1" ht="11.45" customHeight="1">
      <c r="A22" s="1446" t="s">
        <v>951</v>
      </c>
      <c r="B22" s="460">
        <v>1178.6300000000001</v>
      </c>
      <c r="C22" s="460">
        <v>64.408900000000003</v>
      </c>
      <c r="D22" s="460">
        <v>56.940899999999999</v>
      </c>
      <c r="E22" s="460">
        <v>54.909100000000002</v>
      </c>
      <c r="F22" s="460">
        <v>55.791400000000003</v>
      </c>
      <c r="G22" s="460">
        <v>69.3523</v>
      </c>
      <c r="H22" s="460">
        <v>400</v>
      </c>
      <c r="I22" s="460">
        <v>271</v>
      </c>
      <c r="J22" s="460" t="s">
        <v>603</v>
      </c>
      <c r="K22" s="460">
        <v>503.84899999999999</v>
      </c>
      <c r="L22" s="460" t="s">
        <v>603</v>
      </c>
      <c r="M22" s="460">
        <v>202.679</v>
      </c>
      <c r="N22" s="460">
        <v>250.4</v>
      </c>
      <c r="O22" s="460">
        <v>607.65499999999997</v>
      </c>
      <c r="P22" s="460">
        <v>615.98599999999999</v>
      </c>
      <c r="Q22" s="460">
        <v>364.86</v>
      </c>
      <c r="R22" s="460">
        <v>683.43200000000002</v>
      </c>
      <c r="S22" s="460">
        <v>24.9069</v>
      </c>
      <c r="T22" s="460">
        <v>12.8409</v>
      </c>
      <c r="U22" s="460">
        <v>24.4</v>
      </c>
      <c r="V22" s="446"/>
      <c r="X22" s="446"/>
    </row>
    <row r="23" spans="1:24" s="298" customFormat="1" ht="11.45" customHeight="1">
      <c r="A23" s="1447" t="s">
        <v>960</v>
      </c>
      <c r="B23" s="505">
        <v>1198.93</v>
      </c>
      <c r="C23" s="505">
        <v>61.943899999999999</v>
      </c>
      <c r="D23" s="505">
        <v>51.15</v>
      </c>
      <c r="E23" s="505">
        <v>58.665500000000002</v>
      </c>
      <c r="F23" s="505">
        <v>59.389499999999998</v>
      </c>
      <c r="G23" s="505">
        <v>71.702500000000001</v>
      </c>
      <c r="H23" s="505">
        <v>380</v>
      </c>
      <c r="I23" s="505">
        <v>259</v>
      </c>
      <c r="J23" s="505" t="s">
        <v>603</v>
      </c>
      <c r="K23" s="505">
        <v>504.22399999999999</v>
      </c>
      <c r="L23" s="505" t="s">
        <v>603</v>
      </c>
      <c r="M23" s="505">
        <v>195.89599999999999</v>
      </c>
      <c r="N23" s="505">
        <v>234.3</v>
      </c>
      <c r="O23" s="505">
        <v>591.78800000000001</v>
      </c>
      <c r="P23" s="505">
        <v>604.04200000000003</v>
      </c>
      <c r="Q23" s="505">
        <v>349.71100000000001</v>
      </c>
      <c r="R23" s="505">
        <v>691.673</v>
      </c>
      <c r="S23" s="505">
        <v>24.853300000000001</v>
      </c>
      <c r="T23" s="505">
        <v>12.911</v>
      </c>
      <c r="U23" s="505">
        <v>24.39</v>
      </c>
      <c r="V23" s="446"/>
      <c r="X23" s="446"/>
    </row>
    <row r="24" spans="1:24" s="298" customFormat="1" ht="11.45" customHeight="1">
      <c r="A24" s="1446" t="s">
        <v>961</v>
      </c>
      <c r="B24" s="460">
        <v>1198.6300000000001</v>
      </c>
      <c r="C24" s="460">
        <v>64.711500000000001</v>
      </c>
      <c r="D24" s="460">
        <v>60.2333</v>
      </c>
      <c r="E24" s="460">
        <v>63.674799999999998</v>
      </c>
      <c r="F24" s="460">
        <v>64.561400000000006</v>
      </c>
      <c r="G24" s="460">
        <v>72.863200000000006</v>
      </c>
      <c r="H24" s="460">
        <v>380</v>
      </c>
      <c r="I24" s="460">
        <v>280</v>
      </c>
      <c r="J24" s="460" t="s">
        <v>603</v>
      </c>
      <c r="K24" s="460">
        <v>444.74299999999999</v>
      </c>
      <c r="L24" s="460" t="s">
        <v>603</v>
      </c>
      <c r="M24" s="460">
        <v>193.15199999999999</v>
      </c>
      <c r="N24" s="460">
        <v>234.5</v>
      </c>
      <c r="O24" s="460">
        <v>601.39700000000005</v>
      </c>
      <c r="P24" s="460">
        <v>595.471</v>
      </c>
      <c r="Q24" s="460">
        <v>340.471</v>
      </c>
      <c r="R24" s="460">
        <v>716.49</v>
      </c>
      <c r="S24" s="460">
        <v>25.732500000000002</v>
      </c>
      <c r="T24" s="460">
        <v>12.7035</v>
      </c>
      <c r="U24" s="460">
        <v>24.72</v>
      </c>
      <c r="V24" s="446"/>
      <c r="X24" s="446"/>
    </row>
    <row r="25" spans="1:24" s="298" customFormat="1" ht="11.45" customHeight="1">
      <c r="A25" s="1447" t="s">
        <v>952</v>
      </c>
      <c r="B25" s="505">
        <v>1181.5</v>
      </c>
      <c r="C25" s="505">
        <v>63.043799999999997</v>
      </c>
      <c r="D25" s="505">
        <v>62.2864</v>
      </c>
      <c r="E25" s="505">
        <v>61.758600000000001</v>
      </c>
      <c r="F25" s="505">
        <v>62.3459</v>
      </c>
      <c r="G25" s="505">
        <v>72.3523</v>
      </c>
      <c r="H25" s="505">
        <v>380</v>
      </c>
      <c r="I25" s="505">
        <v>292</v>
      </c>
      <c r="J25" s="505" t="s">
        <v>603</v>
      </c>
      <c r="K25" s="505">
        <v>466.17599999999999</v>
      </c>
      <c r="L25" s="505" t="s">
        <v>603</v>
      </c>
      <c r="M25" s="505">
        <v>199.82300000000001</v>
      </c>
      <c r="N25" s="505">
        <v>233.4</v>
      </c>
      <c r="O25" s="505">
        <v>606.404</v>
      </c>
      <c r="P25" s="505">
        <v>593.16099999999994</v>
      </c>
      <c r="Q25" s="505">
        <v>353.90199999999999</v>
      </c>
      <c r="R25" s="505">
        <v>738.03700000000003</v>
      </c>
      <c r="S25" s="505">
        <v>25.865200000000002</v>
      </c>
      <c r="T25" s="505">
        <v>12.1136</v>
      </c>
      <c r="U25" s="505">
        <v>24.76</v>
      </c>
      <c r="V25" s="446"/>
      <c r="X25" s="446"/>
    </row>
    <row r="26" spans="1:24" s="298" customFormat="1" ht="11.45" customHeight="1">
      <c r="A26" s="1446" t="s">
        <v>954</v>
      </c>
      <c r="B26" s="460">
        <v>1128.31</v>
      </c>
      <c r="C26" s="460">
        <v>63.353999999999999</v>
      </c>
      <c r="D26" s="460">
        <v>51.504300000000001</v>
      </c>
      <c r="E26" s="460">
        <v>56.266100000000002</v>
      </c>
      <c r="F26" s="460">
        <v>55.865699999999997</v>
      </c>
      <c r="G26" s="460">
        <v>72.347800000000007</v>
      </c>
      <c r="H26" s="460">
        <v>380</v>
      </c>
      <c r="I26" s="460">
        <v>273</v>
      </c>
      <c r="J26" s="460" t="s">
        <v>603</v>
      </c>
      <c r="K26" s="460">
        <v>460.57799999999997</v>
      </c>
      <c r="L26" s="460" t="s">
        <v>603</v>
      </c>
      <c r="M26" s="460">
        <v>199.197</v>
      </c>
      <c r="N26" s="460">
        <v>225.6</v>
      </c>
      <c r="O26" s="460">
        <v>575.68200000000002</v>
      </c>
      <c r="P26" s="460">
        <v>587.58799999999997</v>
      </c>
      <c r="Q26" s="460">
        <v>394.642</v>
      </c>
      <c r="R26" s="460">
        <v>695.78800000000001</v>
      </c>
      <c r="S26" s="460">
        <v>25.8688</v>
      </c>
      <c r="T26" s="460">
        <v>11.8786</v>
      </c>
      <c r="U26" s="460">
        <v>24.67</v>
      </c>
      <c r="V26" s="446"/>
      <c r="X26" s="446"/>
    </row>
    <row r="27" spans="1:24" s="298" customFormat="1" ht="11.45" customHeight="1">
      <c r="A27" s="1447" t="s">
        <v>955</v>
      </c>
      <c r="B27" s="505">
        <v>1117.93</v>
      </c>
      <c r="C27" s="505">
        <v>62.7562</v>
      </c>
      <c r="D27" s="505">
        <v>55.381</v>
      </c>
      <c r="E27" s="505">
        <v>47.3033</v>
      </c>
      <c r="F27" s="505">
        <v>46.994300000000003</v>
      </c>
      <c r="G27" s="505">
        <v>71.822500000000005</v>
      </c>
      <c r="H27" s="505">
        <v>380</v>
      </c>
      <c r="I27" s="505">
        <v>273</v>
      </c>
      <c r="J27" s="505" t="s">
        <v>603</v>
      </c>
      <c r="K27" s="505">
        <v>451.36</v>
      </c>
      <c r="L27" s="505" t="s">
        <v>603</v>
      </c>
      <c r="M27" s="505">
        <v>173.46899999999999</v>
      </c>
      <c r="N27" s="505">
        <v>230.2</v>
      </c>
      <c r="O27" s="505">
        <v>484.678</v>
      </c>
      <c r="P27" s="505">
        <v>538.529</v>
      </c>
      <c r="Q27" s="505">
        <v>370.40800000000002</v>
      </c>
      <c r="R27" s="505">
        <v>628.74699999999996</v>
      </c>
      <c r="S27" s="505">
        <v>25.947700000000001</v>
      </c>
      <c r="T27" s="505">
        <v>10.674799999999999</v>
      </c>
      <c r="U27" s="505">
        <v>24.5</v>
      </c>
      <c r="V27" s="446"/>
      <c r="X27" s="446"/>
    </row>
    <row r="28" spans="1:24" s="298" customFormat="1" ht="11.45" customHeight="1">
      <c r="A28" s="1446" t="s">
        <v>949</v>
      </c>
      <c r="B28" s="460">
        <v>1124.77</v>
      </c>
      <c r="C28" s="460">
        <v>58.655799999999999</v>
      </c>
      <c r="D28" s="460">
        <v>56.431800000000003</v>
      </c>
      <c r="E28" s="460">
        <v>46.144500000000001</v>
      </c>
      <c r="F28" s="460">
        <v>47.234499999999997</v>
      </c>
      <c r="G28" s="460">
        <v>68.736400000000003</v>
      </c>
      <c r="H28" s="460">
        <v>380</v>
      </c>
      <c r="I28" s="460">
        <v>259</v>
      </c>
      <c r="J28" s="460"/>
      <c r="K28" s="460">
        <v>458.15699999999998</v>
      </c>
      <c r="L28" s="460" t="s">
        <v>603</v>
      </c>
      <c r="M28" s="460">
        <v>163.827</v>
      </c>
      <c r="N28" s="460">
        <v>229.7</v>
      </c>
      <c r="O28" s="460">
        <v>483.48700000000002</v>
      </c>
      <c r="P28" s="460">
        <v>561.08100000000002</v>
      </c>
      <c r="Q28" s="460">
        <v>342.95499999999998</v>
      </c>
      <c r="R28" s="460">
        <v>590.25</v>
      </c>
      <c r="S28" s="460">
        <v>25.535799999999998</v>
      </c>
      <c r="T28" s="460">
        <v>12.1371</v>
      </c>
      <c r="U28" s="460">
        <v>24.434799999999999</v>
      </c>
      <c r="V28" s="446"/>
      <c r="X28" s="446"/>
    </row>
    <row r="29" spans="1:24" s="298" customFormat="1" ht="11.45" customHeight="1">
      <c r="A29" s="1447" t="s">
        <v>956</v>
      </c>
      <c r="B29" s="505">
        <v>1159.25</v>
      </c>
      <c r="C29" s="505">
        <v>56.0503</v>
      </c>
      <c r="D29" s="505">
        <v>52.740900000000003</v>
      </c>
      <c r="E29" s="505">
        <v>46.5518</v>
      </c>
      <c r="F29" s="505">
        <v>48.124099999999999</v>
      </c>
      <c r="G29" s="505">
        <v>69.027299999999997</v>
      </c>
      <c r="H29" s="505">
        <v>380</v>
      </c>
      <c r="I29" s="505">
        <v>255</v>
      </c>
      <c r="J29" s="505" t="s">
        <v>603</v>
      </c>
      <c r="K29" s="505">
        <v>405.63600000000002</v>
      </c>
      <c r="L29" s="505" t="s">
        <v>603</v>
      </c>
      <c r="M29" s="505">
        <v>165.38800000000001</v>
      </c>
      <c r="N29" s="505">
        <v>226</v>
      </c>
      <c r="O29" s="505">
        <v>530.24699999999996</v>
      </c>
      <c r="P29" s="505" t="s">
        <v>603</v>
      </c>
      <c r="Q29" s="505">
        <v>338.214</v>
      </c>
      <c r="R29" s="505">
        <v>623.80700000000002</v>
      </c>
      <c r="S29" s="505">
        <v>25.5</v>
      </c>
      <c r="T29" s="505">
        <v>14.1418</v>
      </c>
      <c r="U29" s="505">
        <v>25.0382</v>
      </c>
      <c r="V29" s="446"/>
      <c r="X29" s="446"/>
    </row>
    <row r="30" spans="1:24" s="298" customFormat="1" ht="11.45" customHeight="1">
      <c r="A30" s="1446" t="s">
        <v>957</v>
      </c>
      <c r="B30" s="460">
        <v>1086.44</v>
      </c>
      <c r="C30" s="460">
        <v>56.326500000000003</v>
      </c>
      <c r="D30" s="460">
        <v>46.161900000000003</v>
      </c>
      <c r="E30" s="460">
        <v>42.323300000000003</v>
      </c>
      <c r="F30" s="460">
        <v>44.417099999999998</v>
      </c>
      <c r="G30" s="460">
        <v>69.221400000000003</v>
      </c>
      <c r="H30" s="460">
        <v>380</v>
      </c>
      <c r="I30" s="460">
        <v>257</v>
      </c>
      <c r="J30" s="460" t="s">
        <v>603</v>
      </c>
      <c r="K30" s="460">
        <v>460.50099999999998</v>
      </c>
      <c r="L30" s="460" t="s">
        <v>603</v>
      </c>
      <c r="M30" s="460">
        <v>157.74199999999999</v>
      </c>
      <c r="N30" s="460">
        <v>229.7</v>
      </c>
      <c r="O30" s="460">
        <v>503.16399999999999</v>
      </c>
      <c r="P30" s="460" t="s">
        <v>603</v>
      </c>
      <c r="Q30" s="460">
        <v>320.34300000000002</v>
      </c>
      <c r="R30" s="460">
        <v>614.73599999999999</v>
      </c>
      <c r="S30" s="460">
        <v>25.2958</v>
      </c>
      <c r="T30" s="460">
        <v>14.888</v>
      </c>
      <c r="U30" s="460">
        <v>25.606000000000002</v>
      </c>
      <c r="V30" s="446"/>
      <c r="X30" s="446"/>
    </row>
    <row r="31" spans="1:24" s="298" customFormat="1" ht="11.45" customHeight="1">
      <c r="A31" s="1447" t="s">
        <v>950</v>
      </c>
      <c r="B31" s="505">
        <v>1075.74</v>
      </c>
      <c r="C31" s="505">
        <v>55.850900000000003</v>
      </c>
      <c r="D31" s="505">
        <v>39.604300000000002</v>
      </c>
      <c r="E31" s="505">
        <v>34.702599999999997</v>
      </c>
      <c r="F31" s="505">
        <v>37.721699999999998</v>
      </c>
      <c r="G31" s="505">
        <v>70.388099999999994</v>
      </c>
      <c r="H31" s="505">
        <v>380</v>
      </c>
      <c r="I31" s="505">
        <v>239.833</v>
      </c>
      <c r="J31" s="505" t="s">
        <v>603</v>
      </c>
      <c r="K31" s="505">
        <v>435.565</v>
      </c>
      <c r="L31" s="505" t="s">
        <v>603</v>
      </c>
      <c r="M31" s="505">
        <v>163.79300000000001</v>
      </c>
      <c r="N31" s="505">
        <v>226</v>
      </c>
      <c r="O31" s="505">
        <v>520.60299999999995</v>
      </c>
      <c r="P31" s="505" t="s">
        <v>603</v>
      </c>
      <c r="Q31" s="505">
        <v>303.86200000000002</v>
      </c>
      <c r="R31" s="505">
        <v>677.19899999999996</v>
      </c>
      <c r="S31" s="505">
        <v>24.925699999999999</v>
      </c>
      <c r="T31" s="505">
        <v>15</v>
      </c>
      <c r="U31" s="505">
        <v>25.8309</v>
      </c>
      <c r="V31" s="446"/>
      <c r="X31" s="446"/>
    </row>
    <row r="32" spans="1:24" s="298" customFormat="1" ht="11.45" customHeight="1">
      <c r="A32" s="772">
        <v>2016</v>
      </c>
      <c r="B32" s="245">
        <f>AVERAGE(B33:B44)</f>
        <v>1249.0091666666669</v>
      </c>
      <c r="C32" s="245">
        <f t="shared" ref="C32:U32" si="1">AVERAGE(C33:C44)</f>
        <v>70.595974999999996</v>
      </c>
      <c r="D32" s="245">
        <f t="shared" si="1"/>
        <v>57.927608333333332</v>
      </c>
      <c r="E32" s="245">
        <f t="shared" si="1"/>
        <v>41.239341666666668</v>
      </c>
      <c r="F32" s="245">
        <f t="shared" si="1"/>
        <v>44.043283333333328</v>
      </c>
      <c r="G32" s="245">
        <f t="shared" si="1"/>
        <v>74.221424999999996</v>
      </c>
      <c r="H32" s="245">
        <f t="shared" si="1"/>
        <v>290.5</v>
      </c>
      <c r="I32" s="245">
        <f t="shared" si="1"/>
        <v>199.25</v>
      </c>
      <c r="J32" s="245" t="s">
        <v>603</v>
      </c>
      <c r="K32" s="245">
        <f t="shared" si="1"/>
        <v>447.19941666666676</v>
      </c>
      <c r="L32" s="245" t="s">
        <v>603</v>
      </c>
      <c r="M32" s="245">
        <f t="shared" si="1"/>
        <v>143.15049999999999</v>
      </c>
      <c r="N32" s="245" t="s">
        <v>603</v>
      </c>
      <c r="O32" s="245">
        <f t="shared" si="1"/>
        <v>639.91374999999994</v>
      </c>
      <c r="P32" s="245">
        <f t="shared" si="1"/>
        <v>678.02857142857158</v>
      </c>
      <c r="Q32" s="245">
        <f t="shared" si="1"/>
        <v>350.16058333333331</v>
      </c>
      <c r="R32" s="245">
        <f t="shared" si="1"/>
        <v>721.16600000000005</v>
      </c>
      <c r="S32" s="245">
        <f t="shared" si="1"/>
        <v>22.537283333333335</v>
      </c>
      <c r="T32" s="245">
        <f t="shared" si="1"/>
        <v>18.252850000000002</v>
      </c>
      <c r="U32" s="245">
        <f t="shared" si="1"/>
        <v>27.479150000000004</v>
      </c>
      <c r="V32" s="446"/>
    </row>
    <row r="33" spans="1:24" s="298" customFormat="1" ht="11.45" customHeight="1">
      <c r="A33" s="1447" t="s">
        <v>958</v>
      </c>
      <c r="B33" s="505">
        <v>1097.9100000000001</v>
      </c>
      <c r="C33" s="505">
        <v>53.373899999999999</v>
      </c>
      <c r="D33" s="505">
        <v>41.252400000000002</v>
      </c>
      <c r="E33" s="505">
        <v>27.246700000000001</v>
      </c>
      <c r="F33" s="505">
        <v>30.8033</v>
      </c>
      <c r="G33" s="505">
        <v>68.75</v>
      </c>
      <c r="H33" s="505">
        <v>380</v>
      </c>
      <c r="I33" s="505">
        <v>214</v>
      </c>
      <c r="J33" s="505" t="s">
        <v>603</v>
      </c>
      <c r="K33" s="505">
        <v>419.29700000000003</v>
      </c>
      <c r="L33" s="505" t="s">
        <v>603</v>
      </c>
      <c r="M33" s="505">
        <v>164.55799999999999</v>
      </c>
      <c r="N33" s="505" t="s">
        <v>603</v>
      </c>
      <c r="O33" s="505">
        <v>531.61900000000003</v>
      </c>
      <c r="P33" s="505" t="s">
        <v>603</v>
      </c>
      <c r="Q33" s="505">
        <v>297.17700000000002</v>
      </c>
      <c r="R33" s="505">
        <v>659.90099999999995</v>
      </c>
      <c r="S33" s="505">
        <v>23.9497</v>
      </c>
      <c r="T33" s="505">
        <v>14.2911</v>
      </c>
      <c r="U33" s="505">
        <v>25.831600000000002</v>
      </c>
      <c r="V33" s="446"/>
      <c r="X33" s="446"/>
    </row>
    <row r="34" spans="1:24" s="298" customFormat="1" ht="12" customHeight="1">
      <c r="A34" s="1446" t="s">
        <v>959</v>
      </c>
      <c r="B34" s="460">
        <v>1199.5</v>
      </c>
      <c r="C34" s="460">
        <v>54.329500000000003</v>
      </c>
      <c r="D34" s="460">
        <v>46.176200000000001</v>
      </c>
      <c r="E34" s="460">
        <v>29.614799999999999</v>
      </c>
      <c r="F34" s="460">
        <v>33.198099999999997</v>
      </c>
      <c r="G34" s="460">
        <v>66.571399999999997</v>
      </c>
      <c r="H34" s="460">
        <v>329</v>
      </c>
      <c r="I34" s="460">
        <v>209</v>
      </c>
      <c r="J34" s="460" t="s">
        <v>603</v>
      </c>
      <c r="K34" s="460">
        <v>448.315</v>
      </c>
      <c r="L34" s="460" t="s">
        <v>603</v>
      </c>
      <c r="M34" s="460">
        <v>159.25200000000001</v>
      </c>
      <c r="N34" s="460" t="s">
        <v>603</v>
      </c>
      <c r="O34" s="460">
        <v>595.90099999999995</v>
      </c>
      <c r="P34" s="460" t="s">
        <v>603</v>
      </c>
      <c r="Q34" s="460">
        <v>291.36799999999999</v>
      </c>
      <c r="R34" s="460">
        <v>686.904</v>
      </c>
      <c r="S34" s="460">
        <v>23.770800000000001</v>
      </c>
      <c r="T34" s="460">
        <v>13.2905</v>
      </c>
      <c r="U34" s="460">
        <v>25.4985</v>
      </c>
      <c r="V34" s="446"/>
      <c r="X34" s="446"/>
    </row>
    <row r="35" spans="1:24" s="298" customFormat="1" ht="11.45" customHeight="1">
      <c r="A35" s="1447" t="s">
        <v>951</v>
      </c>
      <c r="B35" s="505">
        <v>1245.1400000000001</v>
      </c>
      <c r="C35" s="505">
        <v>55.917900000000003</v>
      </c>
      <c r="D35" s="505">
        <v>55.521700000000003</v>
      </c>
      <c r="E35" s="505">
        <v>35.173000000000002</v>
      </c>
      <c r="F35" s="505">
        <v>39.070900000000002</v>
      </c>
      <c r="G35" s="505">
        <v>65.457099999999997</v>
      </c>
      <c r="H35" s="505">
        <v>275</v>
      </c>
      <c r="I35" s="505">
        <v>203</v>
      </c>
      <c r="J35" s="505" t="s">
        <v>603</v>
      </c>
      <c r="K35" s="505">
        <v>434.28100000000001</v>
      </c>
      <c r="L35" s="505" t="s">
        <v>603</v>
      </c>
      <c r="M35" s="505">
        <v>164.03100000000001</v>
      </c>
      <c r="N35" s="505" t="s">
        <v>603</v>
      </c>
      <c r="O35" s="505">
        <v>633.06799999999998</v>
      </c>
      <c r="P35" s="505" t="s">
        <v>603</v>
      </c>
      <c r="Q35" s="505">
        <v>296.18099999999998</v>
      </c>
      <c r="R35" s="505">
        <v>713.85599999999999</v>
      </c>
      <c r="S35" s="505">
        <v>23.656700000000001</v>
      </c>
      <c r="T35" s="505">
        <v>15.435</v>
      </c>
      <c r="U35" s="505">
        <v>26.316800000000001</v>
      </c>
      <c r="V35" s="446"/>
      <c r="X35" s="446"/>
    </row>
    <row r="36" spans="1:24" s="298" customFormat="1" ht="11.45" customHeight="1">
      <c r="A36" s="1446" t="s">
        <v>960</v>
      </c>
      <c r="B36" s="460">
        <v>1242.26</v>
      </c>
      <c r="C36" s="460">
        <v>54.830399999999997</v>
      </c>
      <c r="D36" s="460">
        <v>59.581000000000003</v>
      </c>
      <c r="E36" s="460">
        <v>39.037599999999998</v>
      </c>
      <c r="F36" s="460">
        <v>42.247100000000003</v>
      </c>
      <c r="G36" s="460">
        <v>69.278599999999997</v>
      </c>
      <c r="H36" s="460">
        <v>278</v>
      </c>
      <c r="I36" s="460">
        <v>204</v>
      </c>
      <c r="J36" s="460" t="s">
        <v>603</v>
      </c>
      <c r="K36" s="460">
        <v>441.2</v>
      </c>
      <c r="L36" s="460" t="s">
        <v>603</v>
      </c>
      <c r="M36" s="460">
        <v>163.36500000000001</v>
      </c>
      <c r="N36" s="460" t="s">
        <v>603</v>
      </c>
      <c r="O36" s="460">
        <v>681.077</v>
      </c>
      <c r="P36" s="460">
        <v>669.2</v>
      </c>
      <c r="Q36" s="460">
        <v>327.70100000000002</v>
      </c>
      <c r="R36" s="460">
        <v>748.53099999999995</v>
      </c>
      <c r="S36" s="460">
        <v>23.670200000000001</v>
      </c>
      <c r="T36" s="460">
        <v>15.217599999999999</v>
      </c>
      <c r="U36" s="460">
        <v>27.902899999999999</v>
      </c>
      <c r="V36" s="446"/>
      <c r="X36" s="446"/>
    </row>
    <row r="37" spans="1:24" s="298" customFormat="1" ht="11.45" customHeight="1">
      <c r="A37" s="1447" t="s">
        <v>961</v>
      </c>
      <c r="B37" s="505">
        <v>1261</v>
      </c>
      <c r="C37" s="505">
        <v>55.2</v>
      </c>
      <c r="D37" s="505">
        <v>54.9</v>
      </c>
      <c r="E37" s="505">
        <v>44</v>
      </c>
      <c r="F37" s="505">
        <v>47.1</v>
      </c>
      <c r="G37" s="505">
        <v>70.3</v>
      </c>
      <c r="H37" s="505">
        <v>284</v>
      </c>
      <c r="I37" s="505">
        <v>200</v>
      </c>
      <c r="J37" s="505" t="s">
        <v>603</v>
      </c>
      <c r="K37" s="505">
        <v>448</v>
      </c>
      <c r="L37" s="505" t="s">
        <v>603</v>
      </c>
      <c r="M37" s="505">
        <v>157.5</v>
      </c>
      <c r="N37" s="505" t="s">
        <v>603</v>
      </c>
      <c r="O37" s="505">
        <v>644.6</v>
      </c>
      <c r="P37" s="505" t="s">
        <v>603</v>
      </c>
      <c r="Q37" s="505">
        <v>407.5</v>
      </c>
      <c r="R37" s="505">
        <v>707</v>
      </c>
      <c r="S37" s="505">
        <v>24.2</v>
      </c>
      <c r="T37" s="505">
        <v>16.7</v>
      </c>
      <c r="U37" s="505">
        <v>27.3</v>
      </c>
      <c r="V37" s="446"/>
    </row>
    <row r="38" spans="1:24" s="298" customFormat="1" ht="11.45" customHeight="1">
      <c r="A38" s="1446" t="s">
        <v>952</v>
      </c>
      <c r="B38" s="460">
        <v>1276.4000000000001</v>
      </c>
      <c r="C38" s="460">
        <v>57</v>
      </c>
      <c r="D38" s="460">
        <v>51.4</v>
      </c>
      <c r="E38" s="460">
        <v>45.8</v>
      </c>
      <c r="F38" s="460">
        <v>48.5</v>
      </c>
      <c r="G38" s="460">
        <v>74.099999999999994</v>
      </c>
      <c r="H38" s="460">
        <v>285</v>
      </c>
      <c r="I38" s="460">
        <v>191</v>
      </c>
      <c r="J38" s="460" t="s">
        <v>603</v>
      </c>
      <c r="K38" s="460">
        <v>455.1</v>
      </c>
      <c r="L38" s="460" t="s">
        <v>603</v>
      </c>
      <c r="M38" s="460">
        <v>156.6</v>
      </c>
      <c r="N38" s="460" t="s">
        <v>603</v>
      </c>
      <c r="O38" s="460">
        <v>618.5</v>
      </c>
      <c r="P38" s="460" t="s">
        <v>603</v>
      </c>
      <c r="Q38" s="460">
        <v>443.4</v>
      </c>
      <c r="R38" s="460">
        <v>703.6</v>
      </c>
      <c r="S38" s="460">
        <v>23.6</v>
      </c>
      <c r="T38" s="460">
        <v>19.399999999999999</v>
      </c>
      <c r="U38" s="460">
        <v>27.4</v>
      </c>
      <c r="V38" s="446"/>
    </row>
    <row r="39" spans="1:24" s="298" customFormat="1" ht="11.45" customHeight="1">
      <c r="A39" s="1447" t="s">
        <v>954</v>
      </c>
      <c r="B39" s="505">
        <v>1336.7</v>
      </c>
      <c r="C39" s="505">
        <v>66.7</v>
      </c>
      <c r="D39" s="505">
        <v>56.6</v>
      </c>
      <c r="E39" s="505">
        <v>42.7</v>
      </c>
      <c r="F39" s="505">
        <v>45.1</v>
      </c>
      <c r="G39" s="505">
        <v>81.099999999999994</v>
      </c>
      <c r="H39" s="505">
        <v>285</v>
      </c>
      <c r="I39" s="505">
        <v>177</v>
      </c>
      <c r="J39" s="505" t="s">
        <v>603</v>
      </c>
      <c r="K39" s="505">
        <v>506.3</v>
      </c>
      <c r="L39" s="505" t="s">
        <v>603</v>
      </c>
      <c r="M39" s="505">
        <v>133.6</v>
      </c>
      <c r="N39" s="505" t="s">
        <v>603</v>
      </c>
      <c r="O39" s="505">
        <v>584.20000000000005</v>
      </c>
      <c r="P39" s="505">
        <v>660.5</v>
      </c>
      <c r="Q39" s="505">
        <v>403.3</v>
      </c>
      <c r="R39" s="505">
        <v>669.9</v>
      </c>
      <c r="S39" s="505">
        <v>21.9</v>
      </c>
      <c r="T39" s="505">
        <v>19.7</v>
      </c>
      <c r="U39" s="505">
        <v>28.1</v>
      </c>
      <c r="V39" s="446"/>
    </row>
    <row r="40" spans="1:24" s="298" customFormat="1" ht="11.45" customHeight="1">
      <c r="A40" s="1446" t="s">
        <v>955</v>
      </c>
      <c r="B40" s="460">
        <v>1340.2</v>
      </c>
      <c r="C40" s="460">
        <v>72.2</v>
      </c>
      <c r="D40" s="460">
        <v>60.5</v>
      </c>
      <c r="E40" s="460">
        <v>43.6</v>
      </c>
      <c r="F40" s="460">
        <v>46.1</v>
      </c>
      <c r="G40" s="460">
        <v>80.3</v>
      </c>
      <c r="H40" s="460">
        <v>283</v>
      </c>
      <c r="I40" s="460">
        <v>182</v>
      </c>
      <c r="J40" s="460" t="s">
        <v>603</v>
      </c>
      <c r="K40" s="460">
        <v>481.7</v>
      </c>
      <c r="L40" s="460" t="s">
        <v>603</v>
      </c>
      <c r="M40" s="460">
        <v>127.9</v>
      </c>
      <c r="N40" s="460" t="s">
        <v>603</v>
      </c>
      <c r="O40" s="460">
        <v>664.4</v>
      </c>
      <c r="P40" s="460">
        <v>644.20000000000005</v>
      </c>
      <c r="Q40" s="460">
        <v>364.5</v>
      </c>
      <c r="R40" s="460">
        <v>711.7</v>
      </c>
      <c r="S40" s="460">
        <v>21.8</v>
      </c>
      <c r="T40" s="460">
        <v>20.5</v>
      </c>
      <c r="U40" s="460">
        <v>27.2</v>
      </c>
      <c r="V40" s="446"/>
    </row>
    <row r="41" spans="1:24" s="298" customFormat="1" ht="11.45" customHeight="1">
      <c r="A41" s="1447" t="s">
        <v>949</v>
      </c>
      <c r="B41" s="505">
        <v>1326.6</v>
      </c>
      <c r="C41" s="505">
        <v>78.099999999999994</v>
      </c>
      <c r="D41" s="505">
        <v>56.7</v>
      </c>
      <c r="E41" s="505">
        <v>43.8</v>
      </c>
      <c r="F41" s="505">
        <v>46.2</v>
      </c>
      <c r="G41" s="505">
        <v>77.900000000000006</v>
      </c>
      <c r="H41" s="505">
        <v>277</v>
      </c>
      <c r="I41" s="505">
        <v>191</v>
      </c>
      <c r="J41" s="505" t="s">
        <v>603</v>
      </c>
      <c r="K41" s="505">
        <v>446.9</v>
      </c>
      <c r="L41" s="505" t="s">
        <v>603</v>
      </c>
      <c r="M41" s="505">
        <v>123.2</v>
      </c>
      <c r="N41" s="505" t="s">
        <v>603</v>
      </c>
      <c r="O41" s="505">
        <v>692.4</v>
      </c>
      <c r="P41" s="505">
        <v>669.5</v>
      </c>
      <c r="Q41" s="505">
        <v>342.2</v>
      </c>
      <c r="R41" s="505">
        <v>722.6</v>
      </c>
      <c r="S41" s="505">
        <v>21.9</v>
      </c>
      <c r="T41" s="505">
        <v>21.9</v>
      </c>
      <c r="U41" s="505">
        <v>27.5</v>
      </c>
      <c r="V41" s="446"/>
    </row>
    <row r="42" spans="1:24" s="298" customFormat="1" ht="11.45" customHeight="1">
      <c r="A42" s="1446" t="s">
        <v>956</v>
      </c>
      <c r="B42" s="460">
        <v>1266.5999999999999</v>
      </c>
      <c r="C42" s="460">
        <v>99.8</v>
      </c>
      <c r="D42" s="460">
        <v>59</v>
      </c>
      <c r="E42" s="460">
        <v>48.3</v>
      </c>
      <c r="F42" s="460">
        <v>49.7</v>
      </c>
      <c r="G42" s="460">
        <v>78.5</v>
      </c>
      <c r="H42" s="460">
        <v>273</v>
      </c>
      <c r="I42" s="460">
        <v>193</v>
      </c>
      <c r="J42" s="460" t="s">
        <v>603</v>
      </c>
      <c r="K42" s="460">
        <v>429.1</v>
      </c>
      <c r="L42" s="460" t="s">
        <v>603</v>
      </c>
      <c r="M42" s="460">
        <v>122.5</v>
      </c>
      <c r="N42" s="460" t="s">
        <v>603</v>
      </c>
      <c r="O42" s="460">
        <v>651.4</v>
      </c>
      <c r="P42" s="460">
        <v>705.9</v>
      </c>
      <c r="Q42" s="460">
        <v>337.1</v>
      </c>
      <c r="R42" s="460">
        <v>757.3</v>
      </c>
      <c r="S42" s="460">
        <v>20.5</v>
      </c>
      <c r="T42" s="460">
        <v>22.9</v>
      </c>
      <c r="U42" s="460">
        <v>28.6</v>
      </c>
      <c r="V42" s="446"/>
    </row>
    <row r="43" spans="1:24" s="298" customFormat="1" ht="11.45" customHeight="1">
      <c r="A43" s="1447" t="s">
        <v>957</v>
      </c>
      <c r="B43" s="505">
        <v>1238.4000000000001</v>
      </c>
      <c r="C43" s="505">
        <v>107.2</v>
      </c>
      <c r="D43" s="505">
        <v>74.099999999999994</v>
      </c>
      <c r="E43" s="505">
        <v>43.8</v>
      </c>
      <c r="F43" s="505">
        <v>46.4</v>
      </c>
      <c r="G43" s="505">
        <v>78.900000000000006</v>
      </c>
      <c r="H43" s="505">
        <v>270</v>
      </c>
      <c r="I43" s="505">
        <v>211</v>
      </c>
      <c r="J43" s="505" t="s">
        <v>603</v>
      </c>
      <c r="K43" s="505">
        <v>440.6</v>
      </c>
      <c r="L43" s="505" t="s">
        <v>603</v>
      </c>
      <c r="M43" s="505">
        <v>122.5</v>
      </c>
      <c r="N43" s="505" t="s">
        <v>603</v>
      </c>
      <c r="O43" s="505">
        <v>670</v>
      </c>
      <c r="P43" s="505">
        <v>685.3</v>
      </c>
      <c r="Q43" s="505">
        <v>345.7</v>
      </c>
      <c r="R43" s="505">
        <v>772.4</v>
      </c>
      <c r="S43" s="505">
        <v>20.7</v>
      </c>
      <c r="T43" s="505">
        <v>20.9</v>
      </c>
      <c r="U43" s="505">
        <v>28.8</v>
      </c>
      <c r="V43" s="446"/>
    </row>
    <row r="44" spans="1:24" s="298" customFormat="1" ht="11.45" customHeight="1">
      <c r="A44" s="1446" t="s">
        <v>950</v>
      </c>
      <c r="B44" s="460">
        <v>1157.4000000000001</v>
      </c>
      <c r="C44" s="460">
        <v>92.5</v>
      </c>
      <c r="D44" s="460">
        <v>79.400000000000006</v>
      </c>
      <c r="E44" s="460">
        <v>51.8</v>
      </c>
      <c r="F44" s="460">
        <v>54.1</v>
      </c>
      <c r="G44" s="460">
        <v>79.5</v>
      </c>
      <c r="H44" s="460">
        <v>267</v>
      </c>
      <c r="I44" s="460">
        <v>216</v>
      </c>
      <c r="J44" s="460" t="s">
        <v>603</v>
      </c>
      <c r="K44" s="460">
        <v>415.6</v>
      </c>
      <c r="L44" s="460" t="s">
        <v>603</v>
      </c>
      <c r="M44" s="460">
        <v>122.8</v>
      </c>
      <c r="N44" s="460" t="s">
        <v>603</v>
      </c>
      <c r="O44" s="460">
        <v>711.8</v>
      </c>
      <c r="P44" s="460">
        <v>711.6</v>
      </c>
      <c r="Q44" s="460">
        <v>345.8</v>
      </c>
      <c r="R44" s="460">
        <v>800.3</v>
      </c>
      <c r="S44" s="460">
        <v>20.8</v>
      </c>
      <c r="T44" s="460">
        <v>18.8</v>
      </c>
      <c r="U44" s="460">
        <v>29.3</v>
      </c>
      <c r="V44" s="446"/>
    </row>
    <row r="45" spans="1:24" s="298" customFormat="1" ht="11.45" customHeight="1">
      <c r="A45" s="1445">
        <v>2017</v>
      </c>
      <c r="B45" s="505"/>
      <c r="C45" s="505"/>
      <c r="D45" s="505"/>
      <c r="E45" s="505"/>
      <c r="F45" s="505"/>
      <c r="G45" s="505"/>
      <c r="H45" s="505"/>
      <c r="I45" s="505"/>
      <c r="J45" s="505"/>
      <c r="K45" s="505"/>
      <c r="L45" s="505"/>
      <c r="M45" s="505"/>
      <c r="N45" s="505"/>
      <c r="O45" s="505"/>
      <c r="P45" s="505"/>
      <c r="Q45" s="505"/>
      <c r="R45" s="505"/>
      <c r="S45" s="505"/>
      <c r="T45" s="505"/>
      <c r="U45" s="505"/>
      <c r="V45" s="446"/>
    </row>
    <row r="46" spans="1:24" s="298" customFormat="1" ht="11.45" customHeight="1">
      <c r="A46" s="1529" t="s">
        <v>958</v>
      </c>
      <c r="B46" s="460">
        <v>1192.0999999999999</v>
      </c>
      <c r="C46" s="460">
        <v>89.7</v>
      </c>
      <c r="D46" s="460">
        <v>80.8</v>
      </c>
      <c r="E46" s="460">
        <v>53.4</v>
      </c>
      <c r="F46" s="460">
        <v>54.9</v>
      </c>
      <c r="G46" s="460">
        <v>82.3</v>
      </c>
      <c r="H46" s="460">
        <v>269</v>
      </c>
      <c r="I46" s="460">
        <v>241</v>
      </c>
      <c r="J46" s="460" t="s">
        <v>603</v>
      </c>
      <c r="K46" s="460">
        <v>422.5</v>
      </c>
      <c r="L46" s="460" t="s">
        <v>603</v>
      </c>
      <c r="M46" s="460">
        <v>137.1</v>
      </c>
      <c r="N46" s="460" t="s">
        <v>603</v>
      </c>
      <c r="O46" s="460">
        <v>726.5</v>
      </c>
      <c r="P46" s="460">
        <v>746.6</v>
      </c>
      <c r="Q46" s="460">
        <v>364.7</v>
      </c>
      <c r="R46" s="460">
        <v>771.9</v>
      </c>
      <c r="S46" s="460">
        <v>20.5</v>
      </c>
      <c r="T46" s="460">
        <v>20.5</v>
      </c>
      <c r="U46" s="460">
        <v>29</v>
      </c>
      <c r="V46" s="446"/>
    </row>
    <row r="47" spans="1:24" s="298" customFormat="1" ht="11.45" customHeight="1">
      <c r="A47" s="1530" t="s">
        <v>959</v>
      </c>
      <c r="B47" s="505">
        <v>1234.2</v>
      </c>
      <c r="C47" s="505">
        <v>86.2</v>
      </c>
      <c r="D47" s="505">
        <v>88.8</v>
      </c>
      <c r="E47" s="505">
        <v>54.2</v>
      </c>
      <c r="F47" s="505">
        <v>55.5</v>
      </c>
      <c r="G47" s="505">
        <v>85.2</v>
      </c>
      <c r="H47" s="505">
        <v>270</v>
      </c>
      <c r="I47" s="505">
        <v>247</v>
      </c>
      <c r="J47" s="505" t="s">
        <v>603</v>
      </c>
      <c r="K47" s="505">
        <v>430.1</v>
      </c>
      <c r="L47" s="505" t="s">
        <v>603</v>
      </c>
      <c r="M47" s="505">
        <v>147.30000000000001</v>
      </c>
      <c r="N47" s="505" t="s">
        <v>603</v>
      </c>
      <c r="O47" s="505">
        <v>706.8</v>
      </c>
      <c r="P47" s="505">
        <v>761.4</v>
      </c>
      <c r="Q47" s="505">
        <v>371.4</v>
      </c>
      <c r="R47" s="505">
        <v>742.9</v>
      </c>
      <c r="S47" s="505">
        <v>20.8</v>
      </c>
      <c r="T47" s="505">
        <v>20.3</v>
      </c>
      <c r="U47" s="505">
        <v>30.4</v>
      </c>
      <c r="V47" s="446"/>
    </row>
    <row r="48" spans="1:24" s="298" customFormat="1" ht="11.45" customHeight="1">
      <c r="A48" s="1529" t="s">
        <v>951</v>
      </c>
      <c r="B48" s="460">
        <v>1231.4000000000001</v>
      </c>
      <c r="C48" s="460">
        <v>86.3</v>
      </c>
      <c r="D48" s="460">
        <v>87.2</v>
      </c>
      <c r="E48" s="460">
        <v>51.2</v>
      </c>
      <c r="F48" s="460">
        <v>52</v>
      </c>
      <c r="G48" s="460">
        <v>86.8</v>
      </c>
      <c r="H48" s="460">
        <v>278</v>
      </c>
      <c r="I48" s="460">
        <v>234</v>
      </c>
      <c r="J48" s="460" t="s">
        <v>603</v>
      </c>
      <c r="K48" s="460">
        <v>424.6</v>
      </c>
      <c r="L48" s="460" t="s">
        <v>603</v>
      </c>
      <c r="M48" s="460">
        <v>146.4</v>
      </c>
      <c r="N48" s="460" t="s">
        <v>603</v>
      </c>
      <c r="O48" s="460">
        <v>663.3</v>
      </c>
      <c r="P48" s="460" t="s">
        <v>603</v>
      </c>
      <c r="Q48" s="460">
        <v>356.9</v>
      </c>
      <c r="R48" s="460">
        <v>723.4</v>
      </c>
      <c r="S48" s="460">
        <v>20.5</v>
      </c>
      <c r="T48" s="460">
        <v>18.100000000000001</v>
      </c>
      <c r="U48" s="460">
        <v>29.8</v>
      </c>
      <c r="V48" s="446"/>
    </row>
    <row r="49" spans="1:23" s="298" customFormat="1" ht="11.45" customHeight="1">
      <c r="A49" s="1530" t="s">
        <v>960</v>
      </c>
      <c r="B49" s="505">
        <v>1266.9000000000001</v>
      </c>
      <c r="C49" s="505">
        <v>90.7</v>
      </c>
      <c r="D49" s="505">
        <v>70.400000000000006</v>
      </c>
      <c r="E49" s="505">
        <v>52.4</v>
      </c>
      <c r="F49" s="505">
        <v>53.1</v>
      </c>
      <c r="G49" s="505">
        <v>87</v>
      </c>
      <c r="H49" s="505">
        <v>276</v>
      </c>
      <c r="I49" s="505">
        <v>205</v>
      </c>
      <c r="J49" s="505" t="s">
        <v>603</v>
      </c>
      <c r="K49" s="505">
        <v>410.3</v>
      </c>
      <c r="L49" s="505" t="s">
        <v>603</v>
      </c>
      <c r="M49" s="505">
        <v>138.4</v>
      </c>
      <c r="N49" s="505" t="s">
        <v>603</v>
      </c>
      <c r="O49" s="505">
        <v>623.20000000000005</v>
      </c>
      <c r="P49" s="505" t="s">
        <v>603</v>
      </c>
      <c r="Q49" s="505">
        <v>342.6</v>
      </c>
      <c r="R49" s="505">
        <v>695.3</v>
      </c>
      <c r="S49" s="505">
        <v>21</v>
      </c>
      <c r="T49" s="505">
        <v>16.399999999999999</v>
      </c>
      <c r="U49" s="505">
        <v>28.7</v>
      </c>
      <c r="V49" s="446"/>
    </row>
    <row r="50" spans="1:23" s="298" customFormat="1" ht="11.45" customHeight="1" thickBot="1">
      <c r="A50" s="809" t="s">
        <v>961</v>
      </c>
      <c r="B50" s="894">
        <v>1246</v>
      </c>
      <c r="C50" s="894" t="s">
        <v>603</v>
      </c>
      <c r="D50" s="894">
        <v>61.6</v>
      </c>
      <c r="E50" s="894">
        <v>50.3</v>
      </c>
      <c r="F50" s="894">
        <v>50.9</v>
      </c>
      <c r="G50" s="894">
        <v>88.6</v>
      </c>
      <c r="H50" s="894">
        <v>273</v>
      </c>
      <c r="I50" s="894">
        <v>180</v>
      </c>
      <c r="J50" s="894" t="s">
        <v>603</v>
      </c>
      <c r="K50" s="894" t="s">
        <v>603</v>
      </c>
      <c r="L50" s="894" t="s">
        <v>603</v>
      </c>
      <c r="M50" s="894">
        <v>146.5</v>
      </c>
      <c r="N50" s="894" t="s">
        <v>603</v>
      </c>
      <c r="O50" s="894">
        <v>655.5</v>
      </c>
      <c r="P50" s="894" t="s">
        <v>603</v>
      </c>
      <c r="Q50" s="894">
        <v>341</v>
      </c>
      <c r="R50" s="894">
        <v>714.1</v>
      </c>
      <c r="S50" s="894">
        <v>21.5</v>
      </c>
      <c r="T50" s="894">
        <v>15.7</v>
      </c>
      <c r="U50" s="894">
        <v>28.4</v>
      </c>
      <c r="V50" s="446"/>
    </row>
    <row r="51" spans="1:23" ht="11.25" customHeight="1">
      <c r="A51" s="14" t="s">
        <v>1218</v>
      </c>
      <c r="B51" s="2094" t="s">
        <v>255</v>
      </c>
      <c r="C51" s="2094"/>
      <c r="D51" s="2094"/>
      <c r="E51" s="2094"/>
      <c r="F51" s="2094"/>
      <c r="G51" s="2094"/>
      <c r="H51" s="39"/>
      <c r="I51" s="39"/>
      <c r="J51" s="39"/>
      <c r="R51" s="17"/>
      <c r="S51" s="17"/>
      <c r="T51" s="18"/>
      <c r="U51" s="39"/>
    </row>
    <row r="52" spans="1:23" s="18" customFormat="1" ht="9" customHeight="1">
      <c r="B52" s="2103" t="s">
        <v>256</v>
      </c>
      <c r="C52" s="2103"/>
      <c r="D52" s="2103"/>
      <c r="E52" s="2103"/>
      <c r="F52" s="2103"/>
      <c r="G52" s="2103"/>
      <c r="H52" s="2103"/>
      <c r="I52" s="1481"/>
      <c r="J52" s="1481"/>
      <c r="K52" s="14" t="s">
        <v>1112</v>
      </c>
      <c r="L52" s="1947" t="s">
        <v>2526</v>
      </c>
      <c r="M52" s="1947"/>
      <c r="N52" s="1947"/>
      <c r="O52" s="1947"/>
      <c r="P52" s="1947"/>
      <c r="Q52" s="1947"/>
      <c r="S52" s="17"/>
      <c r="T52" s="17"/>
    </row>
    <row r="53" spans="1:23" s="18" customFormat="1" ht="10.5" customHeight="1">
      <c r="B53" s="2094" t="s">
        <v>2253</v>
      </c>
      <c r="C53" s="2094"/>
      <c r="F53" s="131"/>
      <c r="G53" s="230"/>
    </row>
    <row r="54" spans="1:23" s="18" customFormat="1" ht="8.25" customHeight="1">
      <c r="A54" s="44"/>
      <c r="F54" s="131"/>
      <c r="G54" s="131"/>
      <c r="I54" s="1344"/>
    </row>
    <row r="55" spans="1:23">
      <c r="C55" s="131"/>
      <c r="D55" s="131"/>
      <c r="E55" s="131"/>
      <c r="F55" s="131"/>
      <c r="G55" s="131"/>
      <c r="H55" s="131"/>
      <c r="I55" s="1344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44"/>
      <c r="V55" s="1344"/>
      <c r="W55" s="131"/>
    </row>
    <row r="56" spans="1:23">
      <c r="C56" s="131"/>
      <c r="D56" s="131"/>
      <c r="E56" s="131"/>
      <c r="F56" s="131"/>
      <c r="G56" s="131"/>
      <c r="H56" s="131"/>
      <c r="I56" s="1344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44"/>
      <c r="V56" s="1344"/>
      <c r="W56" s="131"/>
    </row>
    <row r="57" spans="1:23">
      <c r="C57" s="131"/>
      <c r="D57" s="131"/>
      <c r="E57" s="131"/>
      <c r="F57" s="131"/>
      <c r="G57" s="131"/>
      <c r="H57" s="131"/>
      <c r="I57" s="1344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44"/>
      <c r="V57" s="1344"/>
      <c r="W57" s="131"/>
    </row>
    <row r="58" spans="1:23">
      <c r="C58" s="131"/>
      <c r="D58" s="131"/>
      <c r="E58" s="131"/>
      <c r="F58" s="131"/>
      <c r="G58" s="131"/>
      <c r="H58" s="131"/>
      <c r="I58" s="1344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44"/>
      <c r="V58" s="1344"/>
      <c r="W58" s="131"/>
    </row>
    <row r="59" spans="1:23">
      <c r="C59" s="131"/>
      <c r="D59" s="131"/>
      <c r="E59" s="131"/>
      <c r="F59" s="131"/>
      <c r="G59" s="131"/>
      <c r="H59" s="131"/>
      <c r="I59" s="1344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44"/>
      <c r="V59" s="1344"/>
      <c r="W59" s="131"/>
    </row>
    <row r="60" spans="1:23">
      <c r="C60" s="131"/>
      <c r="D60" s="131"/>
      <c r="E60" s="131"/>
      <c r="F60" s="131"/>
      <c r="G60" s="131"/>
      <c r="H60" s="131"/>
      <c r="I60" s="1344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44"/>
      <c r="V60" s="1344"/>
      <c r="W60" s="131"/>
    </row>
    <row r="61" spans="1:23">
      <c r="C61" s="131"/>
      <c r="D61" s="131"/>
      <c r="E61" s="131"/>
      <c r="F61" s="131"/>
      <c r="G61" s="131"/>
      <c r="H61" s="131"/>
      <c r="I61" s="1344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44"/>
      <c r="V61" s="1344"/>
      <c r="W61" s="131"/>
    </row>
    <row r="62" spans="1:23">
      <c r="C62" s="131"/>
      <c r="D62" s="131"/>
      <c r="E62" s="131"/>
      <c r="F62" s="131"/>
      <c r="G62" s="131"/>
      <c r="H62" s="131"/>
      <c r="I62" s="1344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44"/>
      <c r="V62" s="1344"/>
      <c r="W62" s="131"/>
    </row>
    <row r="63" spans="1:23">
      <c r="C63" s="131"/>
      <c r="D63" s="131"/>
      <c r="E63" s="131"/>
      <c r="F63" s="131"/>
      <c r="G63" s="131"/>
      <c r="H63" s="131"/>
      <c r="I63" s="1344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44"/>
      <c r="V63" s="1344"/>
      <c r="W63" s="131"/>
    </row>
    <row r="64" spans="1:23">
      <c r="C64" s="131"/>
      <c r="D64" s="131"/>
      <c r="E64" s="131"/>
      <c r="F64" s="131"/>
      <c r="G64" s="131"/>
      <c r="H64" s="131"/>
      <c r="I64" s="1344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44"/>
      <c r="V64" s="1344"/>
      <c r="W64" s="131"/>
    </row>
    <row r="65" spans="3:23">
      <c r="C65" s="131"/>
      <c r="D65" s="131"/>
      <c r="E65" s="131"/>
      <c r="F65" s="131"/>
      <c r="G65" s="131"/>
      <c r="H65" s="131"/>
      <c r="I65" s="1344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44"/>
      <c r="V65" s="1344"/>
      <c r="W65" s="131"/>
    </row>
    <row r="66" spans="3:23"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44"/>
      <c r="V66" s="1344"/>
      <c r="W66" s="131"/>
    </row>
    <row r="67" spans="3:23"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44"/>
      <c r="V67" s="18"/>
      <c r="W67" s="131"/>
    </row>
    <row r="68" spans="3:23">
      <c r="C68" s="131"/>
      <c r="D68" s="131"/>
      <c r="E68" s="131"/>
      <c r="F68" s="131"/>
      <c r="G68" s="131"/>
      <c r="H68" s="131"/>
      <c r="I68" s="1345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44"/>
      <c r="V68" s="18"/>
      <c r="W68" s="131"/>
    </row>
    <row r="69" spans="3:23">
      <c r="C69" s="131"/>
      <c r="D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R69" s="131"/>
      <c r="S69" s="131"/>
      <c r="T69" s="131"/>
      <c r="U69" s="1344"/>
      <c r="V69" s="18"/>
      <c r="W69" s="131"/>
    </row>
    <row r="70" spans="3:23">
      <c r="C70" s="131"/>
      <c r="D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R70" s="131"/>
      <c r="S70" s="131"/>
      <c r="T70" s="131"/>
      <c r="U70" s="1344"/>
      <c r="V70" s="18"/>
      <c r="W70" s="131"/>
    </row>
    <row r="71" spans="3:23">
      <c r="D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S71" s="131"/>
      <c r="T71" s="131"/>
      <c r="U71" s="1344"/>
      <c r="V71" s="18"/>
      <c r="W71" s="131"/>
    </row>
    <row r="72" spans="3:23">
      <c r="D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R72" s="131"/>
      <c r="S72" s="131"/>
      <c r="T72" s="131"/>
      <c r="U72" s="1344"/>
      <c r="V72" s="18"/>
      <c r="W72" s="131"/>
    </row>
    <row r="73" spans="3:23"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44"/>
      <c r="V73" s="18"/>
      <c r="W73" s="131"/>
    </row>
    <row r="74" spans="3:23"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44"/>
      <c r="V74" s="18"/>
      <c r="W74" s="131"/>
    </row>
    <row r="75" spans="3:23"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44"/>
      <c r="V75" s="18"/>
      <c r="W75" s="131"/>
    </row>
    <row r="76" spans="3:23"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W76" s="131"/>
    </row>
    <row r="77" spans="3:23">
      <c r="J77" s="131"/>
      <c r="K77" s="131"/>
      <c r="M77" s="131"/>
      <c r="O77" s="131"/>
      <c r="P77" s="131"/>
      <c r="Q77" s="131"/>
      <c r="R77" s="131"/>
    </row>
  </sheetData>
  <mergeCells count="12">
    <mergeCell ref="B53:C53"/>
    <mergeCell ref="L52:Q52"/>
    <mergeCell ref="A1:J1"/>
    <mergeCell ref="K1:R1"/>
    <mergeCell ref="S3:U3"/>
    <mergeCell ref="E3:F3"/>
    <mergeCell ref="S1:U1"/>
    <mergeCell ref="B51:G51"/>
    <mergeCell ref="B52:H52"/>
    <mergeCell ref="T2:U2"/>
    <mergeCell ref="O3:P3"/>
    <mergeCell ref="L3:N3"/>
  </mergeCells>
  <phoneticPr fontId="0" type="noConversion"/>
  <pageMargins left="0.62992125984252001" right="0.511811023622047" top="0.511811023622047" bottom="0.511811023622047" header="0" footer="0.39370078740157499"/>
  <pageSetup paperSize="151" firstPageNumber="100" orientation="portrait" useFirstPageNumber="1" r:id="rId1"/>
  <headerFooter alignWithMargins="0">
    <oddFooter>&amp;C&amp;"Times New Roman,Regular"&amp;8&amp;P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1:S69"/>
  <sheetViews>
    <sheetView zoomScale="150" zoomScaleNormal="150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P53" sqref="P53"/>
    </sheetView>
  </sheetViews>
  <sheetFormatPr defaultColWidth="9.140625" defaultRowHeight="11.25"/>
  <cols>
    <col min="1" max="1" width="8.7109375" style="3" customWidth="1"/>
    <col min="2" max="2" width="0.85546875" style="3" customWidth="1"/>
    <col min="3" max="3" width="9.140625" style="1"/>
    <col min="4" max="4" width="7.5703125" style="1" customWidth="1"/>
    <col min="5" max="5" width="9.28515625" style="1" customWidth="1"/>
    <col min="6" max="6" width="9.7109375" style="1" customWidth="1"/>
    <col min="7" max="7" width="9.28515625" style="1" customWidth="1"/>
    <col min="8" max="8" width="8.5703125" style="1" customWidth="1"/>
    <col min="9" max="9" width="8.42578125" style="1" customWidth="1"/>
    <col min="10" max="10" width="7.42578125" style="1" customWidth="1"/>
    <col min="11" max="11" width="10.85546875" style="1" customWidth="1"/>
    <col min="12" max="12" width="11.7109375" style="1" customWidth="1"/>
    <col min="13" max="13" width="11.5703125" style="1" customWidth="1"/>
    <col min="14" max="14" width="11.7109375" style="1" customWidth="1"/>
    <col min="15" max="15" width="11.28515625" style="1" customWidth="1"/>
    <col min="16" max="16" width="11.140625" style="1" customWidth="1"/>
    <col min="17" max="17" width="10.85546875" style="3" customWidth="1"/>
    <col min="18" max="16384" width="9.140625" style="1"/>
  </cols>
  <sheetData>
    <row r="1" spans="1:17" s="120" customFormat="1" ht="12.75" customHeight="1">
      <c r="A1" s="2070" t="s">
        <v>368</v>
      </c>
      <c r="B1" s="2070"/>
      <c r="C1" s="2070"/>
      <c r="D1" s="2070"/>
      <c r="E1" s="2070"/>
      <c r="F1" s="2070"/>
      <c r="G1" s="2070"/>
      <c r="H1" s="2070"/>
      <c r="I1" s="2070"/>
      <c r="J1" s="2070"/>
      <c r="K1" s="2112" t="s">
        <v>2592</v>
      </c>
      <c r="L1" s="2112"/>
      <c r="M1" s="2112"/>
      <c r="N1" s="2112"/>
      <c r="O1" s="2112"/>
      <c r="P1" s="2108" t="s">
        <v>2095</v>
      </c>
      <c r="Q1" s="2108"/>
    </row>
    <row r="2" spans="1:17" s="30" customFormat="1" ht="9.75" customHeight="1">
      <c r="P2" s="2113" t="s">
        <v>41</v>
      </c>
      <c r="Q2" s="2113"/>
    </row>
    <row r="3" spans="1:17" s="119" customFormat="1" ht="13.5" customHeight="1">
      <c r="A3" s="1972" t="s">
        <v>875</v>
      </c>
      <c r="B3" s="1973"/>
      <c r="C3" s="1979" t="s">
        <v>367</v>
      </c>
      <c r="D3" s="1980"/>
      <c r="E3" s="1980"/>
      <c r="F3" s="1980"/>
      <c r="G3" s="1980"/>
      <c r="H3" s="1980"/>
      <c r="I3" s="1980"/>
      <c r="J3" s="1980"/>
      <c r="K3" s="1980"/>
      <c r="L3" s="2017"/>
      <c r="M3" s="1979" t="s">
        <v>996</v>
      </c>
      <c r="N3" s="1980"/>
      <c r="O3" s="1980"/>
      <c r="P3" s="1981"/>
      <c r="Q3" s="1906" t="s">
        <v>875</v>
      </c>
    </row>
    <row r="4" spans="1:17" s="30" customFormat="1" ht="12.75" customHeight="1">
      <c r="A4" s="2109"/>
      <c r="B4" s="2110"/>
      <c r="C4" s="2111" t="s">
        <v>1354</v>
      </c>
      <c r="D4" s="2114" t="s">
        <v>591</v>
      </c>
      <c r="E4" s="1887" t="s">
        <v>1683</v>
      </c>
      <c r="F4" s="1887" t="s">
        <v>1355</v>
      </c>
      <c r="G4" s="1927" t="s">
        <v>933</v>
      </c>
      <c r="H4" s="1927"/>
      <c r="I4" s="2116" t="s">
        <v>935</v>
      </c>
      <c r="J4" s="2117"/>
      <c r="K4" s="1887" t="s">
        <v>1685</v>
      </c>
      <c r="L4" s="1887" t="s">
        <v>1686</v>
      </c>
      <c r="M4" s="1787" t="s">
        <v>1684</v>
      </c>
      <c r="N4" s="1787" t="s">
        <v>1687</v>
      </c>
      <c r="O4" s="1787" t="s">
        <v>997</v>
      </c>
      <c r="P4" s="1787" t="s">
        <v>936</v>
      </c>
      <c r="Q4" s="1907"/>
    </row>
    <row r="5" spans="1:17" s="30" customFormat="1" ht="11.25" customHeight="1">
      <c r="A5" s="1974"/>
      <c r="B5" s="1975"/>
      <c r="C5" s="2111"/>
      <c r="D5" s="2115"/>
      <c r="E5" s="1881"/>
      <c r="F5" s="1881"/>
      <c r="G5" s="28" t="s">
        <v>873</v>
      </c>
      <c r="H5" s="28" t="s">
        <v>934</v>
      </c>
      <c r="I5" s="28" t="s">
        <v>873</v>
      </c>
      <c r="J5" s="28" t="s">
        <v>934</v>
      </c>
      <c r="K5" s="1881"/>
      <c r="L5" s="1881"/>
      <c r="M5" s="1788"/>
      <c r="N5" s="1788"/>
      <c r="O5" s="1788"/>
      <c r="P5" s="1788"/>
      <c r="Q5" s="1908"/>
    </row>
    <row r="6" spans="1:17" s="10" customFormat="1" ht="11.25" customHeight="1">
      <c r="A6" s="526" t="s">
        <v>944</v>
      </c>
      <c r="B6" s="526"/>
      <c r="C6" s="551">
        <v>5100.6899999999996</v>
      </c>
      <c r="D6" s="511" t="s">
        <v>603</v>
      </c>
      <c r="E6" s="551">
        <v>275.06</v>
      </c>
      <c r="F6" s="551">
        <v>3500.82</v>
      </c>
      <c r="G6" s="551">
        <v>2700.53</v>
      </c>
      <c r="H6" s="551">
        <v>3679.74</v>
      </c>
      <c r="I6" s="551">
        <v>2114.14</v>
      </c>
      <c r="J6" s="551">
        <v>1255.26</v>
      </c>
      <c r="K6" s="551">
        <v>148.51</v>
      </c>
      <c r="L6" s="551">
        <f t="shared" ref="L6:L10" si="0">C6+E6+F6+G6+H6+I6+J6+K6</f>
        <v>18774.749999999996</v>
      </c>
      <c r="M6" s="551">
        <v>123.32</v>
      </c>
      <c r="N6" s="551">
        <v>68.39</v>
      </c>
      <c r="O6" s="551">
        <v>111.64</v>
      </c>
      <c r="P6" s="551">
        <v>192.06</v>
      </c>
      <c r="Q6" s="527" t="s">
        <v>999</v>
      </c>
    </row>
    <row r="7" spans="1:17" s="10" customFormat="1" ht="11.25" customHeight="1">
      <c r="A7" s="12" t="s">
        <v>945</v>
      </c>
      <c r="B7" s="12"/>
      <c r="C7" s="19">
        <v>5395.08</v>
      </c>
      <c r="D7" s="21" t="s">
        <v>603</v>
      </c>
      <c r="E7" s="19">
        <v>292.5</v>
      </c>
      <c r="F7" s="19">
        <v>3789.08</v>
      </c>
      <c r="G7" s="19">
        <v>3229.43</v>
      </c>
      <c r="H7" s="19">
        <v>3757.81</v>
      </c>
      <c r="I7" s="19">
        <v>2275.85</v>
      </c>
      <c r="J7" s="19">
        <v>1331.84</v>
      </c>
      <c r="K7" s="19">
        <v>152.81</v>
      </c>
      <c r="L7" s="19">
        <f t="shared" si="0"/>
        <v>20224.400000000001</v>
      </c>
      <c r="M7" s="19">
        <v>96.55</v>
      </c>
      <c r="N7" s="19">
        <v>68.599999999999994</v>
      </c>
      <c r="O7" s="19">
        <v>125.67</v>
      </c>
      <c r="P7" s="19">
        <v>201.73</v>
      </c>
      <c r="Q7" s="111" t="s">
        <v>1000</v>
      </c>
    </row>
    <row r="8" spans="1:17" s="10" customFormat="1" ht="11.25" customHeight="1">
      <c r="A8" s="526" t="s">
        <v>946</v>
      </c>
      <c r="B8" s="526"/>
      <c r="C8" s="551">
        <v>6679.43</v>
      </c>
      <c r="D8" s="511" t="s">
        <v>603</v>
      </c>
      <c r="E8" s="551">
        <v>218.27</v>
      </c>
      <c r="F8" s="551">
        <v>4235.57</v>
      </c>
      <c r="G8" s="551">
        <v>3660.26</v>
      </c>
      <c r="H8" s="551">
        <v>4121.16</v>
      </c>
      <c r="I8" s="551">
        <v>3138.89</v>
      </c>
      <c r="J8" s="551">
        <v>1271.08</v>
      </c>
      <c r="K8" s="551">
        <v>229.81</v>
      </c>
      <c r="L8" s="551">
        <f t="shared" si="0"/>
        <v>23554.470000000005</v>
      </c>
      <c r="M8" s="551">
        <v>149.22999999999999</v>
      </c>
      <c r="N8" s="551">
        <v>76.95</v>
      </c>
      <c r="O8" s="551">
        <v>116.13</v>
      </c>
      <c r="P8" s="551">
        <v>261.73</v>
      </c>
      <c r="Q8" s="527" t="s">
        <v>946</v>
      </c>
    </row>
    <row r="9" spans="1:17" s="10" customFormat="1" ht="11.25" customHeight="1">
      <c r="A9" s="12" t="s">
        <v>947</v>
      </c>
      <c r="B9" s="12"/>
      <c r="C9" s="19">
        <v>7087.53</v>
      </c>
      <c r="D9" s="21" t="s">
        <v>603</v>
      </c>
      <c r="E9" s="19">
        <v>158.71</v>
      </c>
      <c r="F9" s="19">
        <v>4707.3599999999997</v>
      </c>
      <c r="G9" s="19">
        <v>4316.18</v>
      </c>
      <c r="H9" s="19">
        <v>4397.75</v>
      </c>
      <c r="I9" s="19">
        <v>3545.73</v>
      </c>
      <c r="J9" s="19">
        <v>1685.74</v>
      </c>
      <c r="K9" s="19">
        <v>293.79000000000002</v>
      </c>
      <c r="L9" s="19">
        <f t="shared" si="0"/>
        <v>26192.79</v>
      </c>
      <c r="M9" s="19">
        <v>142.16</v>
      </c>
      <c r="N9" s="19">
        <v>86.01</v>
      </c>
      <c r="O9" s="19">
        <v>106.56</v>
      </c>
      <c r="P9" s="19">
        <v>332.64</v>
      </c>
      <c r="Q9" s="111" t="s">
        <v>947</v>
      </c>
    </row>
    <row r="10" spans="1:17" s="10" customFormat="1" ht="11.25" customHeight="1">
      <c r="A10" s="526" t="s">
        <v>948</v>
      </c>
      <c r="B10" s="526"/>
      <c r="C10" s="551">
        <v>7912.85</v>
      </c>
      <c r="D10" s="511" t="s">
        <v>603</v>
      </c>
      <c r="E10" s="551">
        <v>144.38999999999999</v>
      </c>
      <c r="F10" s="551">
        <v>5577.09</v>
      </c>
      <c r="G10" s="551">
        <v>5111.93</v>
      </c>
      <c r="H10" s="551">
        <v>5347</v>
      </c>
      <c r="I10" s="551">
        <v>3702.81</v>
      </c>
      <c r="J10" s="551">
        <v>1853.46</v>
      </c>
      <c r="K10" s="551">
        <v>256.08999999999997</v>
      </c>
      <c r="L10" s="551">
        <f t="shared" si="0"/>
        <v>29905.620000000003</v>
      </c>
      <c r="M10" s="551">
        <v>182.03</v>
      </c>
      <c r="N10" s="551">
        <v>95.39</v>
      </c>
      <c r="O10" s="551">
        <v>127.7</v>
      </c>
      <c r="P10" s="551">
        <v>367.41</v>
      </c>
      <c r="Q10" s="527" t="s">
        <v>948</v>
      </c>
    </row>
    <row r="11" spans="1:17" s="10" customFormat="1" ht="11.25" customHeight="1">
      <c r="A11" s="12" t="s">
        <v>953</v>
      </c>
      <c r="B11" s="12"/>
      <c r="C11" s="19">
        <v>7824.27</v>
      </c>
      <c r="D11" s="21" t="s">
        <v>603</v>
      </c>
      <c r="E11" s="19">
        <v>161.16000000000003</v>
      </c>
      <c r="F11" s="19">
        <v>7141.5599999999995</v>
      </c>
      <c r="G11" s="19">
        <v>6472.29</v>
      </c>
      <c r="H11" s="19">
        <v>5883.79</v>
      </c>
      <c r="I11" s="19">
        <v>4665.76</v>
      </c>
      <c r="J11" s="19">
        <v>1563.3999999999999</v>
      </c>
      <c r="K11" s="19">
        <v>272.45000000000005</v>
      </c>
      <c r="L11" s="19">
        <v>33984.680000000008</v>
      </c>
      <c r="M11" s="19">
        <v>172.44</v>
      </c>
      <c r="N11" s="19">
        <v>129.82</v>
      </c>
      <c r="O11" s="19">
        <v>119.24000000000001</v>
      </c>
      <c r="P11" s="19">
        <v>383.83999999999992</v>
      </c>
      <c r="Q11" s="111" t="s">
        <v>953</v>
      </c>
    </row>
    <row r="12" spans="1:17" s="10" customFormat="1" ht="11.25" customHeight="1">
      <c r="A12" s="526" t="s">
        <v>962</v>
      </c>
      <c r="B12" s="526"/>
      <c r="C12" s="551">
        <v>8154.7599999999993</v>
      </c>
      <c r="D12" s="511" t="s">
        <v>603</v>
      </c>
      <c r="E12" s="551">
        <v>183.48</v>
      </c>
      <c r="F12" s="551">
        <v>8721.24</v>
      </c>
      <c r="G12" s="551">
        <v>7471.13</v>
      </c>
      <c r="H12" s="551">
        <v>6311.17</v>
      </c>
      <c r="I12" s="551">
        <v>4846.09</v>
      </c>
      <c r="J12" s="551">
        <v>1196.6300000000001</v>
      </c>
      <c r="K12" s="551">
        <v>334.82</v>
      </c>
      <c r="L12" s="551">
        <v>37219.32</v>
      </c>
      <c r="M12" s="551" t="s">
        <v>603</v>
      </c>
      <c r="N12" s="551">
        <v>62.149999999999991</v>
      </c>
      <c r="O12" s="551">
        <v>120.86999999999999</v>
      </c>
      <c r="P12" s="551" t="s">
        <v>603</v>
      </c>
      <c r="Q12" s="527" t="s">
        <v>962</v>
      </c>
    </row>
    <row r="13" spans="1:17" s="10" customFormat="1" ht="11.25" customHeight="1">
      <c r="A13" s="12" t="s">
        <v>675</v>
      </c>
      <c r="B13" s="12"/>
      <c r="C13" s="19">
        <v>9608.4500000000007</v>
      </c>
      <c r="D13" s="21" t="s">
        <v>603</v>
      </c>
      <c r="E13" s="19">
        <v>214.13</v>
      </c>
      <c r="F13" s="19">
        <v>11748.539999999999</v>
      </c>
      <c r="G13" s="19">
        <v>9179.85</v>
      </c>
      <c r="H13" s="19">
        <v>8474.66</v>
      </c>
      <c r="I13" s="19">
        <v>6001.4099999999989</v>
      </c>
      <c r="J13" s="19">
        <v>1752.8599999999997</v>
      </c>
      <c r="K13" s="19">
        <v>455.76</v>
      </c>
      <c r="L13" s="19">
        <v>47435.659999999996</v>
      </c>
      <c r="M13" s="19" t="s">
        <v>603</v>
      </c>
      <c r="N13" s="19">
        <v>79.47</v>
      </c>
      <c r="O13" s="19">
        <v>135.05999999999997</v>
      </c>
      <c r="P13" s="19" t="s">
        <v>603</v>
      </c>
      <c r="Q13" s="111" t="s">
        <v>675</v>
      </c>
    </row>
    <row r="14" spans="1:17" s="11" customFormat="1" ht="11.25" customHeight="1">
      <c r="A14" s="526" t="s">
        <v>141</v>
      </c>
      <c r="B14" s="526"/>
      <c r="C14" s="511">
        <v>9371.1200000000008</v>
      </c>
      <c r="D14" s="511" t="s">
        <v>603</v>
      </c>
      <c r="E14" s="511">
        <v>238.34</v>
      </c>
      <c r="F14" s="511">
        <v>13857.74</v>
      </c>
      <c r="G14" s="511">
        <v>10965.4</v>
      </c>
      <c r="H14" s="511">
        <v>9181.44</v>
      </c>
      <c r="I14" s="511">
        <v>6173.43</v>
      </c>
      <c r="J14" s="511">
        <v>2318.2399999999998</v>
      </c>
      <c r="K14" s="511">
        <v>421.54</v>
      </c>
      <c r="L14" s="511">
        <f>C14+E14+F14+G14+H14+I14+J14+K14</f>
        <v>52527.25</v>
      </c>
      <c r="M14" s="511">
        <v>222.91</v>
      </c>
      <c r="N14" s="511">
        <v>56.62</v>
      </c>
      <c r="O14" s="511">
        <v>86.44</v>
      </c>
      <c r="P14" s="511" t="s">
        <v>603</v>
      </c>
      <c r="Q14" s="527" t="s">
        <v>141</v>
      </c>
    </row>
    <row r="15" spans="1:17" s="11" customFormat="1" ht="11.25" customHeight="1">
      <c r="A15" s="12" t="s">
        <v>136</v>
      </c>
      <c r="B15" s="12"/>
      <c r="C15" s="21">
        <v>8997.119999999999</v>
      </c>
      <c r="D15" s="21" t="s">
        <v>603</v>
      </c>
      <c r="E15" s="21">
        <v>347.49000000000007</v>
      </c>
      <c r="F15" s="21">
        <v>17042.28</v>
      </c>
      <c r="G15" s="21">
        <v>13816.849999999999</v>
      </c>
      <c r="H15" s="21">
        <v>10651.220000000001</v>
      </c>
      <c r="I15" s="21">
        <v>7593.34</v>
      </c>
      <c r="J15" s="21">
        <v>3203.1299999999997</v>
      </c>
      <c r="K15" s="21">
        <v>390.73</v>
      </c>
      <c r="L15" s="21">
        <v>62042.159999999989</v>
      </c>
      <c r="M15" s="21">
        <v>357.61000000000007</v>
      </c>
      <c r="N15" s="21">
        <v>46.46</v>
      </c>
      <c r="O15" s="21">
        <v>342.97</v>
      </c>
      <c r="P15" s="21" t="s">
        <v>603</v>
      </c>
      <c r="Q15" s="111" t="s">
        <v>136</v>
      </c>
    </row>
    <row r="16" spans="1:17" s="11" customFormat="1" ht="11.25" customHeight="1">
      <c r="A16" s="526" t="s">
        <v>317</v>
      </c>
      <c r="B16" s="526"/>
      <c r="C16" s="511">
        <v>11574.13</v>
      </c>
      <c r="D16" s="511">
        <v>28.710000000000004</v>
      </c>
      <c r="E16" s="511">
        <v>486.18</v>
      </c>
      <c r="F16" s="511">
        <v>23007.520000000004</v>
      </c>
      <c r="G16" s="511">
        <v>17827.949999999997</v>
      </c>
      <c r="H16" s="511">
        <v>12375.810000000001</v>
      </c>
      <c r="I16" s="511">
        <v>9701.1600000000017</v>
      </c>
      <c r="J16" s="511">
        <v>3998.71</v>
      </c>
      <c r="K16" s="511">
        <v>402.94000000000005</v>
      </c>
      <c r="L16" s="511">
        <v>79403.11</v>
      </c>
      <c r="M16" s="511">
        <v>243.66</v>
      </c>
      <c r="N16" s="511">
        <v>57.26</v>
      </c>
      <c r="O16" s="511">
        <v>175.67000000000002</v>
      </c>
      <c r="P16" s="511">
        <v>1476.8200000000002</v>
      </c>
      <c r="Q16" s="527" t="s">
        <v>317</v>
      </c>
    </row>
    <row r="17" spans="1:19" s="11" customFormat="1" ht="11.25" customHeight="1">
      <c r="A17" s="427" t="s">
        <v>1299</v>
      </c>
      <c r="B17" s="427"/>
      <c r="C17" s="41">
        <v>13153.5</v>
      </c>
      <c r="D17" s="41">
        <v>38.950000000000003</v>
      </c>
      <c r="E17" s="41">
        <v>660.36</v>
      </c>
      <c r="F17" s="41">
        <v>28652.63</v>
      </c>
      <c r="G17" s="41">
        <v>21984.81</v>
      </c>
      <c r="H17" s="41">
        <v>13792.62</v>
      </c>
      <c r="I17" s="41">
        <v>11923.97</v>
      </c>
      <c r="J17" s="41">
        <v>4367.71</v>
      </c>
      <c r="K17" s="41">
        <v>484.44</v>
      </c>
      <c r="L17" s="41">
        <v>95058.99</v>
      </c>
      <c r="M17" s="41">
        <v>407.8</v>
      </c>
      <c r="N17" s="41">
        <v>64.63</v>
      </c>
      <c r="O17" s="41">
        <v>217.14</v>
      </c>
      <c r="P17" s="41">
        <v>2018.8599999999997</v>
      </c>
      <c r="Q17" s="429" t="s">
        <v>1299</v>
      </c>
      <c r="S17" s="290"/>
    </row>
    <row r="18" spans="1:19" s="11" customFormat="1" ht="11.25" customHeight="1">
      <c r="A18" s="526" t="s">
        <v>1505</v>
      </c>
      <c r="B18" s="526"/>
      <c r="C18" s="511">
        <v>13322.45</v>
      </c>
      <c r="D18" s="511">
        <v>33.47</v>
      </c>
      <c r="E18" s="511">
        <v>772.53</v>
      </c>
      <c r="F18" s="511">
        <v>37120.65</v>
      </c>
      <c r="G18" s="511">
        <v>26367.260000000002</v>
      </c>
      <c r="H18" s="511">
        <v>14846.48</v>
      </c>
      <c r="I18" s="511">
        <v>11985.29</v>
      </c>
      <c r="J18" s="511">
        <v>4205.01</v>
      </c>
      <c r="K18" s="511">
        <v>498.59</v>
      </c>
      <c r="L18" s="511">
        <v>109151.73</v>
      </c>
      <c r="M18" s="511">
        <v>293.5</v>
      </c>
      <c r="N18" s="511">
        <v>75.7</v>
      </c>
      <c r="O18" s="511">
        <v>166.19</v>
      </c>
      <c r="P18" s="511">
        <v>2015.1900000000003</v>
      </c>
      <c r="Q18" s="527" t="s">
        <v>1505</v>
      </c>
      <c r="S18" s="290"/>
    </row>
    <row r="19" spans="1:19" s="459" customFormat="1" ht="11.25" customHeight="1">
      <c r="A19" s="772" t="s">
        <v>1886</v>
      </c>
      <c r="B19" s="390"/>
      <c r="C19" s="245">
        <v>13650.83</v>
      </c>
      <c r="D19" s="245">
        <v>41.980000000000004</v>
      </c>
      <c r="E19" s="245">
        <v>822.39</v>
      </c>
      <c r="F19" s="245">
        <v>43207.27</v>
      </c>
      <c r="G19" s="245">
        <v>29252.109999999997</v>
      </c>
      <c r="H19" s="245">
        <v>15325.119999999999</v>
      </c>
      <c r="I19" s="245">
        <v>13647.190000000002</v>
      </c>
      <c r="J19" s="245">
        <v>4335.7699999999995</v>
      </c>
      <c r="K19" s="245">
        <v>643.71</v>
      </c>
      <c r="L19" s="245">
        <v>120819.84999999998</v>
      </c>
      <c r="M19" s="245">
        <v>424.8</v>
      </c>
      <c r="N19" s="245">
        <v>71.41</v>
      </c>
      <c r="O19" s="245">
        <v>219.57</v>
      </c>
      <c r="P19" s="245">
        <v>2214.5200000000004</v>
      </c>
      <c r="Q19" s="870" t="s">
        <v>1886</v>
      </c>
      <c r="S19" s="460"/>
    </row>
    <row r="20" spans="1:19" s="861" customFormat="1" ht="11.25" customHeight="1">
      <c r="A20" s="1348" t="s">
        <v>2017</v>
      </c>
      <c r="B20" s="879"/>
      <c r="C20" s="608">
        <f>SUM(C21:C32)</f>
        <v>15349.850000000002</v>
      </c>
      <c r="D20" s="608">
        <f t="shared" ref="D20:L20" si="1">SUM(D21:D32)</f>
        <v>40.630000000000003</v>
      </c>
      <c r="E20" s="608">
        <f t="shared" si="1"/>
        <v>960.37999999999988</v>
      </c>
      <c r="F20" s="608">
        <f t="shared" si="1"/>
        <v>47477.399999999994</v>
      </c>
      <c r="G20" s="608">
        <f t="shared" si="1"/>
        <v>32290.130000000005</v>
      </c>
      <c r="H20" s="608">
        <f t="shared" si="1"/>
        <v>17690.469999999998</v>
      </c>
      <c r="I20" s="608">
        <f t="shared" si="1"/>
        <v>15758.310000000001</v>
      </c>
      <c r="J20" s="608">
        <f t="shared" si="1"/>
        <v>5252.42</v>
      </c>
      <c r="K20" s="608">
        <f t="shared" si="1"/>
        <v>881.11</v>
      </c>
      <c r="L20" s="608">
        <f t="shared" si="1"/>
        <v>135700.70000000001</v>
      </c>
      <c r="M20" s="516">
        <f t="shared" ref="M20:O20" si="2">SUM(M21:M32)</f>
        <v>362.66</v>
      </c>
      <c r="N20" s="516">
        <f t="shared" si="2"/>
        <v>86.53</v>
      </c>
      <c r="O20" s="516">
        <f t="shared" si="2"/>
        <v>253.13</v>
      </c>
      <c r="P20" s="516">
        <f>SUM(P21:P32)</f>
        <v>2139.31</v>
      </c>
      <c r="Q20" s="979" t="s">
        <v>2017</v>
      </c>
      <c r="S20" s="622"/>
    </row>
    <row r="21" spans="1:19" s="459" customFormat="1" ht="11.25" customHeight="1">
      <c r="A21" s="835" t="s">
        <v>954</v>
      </c>
      <c r="B21" s="390"/>
      <c r="C21" s="460">
        <v>1052.8800000000001</v>
      </c>
      <c r="D21" s="460">
        <v>4.3499999999999996</v>
      </c>
      <c r="E21" s="460">
        <v>12.89</v>
      </c>
      <c r="F21" s="460">
        <v>1995.34</v>
      </c>
      <c r="G21" s="460">
        <v>2273.58</v>
      </c>
      <c r="H21" s="460">
        <v>1304.98</v>
      </c>
      <c r="I21" s="460">
        <v>809.81</v>
      </c>
      <c r="J21" s="460">
        <v>428.81</v>
      </c>
      <c r="K21" s="460">
        <f>0.25+58.69</f>
        <v>58.94</v>
      </c>
      <c r="L21" s="460">
        <f>SUM(C21:K21)</f>
        <v>7941.58</v>
      </c>
      <c r="M21" s="460">
        <v>10.68</v>
      </c>
      <c r="N21" s="460">
        <v>3.39</v>
      </c>
      <c r="O21" s="460">
        <v>15.11</v>
      </c>
      <c r="P21" s="460">
        <v>125.89</v>
      </c>
      <c r="Q21" s="462" t="s">
        <v>954</v>
      </c>
      <c r="R21" s="460"/>
    </row>
    <row r="22" spans="1:19" s="459" customFormat="1" ht="11.25" customHeight="1">
      <c r="A22" s="998" t="s">
        <v>955</v>
      </c>
      <c r="B22" s="886"/>
      <c r="C22" s="505">
        <v>1238.8699999999999</v>
      </c>
      <c r="D22" s="505">
        <v>3.29</v>
      </c>
      <c r="E22" s="505">
        <v>12.16</v>
      </c>
      <c r="F22" s="505">
        <v>2124.39</v>
      </c>
      <c r="G22" s="505">
        <v>2206.0100000000002</v>
      </c>
      <c r="H22" s="505">
        <v>1386.16</v>
      </c>
      <c r="I22" s="505">
        <v>1221.1099999999999</v>
      </c>
      <c r="J22" s="505">
        <v>452.42</v>
      </c>
      <c r="K22" s="505">
        <f>0.27+58.89</f>
        <v>59.160000000000004</v>
      </c>
      <c r="L22" s="505">
        <f>SUM(C22:K22)</f>
        <v>8703.57</v>
      </c>
      <c r="M22" s="505">
        <v>15.71</v>
      </c>
      <c r="N22" s="505">
        <v>5.14</v>
      </c>
      <c r="O22" s="505">
        <v>13.06</v>
      </c>
      <c r="P22" s="505">
        <v>151.58000000000001</v>
      </c>
      <c r="Q22" s="573" t="s">
        <v>955</v>
      </c>
      <c r="R22" s="460"/>
    </row>
    <row r="23" spans="1:19" s="459" customFormat="1" ht="11.25" customHeight="1">
      <c r="A23" s="835" t="s">
        <v>949</v>
      </c>
      <c r="B23" s="390"/>
      <c r="C23" s="460">
        <v>1311.14</v>
      </c>
      <c r="D23" s="460">
        <v>5.16</v>
      </c>
      <c r="E23" s="460">
        <v>16.73</v>
      </c>
      <c r="F23" s="460">
        <v>3807.66</v>
      </c>
      <c r="G23" s="460">
        <v>2448.4299999999998</v>
      </c>
      <c r="H23" s="460">
        <v>1474.78</v>
      </c>
      <c r="I23" s="460">
        <v>1463.96</v>
      </c>
      <c r="J23" s="460">
        <v>449.43</v>
      </c>
      <c r="K23" s="460">
        <f>0.37+89.25</f>
        <v>89.62</v>
      </c>
      <c r="L23" s="460">
        <f>SUM(C23:K23)</f>
        <v>11066.910000000002</v>
      </c>
      <c r="M23" s="460">
        <v>21.07</v>
      </c>
      <c r="N23" s="460">
        <v>4.95</v>
      </c>
      <c r="O23" s="460">
        <v>15.17</v>
      </c>
      <c r="P23" s="460">
        <v>164.81</v>
      </c>
      <c r="Q23" s="462" t="s">
        <v>949</v>
      </c>
      <c r="R23" s="460"/>
    </row>
    <row r="24" spans="1:19" s="459" customFormat="1" ht="11.25" customHeight="1">
      <c r="A24" s="1012" t="s">
        <v>956</v>
      </c>
      <c r="B24" s="886"/>
      <c r="C24" s="505">
        <v>1034.5</v>
      </c>
      <c r="D24" s="505">
        <v>7.65</v>
      </c>
      <c r="E24" s="505">
        <v>17.8</v>
      </c>
      <c r="F24" s="505">
        <v>3190.48</v>
      </c>
      <c r="G24" s="505">
        <v>2535.17</v>
      </c>
      <c r="H24" s="505">
        <v>1270.44</v>
      </c>
      <c r="I24" s="505">
        <v>1250.8399999999999</v>
      </c>
      <c r="J24" s="505">
        <v>344.37</v>
      </c>
      <c r="K24" s="505">
        <f>0.37+76.05</f>
        <v>76.42</v>
      </c>
      <c r="L24" s="505">
        <f t="shared" ref="L24:L56" si="3">SUM(C24:K24)</f>
        <v>9727.6700000000019</v>
      </c>
      <c r="M24" s="505">
        <v>21.25</v>
      </c>
      <c r="N24" s="505">
        <v>4.92</v>
      </c>
      <c r="O24" s="505">
        <v>12.32</v>
      </c>
      <c r="P24" s="505">
        <v>110.18</v>
      </c>
      <c r="Q24" s="573" t="s">
        <v>956</v>
      </c>
      <c r="R24" s="460"/>
    </row>
    <row r="25" spans="1:19" s="459" customFormat="1" ht="11.25" customHeight="1">
      <c r="A25" s="835" t="s">
        <v>957</v>
      </c>
      <c r="B25" s="390"/>
      <c r="C25" s="460">
        <v>1154.1099999999999</v>
      </c>
      <c r="D25" s="460">
        <v>7.85</v>
      </c>
      <c r="E25" s="460">
        <v>15.33</v>
      </c>
      <c r="F25" s="460">
        <v>2682.63</v>
      </c>
      <c r="G25" s="460">
        <v>2534.0700000000002</v>
      </c>
      <c r="H25" s="460">
        <v>1336.4</v>
      </c>
      <c r="I25" s="460">
        <v>1250.52</v>
      </c>
      <c r="J25" s="460">
        <v>407.14</v>
      </c>
      <c r="K25" s="460">
        <f>0.27+75.84</f>
        <v>76.11</v>
      </c>
      <c r="L25" s="460">
        <f>SUM(C25:K25)</f>
        <v>9464.16</v>
      </c>
      <c r="M25" s="460">
        <v>28.96</v>
      </c>
      <c r="N25" s="460">
        <v>7.99</v>
      </c>
      <c r="O25" s="460">
        <v>14.36</v>
      </c>
      <c r="P25" s="460">
        <v>323.43</v>
      </c>
      <c r="Q25" s="462" t="s">
        <v>957</v>
      </c>
      <c r="R25" s="460"/>
    </row>
    <row r="26" spans="1:19" s="459" customFormat="1" ht="11.25" customHeight="1">
      <c r="A26" s="1046" t="s">
        <v>950</v>
      </c>
      <c r="B26" s="886"/>
      <c r="C26" s="505">
        <v>1224.0899999999999</v>
      </c>
      <c r="D26" s="505">
        <v>3.34</v>
      </c>
      <c r="E26" s="505">
        <v>19.03</v>
      </c>
      <c r="F26" s="505">
        <v>3808.03</v>
      </c>
      <c r="G26" s="505">
        <v>2651.06</v>
      </c>
      <c r="H26" s="505">
        <v>1521.47</v>
      </c>
      <c r="I26" s="505">
        <v>1356.27</v>
      </c>
      <c r="J26" s="505">
        <v>428.22</v>
      </c>
      <c r="K26" s="505">
        <f>0.41+66.64</f>
        <v>67.05</v>
      </c>
      <c r="L26" s="505">
        <f t="shared" si="3"/>
        <v>11078.559999999998</v>
      </c>
      <c r="M26" s="505">
        <v>28.4</v>
      </c>
      <c r="N26" s="505">
        <v>6.82</v>
      </c>
      <c r="O26" s="505">
        <v>12.57</v>
      </c>
      <c r="P26" s="505">
        <v>213.86</v>
      </c>
      <c r="Q26" s="573" t="s">
        <v>950</v>
      </c>
      <c r="R26" s="460"/>
    </row>
    <row r="27" spans="1:19" s="459" customFormat="1" ht="11.25" customHeight="1">
      <c r="A27" s="835" t="s">
        <v>958</v>
      </c>
      <c r="B27" s="390"/>
      <c r="C27" s="460">
        <v>1184.19</v>
      </c>
      <c r="D27" s="460">
        <v>0.98</v>
      </c>
      <c r="E27" s="460">
        <v>524.16999999999996</v>
      </c>
      <c r="F27" s="460">
        <v>2848.94</v>
      </c>
      <c r="G27" s="460">
        <v>2598.15</v>
      </c>
      <c r="H27" s="460">
        <v>1455.51</v>
      </c>
      <c r="I27" s="460">
        <v>1357.67</v>
      </c>
      <c r="J27" s="460">
        <v>378.11</v>
      </c>
      <c r="K27" s="460">
        <f>0.37+58.74</f>
        <v>59.11</v>
      </c>
      <c r="L27" s="460">
        <f>SUM(C27:K27)</f>
        <v>10406.830000000002</v>
      </c>
      <c r="M27" s="460">
        <v>29.59</v>
      </c>
      <c r="N27" s="460">
        <v>7.03</v>
      </c>
      <c r="O27" s="460">
        <v>12.88</v>
      </c>
      <c r="P27" s="460">
        <v>149.04</v>
      </c>
      <c r="Q27" s="462" t="s">
        <v>958</v>
      </c>
      <c r="R27" s="460"/>
    </row>
    <row r="28" spans="1:19" s="459" customFormat="1" ht="11.25" customHeight="1">
      <c r="A28" s="1057" t="s">
        <v>959</v>
      </c>
      <c r="B28" s="886"/>
      <c r="C28" s="505">
        <v>1154.04</v>
      </c>
      <c r="D28" s="505">
        <v>0.85</v>
      </c>
      <c r="E28" s="505">
        <v>220.03</v>
      </c>
      <c r="F28" s="505">
        <v>3086.94</v>
      </c>
      <c r="G28" s="505">
        <v>2419.6799999999998</v>
      </c>
      <c r="H28" s="505">
        <v>1425.4</v>
      </c>
      <c r="I28" s="505">
        <v>1311.46</v>
      </c>
      <c r="J28" s="505">
        <v>393.74</v>
      </c>
      <c r="K28" s="505">
        <f>0.35+74.15</f>
        <v>74.5</v>
      </c>
      <c r="L28" s="505">
        <f t="shared" si="3"/>
        <v>10086.639999999998</v>
      </c>
      <c r="M28" s="505">
        <v>28.12</v>
      </c>
      <c r="N28" s="505">
        <v>7.5</v>
      </c>
      <c r="O28" s="505">
        <v>13.85</v>
      </c>
      <c r="P28" s="505">
        <v>160.4</v>
      </c>
      <c r="Q28" s="573" t="s">
        <v>959</v>
      </c>
      <c r="R28" s="460"/>
    </row>
    <row r="29" spans="1:19" s="459" customFormat="1" ht="11.25" customHeight="1">
      <c r="A29" s="835" t="s">
        <v>951</v>
      </c>
      <c r="B29" s="390"/>
      <c r="C29" s="460">
        <v>1247.53</v>
      </c>
      <c r="D29" s="460">
        <v>1.03</v>
      </c>
      <c r="E29" s="460">
        <v>48.18</v>
      </c>
      <c r="F29" s="460">
        <v>4827.6000000000004</v>
      </c>
      <c r="G29" s="460">
        <v>2972.91</v>
      </c>
      <c r="H29" s="460">
        <v>1545.3</v>
      </c>
      <c r="I29" s="460">
        <v>1358.83</v>
      </c>
      <c r="J29" s="460">
        <v>419.04</v>
      </c>
      <c r="K29" s="460">
        <f>0.47+62.83</f>
        <v>63.3</v>
      </c>
      <c r="L29" s="460">
        <f t="shared" si="3"/>
        <v>12483.72</v>
      </c>
      <c r="M29" s="460">
        <v>28.12</v>
      </c>
      <c r="N29" s="460">
        <v>9.17</v>
      </c>
      <c r="O29" s="460">
        <v>16.77</v>
      </c>
      <c r="P29" s="460">
        <v>156.62</v>
      </c>
      <c r="Q29" s="462" t="s">
        <v>951</v>
      </c>
      <c r="R29" s="460"/>
    </row>
    <row r="30" spans="1:19" s="459" customFormat="1" ht="11.25" customHeight="1">
      <c r="A30" s="1101" t="s">
        <v>960</v>
      </c>
      <c r="B30" s="886"/>
      <c r="C30" s="505">
        <v>1418.2</v>
      </c>
      <c r="D30" s="505">
        <v>1.64</v>
      </c>
      <c r="E30" s="505">
        <v>20.98</v>
      </c>
      <c r="F30" s="505">
        <v>3777.81</v>
      </c>
      <c r="G30" s="505">
        <v>3259.68</v>
      </c>
      <c r="H30" s="505">
        <v>1592.26</v>
      </c>
      <c r="I30" s="505">
        <v>1564.76</v>
      </c>
      <c r="J30" s="505">
        <v>464.57</v>
      </c>
      <c r="K30" s="505">
        <f>0.39+69.69</f>
        <v>70.08</v>
      </c>
      <c r="L30" s="505">
        <f t="shared" si="3"/>
        <v>12169.98</v>
      </c>
      <c r="M30" s="505">
        <v>28.12</v>
      </c>
      <c r="N30" s="505">
        <v>9.35</v>
      </c>
      <c r="O30" s="505">
        <v>15.93</v>
      </c>
      <c r="P30" s="505">
        <v>188.4</v>
      </c>
      <c r="Q30" s="573" t="s">
        <v>960</v>
      </c>
      <c r="R30" s="460"/>
    </row>
    <row r="31" spans="1:19" s="459" customFormat="1" ht="11.25" customHeight="1">
      <c r="A31" s="835" t="s">
        <v>961</v>
      </c>
      <c r="B31" s="390"/>
      <c r="C31" s="460">
        <v>1646.02</v>
      </c>
      <c r="D31" s="460">
        <v>1.91</v>
      </c>
      <c r="E31" s="460">
        <v>38.590000000000003</v>
      </c>
      <c r="F31" s="460">
        <v>4038.35</v>
      </c>
      <c r="G31" s="460">
        <v>3648.13</v>
      </c>
      <c r="H31" s="460">
        <v>1661.22</v>
      </c>
      <c r="I31" s="460">
        <v>1648.29</v>
      </c>
      <c r="J31" s="460">
        <v>522.66999999999996</v>
      </c>
      <c r="K31" s="460">
        <f>0.45+106.31</f>
        <v>106.76</v>
      </c>
      <c r="L31" s="460">
        <f t="shared" si="3"/>
        <v>13311.939999999999</v>
      </c>
      <c r="M31" s="460">
        <v>41.62</v>
      </c>
      <c r="N31" s="460">
        <v>12.21</v>
      </c>
      <c r="O31" s="460">
        <v>17.57</v>
      </c>
      <c r="P31" s="460">
        <v>209.25</v>
      </c>
      <c r="Q31" s="462" t="s">
        <v>961</v>
      </c>
      <c r="R31" s="460"/>
    </row>
    <row r="32" spans="1:19" s="459" customFormat="1" ht="11.25" customHeight="1">
      <c r="A32" s="1204" t="s">
        <v>952</v>
      </c>
      <c r="B32" s="886"/>
      <c r="C32" s="505">
        <v>1684.28</v>
      </c>
      <c r="D32" s="505">
        <v>2.58</v>
      </c>
      <c r="E32" s="505">
        <v>14.49</v>
      </c>
      <c r="F32" s="505">
        <v>11289.23</v>
      </c>
      <c r="G32" s="505">
        <v>2743.26</v>
      </c>
      <c r="H32" s="505">
        <v>1716.55</v>
      </c>
      <c r="I32" s="505">
        <v>1164.79</v>
      </c>
      <c r="J32" s="505">
        <v>563.9</v>
      </c>
      <c r="K32" s="505">
        <f>0.74+79.32</f>
        <v>80.059999999999988</v>
      </c>
      <c r="L32" s="505">
        <f t="shared" si="3"/>
        <v>19259.140000000003</v>
      </c>
      <c r="M32" s="505">
        <v>81.02</v>
      </c>
      <c r="N32" s="505">
        <v>8.06</v>
      </c>
      <c r="O32" s="505">
        <v>93.54</v>
      </c>
      <c r="P32" s="505">
        <v>185.85</v>
      </c>
      <c r="Q32" s="573" t="s">
        <v>952</v>
      </c>
      <c r="R32" s="460"/>
    </row>
    <row r="33" spans="1:18" s="459" customFormat="1" ht="11.25" customHeight="1">
      <c r="A33" s="772" t="s">
        <v>2226</v>
      </c>
      <c r="B33" s="390"/>
      <c r="C33" s="622">
        <f>SUM(C34:C45)</f>
        <v>18016.580000000002</v>
      </c>
      <c r="D33" s="622">
        <f t="shared" ref="D33:L33" si="4">SUM(D34:D45)</f>
        <v>32.749999999999993</v>
      </c>
      <c r="E33" s="622">
        <f t="shared" si="4"/>
        <v>1582.0299999999997</v>
      </c>
      <c r="F33" s="622">
        <f t="shared" si="4"/>
        <v>53235.45</v>
      </c>
      <c r="G33" s="622">
        <f t="shared" si="4"/>
        <v>34862.82</v>
      </c>
      <c r="H33" s="622">
        <f t="shared" si="4"/>
        <v>20583.86</v>
      </c>
      <c r="I33" s="622">
        <f t="shared" si="4"/>
        <v>19630.96</v>
      </c>
      <c r="J33" s="622">
        <f t="shared" si="4"/>
        <v>6560.2000000000007</v>
      </c>
      <c r="K33" s="622">
        <f t="shared" si="4"/>
        <v>1014.0699999999999</v>
      </c>
      <c r="L33" s="622">
        <f t="shared" si="4"/>
        <v>155518.71999999997</v>
      </c>
      <c r="M33" s="245">
        <f t="shared" ref="M33:O33" si="5">SUM(M34:M45)</f>
        <v>432.78999999999996</v>
      </c>
      <c r="N33" s="245">
        <f t="shared" si="5"/>
        <v>95.44</v>
      </c>
      <c r="O33" s="245">
        <f t="shared" si="5"/>
        <v>195.29999999999998</v>
      </c>
      <c r="P33" s="245">
        <f>SUM(P34:P45)</f>
        <v>2279.71</v>
      </c>
      <c r="Q33" s="870" t="s">
        <v>2226</v>
      </c>
      <c r="R33" s="460"/>
    </row>
    <row r="34" spans="1:18" s="459" customFormat="1" ht="11.25" customHeight="1">
      <c r="A34" s="1204" t="s">
        <v>954</v>
      </c>
      <c r="B34" s="886"/>
      <c r="C34" s="505">
        <v>1122.01</v>
      </c>
      <c r="D34" s="505">
        <v>3.08</v>
      </c>
      <c r="E34" s="505">
        <v>43.14</v>
      </c>
      <c r="F34" s="505">
        <v>2459.71</v>
      </c>
      <c r="G34" s="505">
        <v>2136.52</v>
      </c>
      <c r="H34" s="505">
        <v>1392.08</v>
      </c>
      <c r="I34" s="505">
        <v>995.89</v>
      </c>
      <c r="J34" s="505">
        <v>506.66</v>
      </c>
      <c r="K34" s="505">
        <f>0.37+68.6+0</f>
        <v>68.97</v>
      </c>
      <c r="L34" s="505">
        <f t="shared" si="3"/>
        <v>8728.06</v>
      </c>
      <c r="M34" s="505">
        <v>12.05</v>
      </c>
      <c r="N34" s="505">
        <v>3.61</v>
      </c>
      <c r="O34" s="505">
        <v>15.11</v>
      </c>
      <c r="P34" s="505">
        <v>148.08000000000001</v>
      </c>
      <c r="Q34" s="573" t="s">
        <v>954</v>
      </c>
      <c r="R34" s="460"/>
    </row>
    <row r="35" spans="1:18" s="459" customFormat="1" ht="11.25" customHeight="1">
      <c r="A35" s="835" t="s">
        <v>955</v>
      </c>
      <c r="B35" s="390"/>
      <c r="C35" s="460">
        <v>1261.3800000000001</v>
      </c>
      <c r="D35" s="460">
        <v>6.53</v>
      </c>
      <c r="E35" s="460">
        <v>32.619999999999997</v>
      </c>
      <c r="F35" s="460">
        <v>2634.03</v>
      </c>
      <c r="G35" s="460">
        <v>2313.4299999999998</v>
      </c>
      <c r="H35" s="460">
        <v>1466.68</v>
      </c>
      <c r="I35" s="460">
        <v>1345.51</v>
      </c>
      <c r="J35" s="460">
        <v>498.72</v>
      </c>
      <c r="K35" s="460">
        <f>0.33+68.48+0</f>
        <v>68.81</v>
      </c>
      <c r="L35" s="460">
        <f t="shared" si="3"/>
        <v>9627.7099999999991</v>
      </c>
      <c r="M35" s="460">
        <v>27.44</v>
      </c>
      <c r="N35" s="460">
        <v>5.59</v>
      </c>
      <c r="O35" s="460">
        <v>16.02</v>
      </c>
      <c r="P35" s="460">
        <v>202.65</v>
      </c>
      <c r="Q35" s="462" t="s">
        <v>955</v>
      </c>
      <c r="R35" s="460"/>
    </row>
    <row r="36" spans="1:18" s="459" customFormat="1" ht="11.25" customHeight="1">
      <c r="A36" s="1227" t="s">
        <v>949</v>
      </c>
      <c r="B36" s="1226"/>
      <c r="C36" s="505">
        <v>1382.36</v>
      </c>
      <c r="D36" s="505">
        <v>1.54</v>
      </c>
      <c r="E36" s="505">
        <v>42.77</v>
      </c>
      <c r="F36" s="505">
        <v>4432.91</v>
      </c>
      <c r="G36" s="505">
        <v>3125.48</v>
      </c>
      <c r="H36" s="505">
        <v>1709.76</v>
      </c>
      <c r="I36" s="505">
        <v>1465.92</v>
      </c>
      <c r="J36" s="505">
        <v>520.09</v>
      </c>
      <c r="K36" s="505">
        <f>0.32+78.68</f>
        <v>79</v>
      </c>
      <c r="L36" s="505">
        <f t="shared" si="3"/>
        <v>12759.83</v>
      </c>
      <c r="M36" s="505">
        <v>23.94</v>
      </c>
      <c r="N36" s="505">
        <v>5.54</v>
      </c>
      <c r="O36" s="505">
        <v>14.99</v>
      </c>
      <c r="P36" s="505">
        <v>181.13</v>
      </c>
      <c r="Q36" s="573" t="s">
        <v>949</v>
      </c>
      <c r="R36" s="460"/>
    </row>
    <row r="37" spans="1:18" s="459" customFormat="1" ht="11.25" customHeight="1">
      <c r="A37" s="835" t="s">
        <v>956</v>
      </c>
      <c r="B37" s="390"/>
      <c r="C37" s="460">
        <v>1309.26</v>
      </c>
      <c r="D37" s="460">
        <v>5.56</v>
      </c>
      <c r="E37" s="460">
        <v>47.7</v>
      </c>
      <c r="F37" s="460">
        <v>3307.76</v>
      </c>
      <c r="G37" s="460">
        <v>2749.75</v>
      </c>
      <c r="H37" s="460">
        <v>1644.48</v>
      </c>
      <c r="I37" s="460">
        <v>1570.5</v>
      </c>
      <c r="J37" s="460">
        <v>536.1</v>
      </c>
      <c r="K37" s="460">
        <f>0.41+63.55</f>
        <v>63.959999999999994</v>
      </c>
      <c r="L37" s="460">
        <f t="shared" si="3"/>
        <v>11235.07</v>
      </c>
      <c r="M37" s="460">
        <v>29.44</v>
      </c>
      <c r="N37" s="460">
        <v>6.88</v>
      </c>
      <c r="O37" s="460">
        <v>14.36</v>
      </c>
      <c r="P37" s="460">
        <v>195.16</v>
      </c>
      <c r="Q37" s="462" t="s">
        <v>956</v>
      </c>
      <c r="R37" s="460"/>
    </row>
    <row r="38" spans="1:18" s="459" customFormat="1" ht="11.25" customHeight="1">
      <c r="A38" s="1230" t="s">
        <v>957</v>
      </c>
      <c r="B38" s="1229"/>
      <c r="C38" s="505">
        <v>1569.71</v>
      </c>
      <c r="D38" s="505">
        <v>3.67</v>
      </c>
      <c r="E38" s="505">
        <v>46.31</v>
      </c>
      <c r="F38" s="505">
        <v>3138.55</v>
      </c>
      <c r="G38" s="505">
        <v>3386.93</v>
      </c>
      <c r="H38" s="505">
        <v>1598.91</v>
      </c>
      <c r="I38" s="505">
        <v>2160.29</v>
      </c>
      <c r="J38" s="505">
        <v>523.04999999999995</v>
      </c>
      <c r="K38" s="505">
        <f>0.38+86.59</f>
        <v>86.97</v>
      </c>
      <c r="L38" s="505">
        <f t="shared" si="3"/>
        <v>12514.389999999998</v>
      </c>
      <c r="M38" s="505">
        <v>35.64</v>
      </c>
      <c r="N38" s="505">
        <v>7.44</v>
      </c>
      <c r="O38" s="505">
        <v>16.11</v>
      </c>
      <c r="P38" s="505">
        <v>213.14</v>
      </c>
      <c r="Q38" s="573" t="s">
        <v>957</v>
      </c>
      <c r="R38" s="460"/>
    </row>
    <row r="39" spans="1:18" s="459" customFormat="1" ht="11.25" customHeight="1">
      <c r="A39" s="835" t="s">
        <v>950</v>
      </c>
      <c r="B39" s="390"/>
      <c r="C39" s="460">
        <v>1593.82</v>
      </c>
      <c r="D39" s="460">
        <v>3.58</v>
      </c>
      <c r="E39" s="460">
        <v>295.44</v>
      </c>
      <c r="F39" s="460">
        <v>4610.99</v>
      </c>
      <c r="G39" s="460">
        <v>2827.54</v>
      </c>
      <c r="H39" s="460">
        <v>1660.71</v>
      </c>
      <c r="I39" s="460">
        <v>1644.39</v>
      </c>
      <c r="J39" s="460">
        <v>509.17</v>
      </c>
      <c r="K39" s="460">
        <f>0.43+78.16</f>
        <v>78.59</v>
      </c>
      <c r="L39" s="460">
        <f t="shared" si="3"/>
        <v>13224.229999999998</v>
      </c>
      <c r="M39" s="460">
        <v>40.76</v>
      </c>
      <c r="N39" s="460">
        <v>11.17</v>
      </c>
      <c r="O39" s="460">
        <v>14.65</v>
      </c>
      <c r="P39" s="460">
        <v>201.09</v>
      </c>
      <c r="Q39" s="462" t="s">
        <v>950</v>
      </c>
      <c r="R39" s="460"/>
    </row>
    <row r="40" spans="1:18" s="459" customFormat="1" ht="11.25" customHeight="1">
      <c r="A40" s="1238" t="s">
        <v>958</v>
      </c>
      <c r="B40" s="1237"/>
      <c r="C40" s="505">
        <v>1490.7</v>
      </c>
      <c r="D40" s="505">
        <v>1.1200000000000001</v>
      </c>
      <c r="E40" s="505">
        <v>464.76</v>
      </c>
      <c r="F40" s="505">
        <v>3447.14</v>
      </c>
      <c r="G40" s="505">
        <v>2609.0500000000002</v>
      </c>
      <c r="H40" s="505">
        <v>1719.74</v>
      </c>
      <c r="I40" s="505">
        <v>1572.87</v>
      </c>
      <c r="J40" s="505">
        <v>496.08</v>
      </c>
      <c r="K40" s="505">
        <f>0.4+82.88</f>
        <v>83.28</v>
      </c>
      <c r="L40" s="505">
        <f t="shared" si="3"/>
        <v>11884.740000000002</v>
      </c>
      <c r="M40" s="505">
        <v>37.909999999999997</v>
      </c>
      <c r="N40" s="505">
        <v>8.69</v>
      </c>
      <c r="O40" s="505">
        <v>17.79</v>
      </c>
      <c r="P40" s="505">
        <v>189.02</v>
      </c>
      <c r="Q40" s="573" t="s">
        <v>958</v>
      </c>
      <c r="R40" s="460"/>
    </row>
    <row r="41" spans="1:18" s="459" customFormat="1" ht="11.25" customHeight="1">
      <c r="A41" s="835" t="s">
        <v>959</v>
      </c>
      <c r="B41" s="390"/>
      <c r="C41" s="460">
        <v>1483.99</v>
      </c>
      <c r="D41" s="460">
        <v>0.99</v>
      </c>
      <c r="E41" s="460">
        <v>302.56</v>
      </c>
      <c r="F41" s="460">
        <v>3247.01</v>
      </c>
      <c r="G41" s="460">
        <v>2532.87</v>
      </c>
      <c r="H41" s="460">
        <v>1641.92</v>
      </c>
      <c r="I41" s="460">
        <v>1507.84</v>
      </c>
      <c r="J41" s="460">
        <v>599.88</v>
      </c>
      <c r="K41" s="460">
        <f>0.34+73.94</f>
        <v>74.28</v>
      </c>
      <c r="L41" s="460">
        <f t="shared" si="3"/>
        <v>11391.34</v>
      </c>
      <c r="M41" s="460">
        <v>41.72</v>
      </c>
      <c r="N41" s="460">
        <v>9.5</v>
      </c>
      <c r="O41" s="460">
        <v>19.36</v>
      </c>
      <c r="P41" s="460">
        <v>184.84</v>
      </c>
      <c r="Q41" s="462" t="s">
        <v>959</v>
      </c>
      <c r="R41" s="460"/>
    </row>
    <row r="42" spans="1:18" s="459" customFormat="1" ht="11.25" customHeight="1">
      <c r="A42" s="1258" t="s">
        <v>951</v>
      </c>
      <c r="B42" s="1257"/>
      <c r="C42" s="505">
        <v>1660.76</v>
      </c>
      <c r="D42" s="505">
        <v>1.61</v>
      </c>
      <c r="E42" s="505">
        <v>113.06</v>
      </c>
      <c r="F42" s="505">
        <v>5217.03</v>
      </c>
      <c r="G42" s="505">
        <v>2816.7</v>
      </c>
      <c r="H42" s="505">
        <v>1863.84</v>
      </c>
      <c r="I42" s="505">
        <v>1768.06</v>
      </c>
      <c r="J42" s="505">
        <v>548.51</v>
      </c>
      <c r="K42" s="505">
        <f>0.55+82.98</f>
        <v>83.53</v>
      </c>
      <c r="L42" s="505">
        <f t="shared" si="3"/>
        <v>14073.1</v>
      </c>
      <c r="M42" s="505">
        <v>46.48</v>
      </c>
      <c r="N42" s="505">
        <v>10.93</v>
      </c>
      <c r="O42" s="505">
        <v>20.010000000000002</v>
      </c>
      <c r="P42" s="505">
        <v>192.32</v>
      </c>
      <c r="Q42" s="573" t="s">
        <v>951</v>
      </c>
      <c r="R42" s="460"/>
    </row>
    <row r="43" spans="1:18" s="459" customFormat="1" ht="11.25" customHeight="1">
      <c r="A43" s="835" t="s">
        <v>960</v>
      </c>
      <c r="B43" s="390"/>
      <c r="C43" s="460">
        <v>1447.16</v>
      </c>
      <c r="D43" s="460">
        <v>1.45</v>
      </c>
      <c r="E43" s="460">
        <v>70.27</v>
      </c>
      <c r="F43" s="460">
        <v>5348.65</v>
      </c>
      <c r="G43" s="460">
        <v>2771.93</v>
      </c>
      <c r="H43" s="460">
        <v>1744.25</v>
      </c>
      <c r="I43" s="460">
        <v>1867.71</v>
      </c>
      <c r="J43" s="460">
        <v>549.19000000000005</v>
      </c>
      <c r="K43" s="460">
        <f>0.49+104.66</f>
        <v>105.14999999999999</v>
      </c>
      <c r="L43" s="460">
        <f t="shared" si="3"/>
        <v>13905.759999999998</v>
      </c>
      <c r="M43" s="460">
        <v>59.14</v>
      </c>
      <c r="N43" s="460">
        <v>9.7200000000000006</v>
      </c>
      <c r="O43" s="460">
        <v>16.36</v>
      </c>
      <c r="P43" s="460">
        <v>188.41</v>
      </c>
      <c r="Q43" s="462" t="s">
        <v>960</v>
      </c>
      <c r="R43" s="460"/>
    </row>
    <row r="44" spans="1:18" s="459" customFormat="1" ht="11.25" customHeight="1">
      <c r="A44" s="1267" t="s">
        <v>961</v>
      </c>
      <c r="B44" s="1266"/>
      <c r="C44" s="505">
        <v>1833.02</v>
      </c>
      <c r="D44" s="505">
        <v>0.96</v>
      </c>
      <c r="E44" s="505">
        <v>75.040000000000006</v>
      </c>
      <c r="F44" s="505">
        <v>4093.18</v>
      </c>
      <c r="G44" s="505">
        <v>3716.46</v>
      </c>
      <c r="H44" s="505">
        <v>1998.82</v>
      </c>
      <c r="I44" s="505">
        <v>1910.23</v>
      </c>
      <c r="J44" s="505">
        <v>594.97</v>
      </c>
      <c r="K44" s="505">
        <f>0.35+130.19</f>
        <v>130.54</v>
      </c>
      <c r="L44" s="505">
        <f t="shared" si="3"/>
        <v>14353.22</v>
      </c>
      <c r="M44" s="505">
        <v>67.13</v>
      </c>
      <c r="N44" s="505">
        <v>8.4600000000000009</v>
      </c>
      <c r="O44" s="505">
        <v>19.57</v>
      </c>
      <c r="P44" s="505">
        <v>198.02</v>
      </c>
      <c r="Q44" s="573" t="s">
        <v>961</v>
      </c>
      <c r="R44" s="460"/>
    </row>
    <row r="45" spans="1:18" s="459" customFormat="1" ht="11.25" customHeight="1">
      <c r="A45" s="426" t="s">
        <v>952</v>
      </c>
      <c r="B45" s="390"/>
      <c r="C45" s="460">
        <v>1862.41</v>
      </c>
      <c r="D45" s="460">
        <v>2.66</v>
      </c>
      <c r="E45" s="460">
        <v>48.36</v>
      </c>
      <c r="F45" s="460">
        <v>11298.49</v>
      </c>
      <c r="G45" s="460">
        <v>3876.16</v>
      </c>
      <c r="H45" s="460">
        <v>2142.67</v>
      </c>
      <c r="I45" s="460">
        <v>1821.75</v>
      </c>
      <c r="J45" s="460">
        <v>677.78</v>
      </c>
      <c r="K45" s="460">
        <f>0.48+90.51</f>
        <v>90.990000000000009</v>
      </c>
      <c r="L45" s="460">
        <f t="shared" si="3"/>
        <v>21821.27</v>
      </c>
      <c r="M45" s="460">
        <v>11.14</v>
      </c>
      <c r="N45" s="460">
        <v>7.91</v>
      </c>
      <c r="O45" s="460">
        <v>10.97</v>
      </c>
      <c r="P45" s="460">
        <v>185.85</v>
      </c>
      <c r="Q45" s="462" t="s">
        <v>952</v>
      </c>
      <c r="R45" s="460"/>
    </row>
    <row r="46" spans="1:18" s="459" customFormat="1" ht="11.25" customHeight="1">
      <c r="A46" s="1297" t="s">
        <v>2423</v>
      </c>
      <c r="B46" s="1298"/>
      <c r="C46" s="505"/>
      <c r="D46" s="505"/>
      <c r="E46" s="505"/>
      <c r="F46" s="505"/>
      <c r="G46" s="505"/>
      <c r="H46" s="505"/>
      <c r="I46" s="505"/>
      <c r="J46" s="505"/>
      <c r="K46" s="505"/>
      <c r="L46" s="505"/>
      <c r="M46" s="505"/>
      <c r="N46" s="505"/>
      <c r="O46" s="505"/>
      <c r="P46" s="505"/>
      <c r="Q46" s="979" t="s">
        <v>2423</v>
      </c>
      <c r="R46" s="460"/>
    </row>
    <row r="47" spans="1:18" s="459" customFormat="1" ht="11.25" customHeight="1">
      <c r="A47" s="426" t="s">
        <v>954</v>
      </c>
      <c r="B47" s="390"/>
      <c r="C47" s="460">
        <v>1242.47</v>
      </c>
      <c r="D47" s="460">
        <v>2.15</v>
      </c>
      <c r="E47" s="460">
        <v>39.78</v>
      </c>
      <c r="F47" s="460">
        <v>2683.49</v>
      </c>
      <c r="G47" s="460">
        <v>2385.09</v>
      </c>
      <c r="H47" s="460">
        <v>1477.14</v>
      </c>
      <c r="I47" s="460">
        <v>1240.05</v>
      </c>
      <c r="J47" s="460">
        <v>449.74</v>
      </c>
      <c r="K47" s="460">
        <f>0.32+73.91</f>
        <v>74.22999999999999</v>
      </c>
      <c r="L47" s="460">
        <f t="shared" si="3"/>
        <v>9594.14</v>
      </c>
      <c r="M47" s="460">
        <v>37.64</v>
      </c>
      <c r="N47" s="460">
        <v>3.72</v>
      </c>
      <c r="O47" s="460">
        <v>17.239999999999998</v>
      </c>
      <c r="P47" s="460">
        <v>148.08000000000001</v>
      </c>
      <c r="Q47" s="462" t="s">
        <v>954</v>
      </c>
      <c r="R47" s="460"/>
    </row>
    <row r="48" spans="1:18" s="459" customFormat="1" ht="11.25" customHeight="1">
      <c r="A48" s="1063" t="s">
        <v>955</v>
      </c>
      <c r="B48" s="1387"/>
      <c r="C48" s="505">
        <v>1737.32</v>
      </c>
      <c r="D48" s="505">
        <v>2.21</v>
      </c>
      <c r="E48" s="505">
        <v>50.58</v>
      </c>
      <c r="F48" s="505">
        <v>2861.17</v>
      </c>
      <c r="G48" s="505">
        <v>3011.15</v>
      </c>
      <c r="H48" s="505">
        <v>2063.2600000000002</v>
      </c>
      <c r="I48" s="505">
        <v>1910.81</v>
      </c>
      <c r="J48" s="505">
        <v>708.46</v>
      </c>
      <c r="K48" s="505">
        <f>0.2+82.31</f>
        <v>82.51</v>
      </c>
      <c r="L48" s="505">
        <f t="shared" si="3"/>
        <v>12427.47</v>
      </c>
      <c r="M48" s="505">
        <v>43.04</v>
      </c>
      <c r="N48" s="505">
        <v>8.23</v>
      </c>
      <c r="O48" s="505">
        <v>25.87</v>
      </c>
      <c r="P48" s="505">
        <v>202.65</v>
      </c>
      <c r="Q48" s="573" t="s">
        <v>955</v>
      </c>
      <c r="R48" s="460"/>
    </row>
    <row r="49" spans="1:18" s="459" customFormat="1" ht="11.25" customHeight="1">
      <c r="A49" s="426" t="s">
        <v>949</v>
      </c>
      <c r="B49" s="390"/>
      <c r="C49" s="460">
        <v>1443.81</v>
      </c>
      <c r="D49" s="460">
        <v>0.47</v>
      </c>
      <c r="E49" s="460">
        <v>54.09</v>
      </c>
      <c r="F49" s="460">
        <v>5146.28</v>
      </c>
      <c r="G49" s="460">
        <v>3184.16</v>
      </c>
      <c r="H49" s="460">
        <v>1814.92</v>
      </c>
      <c r="I49" s="460">
        <v>2172.56</v>
      </c>
      <c r="J49" s="460">
        <v>491.84</v>
      </c>
      <c r="K49" s="460">
        <f>0.18+105.61</f>
        <v>105.79</v>
      </c>
      <c r="L49" s="460">
        <f t="shared" si="3"/>
        <v>14413.92</v>
      </c>
      <c r="M49" s="460">
        <v>52.86</v>
      </c>
      <c r="N49" s="460">
        <v>4.8600000000000003</v>
      </c>
      <c r="O49" s="460">
        <v>21.66</v>
      </c>
      <c r="P49" s="460">
        <v>181.13</v>
      </c>
      <c r="Q49" s="462" t="s">
        <v>949</v>
      </c>
      <c r="R49" s="460"/>
    </row>
    <row r="50" spans="1:18" s="459" customFormat="1" ht="11.25" customHeight="1">
      <c r="A50" s="1063" t="s">
        <v>956</v>
      </c>
      <c r="B50" s="1387"/>
      <c r="C50" s="505">
        <v>1567.22</v>
      </c>
      <c r="D50" s="505">
        <v>4.2699999999999996</v>
      </c>
      <c r="E50" s="505">
        <v>53.88</v>
      </c>
      <c r="F50" s="505">
        <v>3652.38</v>
      </c>
      <c r="G50" s="505">
        <v>3321.61</v>
      </c>
      <c r="H50" s="505">
        <v>1943.09</v>
      </c>
      <c r="I50" s="505">
        <v>2159.1799999999998</v>
      </c>
      <c r="J50" s="505">
        <v>586.49</v>
      </c>
      <c r="K50" s="505">
        <f>0.26+92.77</f>
        <v>93.03</v>
      </c>
      <c r="L50" s="505">
        <f t="shared" si="3"/>
        <v>13381.150000000001</v>
      </c>
      <c r="M50" s="505">
        <v>75.08</v>
      </c>
      <c r="N50" s="505">
        <v>7.51</v>
      </c>
      <c r="O50" s="505">
        <v>23.06</v>
      </c>
      <c r="P50" s="505">
        <v>180.26</v>
      </c>
      <c r="Q50" s="573" t="s">
        <v>956</v>
      </c>
      <c r="R50" s="460"/>
    </row>
    <row r="51" spans="1:18" s="459" customFormat="1" ht="11.25" customHeight="1">
      <c r="A51" s="426" t="s">
        <v>957</v>
      </c>
      <c r="B51" s="390"/>
      <c r="C51" s="460">
        <v>1779.09</v>
      </c>
      <c r="D51" s="460">
        <v>3.07</v>
      </c>
      <c r="E51" s="460">
        <v>61.96</v>
      </c>
      <c r="F51" s="460">
        <v>3929.55</v>
      </c>
      <c r="G51" s="460">
        <v>3296.48</v>
      </c>
      <c r="H51" s="460">
        <v>2213.39</v>
      </c>
      <c r="I51" s="460">
        <v>2006.05</v>
      </c>
      <c r="J51" s="460">
        <v>658.68</v>
      </c>
      <c r="K51" s="460">
        <f>0.19+97.52</f>
        <v>97.71</v>
      </c>
      <c r="L51" s="460">
        <f t="shared" si="3"/>
        <v>14045.979999999998</v>
      </c>
      <c r="M51" s="460">
        <v>18.55</v>
      </c>
      <c r="N51" s="460">
        <v>8.52</v>
      </c>
      <c r="O51" s="460">
        <v>23.41</v>
      </c>
      <c r="P51" s="460">
        <v>178.94</v>
      </c>
      <c r="Q51" s="462" t="s">
        <v>957</v>
      </c>
      <c r="R51" s="460"/>
    </row>
    <row r="52" spans="1:18" s="459" customFormat="1" ht="11.25" customHeight="1">
      <c r="A52" s="1063" t="s">
        <v>950</v>
      </c>
      <c r="B52" s="1426"/>
      <c r="C52" s="505">
        <v>1921.88</v>
      </c>
      <c r="D52" s="505">
        <v>3.26</v>
      </c>
      <c r="E52" s="505">
        <v>596.08000000000004</v>
      </c>
      <c r="F52" s="505">
        <v>5939.36</v>
      </c>
      <c r="G52" s="505">
        <v>3378.93</v>
      </c>
      <c r="H52" s="505">
        <v>2249.59</v>
      </c>
      <c r="I52" s="505">
        <v>1582.36</v>
      </c>
      <c r="J52" s="505">
        <v>569.57000000000005</v>
      </c>
      <c r="K52" s="505">
        <f>0.21+93.47</f>
        <v>93.679999999999993</v>
      </c>
      <c r="L52" s="505">
        <f t="shared" si="3"/>
        <v>16334.710000000001</v>
      </c>
      <c r="M52" s="505">
        <v>4.76</v>
      </c>
      <c r="N52" s="505">
        <v>8.14</v>
      </c>
      <c r="O52" s="505">
        <v>18.39</v>
      </c>
      <c r="P52" s="505">
        <v>368.22</v>
      </c>
      <c r="Q52" s="573" t="s">
        <v>950</v>
      </c>
      <c r="R52" s="460"/>
    </row>
    <row r="53" spans="1:18" s="459" customFormat="1" ht="11.25" customHeight="1">
      <c r="A53" s="426" t="s">
        <v>958</v>
      </c>
      <c r="B53" s="390"/>
      <c r="C53" s="460">
        <v>2085.41</v>
      </c>
      <c r="D53" s="460">
        <v>0.8</v>
      </c>
      <c r="E53" s="460">
        <v>391.26</v>
      </c>
      <c r="F53" s="460">
        <v>4275.72</v>
      </c>
      <c r="G53" s="460">
        <v>3489</v>
      </c>
      <c r="H53" s="460">
        <v>2425.39</v>
      </c>
      <c r="I53" s="460">
        <v>2177.96</v>
      </c>
      <c r="J53" s="460">
        <v>653.76</v>
      </c>
      <c r="K53" s="460">
        <f>0.22+92.88</f>
        <v>93.1</v>
      </c>
      <c r="L53" s="460">
        <f t="shared" si="3"/>
        <v>15592.400000000001</v>
      </c>
      <c r="M53" s="460" t="s">
        <v>603</v>
      </c>
      <c r="N53" s="460" t="s">
        <v>603</v>
      </c>
      <c r="O53" s="460" t="s">
        <v>603</v>
      </c>
      <c r="P53" s="460" t="s">
        <v>603</v>
      </c>
      <c r="Q53" s="462" t="s">
        <v>958</v>
      </c>
      <c r="R53" s="460"/>
    </row>
    <row r="54" spans="1:18" s="459" customFormat="1" ht="11.25" customHeight="1">
      <c r="A54" s="1063" t="s">
        <v>959</v>
      </c>
      <c r="B54" s="1487"/>
      <c r="C54" s="505">
        <v>1711.09</v>
      </c>
      <c r="D54" s="505">
        <v>1.02</v>
      </c>
      <c r="E54" s="505">
        <v>232.9</v>
      </c>
      <c r="F54" s="505">
        <v>3744.71</v>
      </c>
      <c r="G54" s="505">
        <v>3116.34</v>
      </c>
      <c r="H54" s="505">
        <v>2134.8000000000002</v>
      </c>
      <c r="I54" s="505">
        <v>1777.51</v>
      </c>
      <c r="J54" s="505">
        <v>671.71</v>
      </c>
      <c r="K54" s="505">
        <f>0.21+86.93</f>
        <v>87.14</v>
      </c>
      <c r="L54" s="505">
        <f t="shared" si="3"/>
        <v>13477.220000000001</v>
      </c>
      <c r="M54" s="505" t="s">
        <v>603</v>
      </c>
      <c r="N54" s="505" t="s">
        <v>603</v>
      </c>
      <c r="O54" s="505" t="s">
        <v>603</v>
      </c>
      <c r="P54" s="505" t="s">
        <v>603</v>
      </c>
      <c r="Q54" s="573" t="s">
        <v>959</v>
      </c>
      <c r="R54" s="460"/>
    </row>
    <row r="55" spans="1:18" s="459" customFormat="1" ht="11.25" customHeight="1">
      <c r="A55" s="426" t="s">
        <v>951</v>
      </c>
      <c r="B55" s="390"/>
      <c r="C55" s="460">
        <v>1869.65</v>
      </c>
      <c r="D55" s="460">
        <v>2.59</v>
      </c>
      <c r="E55" s="460">
        <v>140.44999999999999</v>
      </c>
      <c r="F55" s="460">
        <v>6258.52</v>
      </c>
      <c r="G55" s="460">
        <v>3592.23</v>
      </c>
      <c r="H55" s="460">
        <v>2354.3000000000002</v>
      </c>
      <c r="I55" s="460">
        <v>2325.71</v>
      </c>
      <c r="J55" s="460">
        <v>708.79</v>
      </c>
      <c r="K55" s="460">
        <f>0.21+75.29</f>
        <v>75.5</v>
      </c>
      <c r="L55" s="460">
        <f t="shared" si="3"/>
        <v>17327.740000000002</v>
      </c>
      <c r="M55" s="460" t="s">
        <v>603</v>
      </c>
      <c r="N55" s="460" t="s">
        <v>603</v>
      </c>
      <c r="O55" s="460" t="s">
        <v>603</v>
      </c>
      <c r="P55" s="460" t="s">
        <v>603</v>
      </c>
      <c r="Q55" s="462" t="s">
        <v>951</v>
      </c>
      <c r="R55" s="460"/>
    </row>
    <row r="56" spans="1:18" s="459" customFormat="1" ht="11.25" customHeight="1" thickBot="1">
      <c r="A56" s="1388" t="s">
        <v>960</v>
      </c>
      <c r="B56" s="1318"/>
      <c r="C56" s="837">
        <v>1901.29</v>
      </c>
      <c r="D56" s="837">
        <v>0.86</v>
      </c>
      <c r="E56" s="837">
        <v>67.349999999999994</v>
      </c>
      <c r="F56" s="837">
        <v>5153.29</v>
      </c>
      <c r="G56" s="837">
        <v>3559.56</v>
      </c>
      <c r="H56" s="837">
        <v>2341.73</v>
      </c>
      <c r="I56" s="837">
        <v>2344.94</v>
      </c>
      <c r="J56" s="837">
        <v>723.71</v>
      </c>
      <c r="K56" s="837">
        <f>0.11+71.23</f>
        <v>71.34</v>
      </c>
      <c r="L56" s="837">
        <f t="shared" si="3"/>
        <v>16164.07</v>
      </c>
      <c r="M56" s="837" t="s">
        <v>603</v>
      </c>
      <c r="N56" s="837" t="s">
        <v>603</v>
      </c>
      <c r="O56" s="837" t="s">
        <v>603</v>
      </c>
      <c r="P56" s="837" t="s">
        <v>603</v>
      </c>
      <c r="Q56" s="1389" t="s">
        <v>960</v>
      </c>
      <c r="R56" s="460"/>
    </row>
    <row r="57" spans="1:18" s="11" customFormat="1" ht="11.1" customHeight="1">
      <c r="A57" s="1004"/>
      <c r="B57" s="1489"/>
      <c r="C57" s="1489"/>
      <c r="D57" s="1489"/>
      <c r="E57" s="1489"/>
      <c r="F57" s="1489"/>
      <c r="G57" s="1489"/>
      <c r="H57" s="1489"/>
      <c r="K57" s="2053" t="s">
        <v>2674</v>
      </c>
      <c r="L57" s="1902"/>
      <c r="M57" s="1902"/>
      <c r="N57" s="1902"/>
      <c r="O57" s="1902"/>
      <c r="P57" s="1902"/>
      <c r="Q57" s="1902"/>
    </row>
    <row r="58" spans="1:18" s="10" customFormat="1" ht="11.1" customHeight="1">
      <c r="A58" s="24"/>
      <c r="B58" s="24"/>
      <c r="K58" s="1902" t="s">
        <v>2675</v>
      </c>
      <c r="L58" s="1902"/>
      <c r="M58" s="1902"/>
      <c r="N58" s="1902"/>
      <c r="O58" s="1902"/>
      <c r="P58" s="1902"/>
      <c r="Q58" s="1902"/>
    </row>
    <row r="63" spans="1:18">
      <c r="L63" s="836"/>
    </row>
    <row r="64" spans="1:18">
      <c r="L64" s="836"/>
    </row>
    <row r="65" spans="12:12">
      <c r="L65" s="836"/>
    </row>
    <row r="67" spans="12:12">
      <c r="L67" s="836"/>
    </row>
    <row r="69" spans="12:12">
      <c r="L69" s="836"/>
    </row>
  </sheetData>
  <mergeCells count="23">
    <mergeCell ref="I4:J4"/>
    <mergeCell ref="E4:E5"/>
    <mergeCell ref="K58:Q58"/>
    <mergeCell ref="M4:M5"/>
    <mergeCell ref="L4:L5"/>
    <mergeCell ref="K57:Q57"/>
    <mergeCell ref="N4:N5"/>
    <mergeCell ref="A1:J1"/>
    <mergeCell ref="P1:Q1"/>
    <mergeCell ref="A3:B5"/>
    <mergeCell ref="F4:F5"/>
    <mergeCell ref="C4:C5"/>
    <mergeCell ref="G4:H4"/>
    <mergeCell ref="M3:P3"/>
    <mergeCell ref="Q3:Q5"/>
    <mergeCell ref="K1:O1"/>
    <mergeCell ref="P2:Q2"/>
    <mergeCell ref="K3:L3"/>
    <mergeCell ref="C3:J3"/>
    <mergeCell ref="O4:O5"/>
    <mergeCell ref="P4:P5"/>
    <mergeCell ref="K4:K5"/>
    <mergeCell ref="D4:D5"/>
  </mergeCells>
  <phoneticPr fontId="0" type="noConversion"/>
  <pageMargins left="0.59055118110236204" right="0.511811023622047" top="0.511811023622047" bottom="0.511811023622047" header="0" footer="0.35433070866141703"/>
  <pageSetup paperSize="151" firstPageNumber="102" orientation="portrait" useFirstPageNumber="1" r:id="rId1"/>
  <headerFooter alignWithMargins="0">
    <oddFooter>&amp;C&amp;"Times New Roman,Regular"&amp;8&amp;P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B1:H39"/>
  <sheetViews>
    <sheetView topLeftCell="A22" workbookViewId="0">
      <selection activeCell="H47" sqref="H47"/>
    </sheetView>
  </sheetViews>
  <sheetFormatPr defaultRowHeight="12.75"/>
  <cols>
    <col min="1" max="1" width="5.140625" customWidth="1"/>
    <col min="2" max="2" width="11.85546875" customWidth="1"/>
    <col min="3" max="3" width="3.85546875" customWidth="1"/>
    <col min="4" max="4" width="15" customWidth="1"/>
    <col min="5" max="5" width="5.85546875" customWidth="1"/>
    <col min="6" max="6" width="10.42578125" customWidth="1"/>
    <col min="7" max="7" width="4" customWidth="1"/>
    <col min="8" max="8" width="19.5703125" customWidth="1"/>
  </cols>
  <sheetData>
    <row r="1" spans="2:8" ht="15.75">
      <c r="B1" s="2118" t="s">
        <v>672</v>
      </c>
      <c r="C1" s="2118"/>
      <c r="D1" s="2118"/>
      <c r="E1" s="2118"/>
      <c r="F1" s="2118"/>
      <c r="G1" s="2118"/>
      <c r="H1" s="2118"/>
    </row>
    <row r="2" spans="2:8" s="4" customFormat="1" ht="12">
      <c r="B2" s="2119" t="s">
        <v>2601</v>
      </c>
      <c r="C2" s="2119"/>
      <c r="D2" s="2119"/>
      <c r="E2" s="2119"/>
      <c r="F2" s="2119"/>
      <c r="G2" s="2119"/>
      <c r="H2" s="2119"/>
    </row>
    <row r="3" spans="2:8">
      <c r="B3" s="321"/>
      <c r="C3" s="321"/>
      <c r="D3" s="321"/>
      <c r="E3" s="321"/>
      <c r="F3" s="321"/>
      <c r="G3" s="321"/>
      <c r="H3" s="321"/>
    </row>
    <row r="4" spans="2:8">
      <c r="B4" s="322"/>
      <c r="C4" s="322"/>
      <c r="D4" s="322"/>
      <c r="E4" s="322"/>
      <c r="F4" s="322"/>
      <c r="G4" s="322"/>
      <c r="H4" s="322"/>
    </row>
    <row r="5" spans="2:8" ht="15" customHeight="1">
      <c r="B5" s="323" t="s">
        <v>762</v>
      </c>
      <c r="C5" s="324" t="s">
        <v>763</v>
      </c>
      <c r="D5" s="322" t="s">
        <v>764</v>
      </c>
      <c r="E5" s="322"/>
      <c r="F5" s="322" t="s">
        <v>765</v>
      </c>
      <c r="G5" s="322" t="s">
        <v>763</v>
      </c>
      <c r="H5" s="322" t="s">
        <v>766</v>
      </c>
    </row>
    <row r="6" spans="2:8" ht="15" customHeight="1">
      <c r="B6" s="322"/>
      <c r="C6" s="324" t="s">
        <v>763</v>
      </c>
      <c r="D6" s="324" t="s">
        <v>767</v>
      </c>
      <c r="E6" s="324"/>
      <c r="F6" s="324"/>
      <c r="G6" s="324" t="s">
        <v>763</v>
      </c>
      <c r="H6" s="324" t="s">
        <v>768</v>
      </c>
    </row>
    <row r="7" spans="2:8" ht="15" customHeight="1">
      <c r="B7" s="322"/>
      <c r="C7" s="322"/>
      <c r="D7" s="324"/>
      <c r="E7" s="324"/>
      <c r="F7" s="324"/>
      <c r="G7" s="324"/>
      <c r="H7" s="324"/>
    </row>
    <row r="8" spans="2:8" ht="15" customHeight="1">
      <c r="B8" s="324" t="s">
        <v>769</v>
      </c>
      <c r="C8" s="324" t="s">
        <v>763</v>
      </c>
      <c r="D8" s="324" t="s">
        <v>770</v>
      </c>
      <c r="E8" s="324"/>
      <c r="F8" s="324" t="s">
        <v>771</v>
      </c>
      <c r="G8" s="324" t="s">
        <v>763</v>
      </c>
      <c r="H8" s="324" t="s">
        <v>772</v>
      </c>
    </row>
    <row r="9" spans="2:8" ht="15" customHeight="1">
      <c r="B9" s="322"/>
      <c r="C9" s="324"/>
      <c r="D9" s="324"/>
      <c r="E9" s="324"/>
      <c r="F9" s="324"/>
      <c r="G9" s="324" t="s">
        <v>763</v>
      </c>
      <c r="H9" s="324" t="s">
        <v>774</v>
      </c>
    </row>
    <row r="10" spans="2:8" ht="15" customHeight="1">
      <c r="B10" s="322"/>
      <c r="C10" s="324"/>
      <c r="D10" s="324"/>
      <c r="E10" s="324"/>
      <c r="F10" s="324"/>
      <c r="G10" s="324"/>
      <c r="H10" s="324"/>
    </row>
    <row r="11" spans="2:8" ht="15" customHeight="1">
      <c r="B11" s="324" t="s">
        <v>775</v>
      </c>
      <c r="C11" s="324" t="s">
        <v>763</v>
      </c>
      <c r="D11" s="324" t="s">
        <v>776</v>
      </c>
      <c r="E11" s="324"/>
      <c r="F11" s="324" t="s">
        <v>777</v>
      </c>
      <c r="G11" s="324" t="s">
        <v>763</v>
      </c>
      <c r="H11" s="324" t="s">
        <v>778</v>
      </c>
    </row>
    <row r="12" spans="2:8" ht="15" customHeight="1">
      <c r="B12" s="324" t="s">
        <v>779</v>
      </c>
      <c r="C12" s="324" t="s">
        <v>763</v>
      </c>
      <c r="D12" s="324" t="s">
        <v>780</v>
      </c>
      <c r="E12" s="324"/>
      <c r="F12" s="324"/>
      <c r="G12" s="324" t="s">
        <v>763</v>
      </c>
      <c r="H12" s="324" t="s">
        <v>781</v>
      </c>
    </row>
    <row r="13" spans="2:8" ht="15" customHeight="1">
      <c r="B13" s="324"/>
      <c r="C13" s="324"/>
      <c r="D13" s="324"/>
      <c r="E13" s="324"/>
      <c r="F13" s="324"/>
      <c r="G13" s="324"/>
      <c r="H13" s="324"/>
    </row>
    <row r="14" spans="2:8" ht="15" customHeight="1">
      <c r="B14" s="324"/>
      <c r="C14" s="324"/>
      <c r="D14" s="324"/>
      <c r="E14" s="324"/>
      <c r="F14" s="324" t="s">
        <v>782</v>
      </c>
      <c r="G14" s="324" t="s">
        <v>763</v>
      </c>
      <c r="H14" s="324" t="s">
        <v>783</v>
      </c>
    </row>
    <row r="15" spans="2:8" ht="15" customHeight="1">
      <c r="B15" s="324" t="s">
        <v>784</v>
      </c>
      <c r="C15" s="324" t="s">
        <v>763</v>
      </c>
      <c r="D15" s="324" t="s">
        <v>785</v>
      </c>
      <c r="E15" s="324"/>
      <c r="F15" s="324"/>
      <c r="G15" s="324" t="s">
        <v>763</v>
      </c>
      <c r="H15" s="324" t="s">
        <v>786</v>
      </c>
    </row>
    <row r="16" spans="2:8" ht="15" customHeight="1">
      <c r="B16" s="324"/>
      <c r="C16" s="324" t="s">
        <v>763</v>
      </c>
      <c r="D16" s="324" t="s">
        <v>787</v>
      </c>
      <c r="E16" s="324"/>
      <c r="F16" s="324"/>
      <c r="G16" s="324"/>
      <c r="H16" s="324"/>
    </row>
    <row r="17" spans="2:8" ht="15" customHeight="1">
      <c r="B17" s="324"/>
      <c r="C17" s="324"/>
      <c r="E17" s="324"/>
      <c r="F17" s="324" t="s">
        <v>788</v>
      </c>
      <c r="G17" s="324" t="s">
        <v>763</v>
      </c>
      <c r="H17" s="324" t="s">
        <v>789</v>
      </c>
    </row>
    <row r="18" spans="2:8" ht="15" customHeight="1">
      <c r="B18" s="325" t="s">
        <v>790</v>
      </c>
      <c r="C18" s="324" t="s">
        <v>763</v>
      </c>
      <c r="D18" s="324" t="s">
        <v>793</v>
      </c>
      <c r="E18" s="324"/>
      <c r="F18" s="324" t="s">
        <v>791</v>
      </c>
      <c r="G18" s="324" t="s">
        <v>763</v>
      </c>
      <c r="H18" s="324" t="s">
        <v>792</v>
      </c>
    </row>
    <row r="19" spans="2:8" ht="15" customHeight="1">
      <c r="B19" s="2"/>
      <c r="C19" s="324" t="s">
        <v>763</v>
      </c>
      <c r="D19" s="325" t="s">
        <v>2308</v>
      </c>
      <c r="E19" s="324"/>
      <c r="F19" s="324" t="s">
        <v>867</v>
      </c>
      <c r="G19" s="324" t="s">
        <v>763</v>
      </c>
      <c r="H19" s="324" t="s">
        <v>794</v>
      </c>
    </row>
    <row r="20" spans="2:8" ht="15" customHeight="1">
      <c r="B20" s="324" t="s">
        <v>795</v>
      </c>
      <c r="C20" s="324" t="s">
        <v>763</v>
      </c>
      <c r="D20" s="324" t="s">
        <v>796</v>
      </c>
      <c r="E20" s="324"/>
      <c r="F20" s="324" t="s">
        <v>797</v>
      </c>
      <c r="G20" s="324" t="s">
        <v>763</v>
      </c>
      <c r="H20" s="324" t="s">
        <v>798</v>
      </c>
    </row>
    <row r="21" spans="2:8" ht="15" customHeight="1">
      <c r="B21" s="324"/>
      <c r="C21" s="324" t="s">
        <v>763</v>
      </c>
      <c r="D21" s="324" t="s">
        <v>799</v>
      </c>
      <c r="E21" s="324"/>
      <c r="F21" s="324" t="s">
        <v>800</v>
      </c>
      <c r="G21" s="324" t="s">
        <v>763</v>
      </c>
      <c r="H21" s="324" t="s">
        <v>801</v>
      </c>
    </row>
    <row r="22" spans="2:8" ht="15" customHeight="1">
      <c r="B22" s="324"/>
      <c r="C22" s="324" t="s">
        <v>763</v>
      </c>
      <c r="D22" s="324" t="s">
        <v>802</v>
      </c>
      <c r="E22" s="324"/>
      <c r="F22" s="324"/>
      <c r="G22" s="324" t="s">
        <v>763</v>
      </c>
      <c r="H22" s="324" t="s">
        <v>805</v>
      </c>
    </row>
    <row r="23" spans="2:8" ht="15" customHeight="1">
      <c r="B23" s="324"/>
      <c r="C23" s="324" t="s">
        <v>763</v>
      </c>
      <c r="D23" s="324" t="s">
        <v>806</v>
      </c>
      <c r="E23" s="324"/>
      <c r="F23" s="324"/>
      <c r="G23" s="324"/>
      <c r="H23" s="324"/>
    </row>
    <row r="24" spans="2:8" ht="15" customHeight="1">
      <c r="B24" s="324"/>
      <c r="C24" s="324"/>
      <c r="D24" s="324"/>
      <c r="E24" s="324"/>
      <c r="F24" s="324" t="s">
        <v>865</v>
      </c>
      <c r="G24" s="324" t="s">
        <v>763</v>
      </c>
      <c r="H24" s="324" t="s">
        <v>810</v>
      </c>
    </row>
    <row r="25" spans="2:8" ht="15" customHeight="1">
      <c r="B25" s="324" t="s">
        <v>811</v>
      </c>
      <c r="C25" s="324" t="s">
        <v>763</v>
      </c>
      <c r="D25" s="324" t="s">
        <v>812</v>
      </c>
      <c r="E25" s="324"/>
      <c r="F25" s="324"/>
      <c r="G25" s="324" t="s">
        <v>763</v>
      </c>
      <c r="H25" s="324" t="s">
        <v>813</v>
      </c>
    </row>
    <row r="26" spans="2:8" ht="15" customHeight="1">
      <c r="B26" s="324"/>
      <c r="C26" s="324" t="s">
        <v>763</v>
      </c>
      <c r="D26" s="324" t="s">
        <v>814</v>
      </c>
      <c r="E26" s="324"/>
      <c r="F26" s="324"/>
      <c r="G26" s="324" t="s">
        <v>763</v>
      </c>
      <c r="H26" s="324" t="s">
        <v>815</v>
      </c>
    </row>
    <row r="27" spans="2:8" ht="15" customHeight="1">
      <c r="B27" s="324"/>
      <c r="C27" s="326" t="s">
        <v>763</v>
      </c>
      <c r="D27" s="326" t="s">
        <v>816</v>
      </c>
      <c r="E27" s="324"/>
      <c r="F27" s="324"/>
      <c r="G27" s="324"/>
      <c r="H27" s="324"/>
    </row>
    <row r="28" spans="2:8" ht="15" customHeight="1">
      <c r="B28" s="324"/>
      <c r="C28" s="324"/>
      <c r="D28" s="324"/>
      <c r="E28" s="324"/>
      <c r="F28" s="324" t="s">
        <v>817</v>
      </c>
      <c r="G28" s="324" t="s">
        <v>763</v>
      </c>
      <c r="H28" s="324" t="s">
        <v>818</v>
      </c>
    </row>
    <row r="29" spans="2:8" ht="15" customHeight="1">
      <c r="B29" s="324" t="s">
        <v>819</v>
      </c>
      <c r="C29" s="324" t="s">
        <v>763</v>
      </c>
      <c r="D29" s="324" t="s">
        <v>820</v>
      </c>
      <c r="E29" s="324"/>
      <c r="F29" s="324" t="s">
        <v>821</v>
      </c>
      <c r="G29" s="324" t="s">
        <v>763</v>
      </c>
      <c r="H29" s="324" t="s">
        <v>822</v>
      </c>
    </row>
    <row r="30" spans="2:8" ht="15" customHeight="1">
      <c r="B30" s="324"/>
      <c r="C30" s="324" t="s">
        <v>763</v>
      </c>
      <c r="D30" s="324" t="s">
        <v>823</v>
      </c>
      <c r="E30" s="324"/>
      <c r="F30" s="324"/>
      <c r="G30" s="324" t="s">
        <v>763</v>
      </c>
      <c r="H30" s="324" t="s">
        <v>824</v>
      </c>
    </row>
    <row r="31" spans="2:8" ht="15" customHeight="1">
      <c r="B31" s="324"/>
      <c r="C31" s="324"/>
      <c r="D31" s="324"/>
      <c r="E31" s="324"/>
      <c r="F31" s="324"/>
      <c r="G31" s="324" t="s">
        <v>763</v>
      </c>
      <c r="H31" s="324" t="s">
        <v>866</v>
      </c>
    </row>
    <row r="32" spans="2:8" ht="15" customHeight="1">
      <c r="B32" s="324" t="s">
        <v>825</v>
      </c>
      <c r="C32" s="324" t="s">
        <v>763</v>
      </c>
      <c r="D32" s="324" t="s">
        <v>826</v>
      </c>
      <c r="E32" s="324"/>
      <c r="F32" s="324"/>
      <c r="G32" s="324" t="s">
        <v>763</v>
      </c>
      <c r="H32" s="324" t="s">
        <v>670</v>
      </c>
    </row>
    <row r="33" spans="2:8" ht="15" customHeight="1">
      <c r="B33" s="324"/>
      <c r="C33" s="324" t="s">
        <v>763</v>
      </c>
      <c r="D33" s="324" t="s">
        <v>827</v>
      </c>
      <c r="E33" s="324"/>
    </row>
    <row r="34" spans="2:8" ht="15" customHeight="1">
      <c r="B34" s="324"/>
      <c r="C34" s="324" t="s">
        <v>763</v>
      </c>
      <c r="D34" s="324" t="s">
        <v>830</v>
      </c>
      <c r="E34" s="324"/>
      <c r="F34" s="324" t="s">
        <v>828</v>
      </c>
      <c r="G34" s="324" t="s">
        <v>763</v>
      </c>
      <c r="H34" s="324" t="s">
        <v>829</v>
      </c>
    </row>
    <row r="35" spans="2:8" ht="15" customHeight="1">
      <c r="B35" s="324"/>
      <c r="C35" s="324"/>
      <c r="D35" s="324"/>
      <c r="E35" s="324"/>
      <c r="F35" s="324" t="s">
        <v>668</v>
      </c>
      <c r="G35" s="324" t="s">
        <v>763</v>
      </c>
      <c r="H35" s="324" t="s">
        <v>669</v>
      </c>
    </row>
    <row r="36" spans="2:8" ht="15" customHeight="1">
      <c r="B36" s="324" t="s">
        <v>831</v>
      </c>
      <c r="C36" s="324" t="s">
        <v>763</v>
      </c>
      <c r="D36" s="324" t="s">
        <v>832</v>
      </c>
      <c r="E36" s="324"/>
      <c r="F36" s="324" t="s">
        <v>1302</v>
      </c>
      <c r="G36" s="324" t="s">
        <v>763</v>
      </c>
      <c r="H36" s="324" t="s">
        <v>667</v>
      </c>
    </row>
    <row r="37" spans="2:8" ht="15" customHeight="1" thickBot="1">
      <c r="B37" s="617"/>
      <c r="C37" s="617"/>
      <c r="D37" s="618"/>
      <c r="E37" s="618"/>
      <c r="F37" s="618"/>
      <c r="G37" s="618"/>
      <c r="H37" s="618"/>
    </row>
    <row r="38" spans="2:8" ht="15" customHeight="1">
      <c r="B38" s="2120" t="s">
        <v>2602</v>
      </c>
      <c r="C38" s="2120"/>
      <c r="D38" s="2120"/>
      <c r="E38" s="2120"/>
      <c r="F38" s="2120"/>
      <c r="G38" s="2120"/>
      <c r="H38" s="2120"/>
    </row>
    <row r="39" spans="2:8">
      <c r="B39" s="2"/>
      <c r="C39" s="2"/>
      <c r="D39" s="2"/>
      <c r="E39" s="2"/>
      <c r="F39" s="2"/>
      <c r="G39" s="2"/>
      <c r="H39" s="2"/>
    </row>
  </sheetData>
  <mergeCells count="3">
    <mergeCell ref="B1:H1"/>
    <mergeCell ref="B2:H2"/>
    <mergeCell ref="B38:H38"/>
  </mergeCells>
  <pageMargins left="0.70866141732283505" right="0.70866141732283505" top="0.74803149606299202" bottom="0.74803149606299202" header="0.31496062992126" footer="0.31496062992126"/>
  <pageSetup paperSize="151" firstPageNumber="105" orientation="portrait" useFirstPageNumber="1" r:id="rId1"/>
  <headerFooter>
    <oddFooter>&amp;C&amp;"Times New Roman,Regular"&amp;8&amp;P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BR70"/>
  <sheetViews>
    <sheetView zoomScale="130" zoomScaleNormal="130" workbookViewId="0">
      <pane xSplit="2" ySplit="7" topLeftCell="C11" activePane="bottomRight" state="frozen"/>
      <selection pane="topRight" activeCell="C1" sqref="C1"/>
      <selection pane="bottomLeft" activeCell="A9" sqref="A9"/>
      <selection pane="bottomRight" activeCell="A19" sqref="A19"/>
    </sheetView>
  </sheetViews>
  <sheetFormatPr defaultColWidth="9.140625" defaultRowHeight="11.25"/>
  <cols>
    <col min="1" max="1" width="8" style="10" customWidth="1"/>
    <col min="2" max="2" width="1" style="10" customWidth="1"/>
    <col min="3" max="4" width="9.28515625" style="10" customWidth="1"/>
    <col min="5" max="5" width="9.5703125" style="10" customWidth="1"/>
    <col min="6" max="6" width="9.28515625" style="10" customWidth="1"/>
    <col min="7" max="7" width="9.140625" style="10" customWidth="1"/>
    <col min="8" max="8" width="8" style="10" customWidth="1"/>
    <col min="9" max="9" width="6.42578125" style="10" customWidth="1"/>
    <col min="10" max="10" width="7" style="10" customWidth="1"/>
    <col min="11" max="11" width="6.7109375" style="10" customWidth="1"/>
    <col min="12" max="12" width="12.28515625" style="10" customWidth="1"/>
    <col min="13" max="13" width="14.5703125" style="10" customWidth="1"/>
    <col min="14" max="14" width="11.7109375" style="10" customWidth="1"/>
    <col min="15" max="15" width="14.140625" style="10" customWidth="1"/>
    <col min="16" max="16" width="15" style="10" customWidth="1"/>
    <col min="17" max="17" width="10.85546875" style="10" customWidth="1"/>
    <col min="18" max="16384" width="9.140625" style="10"/>
  </cols>
  <sheetData>
    <row r="1" spans="1:70" s="48" customFormat="1" ht="15.75">
      <c r="A1" s="1709"/>
      <c r="B1" s="1709"/>
      <c r="C1" s="1709"/>
      <c r="D1" s="1709"/>
      <c r="E1" s="1709"/>
      <c r="F1" s="1709"/>
      <c r="G1" s="1709"/>
      <c r="H1" s="1674" t="s">
        <v>210</v>
      </c>
      <c r="I1" s="1674"/>
      <c r="J1" s="1674"/>
      <c r="K1" s="1674"/>
      <c r="L1" s="58" t="s">
        <v>631</v>
      </c>
      <c r="M1" s="49"/>
      <c r="N1" s="49"/>
      <c r="O1" s="49"/>
      <c r="P1" s="1694" t="s">
        <v>320</v>
      </c>
      <c r="Q1" s="1694"/>
      <c r="R1" s="49"/>
      <c r="S1" s="49"/>
      <c r="T1" s="49"/>
    </row>
    <row r="2" spans="1:70" s="2" customFormat="1" ht="12.75" customHeight="1">
      <c r="A2" s="330"/>
      <c r="B2" s="330"/>
      <c r="C2" s="330"/>
      <c r="D2" s="330"/>
      <c r="E2" s="330"/>
      <c r="F2" s="330"/>
      <c r="G2" s="1693" t="s">
        <v>1425</v>
      </c>
      <c r="H2" s="1693"/>
      <c r="I2" s="1693"/>
      <c r="J2" s="1693"/>
      <c r="K2" s="1693"/>
      <c r="L2" s="295" t="s">
        <v>2555</v>
      </c>
      <c r="M2" s="295"/>
      <c r="P2" s="1695"/>
      <c r="Q2" s="1695"/>
    </row>
    <row r="3" spans="1:70" s="309" customFormat="1" ht="23.25" customHeight="1">
      <c r="A3" s="1717" t="s">
        <v>875</v>
      </c>
      <c r="B3" s="1718"/>
      <c r="C3" s="1687" t="s">
        <v>1511</v>
      </c>
      <c r="D3" s="1688"/>
      <c r="E3" s="1688"/>
      <c r="F3" s="1689"/>
      <c r="G3" s="1696" t="s">
        <v>973</v>
      </c>
      <c r="H3" s="1697"/>
      <c r="I3" s="1697"/>
      <c r="J3" s="1697"/>
      <c r="K3" s="1698"/>
      <c r="L3" s="1706" t="s">
        <v>1133</v>
      </c>
      <c r="M3" s="1707"/>
      <c r="N3" s="1708"/>
      <c r="O3" s="1706" t="s">
        <v>592</v>
      </c>
      <c r="P3" s="1708"/>
      <c r="Q3" s="1703" t="s">
        <v>875</v>
      </c>
    </row>
    <row r="4" spans="1:70" s="309" customFormat="1" ht="23.25" customHeight="1">
      <c r="A4" s="1719"/>
      <c r="B4" s="1720"/>
      <c r="C4" s="1690"/>
      <c r="D4" s="1691"/>
      <c r="E4" s="1691"/>
      <c r="F4" s="1692"/>
      <c r="G4" s="1626" t="s">
        <v>315</v>
      </c>
      <c r="H4" s="1626"/>
      <c r="I4" s="1643" t="s">
        <v>1529</v>
      </c>
      <c r="J4" s="1643"/>
      <c r="K4" s="1643"/>
      <c r="L4" s="1701" t="s">
        <v>316</v>
      </c>
      <c r="M4" s="1702"/>
      <c r="N4" s="1634" t="s">
        <v>1691</v>
      </c>
      <c r="O4" s="1699" t="s">
        <v>2164</v>
      </c>
      <c r="P4" s="1700"/>
      <c r="Q4" s="1704"/>
    </row>
    <row r="5" spans="1:70" s="309" customFormat="1" ht="21.75" customHeight="1">
      <c r="A5" s="1719"/>
      <c r="B5" s="1720"/>
      <c r="C5" s="1712" t="s">
        <v>1507</v>
      </c>
      <c r="D5" s="1712" t="s">
        <v>1508</v>
      </c>
      <c r="E5" s="1712" t="s">
        <v>1509</v>
      </c>
      <c r="F5" s="1712" t="s">
        <v>1510</v>
      </c>
      <c r="G5" s="1626" t="s">
        <v>974</v>
      </c>
      <c r="H5" s="1626" t="s">
        <v>975</v>
      </c>
      <c r="I5" s="1626" t="s">
        <v>1512</v>
      </c>
      <c r="J5" s="1626" t="s">
        <v>314</v>
      </c>
      <c r="K5" s="1626" t="s">
        <v>884</v>
      </c>
      <c r="L5" s="1634" t="s">
        <v>2163</v>
      </c>
      <c r="M5" s="1634" t="s">
        <v>2483</v>
      </c>
      <c r="N5" s="1665"/>
      <c r="O5" s="1634" t="s">
        <v>1929</v>
      </c>
      <c r="P5" s="1634" t="s">
        <v>1928</v>
      </c>
      <c r="Q5" s="1704"/>
    </row>
    <row r="6" spans="1:70" s="309" customFormat="1" ht="14.25" customHeight="1">
      <c r="A6" s="1719"/>
      <c r="B6" s="1720"/>
      <c r="C6" s="1713"/>
      <c r="D6" s="1713"/>
      <c r="E6" s="1713"/>
      <c r="F6" s="1713"/>
      <c r="G6" s="1627"/>
      <c r="H6" s="1627"/>
      <c r="I6" s="1627"/>
      <c r="J6" s="1627"/>
      <c r="K6" s="1627"/>
      <c r="L6" s="1635"/>
      <c r="M6" s="1635"/>
      <c r="N6" s="1635"/>
      <c r="O6" s="1635"/>
      <c r="P6" s="1635"/>
      <c r="Q6" s="1704"/>
    </row>
    <row r="7" spans="1:70" s="39" customFormat="1" ht="12.75" customHeight="1">
      <c r="A7" s="1721"/>
      <c r="B7" s="1722"/>
      <c r="C7" s="1424">
        <v>1</v>
      </c>
      <c r="D7" s="50">
        <v>2</v>
      </c>
      <c r="E7" s="50">
        <v>3</v>
      </c>
      <c r="F7" s="50">
        <v>4</v>
      </c>
      <c r="G7" s="50">
        <v>5</v>
      </c>
      <c r="H7" s="50">
        <v>6</v>
      </c>
      <c r="I7" s="50">
        <v>7</v>
      </c>
      <c r="J7" s="50">
        <v>8</v>
      </c>
      <c r="K7" s="50">
        <v>9</v>
      </c>
      <c r="L7" s="50">
        <v>10</v>
      </c>
      <c r="M7" s="50">
        <v>11</v>
      </c>
      <c r="N7" s="50">
        <v>12</v>
      </c>
      <c r="O7" s="50">
        <v>13</v>
      </c>
      <c r="P7" s="50">
        <v>14</v>
      </c>
      <c r="Q7" s="1705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</row>
    <row r="8" spans="1:70" s="155" customFormat="1" ht="12" customHeight="1">
      <c r="A8" s="574" t="s">
        <v>947</v>
      </c>
      <c r="B8" s="574"/>
      <c r="C8" s="504" t="s">
        <v>603</v>
      </c>
      <c r="D8" s="504">
        <v>5.64</v>
      </c>
      <c r="E8" s="504" t="s">
        <v>603</v>
      </c>
      <c r="F8" s="504">
        <v>5.83</v>
      </c>
      <c r="G8" s="504">
        <v>1994</v>
      </c>
      <c r="H8" s="504">
        <v>1667</v>
      </c>
      <c r="I8" s="504">
        <v>273</v>
      </c>
      <c r="J8" s="504">
        <v>60</v>
      </c>
      <c r="K8" s="504">
        <v>308</v>
      </c>
      <c r="L8" s="498">
        <v>7603</v>
      </c>
      <c r="M8" s="498">
        <v>10903.2</v>
      </c>
      <c r="N8" s="498">
        <v>2705</v>
      </c>
      <c r="O8" s="638">
        <v>58.902700000000003</v>
      </c>
      <c r="P8" s="638">
        <v>60.347200000000001</v>
      </c>
      <c r="Q8" s="639" t="s">
        <v>947</v>
      </c>
    </row>
    <row r="9" spans="1:70" s="155" customFormat="1" ht="12" customHeight="1">
      <c r="A9" s="635" t="s">
        <v>948</v>
      </c>
      <c r="B9" s="635"/>
      <c r="C9" s="391" t="s">
        <v>603</v>
      </c>
      <c r="D9" s="391">
        <v>7.35</v>
      </c>
      <c r="E9" s="391" t="s">
        <v>603</v>
      </c>
      <c r="F9" s="391">
        <v>6.48</v>
      </c>
      <c r="G9" s="391">
        <v>2060</v>
      </c>
      <c r="H9" s="391">
        <v>1729</v>
      </c>
      <c r="I9" s="391">
        <v>295</v>
      </c>
      <c r="J9" s="391">
        <v>48</v>
      </c>
      <c r="K9" s="391">
        <v>335</v>
      </c>
      <c r="L9" s="405">
        <v>8654.5</v>
      </c>
      <c r="M9" s="405">
        <v>13146.8</v>
      </c>
      <c r="N9" s="405">
        <v>2930</v>
      </c>
      <c r="O9" s="648">
        <v>61.449199999999998</v>
      </c>
      <c r="P9" s="648">
        <v>63.752699999999997</v>
      </c>
      <c r="Q9" s="647" t="s">
        <v>948</v>
      </c>
    </row>
    <row r="10" spans="1:70" s="159" customFormat="1" ht="12" customHeight="1">
      <c r="A10" s="574" t="s">
        <v>953</v>
      </c>
      <c r="B10" s="574"/>
      <c r="C10" s="504" t="s">
        <v>603</v>
      </c>
      <c r="D10" s="504">
        <v>7.54</v>
      </c>
      <c r="E10" s="504" t="s">
        <v>603</v>
      </c>
      <c r="F10" s="504">
        <v>7.16</v>
      </c>
      <c r="G10" s="504">
        <v>2204</v>
      </c>
      <c r="H10" s="504">
        <v>1968</v>
      </c>
      <c r="I10" s="504">
        <v>327</v>
      </c>
      <c r="J10" s="504">
        <v>50</v>
      </c>
      <c r="K10" s="504">
        <v>372</v>
      </c>
      <c r="L10" s="498">
        <v>10526.2</v>
      </c>
      <c r="M10" s="498">
        <v>14746.4</v>
      </c>
      <c r="N10" s="498">
        <v>3483.8</v>
      </c>
      <c r="O10" s="638">
        <v>67.16</v>
      </c>
      <c r="P10" s="504">
        <v>69.702600000000004</v>
      </c>
      <c r="Q10" s="639" t="s">
        <v>953</v>
      </c>
      <c r="V10" s="391"/>
      <c r="W10" s="391"/>
    </row>
    <row r="11" spans="1:70" s="159" customFormat="1" ht="12" customHeight="1">
      <c r="A11" s="635" t="s">
        <v>962</v>
      </c>
      <c r="B11" s="635"/>
      <c r="C11" s="391" t="s">
        <v>603</v>
      </c>
      <c r="D11" s="609">
        <v>9.1999999999999993</v>
      </c>
      <c r="E11" s="391" t="s">
        <v>603</v>
      </c>
      <c r="F11" s="609">
        <v>7.2</v>
      </c>
      <c r="G11" s="391" t="s">
        <v>603</v>
      </c>
      <c r="H11" s="391" t="s">
        <v>603</v>
      </c>
      <c r="I11" s="391">
        <v>360</v>
      </c>
      <c r="J11" s="391">
        <v>52</v>
      </c>
      <c r="K11" s="391">
        <v>410</v>
      </c>
      <c r="L11" s="405">
        <v>12177.9</v>
      </c>
      <c r="M11" s="405">
        <v>17156.8</v>
      </c>
      <c r="N11" s="405">
        <v>5077.2</v>
      </c>
      <c r="O11" s="648">
        <v>69.06</v>
      </c>
      <c r="P11" s="648">
        <v>68.8</v>
      </c>
      <c r="Q11" s="647" t="s">
        <v>962</v>
      </c>
    </row>
    <row r="12" spans="1:70" s="155" customFormat="1" ht="12" customHeight="1">
      <c r="A12" s="574" t="s">
        <v>675</v>
      </c>
      <c r="B12" s="574"/>
      <c r="C12" s="504" t="s">
        <v>603</v>
      </c>
      <c r="D12" s="504">
        <v>10.039999999999999</v>
      </c>
      <c r="E12" s="504" t="s">
        <v>603</v>
      </c>
      <c r="F12" s="504">
        <v>9.94</v>
      </c>
      <c r="G12" s="504" t="s">
        <v>603</v>
      </c>
      <c r="H12" s="504" t="s">
        <v>603</v>
      </c>
      <c r="I12" s="504">
        <v>386</v>
      </c>
      <c r="J12" s="504">
        <v>58</v>
      </c>
      <c r="K12" s="504">
        <v>438</v>
      </c>
      <c r="L12" s="504">
        <v>14110.8</v>
      </c>
      <c r="M12" s="498">
        <v>21629</v>
      </c>
      <c r="N12" s="498">
        <v>6148.8</v>
      </c>
      <c r="O12" s="504">
        <v>68.610299999999995</v>
      </c>
      <c r="P12" s="504">
        <v>68.520399999999995</v>
      </c>
      <c r="Q12" s="639" t="s">
        <v>675</v>
      </c>
      <c r="T12" s="391"/>
      <c r="U12" s="391"/>
      <c r="V12" s="391"/>
    </row>
    <row r="13" spans="1:70" s="155" customFormat="1" ht="12" customHeight="1">
      <c r="A13" s="635" t="s">
        <v>141</v>
      </c>
      <c r="B13" s="635"/>
      <c r="C13" s="391" t="s">
        <v>603</v>
      </c>
      <c r="D13" s="391">
        <v>2.25</v>
      </c>
      <c r="E13" s="391" t="s">
        <v>603</v>
      </c>
      <c r="F13" s="391">
        <v>6.66</v>
      </c>
      <c r="G13" s="391" t="s">
        <v>603</v>
      </c>
      <c r="H13" s="391" t="s">
        <v>603</v>
      </c>
      <c r="I13" s="391">
        <v>413</v>
      </c>
      <c r="J13" s="391">
        <v>55</v>
      </c>
      <c r="K13" s="391">
        <v>473</v>
      </c>
      <c r="L13" s="391">
        <v>15565.2</v>
      </c>
      <c r="M13" s="405">
        <v>22507.1</v>
      </c>
      <c r="N13" s="405">
        <v>7470.9</v>
      </c>
      <c r="O13" s="648">
        <v>68.802999999999997</v>
      </c>
      <c r="P13" s="648">
        <v>69.06</v>
      </c>
      <c r="Q13" s="647" t="s">
        <v>141</v>
      </c>
      <c r="T13" s="391"/>
      <c r="U13" s="391"/>
      <c r="V13" s="391"/>
    </row>
    <row r="14" spans="1:70" s="155" customFormat="1" ht="12" customHeight="1">
      <c r="A14" s="574" t="s">
        <v>136</v>
      </c>
      <c r="B14" s="574"/>
      <c r="C14" s="504" t="s">
        <v>603</v>
      </c>
      <c r="D14" s="505">
        <v>8.6999999999999993</v>
      </c>
      <c r="E14" s="504" t="s">
        <v>603</v>
      </c>
      <c r="F14" s="505">
        <v>7.31</v>
      </c>
      <c r="G14" s="504" t="s">
        <v>603</v>
      </c>
      <c r="H14" s="504" t="s">
        <v>603</v>
      </c>
      <c r="I14" s="504">
        <v>442</v>
      </c>
      <c r="J14" s="504">
        <v>65</v>
      </c>
      <c r="K14" s="504">
        <v>517</v>
      </c>
      <c r="L14" s="504">
        <v>16204.7</v>
      </c>
      <c r="M14" s="498">
        <v>23738.400000000001</v>
      </c>
      <c r="N14" s="498">
        <v>10749.7</v>
      </c>
      <c r="O14" s="638">
        <v>69.184200000000004</v>
      </c>
      <c r="P14" s="638">
        <v>69.441000000000003</v>
      </c>
      <c r="Q14" s="639" t="s">
        <v>136</v>
      </c>
    </row>
    <row r="15" spans="1:70" s="649" customFormat="1" ht="12" customHeight="1">
      <c r="A15" s="635" t="s">
        <v>317</v>
      </c>
      <c r="B15" s="635"/>
      <c r="C15" s="391">
        <v>11.14</v>
      </c>
      <c r="D15" s="391">
        <v>10.17</v>
      </c>
      <c r="E15" s="391" t="s">
        <v>603</v>
      </c>
      <c r="F15" s="609">
        <v>8.8000000000000007</v>
      </c>
      <c r="G15" s="391" t="s">
        <v>603</v>
      </c>
      <c r="H15" s="391" t="s">
        <v>603</v>
      </c>
      <c r="I15" s="838">
        <v>520.5</v>
      </c>
      <c r="J15" s="838">
        <v>58.416666666666664</v>
      </c>
      <c r="K15" s="838">
        <v>596.14806625547919</v>
      </c>
      <c r="L15" s="405">
        <v>22928.2</v>
      </c>
      <c r="M15" s="405">
        <v>33657.5</v>
      </c>
      <c r="N15" s="405">
        <v>10911.6</v>
      </c>
      <c r="O15" s="648">
        <v>71.216399999999993</v>
      </c>
      <c r="P15" s="648">
        <v>74.149299999999997</v>
      </c>
      <c r="Q15" s="647" t="s">
        <v>317</v>
      </c>
    </row>
    <row r="16" spans="1:70" s="649" customFormat="1" ht="12" customHeight="1">
      <c r="A16" s="574" t="s">
        <v>1299</v>
      </c>
      <c r="B16" s="574"/>
      <c r="C16" s="504">
        <v>5.54</v>
      </c>
      <c r="D16" s="504">
        <v>8.56</v>
      </c>
      <c r="E16" s="504" t="s">
        <v>603</v>
      </c>
      <c r="F16" s="505">
        <v>10.62</v>
      </c>
      <c r="G16" s="504" t="s">
        <v>603</v>
      </c>
      <c r="H16" s="504" t="s">
        <v>603</v>
      </c>
      <c r="I16" s="506">
        <v>570.41666666666663</v>
      </c>
      <c r="J16" s="506">
        <v>73.75</v>
      </c>
      <c r="K16" s="506">
        <v>651.7398366887777</v>
      </c>
      <c r="L16" s="498">
        <v>24302.000000000004</v>
      </c>
      <c r="M16" s="498">
        <v>35516.300000000003</v>
      </c>
      <c r="N16" s="498">
        <v>10364.4</v>
      </c>
      <c r="O16" s="638">
        <v>79.2102</v>
      </c>
      <c r="P16" s="638">
        <v>81.815799999999996</v>
      </c>
      <c r="Q16" s="639" t="s">
        <v>1299</v>
      </c>
    </row>
    <row r="17" spans="1:17" s="649" customFormat="1" ht="12" customHeight="1">
      <c r="A17" s="457" t="s">
        <v>1505</v>
      </c>
      <c r="B17" s="457"/>
      <c r="C17" s="459">
        <v>8.0500000000000007</v>
      </c>
      <c r="D17" s="459">
        <v>7.97</v>
      </c>
      <c r="E17" s="459">
        <v>6.78</v>
      </c>
      <c r="F17" s="460">
        <v>7.7</v>
      </c>
      <c r="G17" s="459" t="s">
        <v>603</v>
      </c>
      <c r="H17" s="459" t="s">
        <v>603</v>
      </c>
      <c r="I17" s="696">
        <v>620.91666666666663</v>
      </c>
      <c r="J17" s="696">
        <v>83.75</v>
      </c>
      <c r="K17" s="696">
        <v>708.87122270064776</v>
      </c>
      <c r="L17" s="413">
        <v>27027.45</v>
      </c>
      <c r="M17" s="413">
        <v>34083.599999999999</v>
      </c>
      <c r="N17" s="413">
        <v>15315.2</v>
      </c>
      <c r="O17" s="653">
        <v>79.935900000000004</v>
      </c>
      <c r="P17" s="653">
        <v>77.759299999999996</v>
      </c>
      <c r="Q17" s="693" t="s">
        <v>1505</v>
      </c>
    </row>
    <row r="18" spans="1:17" s="459" customFormat="1" ht="12" customHeight="1">
      <c r="A18" s="574" t="s">
        <v>1886</v>
      </c>
      <c r="B18" s="504"/>
      <c r="C18" s="505">
        <v>6.97</v>
      </c>
      <c r="D18" s="505" t="s">
        <v>603</v>
      </c>
      <c r="E18" s="505">
        <v>7.35</v>
      </c>
      <c r="F18" s="505" t="s">
        <v>603</v>
      </c>
      <c r="G18" s="505" t="s">
        <v>603</v>
      </c>
      <c r="H18" s="505" t="s">
        <v>603</v>
      </c>
      <c r="I18" s="505" t="s">
        <v>603</v>
      </c>
      <c r="J18" s="505" t="s">
        <v>603</v>
      </c>
      <c r="K18" s="505" t="s">
        <v>603</v>
      </c>
      <c r="L18" s="498">
        <v>30186.62</v>
      </c>
      <c r="M18" s="498">
        <v>40731.9</v>
      </c>
      <c r="N18" s="498">
        <v>21507.992999999999</v>
      </c>
      <c r="O18" s="638">
        <v>77.72</v>
      </c>
      <c r="P18" s="638">
        <v>77.63</v>
      </c>
      <c r="Q18" s="639" t="s">
        <v>1886</v>
      </c>
    </row>
    <row r="19" spans="1:17" s="459" customFormat="1" ht="12" customHeight="1">
      <c r="A19" s="652" t="s">
        <v>2017</v>
      </c>
      <c r="B19" s="861"/>
      <c r="C19" s="622">
        <v>6.25</v>
      </c>
      <c r="D19" s="622" t="s">
        <v>603</v>
      </c>
      <c r="E19" s="622">
        <v>6.4</v>
      </c>
      <c r="F19" s="622" t="s">
        <v>603</v>
      </c>
      <c r="G19" s="622" t="s">
        <v>603</v>
      </c>
      <c r="H19" s="622" t="s">
        <v>603</v>
      </c>
      <c r="I19" s="622" t="s">
        <v>603</v>
      </c>
      <c r="J19" s="622" t="s">
        <v>603</v>
      </c>
      <c r="K19" s="622" t="s">
        <v>603</v>
      </c>
      <c r="L19" s="621">
        <v>31208.949999999997</v>
      </c>
      <c r="M19" s="621">
        <v>40579.300000000003</v>
      </c>
      <c r="N19" s="621">
        <v>25025.200000000001</v>
      </c>
      <c r="O19" s="862">
        <v>77.674999999999997</v>
      </c>
      <c r="P19" s="862">
        <v>77.800399999999996</v>
      </c>
      <c r="Q19" s="654" t="s">
        <v>2017</v>
      </c>
    </row>
    <row r="20" spans="1:17" s="459" customFormat="1" ht="12" customHeight="1">
      <c r="A20" s="650" t="s">
        <v>2226</v>
      </c>
      <c r="B20" s="504"/>
      <c r="C20" s="608">
        <f>C32</f>
        <v>5.53</v>
      </c>
      <c r="D20" s="608" t="str">
        <f>D32</f>
        <v>…</v>
      </c>
      <c r="E20" s="608">
        <f>E32</f>
        <v>5.92</v>
      </c>
      <c r="F20" s="608" t="str">
        <f t="shared" ref="F20:K20" si="0">F32</f>
        <v>…</v>
      </c>
      <c r="G20" s="608" t="str">
        <f t="shared" si="0"/>
        <v>…</v>
      </c>
      <c r="H20" s="608" t="str">
        <f t="shared" si="0"/>
        <v>…</v>
      </c>
      <c r="I20" s="608" t="str">
        <f t="shared" si="0"/>
        <v>…</v>
      </c>
      <c r="J20" s="608" t="str">
        <f t="shared" si="0"/>
        <v>…</v>
      </c>
      <c r="K20" s="608" t="str">
        <f t="shared" si="0"/>
        <v>…</v>
      </c>
      <c r="L20" s="607">
        <f>SUM(L21:L32)</f>
        <v>34257.18</v>
      </c>
      <c r="M20" s="607">
        <f>SUM(M21:M32)</f>
        <v>40097.399999999994</v>
      </c>
      <c r="N20" s="607">
        <f>N32</f>
        <v>30137.599999999999</v>
      </c>
      <c r="O20" s="950">
        <v>78.268600000000006</v>
      </c>
      <c r="P20" s="950">
        <f>P32</f>
        <v>78.400000000000006</v>
      </c>
      <c r="Q20" s="651" t="s">
        <v>2226</v>
      </c>
    </row>
    <row r="21" spans="1:17" s="459" customFormat="1" ht="12" customHeight="1">
      <c r="A21" s="457" t="s">
        <v>954</v>
      </c>
      <c r="C21" s="460">
        <v>6.36</v>
      </c>
      <c r="D21" s="460" t="s">
        <v>603</v>
      </c>
      <c r="E21" s="460">
        <v>6.35</v>
      </c>
      <c r="F21" s="460" t="s">
        <v>603</v>
      </c>
      <c r="G21" s="460" t="s">
        <v>603</v>
      </c>
      <c r="H21" s="460" t="s">
        <v>603</v>
      </c>
      <c r="I21" s="460" t="s">
        <v>603</v>
      </c>
      <c r="J21" s="460" t="s">
        <v>603</v>
      </c>
      <c r="K21" s="460" t="s">
        <v>603</v>
      </c>
      <c r="L21" s="413">
        <v>2625.93</v>
      </c>
      <c r="M21" s="413">
        <v>2903.1</v>
      </c>
      <c r="N21" s="413">
        <v>25469.1</v>
      </c>
      <c r="O21" s="653">
        <v>77.8</v>
      </c>
      <c r="P21" s="653">
        <v>77.8</v>
      </c>
      <c r="Q21" s="693" t="s">
        <v>954</v>
      </c>
    </row>
    <row r="22" spans="1:17" s="459" customFormat="1" ht="12" customHeight="1">
      <c r="A22" s="574" t="s">
        <v>955</v>
      </c>
      <c r="B22" s="504"/>
      <c r="C22" s="505">
        <v>6.17</v>
      </c>
      <c r="D22" s="505" t="s">
        <v>603</v>
      </c>
      <c r="E22" s="505">
        <v>6.29</v>
      </c>
      <c r="F22" s="505" t="s">
        <v>603</v>
      </c>
      <c r="G22" s="505" t="s">
        <v>603</v>
      </c>
      <c r="H22" s="505" t="s">
        <v>603</v>
      </c>
      <c r="I22" s="505" t="s">
        <v>603</v>
      </c>
      <c r="J22" s="505" t="s">
        <v>603</v>
      </c>
      <c r="K22" s="505" t="s">
        <v>603</v>
      </c>
      <c r="L22" s="498">
        <v>2758.41</v>
      </c>
      <c r="M22" s="498">
        <v>3253.8</v>
      </c>
      <c r="N22" s="498">
        <v>26175.3</v>
      </c>
      <c r="O22" s="638">
        <v>77.8</v>
      </c>
      <c r="P22" s="638">
        <v>77.8</v>
      </c>
      <c r="Q22" s="639" t="s">
        <v>955</v>
      </c>
    </row>
    <row r="23" spans="1:17" s="459" customFormat="1" ht="12" customHeight="1">
      <c r="A23" s="457" t="s">
        <v>949</v>
      </c>
      <c r="C23" s="460">
        <v>6.24</v>
      </c>
      <c r="D23" s="460" t="s">
        <v>603</v>
      </c>
      <c r="E23" s="460">
        <v>6.24</v>
      </c>
      <c r="F23" s="460" t="s">
        <v>603</v>
      </c>
      <c r="G23" s="460" t="s">
        <v>603</v>
      </c>
      <c r="H23" s="460" t="s">
        <v>603</v>
      </c>
      <c r="I23" s="460" t="s">
        <v>603</v>
      </c>
      <c r="J23" s="460" t="s">
        <v>603</v>
      </c>
      <c r="K23" s="460" t="s">
        <v>603</v>
      </c>
      <c r="L23" s="413">
        <v>2374.65</v>
      </c>
      <c r="M23" s="413">
        <v>3086.7</v>
      </c>
      <c r="N23" s="413">
        <v>26379</v>
      </c>
      <c r="O23" s="653">
        <v>77.8001</v>
      </c>
      <c r="P23" s="653">
        <v>77.8</v>
      </c>
      <c r="Q23" s="693" t="s">
        <v>949</v>
      </c>
    </row>
    <row r="24" spans="1:17" s="459" customFormat="1" ht="12" customHeight="1">
      <c r="A24" s="574" t="s">
        <v>956</v>
      </c>
      <c r="B24" s="504"/>
      <c r="C24" s="505">
        <v>6.19</v>
      </c>
      <c r="D24" s="505" t="s">
        <v>603</v>
      </c>
      <c r="E24" s="505">
        <v>6.21</v>
      </c>
      <c r="F24" s="505" t="s">
        <v>603</v>
      </c>
      <c r="G24" s="505" t="s">
        <v>603</v>
      </c>
      <c r="H24" s="505" t="s">
        <v>603</v>
      </c>
      <c r="I24" s="505" t="s">
        <v>603</v>
      </c>
      <c r="J24" s="505" t="s">
        <v>603</v>
      </c>
      <c r="K24" s="505" t="s">
        <v>603</v>
      </c>
      <c r="L24" s="498">
        <v>2371.5</v>
      </c>
      <c r="M24" s="498">
        <v>3427.8</v>
      </c>
      <c r="N24" s="498">
        <v>27058.400000000001</v>
      </c>
      <c r="O24" s="638">
        <v>77.814300000000003</v>
      </c>
      <c r="P24" s="638">
        <v>77.959000000000003</v>
      </c>
      <c r="Q24" s="639" t="s">
        <v>956</v>
      </c>
    </row>
    <row r="25" spans="1:17" s="459" customFormat="1" ht="12" customHeight="1">
      <c r="A25" s="457" t="s">
        <v>957</v>
      </c>
      <c r="C25" s="460">
        <v>6.05</v>
      </c>
      <c r="D25" s="460" t="s">
        <v>603</v>
      </c>
      <c r="E25" s="460">
        <v>6.2</v>
      </c>
      <c r="F25" s="460" t="s">
        <v>603</v>
      </c>
      <c r="G25" s="460" t="s">
        <v>603</v>
      </c>
      <c r="H25" s="460" t="s">
        <v>603</v>
      </c>
      <c r="I25" s="460" t="s">
        <v>603</v>
      </c>
      <c r="J25" s="460" t="s">
        <v>603</v>
      </c>
      <c r="K25" s="460" t="s">
        <v>603</v>
      </c>
      <c r="L25" s="413">
        <v>2749.34</v>
      </c>
      <c r="M25" s="413">
        <v>3399.9</v>
      </c>
      <c r="N25" s="413">
        <v>26407.599999999999</v>
      </c>
      <c r="O25" s="653">
        <v>78.510999999999996</v>
      </c>
      <c r="P25" s="653">
        <v>78.930000000000007</v>
      </c>
      <c r="Q25" s="693" t="s">
        <v>957</v>
      </c>
    </row>
    <row r="26" spans="1:17" s="459" customFormat="1" ht="12" customHeight="1">
      <c r="A26" s="574" t="s">
        <v>950</v>
      </c>
      <c r="B26" s="504"/>
      <c r="C26" s="505">
        <v>6.1</v>
      </c>
      <c r="D26" s="505" t="s">
        <v>603</v>
      </c>
      <c r="E26" s="505">
        <v>6.19</v>
      </c>
      <c r="F26" s="505" t="s">
        <v>603</v>
      </c>
      <c r="G26" s="505" t="s">
        <v>603</v>
      </c>
      <c r="H26" s="505" t="s">
        <v>603</v>
      </c>
      <c r="I26" s="505" t="s">
        <v>603</v>
      </c>
      <c r="J26" s="505" t="s">
        <v>603</v>
      </c>
      <c r="K26" s="505" t="s">
        <v>603</v>
      </c>
      <c r="L26" s="498">
        <v>3204.07</v>
      </c>
      <c r="M26" s="498">
        <v>3654.3</v>
      </c>
      <c r="N26" s="498">
        <v>27493.3</v>
      </c>
      <c r="O26" s="638">
        <v>78.766199999999998</v>
      </c>
      <c r="P26" s="638">
        <v>78.500299999999996</v>
      </c>
      <c r="Q26" s="639" t="s">
        <v>950</v>
      </c>
    </row>
    <row r="27" spans="1:17" s="459" customFormat="1" ht="12" customHeight="1">
      <c r="A27" s="457" t="s">
        <v>958</v>
      </c>
      <c r="C27" s="460">
        <v>6.07</v>
      </c>
      <c r="D27" s="460" t="s">
        <v>603</v>
      </c>
      <c r="E27" s="460">
        <v>6.2</v>
      </c>
      <c r="F27" s="460" t="s">
        <v>603</v>
      </c>
      <c r="G27" s="460" t="s">
        <v>603</v>
      </c>
      <c r="H27" s="460" t="s">
        <v>603</v>
      </c>
      <c r="I27" s="460" t="s">
        <v>603</v>
      </c>
      <c r="J27" s="460" t="s">
        <v>603</v>
      </c>
      <c r="K27" s="460" t="s">
        <v>603</v>
      </c>
      <c r="L27" s="413">
        <v>3185.63</v>
      </c>
      <c r="M27" s="413">
        <v>3437.6</v>
      </c>
      <c r="N27" s="413">
        <v>27138.9</v>
      </c>
      <c r="O27" s="653">
        <v>78.500100000000003</v>
      </c>
      <c r="P27" s="653">
        <v>78.501400000000004</v>
      </c>
      <c r="Q27" s="693" t="s">
        <v>958</v>
      </c>
    </row>
    <row r="28" spans="1:17" s="459" customFormat="1" ht="12" customHeight="1">
      <c r="A28" s="574" t="s">
        <v>959</v>
      </c>
      <c r="B28" s="504"/>
      <c r="C28" s="505">
        <v>5.62</v>
      </c>
      <c r="D28" s="505" t="s">
        <v>603</v>
      </c>
      <c r="E28" s="505">
        <v>6.15</v>
      </c>
      <c r="F28" s="505" t="s">
        <v>603</v>
      </c>
      <c r="G28" s="505" t="s">
        <v>603</v>
      </c>
      <c r="H28" s="505" t="s">
        <v>603</v>
      </c>
      <c r="I28" s="505" t="s">
        <v>603</v>
      </c>
      <c r="J28" s="505" t="s">
        <v>603</v>
      </c>
      <c r="K28" s="505" t="s">
        <v>603</v>
      </c>
      <c r="L28" s="498">
        <v>2854.22</v>
      </c>
      <c r="M28" s="498">
        <v>3070.1</v>
      </c>
      <c r="N28" s="498">
        <v>28058.560000000001</v>
      </c>
      <c r="O28" s="638">
        <v>78.551599999999993</v>
      </c>
      <c r="P28" s="638">
        <v>78.45</v>
      </c>
      <c r="Q28" s="639" t="s">
        <v>959</v>
      </c>
    </row>
    <row r="29" spans="1:17" s="459" customFormat="1" ht="12" customHeight="1">
      <c r="A29" s="457" t="s">
        <v>951</v>
      </c>
      <c r="C29" s="460">
        <v>5.65</v>
      </c>
      <c r="D29" s="460" t="s">
        <v>603</v>
      </c>
      <c r="E29" s="460">
        <v>6.1</v>
      </c>
      <c r="F29" s="460" t="s">
        <v>603</v>
      </c>
      <c r="G29" s="460" t="s">
        <v>603</v>
      </c>
      <c r="H29" s="460" t="s">
        <v>603</v>
      </c>
      <c r="I29" s="460" t="s">
        <v>603</v>
      </c>
      <c r="J29" s="460" t="s">
        <v>603</v>
      </c>
      <c r="K29" s="460" t="s">
        <v>603</v>
      </c>
      <c r="L29" s="413">
        <v>2831.42</v>
      </c>
      <c r="M29" s="413">
        <v>3424</v>
      </c>
      <c r="N29" s="413">
        <v>28265.93</v>
      </c>
      <c r="O29" s="653">
        <v>78.413399999999996</v>
      </c>
      <c r="P29" s="653">
        <v>78.400000000000006</v>
      </c>
      <c r="Q29" s="693" t="s">
        <v>951</v>
      </c>
    </row>
    <row r="30" spans="1:17" s="459" customFormat="1" ht="12" customHeight="1">
      <c r="A30" s="574" t="s">
        <v>960</v>
      </c>
      <c r="B30" s="504"/>
      <c r="C30" s="505">
        <v>5.61</v>
      </c>
      <c r="D30" s="505" t="s">
        <v>603</v>
      </c>
      <c r="E30" s="505">
        <v>6.04</v>
      </c>
      <c r="F30" s="505" t="s">
        <v>603</v>
      </c>
      <c r="G30" s="505" t="s">
        <v>603</v>
      </c>
      <c r="H30" s="505" t="s">
        <v>603</v>
      </c>
      <c r="I30" s="505" t="s">
        <v>603</v>
      </c>
      <c r="J30" s="505" t="s">
        <v>603</v>
      </c>
      <c r="K30" s="505" t="s">
        <v>603</v>
      </c>
      <c r="L30" s="498">
        <v>2682.05</v>
      </c>
      <c r="M30" s="498">
        <v>3265.1</v>
      </c>
      <c r="N30" s="498">
        <v>29106.26</v>
      </c>
      <c r="O30" s="638">
        <v>78.400000000000006</v>
      </c>
      <c r="P30" s="638">
        <v>78.400000000000006</v>
      </c>
      <c r="Q30" s="639" t="s">
        <v>960</v>
      </c>
    </row>
    <row r="31" spans="1:17" s="459" customFormat="1" ht="12" customHeight="1">
      <c r="A31" s="457" t="s">
        <v>961</v>
      </c>
      <c r="C31" s="460">
        <v>5.45</v>
      </c>
      <c r="D31" s="460" t="s">
        <v>603</v>
      </c>
      <c r="E31" s="460">
        <v>5.98</v>
      </c>
      <c r="F31" s="460" t="s">
        <v>603</v>
      </c>
      <c r="G31" s="460" t="s">
        <v>603</v>
      </c>
      <c r="H31" s="460" t="s">
        <v>603</v>
      </c>
      <c r="I31" s="460" t="s">
        <v>603</v>
      </c>
      <c r="J31" s="460" t="s">
        <v>603</v>
      </c>
      <c r="K31" s="460" t="s">
        <v>603</v>
      </c>
      <c r="L31" s="413">
        <v>3026.99</v>
      </c>
      <c r="M31" s="413">
        <v>3662.2</v>
      </c>
      <c r="N31" s="413">
        <v>28802.9</v>
      </c>
      <c r="O31" s="653">
        <v>78.400000000000006</v>
      </c>
      <c r="P31" s="653">
        <v>78.400000000000006</v>
      </c>
      <c r="Q31" s="693" t="s">
        <v>961</v>
      </c>
    </row>
    <row r="32" spans="1:17" s="459" customFormat="1" ht="12" customHeight="1">
      <c r="A32" s="574" t="s">
        <v>952</v>
      </c>
      <c r="B32" s="504"/>
      <c r="C32" s="505">
        <v>5.53</v>
      </c>
      <c r="D32" s="505" t="s">
        <v>603</v>
      </c>
      <c r="E32" s="505">
        <v>5.92</v>
      </c>
      <c r="F32" s="505" t="s">
        <v>603</v>
      </c>
      <c r="G32" s="505" t="s">
        <v>603</v>
      </c>
      <c r="H32" s="505" t="s">
        <v>603</v>
      </c>
      <c r="I32" s="505" t="s">
        <v>603</v>
      </c>
      <c r="J32" s="505" t="s">
        <v>603</v>
      </c>
      <c r="K32" s="505" t="s">
        <v>603</v>
      </c>
      <c r="L32" s="498">
        <v>3592.97</v>
      </c>
      <c r="M32" s="498">
        <v>3512.8</v>
      </c>
      <c r="N32" s="498">
        <v>30137.599999999999</v>
      </c>
      <c r="O32" s="638">
        <v>78.400000000000006</v>
      </c>
      <c r="P32" s="638">
        <v>78.400000000000006</v>
      </c>
      <c r="Q32" s="639" t="s">
        <v>952</v>
      </c>
    </row>
    <row r="33" spans="1:18" s="459" customFormat="1" ht="12" customHeight="1">
      <c r="A33" s="652" t="s">
        <v>2384</v>
      </c>
      <c r="C33" s="622">
        <f>C45</f>
        <v>5.94</v>
      </c>
      <c r="D33" s="622" t="s">
        <v>603</v>
      </c>
      <c r="E33" s="622">
        <f>E45</f>
        <v>5.44</v>
      </c>
      <c r="F33" s="622" t="s">
        <v>603</v>
      </c>
      <c r="G33" s="622" t="s">
        <v>603</v>
      </c>
      <c r="H33" s="622" t="s">
        <v>603</v>
      </c>
      <c r="I33" s="622" t="s">
        <v>603</v>
      </c>
      <c r="J33" s="622" t="s">
        <v>603</v>
      </c>
      <c r="K33" s="622" t="s">
        <v>603</v>
      </c>
      <c r="L33" s="621">
        <f>SUM(L34:L45)</f>
        <v>34835.089999999997</v>
      </c>
      <c r="M33" s="621">
        <f>SUM(M34:M45)</f>
        <v>43573.5</v>
      </c>
      <c r="N33" s="621">
        <f>N45</f>
        <v>33406.6</v>
      </c>
      <c r="O33" s="862">
        <v>79.132999999999996</v>
      </c>
      <c r="P33" s="862">
        <f>P45</f>
        <v>80.598799999999997</v>
      </c>
      <c r="Q33" s="654" t="s">
        <v>2384</v>
      </c>
    </row>
    <row r="34" spans="1:18" s="459" customFormat="1" ht="12" customHeight="1">
      <c r="A34" s="574" t="s">
        <v>954</v>
      </c>
      <c r="B34" s="504"/>
      <c r="C34" s="505">
        <v>5.4</v>
      </c>
      <c r="D34" s="505" t="s">
        <v>603</v>
      </c>
      <c r="E34" s="505">
        <v>5.84</v>
      </c>
      <c r="F34" s="505" t="s">
        <v>603</v>
      </c>
      <c r="G34" s="505" t="s">
        <v>603</v>
      </c>
      <c r="H34" s="505" t="s">
        <v>603</v>
      </c>
      <c r="I34" s="505" t="s">
        <v>603</v>
      </c>
      <c r="J34" s="505" t="s">
        <v>603</v>
      </c>
      <c r="K34" s="505" t="s">
        <v>603</v>
      </c>
      <c r="L34" s="498">
        <v>2534.31</v>
      </c>
      <c r="M34" s="498">
        <v>3088.9</v>
      </c>
      <c r="N34" s="498">
        <v>30039.29</v>
      </c>
      <c r="O34" s="638">
        <v>78.400000000000006</v>
      </c>
      <c r="P34" s="638">
        <v>78.400000000000006</v>
      </c>
      <c r="Q34" s="639" t="s">
        <v>954</v>
      </c>
    </row>
    <row r="35" spans="1:18" s="459" customFormat="1" ht="12" customHeight="1">
      <c r="A35" s="457" t="s">
        <v>955</v>
      </c>
      <c r="C35" s="460">
        <v>5.37</v>
      </c>
      <c r="D35" s="460" t="s">
        <v>603</v>
      </c>
      <c r="E35" s="460">
        <v>5.77</v>
      </c>
      <c r="F35" s="460" t="s">
        <v>603</v>
      </c>
      <c r="G35" s="460" t="s">
        <v>603</v>
      </c>
      <c r="H35" s="460" t="s">
        <v>603</v>
      </c>
      <c r="I35" s="460" t="s">
        <v>603</v>
      </c>
      <c r="J35" s="460" t="s">
        <v>603</v>
      </c>
      <c r="K35" s="460" t="s">
        <v>603</v>
      </c>
      <c r="L35" s="413">
        <v>3303.5</v>
      </c>
      <c r="M35" s="413">
        <v>3446.6</v>
      </c>
      <c r="N35" s="413">
        <v>31165.06</v>
      </c>
      <c r="O35" s="653">
        <v>78.400000000000006</v>
      </c>
      <c r="P35" s="653">
        <v>78.400000000000006</v>
      </c>
      <c r="Q35" s="693" t="s">
        <v>955</v>
      </c>
    </row>
    <row r="36" spans="1:18" s="459" customFormat="1" ht="12" customHeight="1">
      <c r="A36" s="574" t="s">
        <v>949</v>
      </c>
      <c r="B36" s="504"/>
      <c r="C36" s="505">
        <v>5.53</v>
      </c>
      <c r="D36" s="505" t="s">
        <v>603</v>
      </c>
      <c r="E36" s="505">
        <v>5.71</v>
      </c>
      <c r="F36" s="505" t="s">
        <v>603</v>
      </c>
      <c r="G36" s="505" t="s">
        <v>603</v>
      </c>
      <c r="H36" s="505" t="s">
        <v>603</v>
      </c>
      <c r="I36" s="505" t="s">
        <v>603</v>
      </c>
      <c r="J36" s="505" t="s">
        <v>603</v>
      </c>
      <c r="K36" s="505" t="s">
        <v>603</v>
      </c>
      <c r="L36" s="498">
        <v>2241.0100000000002</v>
      </c>
      <c r="M36" s="498">
        <v>3181.9</v>
      </c>
      <c r="N36" s="498">
        <v>31385.87</v>
      </c>
      <c r="O36" s="638">
        <v>78.400000000000006</v>
      </c>
      <c r="P36" s="638">
        <v>78.400000000000006</v>
      </c>
      <c r="Q36" s="639" t="s">
        <v>949</v>
      </c>
    </row>
    <row r="37" spans="1:18" s="459" customFormat="1" ht="12" customHeight="1">
      <c r="A37" s="457" t="s">
        <v>956</v>
      </c>
      <c r="C37" s="460">
        <v>5.57</v>
      </c>
      <c r="D37" s="460" t="s">
        <v>603</v>
      </c>
      <c r="E37" s="460">
        <v>5.66</v>
      </c>
      <c r="F37" s="460" t="s">
        <v>603</v>
      </c>
      <c r="G37" s="460" t="s">
        <v>603</v>
      </c>
      <c r="H37" s="460" t="s">
        <v>603</v>
      </c>
      <c r="I37" s="460" t="s">
        <v>603</v>
      </c>
      <c r="J37" s="460" t="s">
        <v>603</v>
      </c>
      <c r="K37" s="460" t="s">
        <v>603</v>
      </c>
      <c r="L37" s="413">
        <v>2712.83</v>
      </c>
      <c r="M37" s="413">
        <v>3565.4</v>
      </c>
      <c r="N37" s="413">
        <v>31895.31</v>
      </c>
      <c r="O37" s="653">
        <v>78.400800000000004</v>
      </c>
      <c r="P37" s="653">
        <v>78.4148</v>
      </c>
      <c r="Q37" s="693" t="s">
        <v>956</v>
      </c>
    </row>
    <row r="38" spans="1:18" s="459" customFormat="1" ht="12" customHeight="1">
      <c r="A38" s="574" t="s">
        <v>957</v>
      </c>
      <c r="B38" s="504"/>
      <c r="C38" s="505">
        <v>5.38</v>
      </c>
      <c r="D38" s="505" t="s">
        <v>603</v>
      </c>
      <c r="E38" s="505">
        <v>5.6</v>
      </c>
      <c r="F38" s="505" t="s">
        <v>603</v>
      </c>
      <c r="G38" s="505" t="s">
        <v>603</v>
      </c>
      <c r="H38" s="505" t="s">
        <v>603</v>
      </c>
      <c r="I38" s="505" t="s">
        <v>603</v>
      </c>
      <c r="J38" s="505" t="s">
        <v>603</v>
      </c>
      <c r="K38" s="505" t="s">
        <v>603</v>
      </c>
      <c r="L38" s="503">
        <v>2899.32</v>
      </c>
      <c r="M38" s="498">
        <v>3961.3</v>
      </c>
      <c r="N38" s="498">
        <v>31370.880000000001</v>
      </c>
      <c r="O38" s="638">
        <v>78.547200000000004</v>
      </c>
      <c r="P38" s="638">
        <v>78.719700000000003</v>
      </c>
      <c r="Q38" s="639" t="s">
        <v>957</v>
      </c>
    </row>
    <row r="39" spans="1:18" s="459" customFormat="1" ht="12" customHeight="1">
      <c r="A39" s="457" t="s">
        <v>950</v>
      </c>
      <c r="C39" s="460">
        <v>5.03</v>
      </c>
      <c r="D39" s="460" t="s">
        <v>603</v>
      </c>
      <c r="E39" s="460">
        <v>5.51</v>
      </c>
      <c r="F39" s="460" t="s">
        <v>603</v>
      </c>
      <c r="G39" s="460" t="s">
        <v>603</v>
      </c>
      <c r="H39" s="460" t="s">
        <v>603</v>
      </c>
      <c r="I39" s="460" t="s">
        <v>603</v>
      </c>
      <c r="J39" s="460" t="s">
        <v>603</v>
      </c>
      <c r="K39" s="460" t="s">
        <v>603</v>
      </c>
      <c r="L39" s="86">
        <v>3107.13</v>
      </c>
      <c r="M39" s="413">
        <v>3636.9</v>
      </c>
      <c r="N39" s="413">
        <v>32092.19</v>
      </c>
      <c r="O39" s="653">
        <v>78.804000000000002</v>
      </c>
      <c r="P39" s="653">
        <v>78.702200000000005</v>
      </c>
      <c r="Q39" s="693" t="s">
        <v>950</v>
      </c>
    </row>
    <row r="40" spans="1:18" s="459" customFormat="1" ht="12" customHeight="1">
      <c r="A40" s="574" t="s">
        <v>958</v>
      </c>
      <c r="B40" s="504"/>
      <c r="C40" s="505">
        <v>5.15</v>
      </c>
      <c r="D40" s="505" t="s">
        <v>603</v>
      </c>
      <c r="E40" s="505">
        <v>5.44</v>
      </c>
      <c r="F40" s="505" t="s">
        <v>603</v>
      </c>
      <c r="G40" s="505" t="s">
        <v>603</v>
      </c>
      <c r="H40" s="505" t="s">
        <v>603</v>
      </c>
      <c r="I40" s="505" t="s">
        <v>603</v>
      </c>
      <c r="J40" s="505" t="s">
        <v>603</v>
      </c>
      <c r="K40" s="505" t="s">
        <v>603</v>
      </c>
      <c r="L40" s="503">
        <v>3312.04</v>
      </c>
      <c r="M40" s="498">
        <v>4153.2</v>
      </c>
      <c r="N40" s="498">
        <v>31724.17</v>
      </c>
      <c r="O40" s="638">
        <v>78.853399999999993</v>
      </c>
      <c r="P40" s="638">
        <v>79.069500000000005</v>
      </c>
      <c r="Q40" s="639" t="s">
        <v>958</v>
      </c>
    </row>
    <row r="41" spans="1:18" s="459" customFormat="1" ht="12" customHeight="1">
      <c r="A41" s="457" t="s">
        <v>959</v>
      </c>
      <c r="C41" s="460">
        <v>5.31</v>
      </c>
      <c r="D41" s="460" t="s">
        <v>603</v>
      </c>
      <c r="E41" s="460">
        <v>5.41</v>
      </c>
      <c r="F41" s="460" t="s">
        <v>603</v>
      </c>
      <c r="G41" s="460" t="s">
        <v>603</v>
      </c>
      <c r="H41" s="460" t="s">
        <v>603</v>
      </c>
      <c r="I41" s="460" t="s">
        <v>603</v>
      </c>
      <c r="J41" s="460" t="s">
        <v>603</v>
      </c>
      <c r="K41" s="460" t="s">
        <v>603</v>
      </c>
      <c r="L41" s="86">
        <v>2726.12</v>
      </c>
      <c r="M41" s="413">
        <v>3446.3</v>
      </c>
      <c r="N41" s="413">
        <v>32556.66</v>
      </c>
      <c r="O41" s="653">
        <v>79.236000000000004</v>
      </c>
      <c r="P41" s="653">
        <v>79.369699999999995</v>
      </c>
      <c r="Q41" s="693" t="s">
        <v>959</v>
      </c>
    </row>
    <row r="42" spans="1:18" s="459" customFormat="1" ht="12" customHeight="1">
      <c r="A42" s="574" t="s">
        <v>951</v>
      </c>
      <c r="B42" s="504"/>
      <c r="C42" s="505">
        <v>5.39</v>
      </c>
      <c r="D42" s="505" t="s">
        <v>603</v>
      </c>
      <c r="E42" s="505">
        <v>5.39</v>
      </c>
      <c r="F42" s="505" t="s">
        <v>603</v>
      </c>
      <c r="G42" s="505" t="s">
        <v>603</v>
      </c>
      <c r="H42" s="505" t="s">
        <v>603</v>
      </c>
      <c r="I42" s="505" t="s">
        <v>603</v>
      </c>
      <c r="J42" s="505" t="s">
        <v>603</v>
      </c>
      <c r="K42" s="505" t="s">
        <v>603</v>
      </c>
      <c r="L42" s="503">
        <v>3109.76</v>
      </c>
      <c r="M42" s="498">
        <v>4048</v>
      </c>
      <c r="N42" s="498">
        <v>32215.19</v>
      </c>
      <c r="O42" s="638">
        <v>79.535200000000003</v>
      </c>
      <c r="P42" s="638">
        <v>79.67</v>
      </c>
      <c r="Q42" s="639" t="s">
        <v>951</v>
      </c>
    </row>
    <row r="43" spans="1:18" s="459" customFormat="1" ht="12" customHeight="1">
      <c r="A43" s="457" t="s">
        <v>960</v>
      </c>
      <c r="C43" s="460">
        <v>5.47</v>
      </c>
      <c r="D43" s="460" t="s">
        <v>603</v>
      </c>
      <c r="E43" s="460">
        <v>5.38</v>
      </c>
      <c r="F43" s="460" t="s">
        <v>603</v>
      </c>
      <c r="G43" s="460" t="s">
        <v>603</v>
      </c>
      <c r="H43" s="460" t="s">
        <v>603</v>
      </c>
      <c r="I43" s="460" t="s">
        <v>603</v>
      </c>
      <c r="J43" s="460" t="s">
        <v>603</v>
      </c>
      <c r="K43" s="460" t="s">
        <v>603</v>
      </c>
      <c r="L43" s="86">
        <v>2775.69</v>
      </c>
      <c r="M43" s="413">
        <v>3865.5</v>
      </c>
      <c r="N43" s="413">
        <v>32518.77</v>
      </c>
      <c r="O43" s="653">
        <v>79.8322</v>
      </c>
      <c r="P43" s="653">
        <v>80.23</v>
      </c>
      <c r="Q43" s="693" t="s">
        <v>960</v>
      </c>
    </row>
    <row r="44" spans="1:18" s="459" customFormat="1" ht="12" customHeight="1">
      <c r="A44" s="574" t="s">
        <v>961</v>
      </c>
      <c r="B44" s="504"/>
      <c r="C44" s="505">
        <v>5.76</v>
      </c>
      <c r="D44" s="505" t="s">
        <v>603</v>
      </c>
      <c r="E44" s="505">
        <v>5.41</v>
      </c>
      <c r="F44" s="505" t="s">
        <v>603</v>
      </c>
      <c r="G44" s="505" t="s">
        <v>603</v>
      </c>
      <c r="H44" s="505" t="s">
        <v>603</v>
      </c>
      <c r="I44" s="505" t="s">
        <v>603</v>
      </c>
      <c r="J44" s="505" t="s">
        <v>603</v>
      </c>
      <c r="K44" s="505" t="s">
        <v>603</v>
      </c>
      <c r="L44" s="503">
        <v>3069.04</v>
      </c>
      <c r="M44" s="498">
        <v>3920.8</v>
      </c>
      <c r="N44" s="498">
        <v>32245.69</v>
      </c>
      <c r="O44" s="638">
        <v>80.492599999999996</v>
      </c>
      <c r="P44" s="638">
        <v>80.551599999999993</v>
      </c>
      <c r="Q44" s="639" t="s">
        <v>961</v>
      </c>
    </row>
    <row r="45" spans="1:18" s="459" customFormat="1" ht="12" customHeight="1">
      <c r="A45" s="457" t="s">
        <v>952</v>
      </c>
      <c r="C45" s="460">
        <v>5.94</v>
      </c>
      <c r="D45" s="460" t="s">
        <v>603</v>
      </c>
      <c r="E45" s="460">
        <v>5.44</v>
      </c>
      <c r="F45" s="460" t="s">
        <v>603</v>
      </c>
      <c r="G45" s="460" t="s">
        <v>603</v>
      </c>
      <c r="H45" s="460" t="s">
        <v>603</v>
      </c>
      <c r="I45" s="460" t="s">
        <v>603</v>
      </c>
      <c r="J45" s="460" t="s">
        <v>603</v>
      </c>
      <c r="K45" s="460" t="s">
        <v>603</v>
      </c>
      <c r="L45" s="86">
        <v>3044.34</v>
      </c>
      <c r="M45" s="413">
        <v>3258.7</v>
      </c>
      <c r="N45" s="413">
        <v>33406.6</v>
      </c>
      <c r="O45" s="653">
        <v>80.587400000000002</v>
      </c>
      <c r="P45" s="653">
        <v>80.598799999999997</v>
      </c>
      <c r="Q45" s="693" t="s">
        <v>952</v>
      </c>
    </row>
    <row r="46" spans="1:18" s="459" customFormat="1" ht="12" customHeight="1">
      <c r="A46" s="650" t="s">
        <v>2755</v>
      </c>
      <c r="B46" s="504"/>
      <c r="C46" s="505"/>
      <c r="D46" s="505"/>
      <c r="E46" s="505"/>
      <c r="F46" s="505"/>
      <c r="G46" s="505"/>
      <c r="H46" s="505"/>
      <c r="I46" s="505"/>
      <c r="J46" s="505"/>
      <c r="K46" s="505"/>
      <c r="L46" s="503"/>
      <c r="M46" s="498"/>
      <c r="N46" s="498"/>
      <c r="O46" s="638"/>
      <c r="P46" s="638"/>
      <c r="Q46" s="651" t="s">
        <v>2755</v>
      </c>
    </row>
    <row r="47" spans="1:18" s="459" customFormat="1" ht="12" customHeight="1" thickBot="1">
      <c r="A47" s="885" t="s">
        <v>954</v>
      </c>
      <c r="B47" s="801"/>
      <c r="C47" s="894">
        <v>5.57</v>
      </c>
      <c r="D47" s="894" t="s">
        <v>603</v>
      </c>
      <c r="E47" s="894">
        <v>5.45</v>
      </c>
      <c r="F47" s="894" t="s">
        <v>603</v>
      </c>
      <c r="G47" s="894" t="s">
        <v>603</v>
      </c>
      <c r="H47" s="894" t="s">
        <v>603</v>
      </c>
      <c r="I47" s="894" t="s">
        <v>603</v>
      </c>
      <c r="J47" s="894" t="s">
        <v>603</v>
      </c>
      <c r="K47" s="894" t="s">
        <v>603</v>
      </c>
      <c r="L47" s="1435">
        <v>3207</v>
      </c>
      <c r="M47" s="1374" t="s">
        <v>603</v>
      </c>
      <c r="N47" s="1374">
        <v>32907.74</v>
      </c>
      <c r="O47" s="1490">
        <v>80.626300000000001</v>
      </c>
      <c r="P47" s="1490">
        <v>80.66</v>
      </c>
      <c r="Q47" s="1491" t="s">
        <v>954</v>
      </c>
    </row>
    <row r="48" spans="1:18" s="357" customFormat="1" ht="9.75" customHeight="1">
      <c r="A48" s="655" t="s">
        <v>748</v>
      </c>
      <c r="B48" s="1716" t="s">
        <v>2634</v>
      </c>
      <c r="C48" s="1716"/>
      <c r="D48" s="1716"/>
      <c r="E48" s="1716"/>
      <c r="F48" s="1716"/>
      <c r="G48" s="1716"/>
      <c r="H48" s="1716"/>
      <c r="I48" s="1716"/>
      <c r="J48" s="1716"/>
      <c r="K48" s="1716"/>
      <c r="L48" s="656" t="s">
        <v>1214</v>
      </c>
      <c r="M48" s="1716" t="s">
        <v>2635</v>
      </c>
      <c r="N48" s="1716"/>
      <c r="O48" s="1716"/>
      <c r="P48" s="1716"/>
      <c r="Q48" s="1716"/>
      <c r="R48" s="256"/>
    </row>
    <row r="49" spans="1:18" s="53" customFormat="1" ht="8.1" customHeight="1">
      <c r="B49" s="1710" t="s">
        <v>2633</v>
      </c>
      <c r="C49" s="1710"/>
      <c r="D49" s="1710"/>
      <c r="E49" s="1710"/>
      <c r="F49" s="1710"/>
      <c r="G49" s="1710"/>
      <c r="H49" s="1710"/>
      <c r="I49" s="1710"/>
      <c r="J49" s="1710"/>
      <c r="K49" s="1710"/>
      <c r="L49" s="171"/>
      <c r="M49" s="1710" t="s">
        <v>2636</v>
      </c>
      <c r="N49" s="1710"/>
      <c r="O49" s="1710"/>
      <c r="P49" s="1710"/>
      <c r="R49" s="72"/>
    </row>
    <row r="50" spans="1:18" s="53" customFormat="1" ht="8.25" customHeight="1">
      <c r="B50" s="1714" t="s">
        <v>2632</v>
      </c>
      <c r="C50" s="1714"/>
      <c r="D50" s="1714"/>
      <c r="E50" s="1714"/>
      <c r="F50" s="1714"/>
      <c r="G50" s="1714"/>
      <c r="H50" s="1714"/>
      <c r="I50" s="291"/>
      <c r="J50" s="291"/>
      <c r="K50" s="291"/>
      <c r="L50" s="171"/>
      <c r="M50" s="1710" t="s">
        <v>2504</v>
      </c>
      <c r="N50" s="1710"/>
      <c r="O50" s="1710"/>
      <c r="P50" s="1710"/>
      <c r="Q50" s="1710"/>
      <c r="R50" s="72"/>
    </row>
    <row r="51" spans="1:18" s="53" customFormat="1" ht="8.25" customHeight="1">
      <c r="B51" s="1715" t="s">
        <v>2631</v>
      </c>
      <c r="C51" s="1715"/>
      <c r="D51" s="1715"/>
      <c r="E51" s="1715"/>
      <c r="F51" s="1715"/>
      <c r="G51" s="1715"/>
      <c r="H51" s="1715"/>
      <c r="I51" s="1715"/>
      <c r="J51" s="1715"/>
      <c r="K51" s="291"/>
      <c r="L51" s="171"/>
      <c r="M51" s="1710"/>
      <c r="N51" s="1710"/>
      <c r="O51" s="1710"/>
      <c r="P51" s="1710"/>
      <c r="Q51" s="72"/>
    </row>
    <row r="52" spans="1:18" s="53" customFormat="1" ht="7.5" customHeight="1">
      <c r="A52" s="227"/>
      <c r="B52" s="1710" t="s">
        <v>2276</v>
      </c>
      <c r="C52" s="1710"/>
      <c r="D52" s="1710"/>
      <c r="E52" s="1710"/>
      <c r="F52" s="1710"/>
      <c r="G52" s="1710"/>
      <c r="I52" s="52"/>
      <c r="L52" s="294" t="s">
        <v>1215</v>
      </c>
      <c r="M52" s="63" t="s">
        <v>2637</v>
      </c>
      <c r="N52" s="63"/>
      <c r="O52" s="63"/>
      <c r="Q52" s="256"/>
    </row>
    <row r="53" spans="1:18" s="53" customFormat="1" ht="7.5" customHeight="1">
      <c r="A53" s="227" t="s">
        <v>747</v>
      </c>
      <c r="B53" s="1710" t="s">
        <v>318</v>
      </c>
      <c r="C53" s="1710"/>
      <c r="D53" s="1710"/>
      <c r="E53" s="1710"/>
      <c r="F53" s="1710"/>
      <c r="G53" s="1710"/>
      <c r="L53" s="291" t="s">
        <v>319</v>
      </c>
      <c r="M53" s="1711" t="s">
        <v>2638</v>
      </c>
      <c r="N53" s="1711"/>
      <c r="O53" s="1711"/>
      <c r="P53" s="1711"/>
      <c r="Q53" s="1711"/>
      <c r="R53" s="72"/>
    </row>
    <row r="54" spans="1:18" s="53" customFormat="1" ht="9.75" customHeight="1">
      <c r="C54" s="10"/>
      <c r="R54" s="72"/>
    </row>
    <row r="55" spans="1:18" s="53" customFormat="1" ht="9.9499999999999993" customHeight="1">
      <c r="C55" s="10"/>
      <c r="J55" s="52"/>
    </row>
    <row r="56" spans="1:18">
      <c r="D56" s="11"/>
      <c r="E56" s="11"/>
      <c r="F56" s="11"/>
      <c r="G56" s="11"/>
      <c r="H56" s="11"/>
      <c r="I56" s="11"/>
      <c r="J56" s="11"/>
      <c r="K56" s="11"/>
      <c r="L56" s="54"/>
      <c r="M56" s="54"/>
      <c r="O56" s="11"/>
      <c r="P56" s="11"/>
      <c r="Q56" s="11"/>
    </row>
    <row r="57" spans="1:18" ht="12.75">
      <c r="D57" s="11"/>
      <c r="E57" s="11"/>
      <c r="F57" s="11"/>
      <c r="G57" s="11"/>
      <c r="H57" s="11"/>
      <c r="I57" s="11"/>
      <c r="J57" s="11"/>
      <c r="K57" s="11"/>
      <c r="L57" s="1332"/>
      <c r="M57" s="11"/>
      <c r="N57" s="1462"/>
      <c r="O57" s="11"/>
      <c r="P57" s="11"/>
      <c r="Q57" s="11"/>
    </row>
    <row r="58" spans="1:18"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8">
      <c r="D59" s="11"/>
      <c r="E59" s="11"/>
      <c r="F59" s="11"/>
      <c r="G59" s="11"/>
      <c r="H59" s="250"/>
      <c r="I59" s="250"/>
      <c r="J59" s="250"/>
      <c r="K59" s="250"/>
      <c r="L59" s="250"/>
      <c r="M59" s="250"/>
      <c r="N59" s="250"/>
      <c r="O59" s="250"/>
      <c r="P59" s="250"/>
      <c r="Q59" s="11"/>
    </row>
    <row r="60" spans="1:18">
      <c r="D60" s="11"/>
      <c r="E60" s="11"/>
      <c r="F60" s="11"/>
      <c r="G60" s="11"/>
      <c r="H60" s="11"/>
      <c r="I60" s="11"/>
      <c r="J60" s="11"/>
      <c r="K60" s="11"/>
      <c r="L60" s="35"/>
      <c r="M60" s="11"/>
      <c r="N60" s="11"/>
      <c r="O60" s="11"/>
      <c r="P60" s="11"/>
      <c r="Q60" s="11"/>
    </row>
    <row r="61" spans="1:18">
      <c r="D61" s="11"/>
      <c r="E61" s="11"/>
      <c r="F61" s="11"/>
      <c r="G61" s="11"/>
      <c r="H61" s="11"/>
      <c r="I61" s="11"/>
      <c r="J61" s="11"/>
      <c r="K61" s="11"/>
      <c r="L61" s="36"/>
      <c r="M61" s="11"/>
      <c r="N61" s="11"/>
      <c r="O61" s="11"/>
      <c r="P61" s="11"/>
      <c r="Q61" s="11"/>
    </row>
    <row r="62" spans="1:18">
      <c r="D62" s="11"/>
      <c r="E62" s="11"/>
      <c r="F62" s="11"/>
      <c r="G62" s="11"/>
      <c r="H62" s="11"/>
      <c r="I62" s="11"/>
      <c r="J62" s="11"/>
      <c r="K62" s="11"/>
      <c r="L62" s="36"/>
      <c r="M62" s="11"/>
      <c r="N62" s="11"/>
      <c r="O62" s="11"/>
      <c r="P62" s="11"/>
      <c r="Q62" s="11"/>
    </row>
    <row r="63" spans="1:18">
      <c r="D63" s="11"/>
      <c r="E63" s="11"/>
      <c r="F63" s="11"/>
      <c r="G63" s="11"/>
      <c r="H63" s="11"/>
      <c r="I63" s="11"/>
      <c r="J63" s="11"/>
      <c r="K63" s="11"/>
      <c r="L63" s="250"/>
      <c r="M63" s="11"/>
      <c r="N63" s="11"/>
      <c r="O63" s="11"/>
      <c r="P63" s="11"/>
      <c r="Q63" s="11"/>
    </row>
    <row r="64" spans="1:18">
      <c r="D64" s="11"/>
      <c r="E64" s="11"/>
      <c r="F64" s="11"/>
      <c r="G64" s="11"/>
      <c r="H64" s="11"/>
      <c r="I64" s="11"/>
      <c r="J64" s="11"/>
      <c r="K64" s="11"/>
      <c r="L64" s="36"/>
      <c r="M64" s="11"/>
      <c r="N64" s="11"/>
      <c r="O64" s="11"/>
      <c r="P64" s="11"/>
      <c r="Q64" s="11"/>
    </row>
    <row r="65" spans="4:17">
      <c r="D65" s="11"/>
      <c r="E65" s="11"/>
      <c r="F65" s="11"/>
      <c r="G65" s="11"/>
      <c r="H65" s="11"/>
      <c r="I65" s="11"/>
      <c r="J65" s="11"/>
      <c r="K65" s="11"/>
      <c r="L65" s="36"/>
      <c r="M65" s="11"/>
      <c r="N65" s="11"/>
      <c r="O65" s="11"/>
      <c r="P65" s="11"/>
      <c r="Q65" s="11"/>
    </row>
    <row r="66" spans="4:17">
      <c r="L66" s="35"/>
    </row>
    <row r="67" spans="4:17">
      <c r="L67" s="36"/>
    </row>
    <row r="68" spans="4:17">
      <c r="L68" s="36"/>
    </row>
    <row r="69" spans="4:17">
      <c r="L69" s="36"/>
    </row>
    <row r="70" spans="4:17">
      <c r="L70" s="36"/>
    </row>
  </sheetData>
  <mergeCells count="40">
    <mergeCell ref="B53:G53"/>
    <mergeCell ref="M53:Q53"/>
    <mergeCell ref="B52:G52"/>
    <mergeCell ref="B49:K49"/>
    <mergeCell ref="D5:D6"/>
    <mergeCell ref="M49:P49"/>
    <mergeCell ref="B50:H50"/>
    <mergeCell ref="M50:Q50"/>
    <mergeCell ref="B51:J51"/>
    <mergeCell ref="M51:P51"/>
    <mergeCell ref="B48:K48"/>
    <mergeCell ref="C5:C6"/>
    <mergeCell ref="E5:E6"/>
    <mergeCell ref="F5:F6"/>
    <mergeCell ref="A3:B7"/>
    <mergeCell ref="M48:Q48"/>
    <mergeCell ref="P1:Q1"/>
    <mergeCell ref="P2:Q2"/>
    <mergeCell ref="G3:K3"/>
    <mergeCell ref="O4:P4"/>
    <mergeCell ref="L4:M4"/>
    <mergeCell ref="G4:H4"/>
    <mergeCell ref="N4:N6"/>
    <mergeCell ref="I4:K4"/>
    <mergeCell ref="Q3:Q7"/>
    <mergeCell ref="P5:P6"/>
    <mergeCell ref="L3:N3"/>
    <mergeCell ref="H5:H6"/>
    <mergeCell ref="O3:P3"/>
    <mergeCell ref="L5:L6"/>
    <mergeCell ref="A1:G1"/>
    <mergeCell ref="I5:I6"/>
    <mergeCell ref="C3:F4"/>
    <mergeCell ref="J5:J6"/>
    <mergeCell ref="M5:M6"/>
    <mergeCell ref="H1:K1"/>
    <mergeCell ref="O5:O6"/>
    <mergeCell ref="G5:G6"/>
    <mergeCell ref="K5:K6"/>
    <mergeCell ref="G2:K2"/>
  </mergeCells>
  <phoneticPr fontId="0" type="noConversion"/>
  <pageMargins left="0.43307086614173201" right="0.23622047244094499" top="0.511811023622047" bottom="0.511811023622047" header="0" footer="0.183070866"/>
  <pageSetup paperSize="151" firstPageNumber="10" orientation="portrait" useFirstPageNumber="1" r:id="rId1"/>
  <headerFooter alignWithMargins="0">
    <oddFooter>&amp;C&amp;"Times New Roman,Regular"&amp;8&amp;P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R62"/>
  <sheetViews>
    <sheetView zoomScale="130" zoomScaleNormal="130" workbookViewId="0">
      <pane xSplit="1" ySplit="9" topLeftCell="B31" activePane="bottomRight" state="frozen"/>
      <selection pane="topRight" activeCell="B1" sqref="B1"/>
      <selection pane="bottomLeft" activeCell="A10" sqref="A10"/>
      <selection pane="bottomRight" activeCell="A20" sqref="A20:XFD20"/>
    </sheetView>
  </sheetViews>
  <sheetFormatPr defaultColWidth="9.140625" defaultRowHeight="11.25"/>
  <cols>
    <col min="1" max="1" width="8.5703125" style="10" customWidth="1"/>
    <col min="2" max="2" width="9.5703125" style="10" customWidth="1"/>
    <col min="3" max="3" width="10.140625" style="10" customWidth="1"/>
    <col min="4" max="4" width="12" style="10" bestFit="1" customWidth="1"/>
    <col min="5" max="5" width="10.85546875" style="10" customWidth="1"/>
    <col min="6" max="6" width="10.28515625" style="10" customWidth="1"/>
    <col min="7" max="7" width="8" style="10" customWidth="1"/>
    <col min="8" max="8" width="9.140625" style="10"/>
    <col min="9" max="9" width="9.140625" style="10" customWidth="1"/>
    <col min="10" max="10" width="10" style="10" customWidth="1"/>
    <col min="11" max="11" width="10.28515625" style="10" customWidth="1"/>
    <col min="12" max="12" width="10.140625" style="10" customWidth="1"/>
    <col min="13" max="13" width="8.5703125" style="10" customWidth="1"/>
    <col min="14" max="14" width="8.42578125" style="10" customWidth="1"/>
    <col min="15" max="15" width="9.28515625" style="10" customWidth="1"/>
    <col min="16" max="16" width="9" style="10" customWidth="1"/>
    <col min="17" max="16384" width="9.140625" style="10"/>
  </cols>
  <sheetData>
    <row r="1" spans="1:16" s="48" customFormat="1" ht="15" customHeight="1">
      <c r="A1" s="1709"/>
      <c r="B1" s="1709"/>
      <c r="C1" s="1709"/>
      <c r="D1" s="58"/>
      <c r="G1" s="1694" t="s">
        <v>742</v>
      </c>
      <c r="H1" s="1694"/>
      <c r="I1" s="1752" t="s">
        <v>1759</v>
      </c>
      <c r="J1" s="1752"/>
      <c r="K1" s="49"/>
      <c r="L1" s="49"/>
      <c r="M1" s="49"/>
      <c r="N1" s="49"/>
      <c r="O1" s="1694" t="s">
        <v>321</v>
      </c>
      <c r="P1" s="1694"/>
    </row>
    <row r="2" spans="1:16" ht="12">
      <c r="A2" s="65"/>
      <c r="O2" s="1750" t="s">
        <v>41</v>
      </c>
      <c r="P2" s="1751"/>
    </row>
    <row r="3" spans="1:16" s="306" customFormat="1" ht="12.75" customHeight="1">
      <c r="A3" s="1684" t="s">
        <v>1644</v>
      </c>
      <c r="B3" s="1738" t="s">
        <v>876</v>
      </c>
      <c r="C3" s="1738"/>
      <c r="D3" s="1739"/>
      <c r="E3" s="1746" t="s">
        <v>648</v>
      </c>
      <c r="F3" s="1738"/>
      <c r="G3" s="1738"/>
      <c r="H3" s="1738"/>
      <c r="I3" s="1738" t="s">
        <v>964</v>
      </c>
      <c r="J3" s="1738"/>
      <c r="K3" s="1738"/>
      <c r="L3" s="1360"/>
      <c r="M3" s="1730" t="s">
        <v>1648</v>
      </c>
      <c r="N3" s="1730" t="s">
        <v>1649</v>
      </c>
      <c r="O3" s="1736" t="s">
        <v>1760</v>
      </c>
      <c r="P3" s="1684" t="s">
        <v>1644</v>
      </c>
    </row>
    <row r="4" spans="1:16" s="306" customFormat="1" ht="15.75" customHeight="1">
      <c r="A4" s="1685"/>
      <c r="B4" s="1740" t="s">
        <v>212</v>
      </c>
      <c r="C4" s="1730" t="s">
        <v>213</v>
      </c>
      <c r="D4" s="1730" t="s">
        <v>1916</v>
      </c>
      <c r="E4" s="1733" t="s">
        <v>297</v>
      </c>
      <c r="F4" s="1734"/>
      <c r="G4" s="1734"/>
      <c r="H4" s="1734"/>
      <c r="I4" s="1734"/>
      <c r="J4" s="1735"/>
      <c r="K4" s="1728" t="s">
        <v>1647</v>
      </c>
      <c r="L4" s="1724" t="s">
        <v>995</v>
      </c>
      <c r="M4" s="1731"/>
      <c r="N4" s="1731"/>
      <c r="O4" s="1737"/>
      <c r="P4" s="1685"/>
    </row>
    <row r="5" spans="1:16" s="306" customFormat="1" ht="12" customHeight="1">
      <c r="A5" s="1685"/>
      <c r="B5" s="1741"/>
      <c r="C5" s="1731"/>
      <c r="D5" s="1731"/>
      <c r="E5" s="1747" t="s">
        <v>878</v>
      </c>
      <c r="F5" s="1748"/>
      <c r="G5" s="1749"/>
      <c r="H5" s="1742" t="s">
        <v>307</v>
      </c>
      <c r="I5" s="1743"/>
      <c r="J5" s="1740"/>
      <c r="K5" s="1729"/>
      <c r="L5" s="1725"/>
      <c r="M5" s="1731"/>
      <c r="N5" s="1731"/>
      <c r="O5" s="1737"/>
      <c r="P5" s="1685"/>
    </row>
    <row r="6" spans="1:16" s="306" customFormat="1" ht="24" customHeight="1">
      <c r="A6" s="1685"/>
      <c r="B6" s="1741"/>
      <c r="C6" s="1731"/>
      <c r="D6" s="1731"/>
      <c r="E6" s="1730" t="s">
        <v>212</v>
      </c>
      <c r="F6" s="1730" t="s">
        <v>213</v>
      </c>
      <c r="G6" s="1736" t="s">
        <v>1645</v>
      </c>
      <c r="H6" s="1634" t="s">
        <v>212</v>
      </c>
      <c r="I6" s="1634" t="s">
        <v>213</v>
      </c>
      <c r="J6" s="1744" t="s">
        <v>1646</v>
      </c>
      <c r="K6" s="1729"/>
      <c r="L6" s="1725"/>
      <c r="M6" s="1731"/>
      <c r="N6" s="1731"/>
      <c r="O6" s="1737"/>
      <c r="P6" s="1685"/>
    </row>
    <row r="7" spans="1:16" s="306" customFormat="1" ht="15.75" customHeight="1">
      <c r="A7" s="1685"/>
      <c r="B7" s="1741"/>
      <c r="C7" s="1731"/>
      <c r="D7" s="1731"/>
      <c r="E7" s="1731"/>
      <c r="F7" s="1731"/>
      <c r="G7" s="1737"/>
      <c r="H7" s="1665"/>
      <c r="I7" s="1665"/>
      <c r="J7" s="1745"/>
      <c r="K7" s="1729"/>
      <c r="L7" s="1725"/>
      <c r="M7" s="1731"/>
      <c r="N7" s="1731"/>
      <c r="O7" s="1737"/>
      <c r="P7" s="1685"/>
    </row>
    <row r="8" spans="1:16" ht="6.75" customHeight="1">
      <c r="A8" s="1685"/>
      <c r="B8" s="1741"/>
      <c r="C8" s="1731"/>
      <c r="D8" s="1731"/>
      <c r="E8" s="286"/>
      <c r="F8" s="286"/>
      <c r="G8" s="287"/>
      <c r="H8" s="288"/>
      <c r="I8" s="288"/>
      <c r="J8" s="289"/>
      <c r="K8" s="66"/>
      <c r="L8" s="1725"/>
      <c r="M8" s="67"/>
      <c r="N8" s="67"/>
      <c r="O8" s="68"/>
      <c r="P8" s="1685"/>
    </row>
    <row r="9" spans="1:16" s="16" customFormat="1" ht="10.5" customHeight="1">
      <c r="A9" s="1686"/>
      <c r="B9" s="69">
        <v>1</v>
      </c>
      <c r="C9" s="69">
        <v>2</v>
      </c>
      <c r="D9" s="69">
        <v>3</v>
      </c>
      <c r="E9" s="69">
        <v>4</v>
      </c>
      <c r="F9" s="69">
        <v>5</v>
      </c>
      <c r="G9" s="69">
        <v>6</v>
      </c>
      <c r="H9" s="69">
        <v>7</v>
      </c>
      <c r="I9" s="69">
        <v>8</v>
      </c>
      <c r="J9" s="69">
        <v>9</v>
      </c>
      <c r="K9" s="69">
        <v>10</v>
      </c>
      <c r="L9" s="69">
        <v>11</v>
      </c>
      <c r="M9" s="69">
        <v>12</v>
      </c>
      <c r="N9" s="69">
        <v>13</v>
      </c>
      <c r="O9" s="69">
        <v>14</v>
      </c>
      <c r="P9" s="1686"/>
    </row>
    <row r="10" spans="1:16" ht="13.9" customHeight="1">
      <c r="A10" s="70" t="s">
        <v>947</v>
      </c>
      <c r="B10" s="420">
        <f>13959.5-417.2</f>
        <v>13542.3</v>
      </c>
      <c r="C10" s="38">
        <v>2370.8000000000002</v>
      </c>
      <c r="D10" s="35">
        <f t="shared" ref="D10" si="0">B10+C10</f>
        <v>15913.099999999999</v>
      </c>
      <c r="E10" s="38">
        <f>11897.6-50</f>
        <v>11847.6</v>
      </c>
      <c r="F10" s="38">
        <v>10051.200000000001</v>
      </c>
      <c r="G10" s="35">
        <f t="shared" ref="G10:G11" si="1">E10+F10</f>
        <v>21898.800000000003</v>
      </c>
      <c r="H10" s="38">
        <f>1191.1+50</f>
        <v>1241.0999999999999</v>
      </c>
      <c r="I10" s="38">
        <v>7776.6</v>
      </c>
      <c r="J10" s="35">
        <f t="shared" ref="J10" si="2">H10+I10</f>
        <v>9017.7000000000007</v>
      </c>
      <c r="K10" s="404">
        <v>95869.4</v>
      </c>
      <c r="L10" s="405">
        <f t="shared" ref="L10:L17" si="3">G10+J10+K10</f>
        <v>126785.9</v>
      </c>
      <c r="M10" s="404">
        <f>-13395+417.2</f>
        <v>-12977.8</v>
      </c>
      <c r="N10" s="404">
        <f t="shared" ref="N10" si="4">L10+M10</f>
        <v>113808.09999999999</v>
      </c>
      <c r="O10" s="405">
        <f t="shared" ref="O10" si="5">D10+N10</f>
        <v>129721.19999999998</v>
      </c>
      <c r="P10" s="60" t="s">
        <v>947</v>
      </c>
    </row>
    <row r="11" spans="1:16" ht="13.9" customHeight="1">
      <c r="A11" s="521" t="s">
        <v>948</v>
      </c>
      <c r="B11" s="807">
        <v>14678.2</v>
      </c>
      <c r="C11" s="509">
        <v>3540.1</v>
      </c>
      <c r="D11" s="503">
        <f t="shared" ref="D11:D18" si="6">B11+C11</f>
        <v>18218.3</v>
      </c>
      <c r="E11" s="509">
        <f>15724.3-50</f>
        <v>15674.3</v>
      </c>
      <c r="F11" s="509">
        <v>9908.4</v>
      </c>
      <c r="G11" s="508">
        <f t="shared" si="1"/>
        <v>25582.699999999997</v>
      </c>
      <c r="H11" s="509">
        <f>1055.6+50</f>
        <v>1105.5999999999999</v>
      </c>
      <c r="I11" s="509">
        <v>10133.5</v>
      </c>
      <c r="J11" s="503">
        <f t="shared" ref="J11:J17" si="7">H11+I11</f>
        <v>11239.1</v>
      </c>
      <c r="K11" s="497">
        <v>112015.5</v>
      </c>
      <c r="L11" s="498">
        <f>G11+J11+K11</f>
        <v>148837.29999999999</v>
      </c>
      <c r="M11" s="774">
        <v>-15609.199999999999</v>
      </c>
      <c r="N11" s="497">
        <f t="shared" ref="N11:N16" si="8">L11+M11</f>
        <v>133228.09999999998</v>
      </c>
      <c r="O11" s="498">
        <f>D11+N11</f>
        <v>151446.39999999997</v>
      </c>
      <c r="P11" s="522" t="s">
        <v>948</v>
      </c>
    </row>
    <row r="12" spans="1:16" ht="13.9" customHeight="1">
      <c r="A12" s="70" t="s">
        <v>953</v>
      </c>
      <c r="B12" s="805">
        <v>18640.3</v>
      </c>
      <c r="C12" s="38">
        <v>2870.7</v>
      </c>
      <c r="D12" s="35">
        <f t="shared" si="6"/>
        <v>21511</v>
      </c>
      <c r="E12" s="898">
        <v>24982.7</v>
      </c>
      <c r="F12" s="898">
        <v>6551.5</v>
      </c>
      <c r="G12" s="36">
        <f t="shared" ref="G12:G17" si="9">E12+F12</f>
        <v>31534.2</v>
      </c>
      <c r="H12" s="38">
        <f>966+50</f>
        <v>1016</v>
      </c>
      <c r="I12" s="898">
        <v>13544.6</v>
      </c>
      <c r="J12" s="35">
        <f t="shared" si="7"/>
        <v>14560.6</v>
      </c>
      <c r="K12" s="404">
        <v>132317.5</v>
      </c>
      <c r="L12" s="405">
        <f>G12+J12+K12</f>
        <v>178412.3</v>
      </c>
      <c r="M12" s="898">
        <v>-19249</v>
      </c>
      <c r="N12" s="404">
        <f t="shared" si="8"/>
        <v>159163.29999999999</v>
      </c>
      <c r="O12" s="405">
        <f>D12+N12</f>
        <v>180674.3</v>
      </c>
      <c r="P12" s="60" t="s">
        <v>953</v>
      </c>
    </row>
    <row r="13" spans="1:16" ht="13.9" customHeight="1">
      <c r="A13" s="521" t="s">
        <v>962</v>
      </c>
      <c r="B13" s="807">
        <v>28758.400000000001</v>
      </c>
      <c r="C13" s="503">
        <v>3622.8</v>
      </c>
      <c r="D13" s="503">
        <f t="shared" si="6"/>
        <v>32381.200000000001</v>
      </c>
      <c r="E13" s="900">
        <v>25074.9</v>
      </c>
      <c r="F13" s="900">
        <v>10863.9</v>
      </c>
      <c r="G13" s="503">
        <f t="shared" si="9"/>
        <v>35938.800000000003</v>
      </c>
      <c r="H13" s="503">
        <v>988</v>
      </c>
      <c r="I13" s="900">
        <v>15057.5</v>
      </c>
      <c r="J13" s="508">
        <f t="shared" si="7"/>
        <v>16045.5</v>
      </c>
      <c r="K13" s="504">
        <v>152177.1</v>
      </c>
      <c r="L13" s="504">
        <f>G13+J13+K13</f>
        <v>204161.40000000002</v>
      </c>
      <c r="M13" s="900">
        <v>-25038.2</v>
      </c>
      <c r="N13" s="504">
        <f t="shared" si="8"/>
        <v>179123.20000000001</v>
      </c>
      <c r="O13" s="504">
        <f>D13+N13</f>
        <v>211504.40000000002</v>
      </c>
      <c r="P13" s="522" t="s">
        <v>962</v>
      </c>
    </row>
    <row r="14" spans="1:16" ht="13.9" customHeight="1">
      <c r="A14" s="70" t="s">
        <v>675</v>
      </c>
      <c r="B14" s="805">
        <v>32813.800000000003</v>
      </c>
      <c r="C14" s="36">
        <v>4482.1000000000004</v>
      </c>
      <c r="D14" s="36">
        <f t="shared" si="6"/>
        <v>37295.9</v>
      </c>
      <c r="E14" s="898">
        <v>25927.7</v>
      </c>
      <c r="F14" s="898">
        <v>20823.3</v>
      </c>
      <c r="G14" s="35">
        <f t="shared" si="9"/>
        <v>46751</v>
      </c>
      <c r="H14" s="36">
        <v>946.4</v>
      </c>
      <c r="I14" s="898">
        <v>9216</v>
      </c>
      <c r="J14" s="36">
        <f t="shared" si="7"/>
        <v>10162.4</v>
      </c>
      <c r="K14" s="391">
        <v>190135.7</v>
      </c>
      <c r="L14" s="405">
        <f t="shared" si="3"/>
        <v>247049.1</v>
      </c>
      <c r="M14" s="898">
        <v>-35550.199999999997</v>
      </c>
      <c r="N14" s="405">
        <f t="shared" si="8"/>
        <v>211498.90000000002</v>
      </c>
      <c r="O14" s="391">
        <f>D14+N14</f>
        <v>248794.80000000002</v>
      </c>
      <c r="P14" s="60" t="s">
        <v>675</v>
      </c>
    </row>
    <row r="15" spans="1:16" ht="13.9" customHeight="1">
      <c r="A15" s="521" t="s">
        <v>141</v>
      </c>
      <c r="B15" s="807">
        <v>43227.5</v>
      </c>
      <c r="C15" s="508">
        <v>4214.5</v>
      </c>
      <c r="D15" s="503">
        <f t="shared" si="6"/>
        <v>47442</v>
      </c>
      <c r="E15" s="900">
        <v>28471.5</v>
      </c>
      <c r="F15" s="900">
        <v>29536.1</v>
      </c>
      <c r="G15" s="508">
        <f t="shared" si="9"/>
        <v>58007.6</v>
      </c>
      <c r="H15" s="508">
        <v>853.1</v>
      </c>
      <c r="I15" s="900">
        <v>10066.6</v>
      </c>
      <c r="J15" s="508">
        <f t="shared" si="7"/>
        <v>10919.7</v>
      </c>
      <c r="K15" s="504">
        <v>217927.5</v>
      </c>
      <c r="L15" s="498">
        <f t="shared" si="3"/>
        <v>286854.8</v>
      </c>
      <c r="M15" s="900">
        <v>-37797</v>
      </c>
      <c r="N15" s="498">
        <f t="shared" si="8"/>
        <v>249057.8</v>
      </c>
      <c r="O15" s="504">
        <v>296499.7</v>
      </c>
      <c r="P15" s="522" t="s">
        <v>141</v>
      </c>
    </row>
    <row r="16" spans="1:16" ht="13.9" customHeight="1">
      <c r="A16" s="70" t="s">
        <v>136</v>
      </c>
      <c r="B16" s="799">
        <v>61181</v>
      </c>
      <c r="C16" s="36">
        <v>5868.8</v>
      </c>
      <c r="D16" s="36">
        <f t="shared" si="6"/>
        <v>67049.8</v>
      </c>
      <c r="E16" s="898">
        <v>21471.200000000001</v>
      </c>
      <c r="F16" s="898">
        <v>32781.699999999997</v>
      </c>
      <c r="G16" s="36">
        <f t="shared" si="9"/>
        <v>54252.899999999994</v>
      </c>
      <c r="H16" s="36">
        <v>830.7</v>
      </c>
      <c r="I16" s="898">
        <v>11983.2</v>
      </c>
      <c r="J16" s="36">
        <f t="shared" si="7"/>
        <v>12813.900000000001</v>
      </c>
      <c r="K16" s="391">
        <v>270760.8</v>
      </c>
      <c r="L16" s="405">
        <f t="shared" si="3"/>
        <v>337827.6</v>
      </c>
      <c r="M16" s="898">
        <v>-41846</v>
      </c>
      <c r="N16" s="405">
        <f t="shared" si="8"/>
        <v>295981.59999999998</v>
      </c>
      <c r="O16" s="391">
        <v>363031.2</v>
      </c>
      <c r="P16" s="60" t="s">
        <v>136</v>
      </c>
    </row>
    <row r="17" spans="1:18" ht="13.9" customHeight="1">
      <c r="A17" s="521" t="s">
        <v>317</v>
      </c>
      <c r="B17" s="800">
        <v>61342.1</v>
      </c>
      <c r="C17" s="508">
        <v>9231.2999999999993</v>
      </c>
      <c r="D17" s="508">
        <f t="shared" si="6"/>
        <v>70573.399999999994</v>
      </c>
      <c r="E17" s="900">
        <v>31710.5</v>
      </c>
      <c r="F17" s="900">
        <v>41517.4</v>
      </c>
      <c r="G17" s="508">
        <f t="shared" si="9"/>
        <v>73227.899999999994</v>
      </c>
      <c r="H17" s="508">
        <v>776.7</v>
      </c>
      <c r="I17" s="900">
        <v>16175.7</v>
      </c>
      <c r="J17" s="508">
        <f t="shared" si="7"/>
        <v>16952.400000000001</v>
      </c>
      <c r="K17" s="504">
        <v>340712.7</v>
      </c>
      <c r="L17" s="498">
        <f t="shared" si="3"/>
        <v>430893</v>
      </c>
      <c r="M17" s="900">
        <v>-60946.400000000001</v>
      </c>
      <c r="N17" s="498">
        <v>369946.5</v>
      </c>
      <c r="O17" s="504">
        <v>440519.9</v>
      </c>
      <c r="P17" s="522" t="s">
        <v>317</v>
      </c>
    </row>
    <row r="18" spans="1:18" s="300" customFormat="1" ht="13.9" customHeight="1">
      <c r="A18" s="891" t="s">
        <v>1299</v>
      </c>
      <c r="B18" s="799">
        <v>68930.100000000006</v>
      </c>
      <c r="C18" s="40">
        <v>9888.6</v>
      </c>
      <c r="D18" s="36">
        <f t="shared" si="6"/>
        <v>78818.700000000012</v>
      </c>
      <c r="E18" s="898">
        <v>37854.9</v>
      </c>
      <c r="F18" s="898">
        <v>53873.9</v>
      </c>
      <c r="G18" s="40">
        <v>91728.9</v>
      </c>
      <c r="H18" s="40">
        <v>1181.9000000000001</v>
      </c>
      <c r="I18" s="898">
        <v>14160.2</v>
      </c>
      <c r="J18" s="40">
        <v>15342.1</v>
      </c>
      <c r="K18" s="459">
        <v>407901.60000000003</v>
      </c>
      <c r="L18" s="413">
        <v>514972.60000000003</v>
      </c>
      <c r="M18" s="898">
        <v>-76681.7</v>
      </c>
      <c r="N18" s="413">
        <v>438290.80000000005</v>
      </c>
      <c r="O18" s="459">
        <v>517109.50000000006</v>
      </c>
      <c r="P18" s="882" t="s">
        <v>1299</v>
      </c>
    </row>
    <row r="19" spans="1:18" s="300" customFormat="1" ht="13.9" customHeight="1">
      <c r="A19" s="521" t="s">
        <v>1505</v>
      </c>
      <c r="B19" s="800">
        <v>103246</v>
      </c>
      <c r="C19" s="508">
        <v>10004.200000000001</v>
      </c>
      <c r="D19" s="508">
        <v>113250.2</v>
      </c>
      <c r="E19" s="900">
        <v>27069</v>
      </c>
      <c r="F19" s="900">
        <v>83055.600000000006</v>
      </c>
      <c r="G19" s="508">
        <v>110124.6</v>
      </c>
      <c r="H19" s="508">
        <v>1354.5</v>
      </c>
      <c r="I19" s="900">
        <v>8100.8</v>
      </c>
      <c r="J19" s="508">
        <v>9455.2999999999993</v>
      </c>
      <c r="K19" s="504">
        <v>452157.2</v>
      </c>
      <c r="L19" s="498">
        <v>571737.1</v>
      </c>
      <c r="M19" s="900">
        <v>-81481.7</v>
      </c>
      <c r="N19" s="498">
        <f>L19+M19</f>
        <v>490255.39999999997</v>
      </c>
      <c r="O19" s="498">
        <f>D19+N19</f>
        <v>603505.6</v>
      </c>
      <c r="P19" s="522" t="s">
        <v>1505</v>
      </c>
    </row>
    <row r="20" spans="1:18" s="459" customFormat="1" ht="13.9" customHeight="1">
      <c r="A20" s="411" t="s">
        <v>1886</v>
      </c>
      <c r="B20" s="413">
        <v>147496.6</v>
      </c>
      <c r="C20" s="413">
        <v>12560</v>
      </c>
      <c r="D20" s="413">
        <v>160056.6</v>
      </c>
      <c r="E20" s="413">
        <v>3840.6</v>
      </c>
      <c r="F20" s="413">
        <v>113688.8</v>
      </c>
      <c r="G20" s="413">
        <v>117529.40000000001</v>
      </c>
      <c r="H20" s="413">
        <v>1202.7</v>
      </c>
      <c r="I20" s="413">
        <v>11534.2</v>
      </c>
      <c r="J20" s="413">
        <v>12736.900000000001</v>
      </c>
      <c r="K20" s="413">
        <v>507639.9</v>
      </c>
      <c r="L20" s="413">
        <v>637906.20000000007</v>
      </c>
      <c r="M20" s="413">
        <v>-97339.3</v>
      </c>
      <c r="N20" s="413">
        <v>540566.9</v>
      </c>
      <c r="O20" s="413">
        <v>700623.5</v>
      </c>
      <c r="P20" s="717" t="s">
        <v>1886</v>
      </c>
    </row>
    <row r="21" spans="1:18" s="861" customFormat="1" ht="13.9" customHeight="1">
      <c r="A21" s="606" t="s">
        <v>2017</v>
      </c>
      <c r="B21" s="980">
        <v>177401.3</v>
      </c>
      <c r="C21" s="980">
        <v>11827.5</v>
      </c>
      <c r="D21" s="981">
        <v>189228.79999999999</v>
      </c>
      <c r="E21" s="981">
        <v>810.5</v>
      </c>
      <c r="F21" s="981">
        <v>109446.8</v>
      </c>
      <c r="G21" s="981">
        <v>110257.3</v>
      </c>
      <c r="H21" s="981">
        <v>2160.8000000000002</v>
      </c>
      <c r="I21" s="981">
        <v>14509</v>
      </c>
      <c r="J21" s="981">
        <v>16669.8</v>
      </c>
      <c r="K21" s="981">
        <v>574599.4</v>
      </c>
      <c r="L21" s="981">
        <v>701526.5</v>
      </c>
      <c r="M21" s="981">
        <v>-103141.2</v>
      </c>
      <c r="N21" s="981">
        <v>598385.30000000005</v>
      </c>
      <c r="O21" s="981">
        <v>787614.10000000009</v>
      </c>
      <c r="P21" s="871" t="s">
        <v>2017</v>
      </c>
    </row>
    <row r="22" spans="1:18" s="155" customFormat="1" ht="13.9" customHeight="1">
      <c r="A22" s="652" t="s">
        <v>2226</v>
      </c>
      <c r="B22" s="621">
        <f>B34</f>
        <v>218904.1</v>
      </c>
      <c r="C22" s="621">
        <f t="shared" ref="C22:O22" si="10">C34</f>
        <v>14231.5</v>
      </c>
      <c r="D22" s="621">
        <f t="shared" si="10"/>
        <v>233135.6</v>
      </c>
      <c r="E22" s="621">
        <f t="shared" si="10"/>
        <v>13373.7</v>
      </c>
      <c r="F22" s="621">
        <f t="shared" si="10"/>
        <v>100845.9</v>
      </c>
      <c r="G22" s="621">
        <f t="shared" si="10"/>
        <v>114219.59999999999</v>
      </c>
      <c r="H22" s="621">
        <f t="shared" si="10"/>
        <v>2015.5</v>
      </c>
      <c r="I22" s="621">
        <f t="shared" si="10"/>
        <v>14035.6</v>
      </c>
      <c r="J22" s="621">
        <f t="shared" si="10"/>
        <v>16051.1</v>
      </c>
      <c r="K22" s="621">
        <f t="shared" si="10"/>
        <v>671009.30000000005</v>
      </c>
      <c r="L22" s="621">
        <f t="shared" si="10"/>
        <v>801280</v>
      </c>
      <c r="M22" s="621">
        <f t="shared" si="10"/>
        <v>-118037.8</v>
      </c>
      <c r="N22" s="621">
        <f t="shared" si="10"/>
        <v>683242.2</v>
      </c>
      <c r="O22" s="621">
        <f t="shared" si="10"/>
        <v>916377.79999999993</v>
      </c>
      <c r="P22" s="654" t="s">
        <v>2226</v>
      </c>
    </row>
    <row r="23" spans="1:18" s="155" customFormat="1" ht="13.9" customHeight="1">
      <c r="A23" s="574" t="s">
        <v>954</v>
      </c>
      <c r="B23" s="504">
        <v>184570.8</v>
      </c>
      <c r="C23" s="504">
        <v>12249.4</v>
      </c>
      <c r="D23" s="504">
        <f t="shared" ref="D23:D29" si="11">B23+C23</f>
        <v>196820.19999999998</v>
      </c>
      <c r="E23" s="498">
        <v>3032.3</v>
      </c>
      <c r="F23" s="498">
        <v>118693.6</v>
      </c>
      <c r="G23" s="498">
        <f t="shared" ref="G23:G29" si="12">E23+F23</f>
        <v>121725.90000000001</v>
      </c>
      <c r="H23" s="504">
        <v>2238.6999999999998</v>
      </c>
      <c r="I23" s="498">
        <v>13301.2</v>
      </c>
      <c r="J23" s="498">
        <f t="shared" ref="J23:J29" si="13">H23+I23</f>
        <v>15539.900000000001</v>
      </c>
      <c r="K23" s="504">
        <v>573668.69999999995</v>
      </c>
      <c r="L23" s="498">
        <f t="shared" ref="L23:L29" si="14">G23+J23+K23</f>
        <v>710934.5</v>
      </c>
      <c r="M23" s="504">
        <v>-103073.1</v>
      </c>
      <c r="N23" s="498">
        <f t="shared" ref="N23:N29" si="15">L23+M23</f>
        <v>607861.4</v>
      </c>
      <c r="O23" s="498">
        <f t="shared" ref="O23:O29" si="16">D23+N23</f>
        <v>804681.6</v>
      </c>
      <c r="P23" s="639" t="s">
        <v>954</v>
      </c>
      <c r="R23" s="1329"/>
    </row>
    <row r="24" spans="1:18" s="155" customFormat="1" ht="13.9" customHeight="1">
      <c r="A24" s="457" t="s">
        <v>955</v>
      </c>
      <c r="B24" s="459">
        <v>186355.4</v>
      </c>
      <c r="C24" s="459">
        <v>12119.6</v>
      </c>
      <c r="D24" s="413">
        <f t="shared" si="11"/>
        <v>198475</v>
      </c>
      <c r="E24" s="413">
        <v>-6762.2</v>
      </c>
      <c r="F24" s="413">
        <v>122449.4</v>
      </c>
      <c r="G24" s="413">
        <f t="shared" si="12"/>
        <v>115687.2</v>
      </c>
      <c r="H24" s="459">
        <v>2174.6</v>
      </c>
      <c r="I24" s="413">
        <v>13513.1</v>
      </c>
      <c r="J24" s="413">
        <f t="shared" si="13"/>
        <v>15687.7</v>
      </c>
      <c r="K24" s="459">
        <v>578176.9</v>
      </c>
      <c r="L24" s="413">
        <f t="shared" si="14"/>
        <v>709551.8</v>
      </c>
      <c r="M24" s="459">
        <v>-102648.8</v>
      </c>
      <c r="N24" s="413">
        <f t="shared" si="15"/>
        <v>606903</v>
      </c>
      <c r="O24" s="413">
        <f t="shared" si="16"/>
        <v>805378</v>
      </c>
      <c r="P24" s="693" t="s">
        <v>955</v>
      </c>
      <c r="R24" s="1329"/>
    </row>
    <row r="25" spans="1:18" s="155" customFormat="1" ht="13.9" customHeight="1">
      <c r="A25" s="574" t="s">
        <v>949</v>
      </c>
      <c r="B25" s="504">
        <v>191613.9</v>
      </c>
      <c r="C25" s="498">
        <v>12162</v>
      </c>
      <c r="D25" s="498">
        <f t="shared" si="11"/>
        <v>203775.9</v>
      </c>
      <c r="E25" s="498">
        <v>-4916.6000000000004</v>
      </c>
      <c r="F25" s="498">
        <v>123089.3</v>
      </c>
      <c r="G25" s="498">
        <f t="shared" si="12"/>
        <v>118172.7</v>
      </c>
      <c r="H25" s="504">
        <v>2127.8000000000002</v>
      </c>
      <c r="I25" s="498">
        <v>13656.1</v>
      </c>
      <c r="J25" s="498">
        <f t="shared" si="13"/>
        <v>15783.900000000001</v>
      </c>
      <c r="K25" s="504">
        <v>589685.6</v>
      </c>
      <c r="L25" s="498">
        <f t="shared" si="14"/>
        <v>723642.2</v>
      </c>
      <c r="M25" s="498">
        <v>-105945</v>
      </c>
      <c r="N25" s="498">
        <f t="shared" si="15"/>
        <v>617697.19999999995</v>
      </c>
      <c r="O25" s="498">
        <f t="shared" si="16"/>
        <v>821473.1</v>
      </c>
      <c r="P25" s="639" t="s">
        <v>949</v>
      </c>
      <c r="R25" s="1329"/>
    </row>
    <row r="26" spans="1:18" s="155" customFormat="1" ht="13.9" customHeight="1">
      <c r="A26" s="457" t="s">
        <v>956</v>
      </c>
      <c r="B26" s="459">
        <v>191643.1</v>
      </c>
      <c r="C26" s="413">
        <v>11713.6</v>
      </c>
      <c r="D26" s="413">
        <f t="shared" si="11"/>
        <v>203356.7</v>
      </c>
      <c r="E26" s="413">
        <v>-5215.6000000000004</v>
      </c>
      <c r="F26" s="413">
        <v>117845</v>
      </c>
      <c r="G26" s="413">
        <f t="shared" si="12"/>
        <v>112629.4</v>
      </c>
      <c r="H26" s="459">
        <v>2123.8000000000002</v>
      </c>
      <c r="I26" s="413">
        <v>14022.6</v>
      </c>
      <c r="J26" s="413">
        <f t="shared" si="13"/>
        <v>16146.400000000001</v>
      </c>
      <c r="K26" s="459">
        <v>594677.4</v>
      </c>
      <c r="L26" s="413">
        <f t="shared" si="14"/>
        <v>723453.2</v>
      </c>
      <c r="M26" s="413">
        <v>-106552.8</v>
      </c>
      <c r="N26" s="413">
        <f t="shared" si="15"/>
        <v>616900.39999999991</v>
      </c>
      <c r="O26" s="413">
        <f t="shared" si="16"/>
        <v>820257.09999999986</v>
      </c>
      <c r="P26" s="693" t="s">
        <v>956</v>
      </c>
      <c r="R26" s="1329"/>
    </row>
    <row r="27" spans="1:18" s="155" customFormat="1" ht="13.9" customHeight="1">
      <c r="A27" s="574" t="s">
        <v>957</v>
      </c>
      <c r="B27" s="504">
        <v>193250.9</v>
      </c>
      <c r="C27" s="498">
        <v>12502.8</v>
      </c>
      <c r="D27" s="498">
        <f t="shared" si="11"/>
        <v>205753.69999999998</v>
      </c>
      <c r="E27" s="498">
        <v>-4296.5</v>
      </c>
      <c r="F27" s="498">
        <v>114406.5</v>
      </c>
      <c r="G27" s="498">
        <f t="shared" si="12"/>
        <v>110110</v>
      </c>
      <c r="H27" s="504">
        <v>2116.1999999999998</v>
      </c>
      <c r="I27" s="498">
        <v>14127</v>
      </c>
      <c r="J27" s="498">
        <f t="shared" si="13"/>
        <v>16243.2</v>
      </c>
      <c r="K27" s="504">
        <v>603922.69999999995</v>
      </c>
      <c r="L27" s="498">
        <f t="shared" si="14"/>
        <v>730275.89999999991</v>
      </c>
      <c r="M27" s="498">
        <v>-110847.6</v>
      </c>
      <c r="N27" s="498">
        <f t="shared" si="15"/>
        <v>619428.29999999993</v>
      </c>
      <c r="O27" s="498">
        <f t="shared" si="16"/>
        <v>825181.99999999988</v>
      </c>
      <c r="P27" s="639" t="s">
        <v>957</v>
      </c>
      <c r="R27" s="1329"/>
    </row>
    <row r="28" spans="1:18" s="155" customFormat="1" ht="13.9" customHeight="1">
      <c r="A28" s="457" t="s">
        <v>950</v>
      </c>
      <c r="B28" s="413">
        <v>196508</v>
      </c>
      <c r="C28" s="413">
        <v>12809.4</v>
      </c>
      <c r="D28" s="413">
        <f t="shared" si="11"/>
        <v>209317.4</v>
      </c>
      <c r="E28" s="413">
        <v>-3321.5</v>
      </c>
      <c r="F28" s="413">
        <v>106810.2</v>
      </c>
      <c r="G28" s="413">
        <f t="shared" si="12"/>
        <v>103488.7</v>
      </c>
      <c r="H28" s="413">
        <v>2110</v>
      </c>
      <c r="I28" s="413">
        <v>14538.9</v>
      </c>
      <c r="J28" s="413">
        <f t="shared" si="13"/>
        <v>16648.900000000001</v>
      </c>
      <c r="K28" s="413">
        <v>620506.9</v>
      </c>
      <c r="L28" s="413">
        <f t="shared" si="14"/>
        <v>740644.5</v>
      </c>
      <c r="M28" s="413">
        <v>-111847.7</v>
      </c>
      <c r="N28" s="413">
        <f t="shared" si="15"/>
        <v>628796.80000000005</v>
      </c>
      <c r="O28" s="413">
        <f t="shared" si="16"/>
        <v>838114.20000000007</v>
      </c>
      <c r="P28" s="693" t="s">
        <v>950</v>
      </c>
      <c r="R28" s="1329"/>
    </row>
    <row r="29" spans="1:18" s="155" customFormat="1" ht="13.9" customHeight="1">
      <c r="A29" s="574" t="s">
        <v>958</v>
      </c>
      <c r="B29" s="498">
        <v>197995.7</v>
      </c>
      <c r="C29" s="498">
        <v>12596.9</v>
      </c>
      <c r="D29" s="498">
        <f t="shared" si="11"/>
        <v>210592.6</v>
      </c>
      <c r="E29" s="498">
        <v>-5345.9</v>
      </c>
      <c r="F29" s="498">
        <v>105436</v>
      </c>
      <c r="G29" s="498">
        <f t="shared" si="12"/>
        <v>100090.1</v>
      </c>
      <c r="H29" s="498">
        <v>2100.5</v>
      </c>
      <c r="I29" s="498">
        <v>15702.4</v>
      </c>
      <c r="J29" s="498">
        <f t="shared" si="13"/>
        <v>17802.900000000001</v>
      </c>
      <c r="K29" s="498">
        <f>617349.2+4850.6</f>
        <v>622199.79999999993</v>
      </c>
      <c r="L29" s="498">
        <f t="shared" si="14"/>
        <v>740092.79999999993</v>
      </c>
      <c r="M29" s="498">
        <v>-116184.3</v>
      </c>
      <c r="N29" s="498">
        <f t="shared" si="15"/>
        <v>623908.49999999988</v>
      </c>
      <c r="O29" s="498">
        <f t="shared" si="16"/>
        <v>834501.09999999986</v>
      </c>
      <c r="P29" s="639" t="s">
        <v>958</v>
      </c>
      <c r="R29" s="1329"/>
    </row>
    <row r="30" spans="1:18" s="155" customFormat="1" ht="13.9" customHeight="1">
      <c r="A30" s="457" t="s">
        <v>959</v>
      </c>
      <c r="B30" s="413">
        <v>203032.4</v>
      </c>
      <c r="C30" s="413">
        <v>11638.2</v>
      </c>
      <c r="D30" s="413">
        <f>B30+C30</f>
        <v>214670.6</v>
      </c>
      <c r="E30" s="413">
        <v>1100.9000000000001</v>
      </c>
      <c r="F30" s="413">
        <v>101591.3</v>
      </c>
      <c r="G30" s="413">
        <f>E30+F30</f>
        <v>102692.2</v>
      </c>
      <c r="H30" s="413">
        <v>2081.4</v>
      </c>
      <c r="I30" s="413">
        <v>14938.5</v>
      </c>
      <c r="J30" s="413">
        <f>H30+I30</f>
        <v>17019.900000000001</v>
      </c>
      <c r="K30" s="413">
        <v>627960.5</v>
      </c>
      <c r="L30" s="413">
        <f>G30+J30+K30</f>
        <v>747672.6</v>
      </c>
      <c r="M30" s="413">
        <v>-117307.2</v>
      </c>
      <c r="N30" s="413">
        <f>L30+M30</f>
        <v>630365.4</v>
      </c>
      <c r="O30" s="413">
        <f>D30+N30</f>
        <v>845036</v>
      </c>
      <c r="P30" s="693" t="s">
        <v>959</v>
      </c>
      <c r="R30" s="1329"/>
    </row>
    <row r="31" spans="1:18" s="155" customFormat="1" ht="13.9" customHeight="1">
      <c r="A31" s="574" t="s">
        <v>951</v>
      </c>
      <c r="B31" s="498">
        <v>207417.5</v>
      </c>
      <c r="C31" s="498">
        <v>12910</v>
      </c>
      <c r="D31" s="498">
        <f>B31+C31</f>
        <v>220327.5</v>
      </c>
      <c r="E31" s="498">
        <v>4723.6000000000004</v>
      </c>
      <c r="F31" s="498">
        <v>95054.5</v>
      </c>
      <c r="G31" s="498">
        <f>E31+F31</f>
        <v>99778.1</v>
      </c>
      <c r="H31" s="498">
        <v>2031.3</v>
      </c>
      <c r="I31" s="498">
        <v>15239.1</v>
      </c>
      <c r="J31" s="498">
        <f>H31+I31</f>
        <v>17270.400000000001</v>
      </c>
      <c r="K31" s="498">
        <f>631628.5+4813.9</f>
        <v>636442.4</v>
      </c>
      <c r="L31" s="498">
        <f>G31+J31+K31</f>
        <v>753490.9</v>
      </c>
      <c r="M31" s="498">
        <v>-120633.60000000001</v>
      </c>
      <c r="N31" s="498">
        <f>L31+M31</f>
        <v>632857.30000000005</v>
      </c>
      <c r="O31" s="498">
        <f>D31+N31</f>
        <v>853184.8</v>
      </c>
      <c r="P31" s="639" t="s">
        <v>951</v>
      </c>
      <c r="R31" s="1329"/>
    </row>
    <row r="32" spans="1:18" s="155" customFormat="1" ht="13.9" customHeight="1">
      <c r="A32" s="457" t="s">
        <v>960</v>
      </c>
      <c r="B32" s="413">
        <v>210707.20000000001</v>
      </c>
      <c r="C32" s="413">
        <v>11980.9</v>
      </c>
      <c r="D32" s="413">
        <f>B32+C32</f>
        <v>222688.1</v>
      </c>
      <c r="E32" s="413">
        <v>831</v>
      </c>
      <c r="F32" s="413">
        <v>96711.5</v>
      </c>
      <c r="G32" s="413">
        <f>E32+F32</f>
        <v>97542.5</v>
      </c>
      <c r="H32" s="413">
        <v>2035.6</v>
      </c>
      <c r="I32" s="413">
        <v>15104.2</v>
      </c>
      <c r="J32" s="413">
        <f>H32+I32</f>
        <v>17139.8</v>
      </c>
      <c r="K32" s="413">
        <f>639886.5+4847.3</f>
        <v>644733.80000000005</v>
      </c>
      <c r="L32" s="413">
        <f>G32+J32+K32</f>
        <v>759416.10000000009</v>
      </c>
      <c r="M32" s="413">
        <v>-120689.7</v>
      </c>
      <c r="N32" s="413">
        <f>L32+M32</f>
        <v>638726.40000000014</v>
      </c>
      <c r="O32" s="413">
        <f>D32+N32</f>
        <v>861414.50000000012</v>
      </c>
      <c r="P32" s="693" t="s">
        <v>960</v>
      </c>
      <c r="R32" s="1329"/>
    </row>
    <row r="33" spans="1:18" s="155" customFormat="1" ht="13.9" customHeight="1">
      <c r="A33" s="574" t="s">
        <v>961</v>
      </c>
      <c r="B33" s="498">
        <v>211693.2</v>
      </c>
      <c r="C33" s="498">
        <v>12034.1</v>
      </c>
      <c r="D33" s="498">
        <f>B33+C33</f>
        <v>223727.30000000002</v>
      </c>
      <c r="E33" s="498">
        <v>2794.7</v>
      </c>
      <c r="F33" s="498">
        <v>99314.7</v>
      </c>
      <c r="G33" s="498">
        <f>E33+F33</f>
        <v>102109.4</v>
      </c>
      <c r="H33" s="498">
        <v>2015.1</v>
      </c>
      <c r="I33" s="498">
        <v>15068.3</v>
      </c>
      <c r="J33" s="498">
        <f>H33+I33</f>
        <v>17083.399999999998</v>
      </c>
      <c r="K33" s="498">
        <f>649156.9+4860.3</f>
        <v>654017.20000000007</v>
      </c>
      <c r="L33" s="498">
        <f>G33+J33+K33</f>
        <v>773210</v>
      </c>
      <c r="M33" s="498">
        <v>-120843.6</v>
      </c>
      <c r="N33" s="498">
        <f>L33+M33</f>
        <v>652366.4</v>
      </c>
      <c r="O33" s="498">
        <f>D33+N33</f>
        <v>876093.70000000007</v>
      </c>
      <c r="P33" s="639" t="s">
        <v>961</v>
      </c>
      <c r="R33" s="1329"/>
    </row>
    <row r="34" spans="1:18" s="155" customFormat="1" ht="13.9" customHeight="1">
      <c r="A34" s="1375" t="s">
        <v>952</v>
      </c>
      <c r="B34" s="413">
        <v>218904.1</v>
      </c>
      <c r="C34" s="413">
        <v>14231.5</v>
      </c>
      <c r="D34" s="413">
        <f>B34+C34</f>
        <v>233135.6</v>
      </c>
      <c r="E34" s="413">
        <v>13373.7</v>
      </c>
      <c r="F34" s="413">
        <v>100845.9</v>
      </c>
      <c r="G34" s="413">
        <f>E34+F34</f>
        <v>114219.59999999999</v>
      </c>
      <c r="H34" s="413">
        <v>2015.5</v>
      </c>
      <c r="I34" s="413">
        <v>14035.6</v>
      </c>
      <c r="J34" s="413">
        <f>H34+I34</f>
        <v>16051.1</v>
      </c>
      <c r="K34" s="413">
        <f>4966.9+666042.4</f>
        <v>671009.30000000005</v>
      </c>
      <c r="L34" s="413">
        <f>G34+J34+K34</f>
        <v>801280</v>
      </c>
      <c r="M34" s="413">
        <v>-118037.8</v>
      </c>
      <c r="N34" s="413">
        <f>L34+M34</f>
        <v>683242.2</v>
      </c>
      <c r="O34" s="413">
        <f>D34+N34</f>
        <v>916377.79999999993</v>
      </c>
      <c r="P34" s="1376" t="s">
        <v>952</v>
      </c>
      <c r="R34" s="1329"/>
    </row>
    <row r="35" spans="1:18" s="155" customFormat="1" ht="13.9" customHeight="1">
      <c r="A35" s="650" t="s">
        <v>2384</v>
      </c>
      <c r="B35" s="607">
        <f>B47</f>
        <v>251326.9</v>
      </c>
      <c r="C35" s="607">
        <f t="shared" ref="C35:O35" si="17">C47</f>
        <v>14670</v>
      </c>
      <c r="D35" s="607">
        <f t="shared" si="17"/>
        <v>265996.90000000002</v>
      </c>
      <c r="E35" s="607">
        <f t="shared" si="17"/>
        <v>12978.2</v>
      </c>
      <c r="F35" s="607">
        <f t="shared" si="17"/>
        <v>84355.8</v>
      </c>
      <c r="G35" s="607">
        <f t="shared" si="17"/>
        <v>97334</v>
      </c>
      <c r="H35" s="607">
        <f t="shared" si="17"/>
        <v>2157.8000000000002</v>
      </c>
      <c r="I35" s="607">
        <f t="shared" si="17"/>
        <v>15122.4</v>
      </c>
      <c r="J35" s="607">
        <f t="shared" si="17"/>
        <v>17280.2</v>
      </c>
      <c r="K35" s="607">
        <f t="shared" si="17"/>
        <v>776058.70000000007</v>
      </c>
      <c r="L35" s="607">
        <f t="shared" si="17"/>
        <v>890672.9</v>
      </c>
      <c r="M35" s="607">
        <f t="shared" si="17"/>
        <v>-140593.70000000001</v>
      </c>
      <c r="N35" s="607">
        <f t="shared" si="17"/>
        <v>750079.2</v>
      </c>
      <c r="O35" s="607">
        <f t="shared" si="17"/>
        <v>1016076.1</v>
      </c>
      <c r="P35" s="651" t="s">
        <v>2384</v>
      </c>
    </row>
    <row r="36" spans="1:18" s="155" customFormat="1" ht="13.9" customHeight="1">
      <c r="A36" s="11" t="s">
        <v>954</v>
      </c>
      <c r="B36" s="36">
        <v>222971.6</v>
      </c>
      <c r="C36" s="413">
        <v>12913.8</v>
      </c>
      <c r="D36" s="413">
        <f t="shared" ref="D36:D47" si="18">B36+C36</f>
        <v>235885.4</v>
      </c>
      <c r="E36" s="413">
        <v>-254.7</v>
      </c>
      <c r="F36" s="413">
        <v>116912.7</v>
      </c>
      <c r="G36" s="413">
        <f t="shared" ref="G36:G47" si="19">E36+F36</f>
        <v>116658</v>
      </c>
      <c r="H36" s="413">
        <v>2006.8</v>
      </c>
      <c r="I36" s="413">
        <v>13991.8</v>
      </c>
      <c r="J36" s="413">
        <f t="shared" ref="J36:J47" si="20">H36+I36</f>
        <v>15998.599999999999</v>
      </c>
      <c r="K36" s="413">
        <f>4923.1+660388.7</f>
        <v>665311.79999999993</v>
      </c>
      <c r="L36" s="413">
        <f t="shared" ref="L36:L47" si="21">G36+J36+K36</f>
        <v>797968.39999999991</v>
      </c>
      <c r="M36" s="413">
        <v>-120549.1</v>
      </c>
      <c r="N36" s="413">
        <f t="shared" ref="N36:N47" si="22">L36+M36</f>
        <v>677419.29999999993</v>
      </c>
      <c r="O36" s="413">
        <f t="shared" ref="O36:O47" si="23">D36+N36</f>
        <v>913304.7</v>
      </c>
      <c r="P36" s="51" t="s">
        <v>954</v>
      </c>
    </row>
    <row r="37" spans="1:18" s="155" customFormat="1" ht="13.9" customHeight="1">
      <c r="A37" s="517" t="s">
        <v>955</v>
      </c>
      <c r="B37" s="498">
        <v>227994.8</v>
      </c>
      <c r="C37" s="498">
        <v>13540.2</v>
      </c>
      <c r="D37" s="498">
        <f t="shared" si="18"/>
        <v>241535</v>
      </c>
      <c r="E37" s="498">
        <v>-1519.1</v>
      </c>
      <c r="F37" s="498">
        <v>114843.3</v>
      </c>
      <c r="G37" s="498">
        <f t="shared" si="19"/>
        <v>113324.2</v>
      </c>
      <c r="H37" s="498">
        <v>2009.6</v>
      </c>
      <c r="I37" s="498">
        <v>14100.1</v>
      </c>
      <c r="J37" s="498">
        <f t="shared" si="20"/>
        <v>16109.7</v>
      </c>
      <c r="K37" s="498">
        <f>4820.5+667104.1</f>
        <v>671924.6</v>
      </c>
      <c r="L37" s="498">
        <f t="shared" si="21"/>
        <v>801358.5</v>
      </c>
      <c r="M37" s="498">
        <v>-120010.4</v>
      </c>
      <c r="N37" s="498">
        <f t="shared" si="22"/>
        <v>681348.1</v>
      </c>
      <c r="O37" s="498">
        <f t="shared" si="23"/>
        <v>922883.1</v>
      </c>
      <c r="P37" s="518" t="s">
        <v>955</v>
      </c>
    </row>
    <row r="38" spans="1:18" s="155" customFormat="1" ht="13.9" customHeight="1">
      <c r="A38" s="298" t="s">
        <v>949</v>
      </c>
      <c r="B38" s="413">
        <v>233071.6</v>
      </c>
      <c r="C38" s="413">
        <v>13674.2</v>
      </c>
      <c r="D38" s="413">
        <f t="shared" si="18"/>
        <v>246745.80000000002</v>
      </c>
      <c r="E38" s="413">
        <v>1004.4</v>
      </c>
      <c r="F38" s="413">
        <v>112659.1</v>
      </c>
      <c r="G38" s="413">
        <f t="shared" si="19"/>
        <v>113663.5</v>
      </c>
      <c r="H38" s="413">
        <v>1986.2</v>
      </c>
      <c r="I38" s="413">
        <v>13926.1</v>
      </c>
      <c r="J38" s="413">
        <f t="shared" si="20"/>
        <v>15912.300000000001</v>
      </c>
      <c r="K38" s="413">
        <f>4830.8+675306.2</f>
        <v>680137</v>
      </c>
      <c r="L38" s="413">
        <f t="shared" si="21"/>
        <v>809712.8</v>
      </c>
      <c r="M38" s="413">
        <v>-124935.4</v>
      </c>
      <c r="N38" s="413">
        <f t="shared" si="22"/>
        <v>684777.4</v>
      </c>
      <c r="O38" s="413">
        <f t="shared" si="23"/>
        <v>931523.20000000007</v>
      </c>
      <c r="P38" s="367" t="s">
        <v>949</v>
      </c>
    </row>
    <row r="39" spans="1:18" s="155" customFormat="1" ht="13.9" customHeight="1">
      <c r="A39" s="517" t="s">
        <v>956</v>
      </c>
      <c r="B39" s="498">
        <v>234188.5</v>
      </c>
      <c r="C39" s="498">
        <v>13125.2</v>
      </c>
      <c r="D39" s="498">
        <f t="shared" si="18"/>
        <v>247313.7</v>
      </c>
      <c r="E39" s="498">
        <v>1350.8</v>
      </c>
      <c r="F39" s="498">
        <v>108661.6</v>
      </c>
      <c r="G39" s="498">
        <f t="shared" si="19"/>
        <v>110012.40000000001</v>
      </c>
      <c r="H39" s="498">
        <v>1988.9</v>
      </c>
      <c r="I39" s="498">
        <v>13428.6</v>
      </c>
      <c r="J39" s="498">
        <f t="shared" si="20"/>
        <v>15417.5</v>
      </c>
      <c r="K39" s="498">
        <f>4860.5+680220.3</f>
        <v>685080.8</v>
      </c>
      <c r="L39" s="498">
        <f t="shared" si="21"/>
        <v>810510.70000000007</v>
      </c>
      <c r="M39" s="498">
        <v>-124597.8</v>
      </c>
      <c r="N39" s="498">
        <f t="shared" si="22"/>
        <v>685912.9</v>
      </c>
      <c r="O39" s="498">
        <f t="shared" si="23"/>
        <v>933226.60000000009</v>
      </c>
      <c r="P39" s="518" t="s">
        <v>956</v>
      </c>
    </row>
    <row r="40" spans="1:18" s="155" customFormat="1" ht="13.9" customHeight="1">
      <c r="A40" s="298" t="s">
        <v>957</v>
      </c>
      <c r="B40" s="413">
        <v>233489.3</v>
      </c>
      <c r="C40" s="413">
        <v>11566.6</v>
      </c>
      <c r="D40" s="413">
        <f t="shared" si="18"/>
        <v>245055.9</v>
      </c>
      <c r="E40" s="413">
        <v>3205.6</v>
      </c>
      <c r="F40" s="413">
        <v>105438.9</v>
      </c>
      <c r="G40" s="413">
        <f t="shared" si="19"/>
        <v>108644.5</v>
      </c>
      <c r="H40" s="413">
        <v>1994</v>
      </c>
      <c r="I40" s="413">
        <v>13751.5</v>
      </c>
      <c r="J40" s="413">
        <f t="shared" si="20"/>
        <v>15745.5</v>
      </c>
      <c r="K40" s="39">
        <f>4877.1+689681</f>
        <v>694558.1</v>
      </c>
      <c r="L40" s="413">
        <f t="shared" si="21"/>
        <v>818948.1</v>
      </c>
      <c r="M40" s="413">
        <v>-125282.6</v>
      </c>
      <c r="N40" s="413">
        <f t="shared" si="22"/>
        <v>693665.5</v>
      </c>
      <c r="O40" s="413">
        <f t="shared" si="23"/>
        <v>938721.4</v>
      </c>
      <c r="P40" s="367" t="s">
        <v>957</v>
      </c>
    </row>
    <row r="41" spans="1:18" s="155" customFormat="1" ht="13.9" customHeight="1">
      <c r="A41" s="517" t="s">
        <v>950</v>
      </c>
      <c r="B41" s="498">
        <v>235538.8</v>
      </c>
      <c r="C41" s="498">
        <v>11709.5</v>
      </c>
      <c r="D41" s="498">
        <f t="shared" si="18"/>
        <v>247248.3</v>
      </c>
      <c r="E41" s="498">
        <v>4872.5</v>
      </c>
      <c r="F41" s="498">
        <v>93766.3</v>
      </c>
      <c r="G41" s="498">
        <f t="shared" si="19"/>
        <v>98638.8</v>
      </c>
      <c r="H41" s="498">
        <v>1926.2</v>
      </c>
      <c r="I41" s="498">
        <v>14453.5</v>
      </c>
      <c r="J41" s="498">
        <f t="shared" si="20"/>
        <v>16379.7</v>
      </c>
      <c r="K41" s="498">
        <f>4921.2+712098.3</f>
        <v>717019.5</v>
      </c>
      <c r="L41" s="498">
        <f t="shared" si="21"/>
        <v>832038</v>
      </c>
      <c r="M41" s="498">
        <v>-125232.5</v>
      </c>
      <c r="N41" s="498">
        <f t="shared" si="22"/>
        <v>706805.5</v>
      </c>
      <c r="O41" s="498">
        <f t="shared" si="23"/>
        <v>954053.8</v>
      </c>
      <c r="P41" s="518" t="s">
        <v>950</v>
      </c>
    </row>
    <row r="42" spans="1:18" s="155" customFormat="1" ht="13.9" customHeight="1">
      <c r="A42" s="298" t="s">
        <v>958</v>
      </c>
      <c r="B42" s="413">
        <v>236674.5</v>
      </c>
      <c r="C42" s="413">
        <v>11331.7</v>
      </c>
      <c r="D42" s="413">
        <f t="shared" si="18"/>
        <v>248006.2</v>
      </c>
      <c r="E42" s="413">
        <v>923.2</v>
      </c>
      <c r="F42" s="413">
        <v>95436.9</v>
      </c>
      <c r="G42" s="413">
        <f t="shared" si="19"/>
        <v>96360.099999999991</v>
      </c>
      <c r="H42" s="413">
        <v>1868.6</v>
      </c>
      <c r="I42" s="413">
        <v>14368.7</v>
      </c>
      <c r="J42" s="413">
        <f t="shared" si="20"/>
        <v>16237.300000000001</v>
      </c>
      <c r="K42" s="413">
        <f>4865.5+714487.3</f>
        <v>719352.8</v>
      </c>
      <c r="L42" s="413">
        <f t="shared" si="21"/>
        <v>831950.20000000007</v>
      </c>
      <c r="M42" s="413">
        <v>-128373.5</v>
      </c>
      <c r="N42" s="413">
        <f t="shared" si="22"/>
        <v>703576.70000000007</v>
      </c>
      <c r="O42" s="413">
        <f t="shared" si="23"/>
        <v>951582.90000000014</v>
      </c>
      <c r="P42" s="367" t="s">
        <v>958</v>
      </c>
    </row>
    <row r="43" spans="1:18" s="155" customFormat="1" ht="13.9" customHeight="1">
      <c r="A43" s="517" t="s">
        <v>959</v>
      </c>
      <c r="B43" s="498">
        <v>240191.5</v>
      </c>
      <c r="C43" s="498">
        <v>12306.8</v>
      </c>
      <c r="D43" s="498">
        <f t="shared" si="18"/>
        <v>252498.3</v>
      </c>
      <c r="E43" s="498">
        <v>-470.3</v>
      </c>
      <c r="F43" s="498">
        <v>93995.9</v>
      </c>
      <c r="G43" s="498">
        <f t="shared" si="19"/>
        <v>93525.599999999991</v>
      </c>
      <c r="H43" s="498">
        <v>1871.3</v>
      </c>
      <c r="I43" s="498">
        <v>13782.3</v>
      </c>
      <c r="J43" s="498">
        <f t="shared" si="20"/>
        <v>15653.599999999999</v>
      </c>
      <c r="K43" s="498">
        <f>4840+722861.1</f>
        <v>727701.1</v>
      </c>
      <c r="L43" s="498">
        <f t="shared" si="21"/>
        <v>836880.29999999993</v>
      </c>
      <c r="M43" s="498">
        <v>-131492.1</v>
      </c>
      <c r="N43" s="498">
        <f t="shared" si="22"/>
        <v>705388.2</v>
      </c>
      <c r="O43" s="498">
        <f t="shared" si="23"/>
        <v>957886.5</v>
      </c>
      <c r="P43" s="518" t="s">
        <v>959</v>
      </c>
    </row>
    <row r="44" spans="1:18" s="155" customFormat="1" ht="13.9" customHeight="1">
      <c r="A44" s="298" t="s">
        <v>951</v>
      </c>
      <c r="B44" s="413">
        <v>242368.9</v>
      </c>
      <c r="C44" s="413">
        <v>11777</v>
      </c>
      <c r="D44" s="413">
        <f t="shared" si="18"/>
        <v>254145.9</v>
      </c>
      <c r="E44" s="413">
        <v>-218.8</v>
      </c>
      <c r="F44" s="413">
        <v>90530.9</v>
      </c>
      <c r="G44" s="413">
        <f t="shared" si="19"/>
        <v>90312.099999999991</v>
      </c>
      <c r="H44" s="413">
        <v>1849.4</v>
      </c>
      <c r="I44" s="413">
        <v>14439</v>
      </c>
      <c r="J44" s="413">
        <f t="shared" si="20"/>
        <v>16288.4</v>
      </c>
      <c r="K44" s="413">
        <f>4866.9+733773.9</f>
        <v>738640.8</v>
      </c>
      <c r="L44" s="413">
        <f t="shared" si="21"/>
        <v>845241.3</v>
      </c>
      <c r="M44" s="413">
        <v>-134564.1</v>
      </c>
      <c r="N44" s="413">
        <f t="shared" si="22"/>
        <v>710677.20000000007</v>
      </c>
      <c r="O44" s="413">
        <f t="shared" si="23"/>
        <v>964823.10000000009</v>
      </c>
      <c r="P44" s="367" t="s">
        <v>951</v>
      </c>
    </row>
    <row r="45" spans="1:18" s="155" customFormat="1" ht="13.9" customHeight="1">
      <c r="A45" s="517" t="s">
        <v>960</v>
      </c>
      <c r="B45" s="498">
        <v>242030</v>
      </c>
      <c r="C45" s="498">
        <v>12307.1</v>
      </c>
      <c r="D45" s="498">
        <f t="shared" si="18"/>
        <v>254337.1</v>
      </c>
      <c r="E45" s="498">
        <v>2900.4</v>
      </c>
      <c r="F45" s="498">
        <v>81265.7</v>
      </c>
      <c r="G45" s="498">
        <f t="shared" si="19"/>
        <v>84166.099999999991</v>
      </c>
      <c r="H45" s="498">
        <v>1851.9</v>
      </c>
      <c r="I45" s="498">
        <v>15002.2</v>
      </c>
      <c r="J45" s="498">
        <f t="shared" si="20"/>
        <v>16854.100000000002</v>
      </c>
      <c r="K45" s="498">
        <f>4873.1+744374.7</f>
        <v>749247.79999999993</v>
      </c>
      <c r="L45" s="498">
        <f t="shared" si="21"/>
        <v>850267.99999999988</v>
      </c>
      <c r="M45" s="498">
        <v>-133341.4</v>
      </c>
      <c r="N45" s="498">
        <f t="shared" si="22"/>
        <v>716926.59999999986</v>
      </c>
      <c r="O45" s="498">
        <f t="shared" si="23"/>
        <v>971263.69999999984</v>
      </c>
      <c r="P45" s="518" t="s">
        <v>960</v>
      </c>
    </row>
    <row r="46" spans="1:18" s="155" customFormat="1" ht="13.9" customHeight="1">
      <c r="A46" s="298" t="s">
        <v>961</v>
      </c>
      <c r="B46" s="413">
        <v>246330.1</v>
      </c>
      <c r="C46" s="413">
        <v>11187.7</v>
      </c>
      <c r="D46" s="413">
        <f t="shared" si="18"/>
        <v>257517.80000000002</v>
      </c>
      <c r="E46" s="413">
        <v>8419.9</v>
      </c>
      <c r="F46" s="413">
        <v>74177.7</v>
      </c>
      <c r="G46" s="413">
        <f t="shared" si="19"/>
        <v>82597.599999999991</v>
      </c>
      <c r="H46" s="413">
        <v>2154</v>
      </c>
      <c r="I46" s="413">
        <v>15233.5</v>
      </c>
      <c r="J46" s="413">
        <f t="shared" si="20"/>
        <v>17387.5</v>
      </c>
      <c r="K46" s="413">
        <f>4983+753866.7</f>
        <v>758849.7</v>
      </c>
      <c r="L46" s="413">
        <f t="shared" si="21"/>
        <v>858834.79999999993</v>
      </c>
      <c r="M46" s="413">
        <v>-137872.5</v>
      </c>
      <c r="N46" s="413">
        <f t="shared" si="22"/>
        <v>720962.29999999993</v>
      </c>
      <c r="O46" s="413">
        <f t="shared" si="23"/>
        <v>978480.1</v>
      </c>
      <c r="P46" s="367" t="s">
        <v>961</v>
      </c>
    </row>
    <row r="47" spans="1:18" s="155" customFormat="1" ht="13.9" customHeight="1" thickBot="1">
      <c r="A47" s="611" t="s">
        <v>952</v>
      </c>
      <c r="B47" s="1419">
        <v>251326.9</v>
      </c>
      <c r="C47" s="1419">
        <v>14670</v>
      </c>
      <c r="D47" s="1419">
        <f t="shared" si="18"/>
        <v>265996.90000000002</v>
      </c>
      <c r="E47" s="1419">
        <v>12978.2</v>
      </c>
      <c r="F47" s="1419">
        <v>84355.8</v>
      </c>
      <c r="G47" s="1419">
        <f t="shared" si="19"/>
        <v>97334</v>
      </c>
      <c r="H47" s="1419">
        <v>2157.8000000000002</v>
      </c>
      <c r="I47" s="1419">
        <v>15122.4</v>
      </c>
      <c r="J47" s="1419">
        <f t="shared" si="20"/>
        <v>17280.2</v>
      </c>
      <c r="K47" s="1419">
        <f>4978.8+771079.9</f>
        <v>776058.70000000007</v>
      </c>
      <c r="L47" s="1419">
        <f t="shared" si="21"/>
        <v>890672.9</v>
      </c>
      <c r="M47" s="1419">
        <v>-140593.70000000001</v>
      </c>
      <c r="N47" s="1419">
        <f t="shared" si="22"/>
        <v>750079.2</v>
      </c>
      <c r="O47" s="1419">
        <f t="shared" si="23"/>
        <v>1016076.1</v>
      </c>
      <c r="P47" s="959" t="s">
        <v>952</v>
      </c>
    </row>
    <row r="48" spans="1:18" s="53" customFormat="1" ht="14.25" customHeight="1">
      <c r="A48" s="71" t="s">
        <v>322</v>
      </c>
      <c r="B48" s="1732" t="s">
        <v>2696</v>
      </c>
      <c r="C48" s="1732"/>
      <c r="D48" s="1732"/>
      <c r="E48" s="1732"/>
      <c r="F48" s="1732"/>
      <c r="G48" s="1732"/>
      <c r="H48" s="1732"/>
      <c r="I48" s="1011" t="s">
        <v>324</v>
      </c>
      <c r="J48" s="1732" t="s">
        <v>1963</v>
      </c>
      <c r="K48" s="1732"/>
      <c r="L48" s="1732"/>
      <c r="M48" s="1732"/>
      <c r="N48" s="1732"/>
      <c r="O48" s="1732"/>
      <c r="P48" s="1732"/>
    </row>
    <row r="49" spans="2:18" s="53" customFormat="1" ht="9" customHeight="1">
      <c r="B49" s="1726" t="s">
        <v>2639</v>
      </c>
      <c r="C49" s="1726"/>
      <c r="D49" s="1726"/>
      <c r="E49" s="1726"/>
      <c r="F49" s="1726"/>
      <c r="G49" s="1726"/>
      <c r="H49" s="1726"/>
      <c r="I49" s="10"/>
      <c r="J49" s="1723" t="s">
        <v>2503</v>
      </c>
      <c r="K49" s="1723"/>
      <c r="L49" s="1723"/>
      <c r="M49" s="1723"/>
      <c r="N49" s="1723"/>
      <c r="O49" s="1723"/>
      <c r="P49" s="1723"/>
    </row>
    <row r="50" spans="2:18" ht="9" customHeight="1">
      <c r="B50" s="1723"/>
      <c r="C50" s="1723"/>
      <c r="D50" s="1723"/>
      <c r="E50" s="1723"/>
      <c r="F50" s="1723"/>
      <c r="G50" s="1723"/>
      <c r="H50" s="23"/>
      <c r="I50" s="71" t="s">
        <v>323</v>
      </c>
      <c r="J50" s="1727" t="s">
        <v>2505</v>
      </c>
      <c r="K50" s="1727"/>
      <c r="L50" s="1727"/>
      <c r="M50" s="1727"/>
      <c r="N50" s="1727"/>
    </row>
    <row r="51" spans="2:18">
      <c r="P51" s="54"/>
      <c r="R51" s="54"/>
    </row>
    <row r="52" spans="2:18">
      <c r="G52" s="131"/>
      <c r="H52" s="131"/>
      <c r="I52" s="131"/>
      <c r="L52" s="54"/>
      <c r="M52" s="131"/>
      <c r="N52" s="54"/>
      <c r="O52" s="131"/>
      <c r="P52" s="54"/>
    </row>
    <row r="53" spans="2:18">
      <c r="G53" s="131"/>
      <c r="H53" s="131"/>
      <c r="I53" s="131"/>
      <c r="J53" s="54"/>
      <c r="K53" s="131"/>
      <c r="L53" s="54"/>
      <c r="M53" s="131"/>
      <c r="N53" s="54"/>
      <c r="O53" s="131"/>
      <c r="P53" s="846"/>
      <c r="Q53" s="300"/>
    </row>
    <row r="54" spans="2:18">
      <c r="J54" s="54"/>
      <c r="K54" s="131"/>
      <c r="L54" s="54"/>
      <c r="M54" s="131"/>
      <c r="N54" s="131"/>
      <c r="O54" s="316"/>
      <c r="P54" s="846"/>
      <c r="Q54" s="846"/>
    </row>
    <row r="55" spans="2:18">
      <c r="G55" s="131"/>
      <c r="H55" s="131"/>
      <c r="K55" s="54"/>
      <c r="L55" s="131"/>
      <c r="M55" s="131"/>
      <c r="O55" s="316"/>
      <c r="P55" s="846"/>
      <c r="Q55" s="300"/>
    </row>
    <row r="56" spans="2:18">
      <c r="D56" s="54"/>
      <c r="E56" s="131"/>
      <c r="H56" s="54"/>
      <c r="I56" s="131"/>
      <c r="J56" s="54"/>
      <c r="K56" s="54"/>
      <c r="L56" s="131"/>
      <c r="M56" s="131"/>
      <c r="O56" s="846"/>
      <c r="P56" s="846"/>
      <c r="Q56" s="300"/>
    </row>
    <row r="57" spans="2:18">
      <c r="D57" s="54"/>
      <c r="E57" s="131"/>
      <c r="J57" s="54"/>
      <c r="K57" s="131"/>
      <c r="O57" s="316"/>
      <c r="P57" s="300"/>
      <c r="Q57" s="300"/>
    </row>
    <row r="58" spans="2:18">
      <c r="D58" s="131"/>
      <c r="K58" s="54"/>
      <c r="L58" s="131"/>
      <c r="M58" s="131"/>
    </row>
    <row r="59" spans="2:18">
      <c r="J59" s="54"/>
      <c r="K59" s="131"/>
      <c r="L59" s="54"/>
      <c r="M59" s="131"/>
    </row>
    <row r="60" spans="2:18">
      <c r="J60" s="54"/>
    </row>
    <row r="62" spans="2:18">
      <c r="L62" s="54"/>
      <c r="M62" s="131"/>
    </row>
  </sheetData>
  <mergeCells count="33">
    <mergeCell ref="O1:P1"/>
    <mergeCell ref="O2:P2"/>
    <mergeCell ref="O3:O7"/>
    <mergeCell ref="G1:H1"/>
    <mergeCell ref="M3:M7"/>
    <mergeCell ref="I1:J1"/>
    <mergeCell ref="N3:N7"/>
    <mergeCell ref="A1:C1"/>
    <mergeCell ref="E4:J4"/>
    <mergeCell ref="G6:G7"/>
    <mergeCell ref="A3:A9"/>
    <mergeCell ref="B3:D3"/>
    <mergeCell ref="D4:D8"/>
    <mergeCell ref="B4:B8"/>
    <mergeCell ref="H5:J5"/>
    <mergeCell ref="J6:J7"/>
    <mergeCell ref="I3:K3"/>
    <mergeCell ref="H6:H7"/>
    <mergeCell ref="I6:I7"/>
    <mergeCell ref="E3:H3"/>
    <mergeCell ref="E5:G5"/>
    <mergeCell ref="E6:E7"/>
    <mergeCell ref="J49:P49"/>
    <mergeCell ref="L4:L8"/>
    <mergeCell ref="B49:H49"/>
    <mergeCell ref="B50:G50"/>
    <mergeCell ref="J50:N50"/>
    <mergeCell ref="P3:P9"/>
    <mergeCell ref="K4:K7"/>
    <mergeCell ref="F6:F7"/>
    <mergeCell ref="B48:H48"/>
    <mergeCell ref="C4:C8"/>
    <mergeCell ref="J48:P48"/>
  </mergeCells>
  <phoneticPr fontId="0" type="noConversion"/>
  <pageMargins left="0.62992125984252001" right="0.511811023622047" top="0.261811024" bottom="0" header="0" footer="0.196850393700787"/>
  <pageSetup paperSize="151" firstPageNumber="12" orientation="portrait" useFirstPageNumber="1" r:id="rId1"/>
  <headerFooter alignWithMargins="0">
    <oddFooter>&amp;C&amp;"Times New Roman,Regular"&amp;8&amp;P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P46"/>
  <sheetViews>
    <sheetView zoomScale="110" zoomScaleNormal="11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15" sqref="A15:XFD15"/>
    </sheetView>
  </sheetViews>
  <sheetFormatPr defaultColWidth="9.140625" defaultRowHeight="12.75"/>
  <cols>
    <col min="1" max="1" width="8.42578125" style="765" customWidth="1"/>
    <col min="2" max="2" width="3.85546875" style="765" customWidth="1"/>
    <col min="3" max="3" width="13.7109375" style="765" customWidth="1"/>
    <col min="4" max="4" width="12.85546875" style="765" customWidth="1"/>
    <col min="5" max="5" width="13" style="765" customWidth="1"/>
    <col min="6" max="6" width="13.42578125" style="765" customWidth="1"/>
    <col min="7" max="7" width="13" style="765" customWidth="1"/>
    <col min="8" max="9" width="12.7109375" style="765" customWidth="1"/>
    <col min="10" max="11" width="13.28515625" style="765" customWidth="1"/>
    <col min="12" max="12" width="14.42578125" style="765" customWidth="1"/>
    <col min="13" max="13" width="11.85546875" style="765" customWidth="1"/>
    <col min="14" max="16384" width="9.140625" style="765"/>
  </cols>
  <sheetData>
    <row r="1" spans="1:16" s="303" customFormat="1" ht="15.75">
      <c r="E1" s="1753" t="s">
        <v>1426</v>
      </c>
      <c r="F1" s="1753"/>
      <c r="G1" s="1753"/>
      <c r="H1" s="1759" t="s">
        <v>809</v>
      </c>
      <c r="I1" s="1759"/>
      <c r="J1" s="1759"/>
      <c r="L1" s="1753" t="s">
        <v>673</v>
      </c>
      <c r="M1" s="1753"/>
    </row>
    <row r="2" spans="1:16" s="306" customFormat="1" ht="10.5" customHeight="1">
      <c r="G2" s="814"/>
      <c r="L2" s="1760" t="s">
        <v>353</v>
      </c>
      <c r="M2" s="1760"/>
    </row>
    <row r="3" spans="1:16" s="306" customFormat="1" ht="3" customHeight="1">
      <c r="G3" s="814"/>
      <c r="L3" s="814"/>
    </row>
    <row r="4" spans="1:16" s="309" customFormat="1" ht="22.5" customHeight="1">
      <c r="A4" s="1761" t="s">
        <v>1650</v>
      </c>
      <c r="B4" s="1762"/>
      <c r="C4" s="1634" t="s">
        <v>325</v>
      </c>
      <c r="D4" s="1634" t="s">
        <v>1653</v>
      </c>
      <c r="E4" s="1754" t="s">
        <v>757</v>
      </c>
      <c r="F4" s="1755"/>
      <c r="G4" s="1702"/>
      <c r="H4" s="1754" t="s">
        <v>759</v>
      </c>
      <c r="I4" s="1755"/>
      <c r="J4" s="1702"/>
      <c r="K4" s="1634" t="s">
        <v>1366</v>
      </c>
      <c r="L4" s="1634" t="s">
        <v>1652</v>
      </c>
      <c r="M4" s="1756" t="s">
        <v>1651</v>
      </c>
    </row>
    <row r="5" spans="1:16" s="309" customFormat="1" ht="22.5" customHeight="1">
      <c r="A5" s="1763"/>
      <c r="B5" s="1764"/>
      <c r="C5" s="1635"/>
      <c r="D5" s="1635"/>
      <c r="E5" s="1353" t="s">
        <v>758</v>
      </c>
      <c r="F5" s="1353" t="s">
        <v>872</v>
      </c>
      <c r="G5" s="1353" t="s">
        <v>871</v>
      </c>
      <c r="H5" s="1353" t="s">
        <v>758</v>
      </c>
      <c r="I5" s="1353" t="s">
        <v>872</v>
      </c>
      <c r="J5" s="1353" t="s">
        <v>871</v>
      </c>
      <c r="K5" s="1635"/>
      <c r="L5" s="1635"/>
      <c r="M5" s="1757"/>
    </row>
    <row r="6" spans="1:16" s="904" customFormat="1" ht="12" customHeight="1">
      <c r="A6" s="1765"/>
      <c r="B6" s="1766"/>
      <c r="C6" s="902">
        <v>1</v>
      </c>
      <c r="D6" s="903">
        <v>2</v>
      </c>
      <c r="E6" s="903">
        <v>3</v>
      </c>
      <c r="F6" s="903">
        <v>4</v>
      </c>
      <c r="G6" s="903" t="s">
        <v>326</v>
      </c>
      <c r="H6" s="903">
        <v>6</v>
      </c>
      <c r="I6" s="903">
        <v>7</v>
      </c>
      <c r="J6" s="903" t="s">
        <v>327</v>
      </c>
      <c r="K6" s="903">
        <v>9</v>
      </c>
      <c r="L6" s="903" t="s">
        <v>760</v>
      </c>
      <c r="M6" s="1758"/>
    </row>
    <row r="7" spans="1:16" ht="12.95" customHeight="1">
      <c r="A7" s="300" t="s">
        <v>953</v>
      </c>
      <c r="B7" s="300"/>
      <c r="C7" s="808">
        <v>31534.2</v>
      </c>
      <c r="D7" s="808">
        <v>36.200000000000003</v>
      </c>
      <c r="E7" s="808">
        <v>1765</v>
      </c>
      <c r="F7" s="808">
        <v>3881.3</v>
      </c>
      <c r="G7" s="899">
        <f t="shared" ref="G7:G12" si="0">E7+F7</f>
        <v>5646.3</v>
      </c>
      <c r="H7" s="808">
        <v>12759.4</v>
      </c>
      <c r="I7" s="808">
        <v>94248.9</v>
      </c>
      <c r="J7" s="899">
        <f t="shared" ref="J7:J12" si="1">H7+I7</f>
        <v>107008.29999999999</v>
      </c>
      <c r="K7" s="808">
        <v>34187.300000000003</v>
      </c>
      <c r="L7" s="899">
        <f t="shared" ref="L7:L12" si="2">C7+D7+G7+J7+K7</f>
        <v>178412.3</v>
      </c>
      <c r="M7" s="764" t="s">
        <v>953</v>
      </c>
      <c r="P7" s="932"/>
    </row>
    <row r="8" spans="1:16" ht="12.95" customHeight="1">
      <c r="A8" s="300" t="s">
        <v>962</v>
      </c>
      <c r="B8" s="300"/>
      <c r="C8" s="804">
        <v>35938.800000000003</v>
      </c>
      <c r="D8" s="804">
        <v>22.3</v>
      </c>
      <c r="E8" s="804">
        <v>1989.3</v>
      </c>
      <c r="F8" s="804">
        <v>5123.1000000000004</v>
      </c>
      <c r="G8" s="899">
        <f t="shared" si="0"/>
        <v>7112.4000000000005</v>
      </c>
      <c r="H8" s="804">
        <v>14033.9</v>
      </c>
      <c r="I8" s="804">
        <v>110174.39999999999</v>
      </c>
      <c r="J8" s="899">
        <f t="shared" si="1"/>
        <v>124208.29999999999</v>
      </c>
      <c r="K8" s="804">
        <v>36879.599999999999</v>
      </c>
      <c r="L8" s="899">
        <f t="shared" si="2"/>
        <v>204161.4</v>
      </c>
      <c r="M8" s="764" t="s">
        <v>962</v>
      </c>
      <c r="P8" s="932"/>
    </row>
    <row r="9" spans="1:16" ht="12.95" customHeight="1">
      <c r="A9" s="300" t="s">
        <v>675</v>
      </c>
      <c r="B9" s="300"/>
      <c r="C9" s="804">
        <v>46751</v>
      </c>
      <c r="D9" s="804">
        <v>18.8</v>
      </c>
      <c r="E9" s="804">
        <v>1625</v>
      </c>
      <c r="F9" s="804">
        <v>6192.6</v>
      </c>
      <c r="G9" s="899">
        <f t="shared" si="0"/>
        <v>7817.6</v>
      </c>
      <c r="H9" s="804">
        <v>8518.6</v>
      </c>
      <c r="I9" s="804">
        <v>142152.20000000001</v>
      </c>
      <c r="J9" s="899">
        <f t="shared" si="1"/>
        <v>150670.80000000002</v>
      </c>
      <c r="K9" s="804">
        <v>41790.9</v>
      </c>
      <c r="L9" s="899">
        <f t="shared" si="2"/>
        <v>247049.1</v>
      </c>
      <c r="M9" s="764" t="s">
        <v>675</v>
      </c>
      <c r="P9" s="932"/>
    </row>
    <row r="10" spans="1:16" ht="12.95" customHeight="1">
      <c r="A10" s="300" t="s">
        <v>141</v>
      </c>
      <c r="B10" s="300"/>
      <c r="C10" s="804">
        <v>58007.6</v>
      </c>
      <c r="D10" s="804">
        <v>15.5</v>
      </c>
      <c r="E10" s="804">
        <v>2027.2</v>
      </c>
      <c r="F10" s="804">
        <v>8210</v>
      </c>
      <c r="G10" s="899">
        <f t="shared" si="0"/>
        <v>10237.200000000001</v>
      </c>
      <c r="H10" s="804">
        <v>8877</v>
      </c>
      <c r="I10" s="804">
        <v>166223.4</v>
      </c>
      <c r="J10" s="899">
        <f t="shared" si="1"/>
        <v>175100.4</v>
      </c>
      <c r="K10" s="804">
        <v>43494.1</v>
      </c>
      <c r="L10" s="899">
        <f t="shared" si="2"/>
        <v>286854.8</v>
      </c>
      <c r="M10" s="764" t="s">
        <v>141</v>
      </c>
      <c r="P10" s="932"/>
    </row>
    <row r="11" spans="1:16" ht="12.95" customHeight="1">
      <c r="A11" s="300" t="s">
        <v>136</v>
      </c>
      <c r="B11" s="300"/>
      <c r="C11" s="804">
        <v>54252.9</v>
      </c>
      <c r="D11" s="804">
        <v>12.3</v>
      </c>
      <c r="E11" s="804">
        <v>1765.4</v>
      </c>
      <c r="F11" s="804">
        <v>9474.7999999999993</v>
      </c>
      <c r="G11" s="899">
        <f t="shared" si="0"/>
        <v>11240.199999999999</v>
      </c>
      <c r="H11" s="804">
        <v>11036.2</v>
      </c>
      <c r="I11" s="804">
        <v>205147.4</v>
      </c>
      <c r="J11" s="899">
        <f t="shared" si="1"/>
        <v>216183.6</v>
      </c>
      <c r="K11" s="804">
        <v>56138.6</v>
      </c>
      <c r="L11" s="899">
        <f t="shared" si="2"/>
        <v>337827.6</v>
      </c>
      <c r="M11" s="764" t="s">
        <v>136</v>
      </c>
      <c r="P11" s="932"/>
    </row>
    <row r="12" spans="1:16" ht="12.95" customHeight="1">
      <c r="A12" s="300" t="s">
        <v>317</v>
      </c>
      <c r="B12" s="300"/>
      <c r="C12" s="804">
        <v>73227.899999999994</v>
      </c>
      <c r="D12" s="804">
        <v>9.4</v>
      </c>
      <c r="E12" s="804">
        <v>2162.1</v>
      </c>
      <c r="F12" s="804">
        <v>9681.2999999999993</v>
      </c>
      <c r="G12" s="899">
        <f t="shared" si="0"/>
        <v>11843.4</v>
      </c>
      <c r="H12" s="804">
        <v>14780.8</v>
      </c>
      <c r="I12" s="804">
        <v>261545.2</v>
      </c>
      <c r="J12" s="899">
        <f t="shared" si="1"/>
        <v>276326</v>
      </c>
      <c r="K12" s="804">
        <v>69486.3</v>
      </c>
      <c r="L12" s="899">
        <f t="shared" si="2"/>
        <v>430892.99999999994</v>
      </c>
      <c r="M12" s="764" t="s">
        <v>317</v>
      </c>
      <c r="P12" s="932"/>
    </row>
    <row r="13" spans="1:16" ht="13.9" customHeight="1">
      <c r="A13" s="300" t="s">
        <v>1299</v>
      </c>
      <c r="B13" s="300"/>
      <c r="C13" s="804">
        <v>91728.8</v>
      </c>
      <c r="D13" s="804">
        <v>5.8</v>
      </c>
      <c r="E13" s="804">
        <v>2558.6</v>
      </c>
      <c r="F13" s="804">
        <v>11158.6</v>
      </c>
      <c r="G13" s="899">
        <v>13717.2</v>
      </c>
      <c r="H13" s="804">
        <v>12777.7</v>
      </c>
      <c r="I13" s="804">
        <v>320176.90000000002</v>
      </c>
      <c r="J13" s="899">
        <v>332954.60000000003</v>
      </c>
      <c r="K13" s="804">
        <v>76566.2</v>
      </c>
      <c r="L13" s="899">
        <v>514972.60000000003</v>
      </c>
      <c r="M13" s="764" t="s">
        <v>1299</v>
      </c>
      <c r="P13" s="932"/>
    </row>
    <row r="14" spans="1:16" ht="13.9" customHeight="1">
      <c r="A14" s="523" t="s">
        <v>1505</v>
      </c>
      <c r="B14" s="523"/>
      <c r="C14" s="798">
        <v>110124.6</v>
      </c>
      <c r="D14" s="798">
        <v>2.2999999999999998</v>
      </c>
      <c r="E14" s="798">
        <v>3509.3</v>
      </c>
      <c r="F14" s="798">
        <v>14227.8</v>
      </c>
      <c r="G14" s="1436">
        <v>17737.099999999999</v>
      </c>
      <c r="H14" s="798">
        <v>5943.7</v>
      </c>
      <c r="I14" s="798">
        <v>354128.7</v>
      </c>
      <c r="J14" s="1436">
        <v>360072.4</v>
      </c>
      <c r="K14" s="798">
        <v>83800.7</v>
      </c>
      <c r="L14" s="1436">
        <v>571737.1</v>
      </c>
      <c r="M14" s="1041" t="s">
        <v>1505</v>
      </c>
    </row>
    <row r="15" spans="1:16" s="637" customFormat="1" ht="13.9" customHeight="1">
      <c r="A15" s="411" t="s">
        <v>1886</v>
      </c>
      <c r="B15" s="459"/>
      <c r="C15" s="804">
        <v>117529.4</v>
      </c>
      <c r="D15" s="804">
        <v>0</v>
      </c>
      <c r="E15" s="804">
        <v>5279.8</v>
      </c>
      <c r="F15" s="804">
        <v>17064.3</v>
      </c>
      <c r="G15" s="804">
        <v>22344.1</v>
      </c>
      <c r="H15" s="804">
        <v>7457.2</v>
      </c>
      <c r="I15" s="804">
        <v>396366.5</v>
      </c>
      <c r="J15" s="804">
        <v>403823.7</v>
      </c>
      <c r="K15" s="804">
        <v>94209.1</v>
      </c>
      <c r="L15" s="804">
        <v>637906.29999999993</v>
      </c>
      <c r="M15" s="717" t="s">
        <v>1886</v>
      </c>
    </row>
    <row r="16" spans="1:16" s="637" customFormat="1" ht="13.9" customHeight="1">
      <c r="A16" s="606" t="s">
        <v>2017</v>
      </c>
      <c r="B16" s="504"/>
      <c r="C16" s="981">
        <v>110257.3</v>
      </c>
      <c r="D16" s="981">
        <v>0</v>
      </c>
      <c r="E16" s="981">
        <v>5366.6</v>
      </c>
      <c r="F16" s="981">
        <v>21902.2</v>
      </c>
      <c r="G16" s="981">
        <v>27268.799999999999</v>
      </c>
      <c r="H16" s="981">
        <v>11303.2</v>
      </c>
      <c r="I16" s="981">
        <v>447518.7</v>
      </c>
      <c r="J16" s="981">
        <v>458821.8</v>
      </c>
      <c r="K16" s="981">
        <v>105178.6</v>
      </c>
      <c r="L16" s="981">
        <v>701526.5</v>
      </c>
      <c r="M16" s="871" t="s">
        <v>2017</v>
      </c>
      <c r="P16" s="938"/>
    </row>
    <row r="17" spans="1:16" s="637" customFormat="1" ht="13.9" customHeight="1">
      <c r="A17" s="872" t="s">
        <v>2226</v>
      </c>
      <c r="B17" s="459"/>
      <c r="C17" s="936">
        <f>C29</f>
        <v>114219.6</v>
      </c>
      <c r="D17" s="936">
        <f t="shared" ref="D17:L17" si="3">D29</f>
        <v>0</v>
      </c>
      <c r="E17" s="936">
        <f t="shared" si="3"/>
        <v>6923.8</v>
      </c>
      <c r="F17" s="936">
        <f t="shared" si="3"/>
        <v>26923.7</v>
      </c>
      <c r="G17" s="936">
        <f t="shared" si="3"/>
        <v>33847.5</v>
      </c>
      <c r="H17" s="936">
        <f t="shared" si="3"/>
        <v>9127.2999999999993</v>
      </c>
      <c r="I17" s="936">
        <f t="shared" si="3"/>
        <v>531340.4</v>
      </c>
      <c r="J17" s="936">
        <f t="shared" si="3"/>
        <v>540467.70000000007</v>
      </c>
      <c r="K17" s="936">
        <f t="shared" si="3"/>
        <v>112745.2</v>
      </c>
      <c r="L17" s="936">
        <f t="shared" si="3"/>
        <v>801280</v>
      </c>
      <c r="M17" s="873" t="s">
        <v>2226</v>
      </c>
      <c r="O17" s="1042"/>
      <c r="P17" s="938"/>
    </row>
    <row r="18" spans="1:16" s="637" customFormat="1" ht="13.9" customHeight="1">
      <c r="A18" s="496" t="s">
        <v>954</v>
      </c>
      <c r="B18" s="504"/>
      <c r="C18" s="800">
        <v>121725.9</v>
      </c>
      <c r="D18" s="800">
        <v>0</v>
      </c>
      <c r="E18" s="800">
        <v>5752.5</v>
      </c>
      <c r="F18" s="800">
        <v>22181.9</v>
      </c>
      <c r="G18" s="800">
        <f t="shared" ref="G18:G23" si="4">E18+F18</f>
        <v>27934.400000000001</v>
      </c>
      <c r="H18" s="800">
        <v>9787.4</v>
      </c>
      <c r="I18" s="800">
        <v>446466.5</v>
      </c>
      <c r="J18" s="800">
        <f t="shared" ref="J18:J25" si="5">H18+I18</f>
        <v>456253.9</v>
      </c>
      <c r="K18" s="800">
        <v>105020.3</v>
      </c>
      <c r="L18" s="798">
        <f t="shared" ref="L18:L23" si="6">C18+D18+G18+J18+K18</f>
        <v>710934.5</v>
      </c>
      <c r="M18" s="692" t="s">
        <v>954</v>
      </c>
      <c r="O18" s="1042"/>
      <c r="P18" s="938"/>
    </row>
    <row r="19" spans="1:16" s="637" customFormat="1" ht="13.9" customHeight="1">
      <c r="A19" s="411" t="s">
        <v>955</v>
      </c>
      <c r="B19" s="459"/>
      <c r="C19" s="799">
        <v>115687.1</v>
      </c>
      <c r="D19" s="799">
        <v>0</v>
      </c>
      <c r="E19" s="799">
        <v>5968.4</v>
      </c>
      <c r="F19" s="799">
        <v>22699.200000000001</v>
      </c>
      <c r="G19" s="799">
        <f t="shared" si="4"/>
        <v>28667.599999999999</v>
      </c>
      <c r="H19" s="799">
        <v>9719.4</v>
      </c>
      <c r="I19" s="799">
        <v>449894.40000000002</v>
      </c>
      <c r="J19" s="799">
        <f t="shared" si="5"/>
        <v>459613.80000000005</v>
      </c>
      <c r="K19" s="799">
        <v>105583.3</v>
      </c>
      <c r="L19" s="804">
        <f t="shared" si="6"/>
        <v>709551.8</v>
      </c>
      <c r="M19" s="717" t="s">
        <v>955</v>
      </c>
      <c r="O19" s="1042"/>
      <c r="P19" s="938"/>
    </row>
    <row r="20" spans="1:16" s="637" customFormat="1" ht="13.9" customHeight="1">
      <c r="A20" s="496" t="s">
        <v>949</v>
      </c>
      <c r="B20" s="504"/>
      <c r="C20" s="800">
        <v>118172.7</v>
      </c>
      <c r="D20" s="800">
        <v>0</v>
      </c>
      <c r="E20" s="800">
        <v>6349.2</v>
      </c>
      <c r="F20" s="800">
        <v>23198.400000000001</v>
      </c>
      <c r="G20" s="800">
        <f t="shared" si="4"/>
        <v>29547.600000000002</v>
      </c>
      <c r="H20" s="800">
        <v>9434.7000000000007</v>
      </c>
      <c r="I20" s="800">
        <v>461334.5</v>
      </c>
      <c r="J20" s="800">
        <f t="shared" si="5"/>
        <v>470769.2</v>
      </c>
      <c r="K20" s="800">
        <v>105152.7</v>
      </c>
      <c r="L20" s="798">
        <f t="shared" si="6"/>
        <v>723642.2</v>
      </c>
      <c r="M20" s="692" t="s">
        <v>949</v>
      </c>
      <c r="O20" s="1042"/>
      <c r="P20" s="938"/>
    </row>
    <row r="21" spans="1:16" s="637" customFormat="1" ht="13.9" customHeight="1">
      <c r="A21" s="411" t="s">
        <v>956</v>
      </c>
      <c r="B21" s="459"/>
      <c r="C21" s="799">
        <v>112629.6</v>
      </c>
      <c r="D21" s="799">
        <v>0</v>
      </c>
      <c r="E21" s="799">
        <v>6534</v>
      </c>
      <c r="F21" s="799">
        <v>23192.400000000001</v>
      </c>
      <c r="G21" s="799">
        <f t="shared" si="4"/>
        <v>29726.400000000001</v>
      </c>
      <c r="H21" s="799">
        <v>9612.5</v>
      </c>
      <c r="I21" s="799">
        <v>466275.8</v>
      </c>
      <c r="J21" s="799">
        <f t="shared" si="5"/>
        <v>475888.3</v>
      </c>
      <c r="K21" s="799">
        <v>105208.9</v>
      </c>
      <c r="L21" s="804">
        <f t="shared" si="6"/>
        <v>723453.20000000007</v>
      </c>
      <c r="M21" s="717" t="s">
        <v>956</v>
      </c>
      <c r="O21" s="1042"/>
      <c r="P21" s="938"/>
    </row>
    <row r="22" spans="1:16" s="637" customFormat="1" ht="13.9" customHeight="1">
      <c r="A22" s="496" t="s">
        <v>957</v>
      </c>
      <c r="B22" s="504"/>
      <c r="C22" s="800">
        <v>110110</v>
      </c>
      <c r="D22" s="800">
        <v>0</v>
      </c>
      <c r="E22" s="800">
        <v>6683.3</v>
      </c>
      <c r="F22" s="800">
        <v>23893.9</v>
      </c>
      <c r="G22" s="800">
        <f t="shared" si="4"/>
        <v>30577.200000000001</v>
      </c>
      <c r="H22" s="800">
        <v>9560</v>
      </c>
      <c r="I22" s="800">
        <v>474093.4</v>
      </c>
      <c r="J22" s="800">
        <f t="shared" si="5"/>
        <v>483653.4</v>
      </c>
      <c r="K22" s="800">
        <v>105935.3</v>
      </c>
      <c r="L22" s="798">
        <f t="shared" si="6"/>
        <v>730275.90000000014</v>
      </c>
      <c r="M22" s="692" t="s">
        <v>957</v>
      </c>
      <c r="O22" s="1042"/>
      <c r="P22" s="938"/>
    </row>
    <row r="23" spans="1:16" s="637" customFormat="1" ht="13.9" customHeight="1">
      <c r="A23" s="411" t="s">
        <v>950</v>
      </c>
      <c r="B23" s="459"/>
      <c r="C23" s="799">
        <v>103488.7</v>
      </c>
      <c r="D23" s="799">
        <v>0</v>
      </c>
      <c r="E23" s="799">
        <v>6585.9</v>
      </c>
      <c r="F23" s="799">
        <v>24222.3</v>
      </c>
      <c r="G23" s="799">
        <f t="shared" si="4"/>
        <v>30808.199999999997</v>
      </c>
      <c r="H23" s="799">
        <v>10063</v>
      </c>
      <c r="I23" s="799">
        <v>487528.1</v>
      </c>
      <c r="J23" s="799">
        <f t="shared" si="5"/>
        <v>497591.1</v>
      </c>
      <c r="K23" s="799">
        <v>108756.4</v>
      </c>
      <c r="L23" s="804">
        <f t="shared" si="6"/>
        <v>740644.4</v>
      </c>
      <c r="M23" s="717" t="s">
        <v>950</v>
      </c>
      <c r="O23" s="1042"/>
      <c r="P23" s="938"/>
    </row>
    <row r="24" spans="1:16" s="637" customFormat="1" ht="13.9" customHeight="1">
      <c r="A24" s="496" t="s">
        <v>958</v>
      </c>
      <c r="B24" s="504"/>
      <c r="C24" s="800">
        <v>100090.1</v>
      </c>
      <c r="D24" s="800">
        <v>0</v>
      </c>
      <c r="E24" s="800">
        <v>6982.2</v>
      </c>
      <c r="F24" s="800">
        <v>24185</v>
      </c>
      <c r="G24" s="800">
        <f t="shared" ref="G24:G35" si="7">E24+F24</f>
        <v>31167.200000000001</v>
      </c>
      <c r="H24" s="800">
        <v>10820.7</v>
      </c>
      <c r="I24" s="800">
        <v>491115.3</v>
      </c>
      <c r="J24" s="800">
        <f>H24+I24</f>
        <v>501936</v>
      </c>
      <c r="K24" s="800">
        <v>106899.5</v>
      </c>
      <c r="L24" s="798">
        <f t="shared" ref="L24:L42" si="8">C24+D24+G24+J24+K24</f>
        <v>740092.8</v>
      </c>
      <c r="M24" s="692" t="s">
        <v>958</v>
      </c>
      <c r="O24" s="1042"/>
      <c r="P24" s="938"/>
    </row>
    <row r="25" spans="1:16" s="637" customFormat="1" ht="13.9" customHeight="1">
      <c r="A25" s="411" t="s">
        <v>959</v>
      </c>
      <c r="B25" s="459"/>
      <c r="C25" s="799">
        <v>102692.2</v>
      </c>
      <c r="D25" s="799">
        <v>0</v>
      </c>
      <c r="E25" s="799">
        <v>7077.8</v>
      </c>
      <c r="F25" s="799">
        <v>24657.200000000001</v>
      </c>
      <c r="G25" s="799">
        <f t="shared" si="7"/>
        <v>31735</v>
      </c>
      <c r="H25" s="799">
        <v>9942.2000000000007</v>
      </c>
      <c r="I25" s="799">
        <v>494856.3</v>
      </c>
      <c r="J25" s="799">
        <f t="shared" si="5"/>
        <v>504798.5</v>
      </c>
      <c r="K25" s="799">
        <v>108447.1</v>
      </c>
      <c r="L25" s="804">
        <f t="shared" si="8"/>
        <v>747672.79999999993</v>
      </c>
      <c r="M25" s="717" t="s">
        <v>959</v>
      </c>
      <c r="O25" s="1042"/>
      <c r="P25" s="938"/>
    </row>
    <row r="26" spans="1:16" s="637" customFormat="1" ht="13.9" customHeight="1">
      <c r="A26" s="496" t="s">
        <v>951</v>
      </c>
      <c r="B26" s="504"/>
      <c r="C26" s="800">
        <v>99778.1</v>
      </c>
      <c r="D26" s="800">
        <v>0</v>
      </c>
      <c r="E26" s="800">
        <v>7124.5</v>
      </c>
      <c r="F26" s="800">
        <v>24937.4</v>
      </c>
      <c r="G26" s="800">
        <f t="shared" si="7"/>
        <v>32061.9</v>
      </c>
      <c r="H26" s="800">
        <v>10145.9</v>
      </c>
      <c r="I26" s="800">
        <v>502226.7</v>
      </c>
      <c r="J26" s="800">
        <f>H26+I26</f>
        <v>512372.60000000003</v>
      </c>
      <c r="K26" s="800">
        <v>109278.3</v>
      </c>
      <c r="L26" s="798">
        <f t="shared" si="8"/>
        <v>753490.90000000014</v>
      </c>
      <c r="M26" s="692" t="s">
        <v>951</v>
      </c>
      <c r="O26" s="1042"/>
      <c r="P26" s="938"/>
    </row>
    <row r="27" spans="1:16" s="637" customFormat="1" ht="13.9" customHeight="1">
      <c r="A27" s="411" t="s">
        <v>960</v>
      </c>
      <c r="B27" s="459"/>
      <c r="C27" s="799">
        <v>97542.5</v>
      </c>
      <c r="D27" s="799">
        <v>0</v>
      </c>
      <c r="E27" s="799">
        <v>7263.7</v>
      </c>
      <c r="F27" s="799">
        <v>25468.9</v>
      </c>
      <c r="G27" s="799">
        <f t="shared" si="7"/>
        <v>32732.600000000002</v>
      </c>
      <c r="H27" s="799">
        <v>9876</v>
      </c>
      <c r="I27" s="799">
        <v>510302.1</v>
      </c>
      <c r="J27" s="799">
        <f>H27+I27</f>
        <v>520178.1</v>
      </c>
      <c r="K27" s="799">
        <v>108962.8</v>
      </c>
      <c r="L27" s="804">
        <f t="shared" si="8"/>
        <v>759416</v>
      </c>
      <c r="M27" s="717" t="s">
        <v>960</v>
      </c>
      <c r="O27" s="1042"/>
      <c r="P27" s="938"/>
    </row>
    <row r="28" spans="1:16" s="637" customFormat="1" ht="13.9" customHeight="1">
      <c r="A28" s="496" t="s">
        <v>961</v>
      </c>
      <c r="B28" s="504"/>
      <c r="C28" s="800">
        <v>102109.4</v>
      </c>
      <c r="D28" s="800">
        <v>0</v>
      </c>
      <c r="E28" s="800">
        <v>7073.8</v>
      </c>
      <c r="F28" s="800">
        <v>26481.9</v>
      </c>
      <c r="G28" s="800">
        <f t="shared" si="7"/>
        <v>33555.700000000004</v>
      </c>
      <c r="H28" s="800">
        <v>10009.700000000001</v>
      </c>
      <c r="I28" s="800">
        <v>517709.5</v>
      </c>
      <c r="J28" s="800">
        <f>H28+I28</f>
        <v>527719.19999999995</v>
      </c>
      <c r="K28" s="800">
        <v>109825.7</v>
      </c>
      <c r="L28" s="798">
        <f t="shared" si="8"/>
        <v>773209.99999999988</v>
      </c>
      <c r="M28" s="692" t="s">
        <v>961</v>
      </c>
      <c r="O28" s="1042"/>
      <c r="P28" s="938"/>
    </row>
    <row r="29" spans="1:16" s="637" customFormat="1" ht="13.9" customHeight="1">
      <c r="A29" s="1493" t="s">
        <v>952</v>
      </c>
      <c r="B29" s="412"/>
      <c r="C29" s="799">
        <v>114219.6</v>
      </c>
      <c r="D29" s="799">
        <v>0</v>
      </c>
      <c r="E29" s="799">
        <v>6923.8</v>
      </c>
      <c r="F29" s="799">
        <v>26923.7</v>
      </c>
      <c r="G29" s="799">
        <f t="shared" si="7"/>
        <v>33847.5</v>
      </c>
      <c r="H29" s="799">
        <v>9127.2999999999993</v>
      </c>
      <c r="I29" s="799">
        <v>531340.4</v>
      </c>
      <c r="J29" s="799">
        <f>H29+I29</f>
        <v>540467.70000000007</v>
      </c>
      <c r="K29" s="799">
        <v>112745.2</v>
      </c>
      <c r="L29" s="804">
        <f t="shared" si="8"/>
        <v>801280</v>
      </c>
      <c r="M29" s="1494" t="s">
        <v>952</v>
      </c>
      <c r="N29" s="412"/>
      <c r="O29" s="1042"/>
      <c r="P29" s="938"/>
    </row>
    <row r="30" spans="1:16" s="637" customFormat="1" ht="13.9" customHeight="1">
      <c r="A30" s="1492" t="s">
        <v>2384</v>
      </c>
      <c r="B30" s="497"/>
      <c r="C30" s="982">
        <f>C42</f>
        <v>97334</v>
      </c>
      <c r="D30" s="982">
        <f t="shared" ref="D30:L30" si="9">D42</f>
        <v>0</v>
      </c>
      <c r="E30" s="982">
        <f t="shared" si="9"/>
        <v>8161.5</v>
      </c>
      <c r="F30" s="982">
        <f t="shared" si="9"/>
        <v>33952.5</v>
      </c>
      <c r="G30" s="982">
        <f t="shared" si="9"/>
        <v>42114</v>
      </c>
      <c r="H30" s="982">
        <f t="shared" si="9"/>
        <v>9118.7000000000007</v>
      </c>
      <c r="I30" s="982">
        <f t="shared" si="9"/>
        <v>612395</v>
      </c>
      <c r="J30" s="982">
        <f t="shared" si="9"/>
        <v>621513.69999999995</v>
      </c>
      <c r="K30" s="982">
        <f t="shared" si="9"/>
        <v>129711.2</v>
      </c>
      <c r="L30" s="982">
        <f t="shared" si="9"/>
        <v>890672.89999999991</v>
      </c>
      <c r="M30" s="651" t="s">
        <v>2384</v>
      </c>
      <c r="N30" s="412"/>
      <c r="O30" s="1042"/>
      <c r="P30" s="938"/>
    </row>
    <row r="31" spans="1:16" s="637" customFormat="1" ht="13.9" customHeight="1">
      <c r="A31" s="298" t="s">
        <v>954</v>
      </c>
      <c r="B31" s="412"/>
      <c r="C31" s="799">
        <v>116658.1</v>
      </c>
      <c r="D31" s="799">
        <v>0</v>
      </c>
      <c r="E31" s="799">
        <v>7022.9</v>
      </c>
      <c r="F31" s="799">
        <v>27808.9</v>
      </c>
      <c r="G31" s="799">
        <f t="shared" si="7"/>
        <v>34831.800000000003</v>
      </c>
      <c r="H31" s="799">
        <v>8975.7000000000007</v>
      </c>
      <c r="I31" s="799">
        <v>524397.19999999995</v>
      </c>
      <c r="J31" s="799">
        <f t="shared" ref="J31:J42" si="10">H31+I31</f>
        <v>533372.89999999991</v>
      </c>
      <c r="K31" s="799">
        <v>113105.7</v>
      </c>
      <c r="L31" s="804">
        <f t="shared" si="8"/>
        <v>797968.49999999988</v>
      </c>
      <c r="M31" s="367" t="s">
        <v>954</v>
      </c>
      <c r="N31" s="412"/>
      <c r="O31" s="1042"/>
      <c r="P31" s="938"/>
    </row>
    <row r="32" spans="1:16" s="637" customFormat="1" ht="13.9" customHeight="1">
      <c r="A32" s="517" t="s">
        <v>955</v>
      </c>
      <c r="B32" s="497"/>
      <c r="C32" s="800">
        <v>113324.2</v>
      </c>
      <c r="D32" s="800">
        <v>0</v>
      </c>
      <c r="E32" s="800">
        <v>7245.5</v>
      </c>
      <c r="F32" s="800">
        <v>27872.400000000001</v>
      </c>
      <c r="G32" s="800">
        <f t="shared" si="7"/>
        <v>35117.9</v>
      </c>
      <c r="H32" s="800">
        <v>8864.2000000000007</v>
      </c>
      <c r="I32" s="800">
        <v>531068.19999999995</v>
      </c>
      <c r="J32" s="800">
        <f t="shared" si="10"/>
        <v>539932.39999999991</v>
      </c>
      <c r="K32" s="800">
        <v>112983.9</v>
      </c>
      <c r="L32" s="798">
        <f t="shared" si="8"/>
        <v>801358.39999999991</v>
      </c>
      <c r="M32" s="518" t="s">
        <v>955</v>
      </c>
      <c r="N32" s="412"/>
      <c r="O32" s="1042"/>
      <c r="P32" s="938"/>
    </row>
    <row r="33" spans="1:16" s="637" customFormat="1" ht="13.9" customHeight="1">
      <c r="A33" s="298" t="s">
        <v>949</v>
      </c>
      <c r="B33" s="840"/>
      <c r="C33" s="799">
        <v>113663.5</v>
      </c>
      <c r="D33" s="799">
        <v>0</v>
      </c>
      <c r="E33" s="799">
        <v>7064.8</v>
      </c>
      <c r="F33" s="799">
        <v>27844</v>
      </c>
      <c r="G33" s="799">
        <f t="shared" si="7"/>
        <v>34908.800000000003</v>
      </c>
      <c r="H33" s="799">
        <v>8847.6</v>
      </c>
      <c r="I33" s="799">
        <v>536857.80000000005</v>
      </c>
      <c r="J33" s="799">
        <f t="shared" si="10"/>
        <v>545705.4</v>
      </c>
      <c r="K33" s="40">
        <v>115435.3</v>
      </c>
      <c r="L33" s="804">
        <f t="shared" si="8"/>
        <v>809713</v>
      </c>
      <c r="M33" s="367" t="s">
        <v>949</v>
      </c>
      <c r="N33" s="412"/>
      <c r="O33" s="1042"/>
      <c r="P33" s="938"/>
    </row>
    <row r="34" spans="1:16" s="637" customFormat="1" ht="13.9" customHeight="1">
      <c r="A34" s="517" t="s">
        <v>956</v>
      </c>
      <c r="B34" s="1217"/>
      <c r="C34" s="800">
        <v>110012.4</v>
      </c>
      <c r="D34" s="800">
        <v>0</v>
      </c>
      <c r="E34" s="800">
        <v>6893</v>
      </c>
      <c r="F34" s="800">
        <v>28205.3</v>
      </c>
      <c r="G34" s="800">
        <f t="shared" si="7"/>
        <v>35098.300000000003</v>
      </c>
      <c r="H34" s="800">
        <v>8524.5</v>
      </c>
      <c r="I34" s="800">
        <v>540219.69999999995</v>
      </c>
      <c r="J34" s="800">
        <f t="shared" si="10"/>
        <v>548744.19999999995</v>
      </c>
      <c r="K34" s="508">
        <v>116655.8</v>
      </c>
      <c r="L34" s="798">
        <f t="shared" si="8"/>
        <v>810510.7</v>
      </c>
      <c r="M34" s="518" t="s">
        <v>956</v>
      </c>
      <c r="N34" s="412"/>
      <c r="O34" s="1042"/>
      <c r="P34" s="938"/>
    </row>
    <row r="35" spans="1:16" s="637" customFormat="1" ht="13.9" customHeight="1">
      <c r="A35" s="298" t="s">
        <v>957</v>
      </c>
      <c r="B35" s="840"/>
      <c r="C35" s="799">
        <v>108644.5</v>
      </c>
      <c r="D35" s="799">
        <v>0</v>
      </c>
      <c r="E35" s="799">
        <v>7282</v>
      </c>
      <c r="F35" s="799">
        <v>29077.1</v>
      </c>
      <c r="G35" s="799">
        <f t="shared" si="7"/>
        <v>36359.1</v>
      </c>
      <c r="H35" s="799">
        <v>8463.5</v>
      </c>
      <c r="I35" s="799">
        <v>547361.5</v>
      </c>
      <c r="J35" s="799">
        <f t="shared" si="10"/>
        <v>555825</v>
      </c>
      <c r="K35" s="40">
        <v>118119.5</v>
      </c>
      <c r="L35" s="40">
        <f t="shared" si="8"/>
        <v>818948.1</v>
      </c>
      <c r="M35" s="367" t="s">
        <v>957</v>
      </c>
      <c r="N35" s="412"/>
      <c r="O35" s="1042"/>
      <c r="P35" s="938"/>
    </row>
    <row r="36" spans="1:16" s="637" customFormat="1" ht="13.9" customHeight="1">
      <c r="A36" s="517" t="s">
        <v>950</v>
      </c>
      <c r="B36" s="1217"/>
      <c r="C36" s="800">
        <v>98638.8</v>
      </c>
      <c r="D36" s="800">
        <v>0</v>
      </c>
      <c r="E36" s="800">
        <v>7545.4</v>
      </c>
      <c r="F36" s="800">
        <v>30906.6</v>
      </c>
      <c r="G36" s="800">
        <f t="shared" ref="G36:G42" si="11">E36+F36</f>
        <v>38452</v>
      </c>
      <c r="H36" s="800">
        <v>8834.2999999999993</v>
      </c>
      <c r="I36" s="800">
        <v>565250.4</v>
      </c>
      <c r="J36" s="800">
        <f t="shared" si="10"/>
        <v>574084.70000000007</v>
      </c>
      <c r="K36" s="508">
        <v>120862.5</v>
      </c>
      <c r="L36" s="503">
        <f t="shared" si="8"/>
        <v>832038</v>
      </c>
      <c r="M36" s="518" t="s">
        <v>950</v>
      </c>
      <c r="N36" s="412"/>
      <c r="O36" s="1042"/>
      <c r="P36" s="938"/>
    </row>
    <row r="37" spans="1:16" s="637" customFormat="1" ht="13.9" customHeight="1">
      <c r="A37" s="298" t="s">
        <v>958</v>
      </c>
      <c r="B37" s="840"/>
      <c r="C37" s="799">
        <v>96360.1</v>
      </c>
      <c r="D37" s="799">
        <v>0</v>
      </c>
      <c r="E37" s="799">
        <v>7427.4</v>
      </c>
      <c r="F37" s="799">
        <v>31462</v>
      </c>
      <c r="G37" s="799">
        <f t="shared" si="11"/>
        <v>38889.4</v>
      </c>
      <c r="H37" s="799">
        <v>8809.7999999999993</v>
      </c>
      <c r="I37" s="799">
        <v>566108.5</v>
      </c>
      <c r="J37" s="799">
        <f t="shared" si="10"/>
        <v>574918.30000000005</v>
      </c>
      <c r="K37" s="40">
        <v>121782.39999999999</v>
      </c>
      <c r="L37" s="40">
        <f t="shared" si="8"/>
        <v>831950.20000000007</v>
      </c>
      <c r="M37" s="367" t="s">
        <v>958</v>
      </c>
      <c r="N37" s="412"/>
      <c r="O37" s="1042"/>
      <c r="P37" s="938"/>
    </row>
    <row r="38" spans="1:16" s="637" customFormat="1" ht="13.9" customHeight="1">
      <c r="A38" s="517" t="s">
        <v>959</v>
      </c>
      <c r="B38" s="1217"/>
      <c r="C38" s="800">
        <v>93525.6</v>
      </c>
      <c r="D38" s="800">
        <v>0</v>
      </c>
      <c r="E38" s="800">
        <v>7441.3</v>
      </c>
      <c r="F38" s="800">
        <v>31761.200000000001</v>
      </c>
      <c r="G38" s="800">
        <f t="shared" si="11"/>
        <v>39202.5</v>
      </c>
      <c r="H38" s="800">
        <v>8212.2999999999993</v>
      </c>
      <c r="I38" s="800">
        <v>572822.80000000005</v>
      </c>
      <c r="J38" s="800">
        <f t="shared" si="10"/>
        <v>581035.10000000009</v>
      </c>
      <c r="K38" s="508">
        <v>123117.1</v>
      </c>
      <c r="L38" s="508">
        <f t="shared" si="8"/>
        <v>836880.3</v>
      </c>
      <c r="M38" s="518" t="s">
        <v>959</v>
      </c>
      <c r="N38" s="412"/>
      <c r="O38" s="1042"/>
      <c r="P38" s="938"/>
    </row>
    <row r="39" spans="1:16" s="637" customFormat="1" ht="13.9" customHeight="1">
      <c r="A39" s="298" t="s">
        <v>951</v>
      </c>
      <c r="B39" s="840"/>
      <c r="C39" s="799">
        <v>90312.1</v>
      </c>
      <c r="D39" s="799">
        <v>0</v>
      </c>
      <c r="E39" s="799">
        <v>7420.6</v>
      </c>
      <c r="F39" s="799">
        <v>32192.400000000001</v>
      </c>
      <c r="G39" s="799">
        <f t="shared" si="11"/>
        <v>39613</v>
      </c>
      <c r="H39" s="799">
        <v>8867.7999999999993</v>
      </c>
      <c r="I39" s="799">
        <v>581826.19999999995</v>
      </c>
      <c r="J39" s="799">
        <f t="shared" si="10"/>
        <v>590694</v>
      </c>
      <c r="K39" s="40">
        <v>124622.2</v>
      </c>
      <c r="L39" s="40">
        <f t="shared" si="8"/>
        <v>845241.29999999993</v>
      </c>
      <c r="M39" s="367" t="s">
        <v>951</v>
      </c>
      <c r="N39" s="412"/>
      <c r="O39" s="1042"/>
      <c r="P39" s="938"/>
    </row>
    <row r="40" spans="1:16" s="637" customFormat="1" ht="13.9" customHeight="1">
      <c r="A40" s="517" t="s">
        <v>960</v>
      </c>
      <c r="B40" s="1217"/>
      <c r="C40" s="800">
        <v>84166.1</v>
      </c>
      <c r="D40" s="800">
        <v>0</v>
      </c>
      <c r="E40" s="800">
        <v>7827</v>
      </c>
      <c r="F40" s="800">
        <v>33423.199999999997</v>
      </c>
      <c r="G40" s="800">
        <f t="shared" si="11"/>
        <v>41250.199999999997</v>
      </c>
      <c r="H40" s="800">
        <v>9027.1</v>
      </c>
      <c r="I40" s="800">
        <v>589652.6</v>
      </c>
      <c r="J40" s="800">
        <f t="shared" si="10"/>
        <v>598679.69999999995</v>
      </c>
      <c r="K40" s="503">
        <v>126172</v>
      </c>
      <c r="L40" s="503">
        <f t="shared" si="8"/>
        <v>850268</v>
      </c>
      <c r="M40" s="518" t="s">
        <v>960</v>
      </c>
      <c r="N40" s="412"/>
      <c r="O40" s="1042"/>
      <c r="P40" s="938"/>
    </row>
    <row r="41" spans="1:16" s="637" customFormat="1" ht="13.9" customHeight="1">
      <c r="A41" s="298" t="s">
        <v>961</v>
      </c>
      <c r="B41" s="840"/>
      <c r="C41" s="799">
        <v>82597.600000000006</v>
      </c>
      <c r="D41" s="799">
        <v>0</v>
      </c>
      <c r="E41" s="799">
        <v>8225.1</v>
      </c>
      <c r="F41" s="799">
        <v>32782.300000000003</v>
      </c>
      <c r="G41" s="799">
        <f t="shared" si="11"/>
        <v>41007.4</v>
      </c>
      <c r="H41" s="799">
        <v>9162.2999999999993</v>
      </c>
      <c r="I41" s="799">
        <v>598701.69999999995</v>
      </c>
      <c r="J41" s="799">
        <f t="shared" si="10"/>
        <v>607864</v>
      </c>
      <c r="K41" s="86">
        <v>127365.8</v>
      </c>
      <c r="L41" s="86">
        <f t="shared" si="8"/>
        <v>858834.8</v>
      </c>
      <c r="M41" s="367" t="s">
        <v>961</v>
      </c>
      <c r="N41" s="412"/>
      <c r="O41" s="1042"/>
      <c r="P41" s="938"/>
    </row>
    <row r="42" spans="1:16" s="637" customFormat="1" ht="13.9" customHeight="1" thickBot="1">
      <c r="A42" s="611" t="s">
        <v>952</v>
      </c>
      <c r="B42" s="1547"/>
      <c r="C42" s="1548">
        <v>97334</v>
      </c>
      <c r="D42" s="1548">
        <v>0</v>
      </c>
      <c r="E42" s="1548">
        <v>8161.5</v>
      </c>
      <c r="F42" s="1548">
        <v>33952.5</v>
      </c>
      <c r="G42" s="1548">
        <f t="shared" si="11"/>
        <v>42114</v>
      </c>
      <c r="H42" s="1548">
        <v>9118.7000000000007</v>
      </c>
      <c r="I42" s="1548">
        <v>612395</v>
      </c>
      <c r="J42" s="1548">
        <f t="shared" si="10"/>
        <v>621513.69999999995</v>
      </c>
      <c r="K42" s="1421">
        <v>129711.2</v>
      </c>
      <c r="L42" s="1421">
        <f t="shared" si="8"/>
        <v>890672.89999999991</v>
      </c>
      <c r="M42" s="959" t="s">
        <v>952</v>
      </c>
      <c r="N42" s="412"/>
      <c r="O42" s="1042"/>
      <c r="P42" s="938"/>
    </row>
    <row r="43" spans="1:16" s="400" customFormat="1" ht="11.45" customHeight="1">
      <c r="A43" s="775" t="s">
        <v>330</v>
      </c>
      <c r="B43" s="905" t="s">
        <v>42</v>
      </c>
      <c r="C43" s="1767" t="s">
        <v>328</v>
      </c>
      <c r="D43" s="1767"/>
      <c r="E43" s="1767"/>
      <c r="F43" s="1767"/>
      <c r="G43" s="1767"/>
      <c r="H43" s="776" t="s">
        <v>323</v>
      </c>
      <c r="I43" s="1768" t="s">
        <v>2505</v>
      </c>
      <c r="J43" s="1768"/>
      <c r="K43" s="1768"/>
      <c r="L43" s="1768"/>
      <c r="M43" s="1768"/>
    </row>
    <row r="44" spans="1:16" s="400" customFormat="1" ht="11.25" customHeight="1">
      <c r="B44" s="905" t="s">
        <v>329</v>
      </c>
      <c r="C44" s="1767" t="s">
        <v>2640</v>
      </c>
      <c r="D44" s="1767"/>
      <c r="E44" s="1767"/>
      <c r="F44" s="1767"/>
      <c r="G44" s="1767"/>
    </row>
    <row r="45" spans="1:16">
      <c r="A45" s="298"/>
      <c r="B45" s="298"/>
      <c r="C45" s="298"/>
      <c r="D45" s="298"/>
      <c r="E45" s="298"/>
      <c r="F45" s="298"/>
      <c r="G45" s="298"/>
      <c r="H45" s="840"/>
      <c r="I45" s="840"/>
      <c r="J45" s="840"/>
      <c r="K45" s="840"/>
      <c r="L45" s="840"/>
      <c r="M45" s="840"/>
    </row>
    <row r="46" spans="1:16">
      <c r="A46" s="840"/>
      <c r="B46" s="840"/>
      <c r="C46" s="940"/>
      <c r="D46" s="940"/>
      <c r="E46" s="940"/>
      <c r="F46" s="940"/>
      <c r="G46" s="940"/>
      <c r="H46" s="940"/>
      <c r="I46" s="940"/>
      <c r="J46" s="940"/>
      <c r="K46" s="940"/>
      <c r="L46" s="940"/>
      <c r="M46" s="840"/>
    </row>
  </sheetData>
  <mergeCells count="15">
    <mergeCell ref="A4:B6"/>
    <mergeCell ref="K4:K5"/>
    <mergeCell ref="C44:G44"/>
    <mergeCell ref="C43:G43"/>
    <mergeCell ref="C4:C5"/>
    <mergeCell ref="D4:D5"/>
    <mergeCell ref="I43:M43"/>
    <mergeCell ref="E1:G1"/>
    <mergeCell ref="E4:G4"/>
    <mergeCell ref="H4:J4"/>
    <mergeCell ref="M4:M6"/>
    <mergeCell ref="H1:J1"/>
    <mergeCell ref="L2:M2"/>
    <mergeCell ref="L1:M1"/>
    <mergeCell ref="L4:L5"/>
  </mergeCells>
  <phoneticPr fontId="3" type="noConversion"/>
  <conditionalFormatting sqref="Z17:AB42 AM17:AO42 AZ17:BB42 BM17:BO42 BZ17:CB42 CM17:CO42 CZ17:DB42 DM17:DO42 DZ17:EB42 EM17:EO42 EZ17:FB42 FM17:FO42 FZ17:GB42 GM17:GO42 GZ17:HB42 HM17:HO42 HZ17:IB42 IM17:IO42 B16:B32 B13:L15 A13:A28 M13:M28">
    <cfRule type="expression" dxfId="8" priority="55" stopIfTrue="1">
      <formula>MOD(ROW(),2)=0</formula>
    </cfRule>
  </conditionalFormatting>
  <conditionalFormatting sqref="A7:M12">
    <cfRule type="expression" dxfId="7" priority="1" stopIfTrue="1">
      <formula>MOD(ROW(),2)=0</formula>
    </cfRule>
  </conditionalFormatting>
  <pageMargins left="0.62992125984252001" right="0.511811023622047" top="0.511811023622047" bottom="0.511811023622047" header="0" footer="0.183070866"/>
  <pageSetup paperSize="151" firstPageNumber="14" orientation="portrait" useFirstPageNumber="1" r:id="rId1"/>
  <headerFooter alignWithMargins="0">
    <oddFooter>&amp;C&amp;"Times New Roman,Regular"&amp;8&amp;P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J53"/>
  <sheetViews>
    <sheetView zoomScale="130" zoomScaleNormal="130" workbookViewId="0">
      <pane xSplit="2" ySplit="7" topLeftCell="C13" activePane="bottomRight" state="frozen"/>
      <selection pane="topRight" activeCell="C1" sqref="C1"/>
      <selection pane="bottomLeft" activeCell="A8" sqref="A8"/>
      <selection pane="bottomRight" activeCell="A18" sqref="A18:XFD18"/>
    </sheetView>
  </sheetViews>
  <sheetFormatPr defaultColWidth="9.140625" defaultRowHeight="11.25"/>
  <cols>
    <col min="1" max="1" width="8.42578125" style="10" customWidth="1"/>
    <col min="2" max="2" width="1.140625" style="10" customWidth="1"/>
    <col min="3" max="3" width="11.140625" style="10" customWidth="1"/>
    <col min="4" max="4" width="10.7109375" style="10" customWidth="1"/>
    <col min="5" max="5" width="10.5703125" style="10" customWidth="1"/>
    <col min="6" max="6" width="10.7109375" style="10" customWidth="1"/>
    <col min="7" max="7" width="11.140625" style="10" customWidth="1"/>
    <col min="8" max="8" width="14.140625" style="10" customWidth="1"/>
    <col min="9" max="9" width="9.140625" style="10" customWidth="1"/>
    <col min="10" max="16384" width="9.140625" style="10"/>
  </cols>
  <sheetData>
    <row r="1" spans="1:10" s="48" customFormat="1" ht="15.75" customHeight="1">
      <c r="A1" s="1694" t="s">
        <v>2559</v>
      </c>
      <c r="B1" s="1694"/>
      <c r="C1" s="1694"/>
      <c r="D1" s="1694"/>
      <c r="E1" s="1694"/>
      <c r="F1" s="1694"/>
      <c r="G1" s="1694" t="s">
        <v>334</v>
      </c>
      <c r="H1" s="1694"/>
    </row>
    <row r="2" spans="1:10" s="55" customFormat="1" ht="12">
      <c r="G2" s="1640" t="s">
        <v>41</v>
      </c>
      <c r="H2" s="1771"/>
    </row>
    <row r="3" spans="1:10" s="701" customFormat="1" ht="15" customHeight="1">
      <c r="A3" s="1668" t="s">
        <v>1654</v>
      </c>
      <c r="B3" s="1669"/>
      <c r="C3" s="1634" t="s">
        <v>1506</v>
      </c>
      <c r="D3" s="1634" t="s">
        <v>342</v>
      </c>
      <c r="E3" s="1657" t="s">
        <v>332</v>
      </c>
      <c r="F3" s="1658"/>
      <c r="G3" s="1658"/>
      <c r="H3" s="1634" t="s">
        <v>1475</v>
      </c>
    </row>
    <row r="4" spans="1:10" s="701" customFormat="1" ht="12.75" customHeight="1">
      <c r="A4" s="1670"/>
      <c r="B4" s="1671"/>
      <c r="C4" s="1665"/>
      <c r="D4" s="1770"/>
      <c r="E4" s="1754" t="s">
        <v>333</v>
      </c>
      <c r="F4" s="1755"/>
      <c r="G4" s="1626" t="s">
        <v>2426</v>
      </c>
      <c r="H4" s="1665"/>
    </row>
    <row r="5" spans="1:10" s="309" customFormat="1" ht="19.5" customHeight="1">
      <c r="A5" s="1670"/>
      <c r="B5" s="1671"/>
      <c r="C5" s="1665"/>
      <c r="D5" s="1770"/>
      <c r="E5" s="1634" t="s">
        <v>1377</v>
      </c>
      <c r="F5" s="1634" t="s">
        <v>331</v>
      </c>
      <c r="G5" s="1772"/>
      <c r="H5" s="1665"/>
    </row>
    <row r="6" spans="1:10" s="309" customFormat="1" ht="14.25" customHeight="1">
      <c r="A6" s="1670"/>
      <c r="B6" s="1671"/>
      <c r="C6" s="1635"/>
      <c r="D6" s="1769"/>
      <c r="E6" s="1635"/>
      <c r="F6" s="1769"/>
      <c r="G6" s="1627"/>
      <c r="H6" s="1635"/>
    </row>
    <row r="7" spans="1:10" s="27" customFormat="1" ht="10.5" customHeight="1">
      <c r="A7" s="1672"/>
      <c r="B7" s="1673"/>
      <c r="C7" s="26">
        <v>1</v>
      </c>
      <c r="D7" s="26">
        <v>2</v>
      </c>
      <c r="E7" s="26">
        <v>3</v>
      </c>
      <c r="F7" s="26">
        <v>4</v>
      </c>
      <c r="G7" s="26">
        <v>5</v>
      </c>
      <c r="H7" s="26">
        <v>6</v>
      </c>
    </row>
    <row r="8" spans="1:10" ht="13.9" customHeight="1">
      <c r="A8" s="11" t="s">
        <v>947</v>
      </c>
      <c r="B8" s="11"/>
      <c r="C8" s="35">
        <v>15811</v>
      </c>
      <c r="D8" s="35">
        <v>1476.4</v>
      </c>
      <c r="E8" s="35">
        <v>6558.6</v>
      </c>
      <c r="F8" s="35">
        <v>2333.8000000000002</v>
      </c>
      <c r="G8" s="35">
        <f>76.6-52.2</f>
        <v>24.399999999999991</v>
      </c>
      <c r="H8" s="35">
        <f t="shared" ref="H8:H12" si="0">C8+D8+E8+G8</f>
        <v>23870.400000000001</v>
      </c>
      <c r="I8" s="54"/>
      <c r="J8" s="54"/>
    </row>
    <row r="9" spans="1:10" ht="13.9" customHeight="1">
      <c r="A9" s="517" t="s">
        <v>948</v>
      </c>
      <c r="B9" s="517"/>
      <c r="C9" s="503">
        <v>18518.099999999999</v>
      </c>
      <c r="D9" s="503">
        <v>1809.8</v>
      </c>
      <c r="E9" s="503">
        <v>7036.4</v>
      </c>
      <c r="F9" s="503">
        <v>2004.9</v>
      </c>
      <c r="G9" s="503">
        <f>178.1-142</f>
        <v>36.099999999999994</v>
      </c>
      <c r="H9" s="503">
        <f t="shared" si="0"/>
        <v>27400.399999999994</v>
      </c>
      <c r="I9" s="54"/>
      <c r="J9" s="54"/>
    </row>
    <row r="10" spans="1:10" ht="13.9" customHeight="1">
      <c r="A10" s="11" t="s">
        <v>953</v>
      </c>
      <c r="B10" s="11"/>
      <c r="C10" s="35">
        <v>22862.1</v>
      </c>
      <c r="D10" s="35">
        <v>2032</v>
      </c>
      <c r="E10" s="35">
        <v>9010</v>
      </c>
      <c r="F10" s="35">
        <v>3426.6</v>
      </c>
      <c r="G10" s="35">
        <f>532.5-481.9</f>
        <v>50.600000000000023</v>
      </c>
      <c r="H10" s="35">
        <f t="shared" si="0"/>
        <v>33954.699999999997</v>
      </c>
      <c r="I10" s="54"/>
      <c r="J10" s="54"/>
    </row>
    <row r="11" spans="1:10" ht="13.9" customHeight="1">
      <c r="A11" s="517" t="s">
        <v>962</v>
      </c>
      <c r="B11" s="517"/>
      <c r="C11" s="503">
        <v>26643.8</v>
      </c>
      <c r="D11" s="503">
        <v>2143.6</v>
      </c>
      <c r="E11" s="503">
        <v>10573.6</v>
      </c>
      <c r="F11" s="503">
        <v>4650.3999999999996</v>
      </c>
      <c r="G11" s="503">
        <f>543.6-481.9</f>
        <v>61.700000000000045</v>
      </c>
      <c r="H11" s="503">
        <f t="shared" si="0"/>
        <v>39422.699999999997</v>
      </c>
      <c r="I11" s="54"/>
      <c r="J11" s="54"/>
    </row>
    <row r="12" spans="1:10" ht="13.9" customHeight="1">
      <c r="A12" s="11" t="s">
        <v>675</v>
      </c>
      <c r="B12" s="11"/>
      <c r="C12" s="35">
        <v>32689.9</v>
      </c>
      <c r="D12" s="35">
        <v>2958.6</v>
      </c>
      <c r="E12" s="35">
        <v>11806.7</v>
      </c>
      <c r="F12" s="35">
        <v>5227.5</v>
      </c>
      <c r="G12" s="35">
        <v>106.9</v>
      </c>
      <c r="H12" s="35">
        <f t="shared" si="0"/>
        <v>47562.1</v>
      </c>
      <c r="I12" s="54"/>
      <c r="J12" s="54"/>
    </row>
    <row r="13" spans="1:10" ht="13.9" customHeight="1">
      <c r="A13" s="517" t="s">
        <v>141</v>
      </c>
      <c r="B13" s="517"/>
      <c r="C13" s="503">
        <v>36049.199999999997</v>
      </c>
      <c r="D13" s="503">
        <v>3399.5</v>
      </c>
      <c r="E13" s="503">
        <v>23159.5</v>
      </c>
      <c r="F13" s="503">
        <v>6640.7</v>
      </c>
      <c r="G13" s="503">
        <v>141.19999999999999</v>
      </c>
      <c r="H13" s="503">
        <f>C13+D13+E13+G13</f>
        <v>62749.399999999994</v>
      </c>
      <c r="I13" s="54"/>
      <c r="J13" s="54"/>
    </row>
    <row r="14" spans="1:10" ht="13.9" customHeight="1">
      <c r="A14" s="11" t="s">
        <v>136</v>
      </c>
      <c r="B14" s="11"/>
      <c r="C14" s="35">
        <v>46157.1</v>
      </c>
      <c r="D14" s="35">
        <v>4308.3</v>
      </c>
      <c r="E14" s="35">
        <v>23468</v>
      </c>
      <c r="F14" s="35">
        <v>6367.5</v>
      </c>
      <c r="G14" s="35">
        <v>209.4</v>
      </c>
      <c r="H14" s="35">
        <f>C14+D14+E14+G14</f>
        <v>74142.799999999988</v>
      </c>
      <c r="I14" s="54"/>
      <c r="J14" s="54"/>
    </row>
    <row r="15" spans="1:10" ht="13.9" customHeight="1">
      <c r="A15" s="517" t="s">
        <v>317</v>
      </c>
      <c r="B15" s="517"/>
      <c r="C15" s="503">
        <v>54795.1</v>
      </c>
      <c r="D15" s="503">
        <v>5731.8</v>
      </c>
      <c r="E15" s="503">
        <v>29007.7</v>
      </c>
      <c r="F15" s="503">
        <v>7766.5</v>
      </c>
      <c r="G15" s="503">
        <v>199.8</v>
      </c>
      <c r="H15" s="503">
        <v>89734.400000000009</v>
      </c>
      <c r="I15" s="54"/>
      <c r="J15" s="54"/>
    </row>
    <row r="16" spans="1:10" s="300" customFormat="1" ht="13.9" customHeight="1">
      <c r="A16" s="298" t="s">
        <v>1299</v>
      </c>
      <c r="B16" s="298"/>
      <c r="C16" s="86">
        <v>58417.1</v>
      </c>
      <c r="D16" s="86">
        <v>6479.4</v>
      </c>
      <c r="E16" s="86">
        <v>32662.3</v>
      </c>
      <c r="F16" s="86">
        <v>10289.9</v>
      </c>
      <c r="G16" s="86">
        <v>243.9</v>
      </c>
      <c r="H16" s="86">
        <v>97802.7</v>
      </c>
      <c r="I16" s="298"/>
      <c r="J16" s="54"/>
    </row>
    <row r="17" spans="1:10" s="300" customFormat="1" ht="13.9" customHeight="1">
      <c r="A17" s="496" t="s">
        <v>1505</v>
      </c>
      <c r="B17" s="517"/>
      <c r="C17" s="503">
        <v>67552.899999999994</v>
      </c>
      <c r="D17" s="503">
        <v>7819.4</v>
      </c>
      <c r="E17" s="503">
        <v>36803.4</v>
      </c>
      <c r="F17" s="503">
        <v>8422.6</v>
      </c>
      <c r="G17" s="503">
        <v>313.70000000000005</v>
      </c>
      <c r="H17" s="503">
        <v>112489.39999999998</v>
      </c>
      <c r="I17" s="298"/>
      <c r="J17" s="54"/>
    </row>
    <row r="18" spans="1:10" s="1062" customFormat="1" ht="13.9" customHeight="1">
      <c r="A18" s="889" t="s">
        <v>1886</v>
      </c>
      <c r="B18" s="1577"/>
      <c r="C18" s="86">
        <v>76908.399999999994</v>
      </c>
      <c r="D18" s="86">
        <v>8576.7999999999993</v>
      </c>
      <c r="E18" s="86">
        <v>43997.7</v>
      </c>
      <c r="F18" s="86">
        <v>7480.2</v>
      </c>
      <c r="G18" s="86">
        <v>392.4</v>
      </c>
      <c r="H18" s="86">
        <v>129875.29999999999</v>
      </c>
      <c r="I18" s="834"/>
      <c r="J18" s="1059"/>
    </row>
    <row r="19" spans="1:10" s="1062" customFormat="1" ht="13.9" customHeight="1">
      <c r="A19" s="1064" t="s">
        <v>2017</v>
      </c>
      <c r="B19" s="1061"/>
      <c r="C19" s="982">
        <v>87940.800000000003</v>
      </c>
      <c r="D19" s="982">
        <v>10213.1</v>
      </c>
      <c r="E19" s="982">
        <v>49838.9</v>
      </c>
      <c r="F19" s="982">
        <v>7889.3</v>
      </c>
      <c r="G19" s="982">
        <v>489.7</v>
      </c>
      <c r="H19" s="982">
        <v>148482.50000000003</v>
      </c>
      <c r="I19" s="834"/>
      <c r="J19" s="86"/>
    </row>
    <row r="20" spans="1:10" s="779" customFormat="1" ht="13.9" customHeight="1">
      <c r="A20" s="872" t="s">
        <v>2226</v>
      </c>
      <c r="B20" s="1067"/>
      <c r="C20" s="977">
        <f t="shared" ref="C20:H20" si="1">C32</f>
        <v>122074.5</v>
      </c>
      <c r="D20" s="977">
        <f t="shared" si="1"/>
        <v>10230.700000000001</v>
      </c>
      <c r="E20" s="977">
        <f t="shared" si="1"/>
        <v>60299</v>
      </c>
      <c r="F20" s="977">
        <f t="shared" si="1"/>
        <v>7133.4</v>
      </c>
      <c r="G20" s="977">
        <f t="shared" si="1"/>
        <v>597.1</v>
      </c>
      <c r="H20" s="977">
        <f t="shared" si="1"/>
        <v>193201.30000000002</v>
      </c>
      <c r="I20" s="778"/>
      <c r="J20" s="413"/>
    </row>
    <row r="21" spans="1:10" s="779" customFormat="1" ht="13.9" customHeight="1">
      <c r="A21" s="496" t="s">
        <v>954</v>
      </c>
      <c r="B21" s="1102"/>
      <c r="C21" s="798">
        <v>93901.4</v>
      </c>
      <c r="D21" s="798">
        <v>9408.7000000000007</v>
      </c>
      <c r="E21" s="798">
        <v>51839.3</v>
      </c>
      <c r="F21" s="798">
        <v>9329.4</v>
      </c>
      <c r="G21" s="798">
        <v>484.6</v>
      </c>
      <c r="H21" s="798">
        <f t="shared" ref="H21:H45" si="2">C21+D21+E21+G21</f>
        <v>155634</v>
      </c>
      <c r="I21" s="778"/>
      <c r="J21" s="413"/>
    </row>
    <row r="22" spans="1:10" s="779" customFormat="1" ht="13.9" customHeight="1">
      <c r="A22" s="411" t="s">
        <v>955</v>
      </c>
      <c r="B22" s="1067"/>
      <c r="C22" s="804">
        <v>89250.3</v>
      </c>
      <c r="D22" s="804">
        <v>9355.4</v>
      </c>
      <c r="E22" s="804">
        <v>52730.6</v>
      </c>
      <c r="F22" s="804">
        <v>8179.5</v>
      </c>
      <c r="G22" s="804">
        <v>497.8</v>
      </c>
      <c r="H22" s="804">
        <f t="shared" si="2"/>
        <v>151834.09999999998</v>
      </c>
      <c r="I22" s="778"/>
      <c r="J22" s="413"/>
    </row>
    <row r="23" spans="1:10" s="779" customFormat="1" ht="13.9" customHeight="1">
      <c r="A23" s="496" t="s">
        <v>949</v>
      </c>
      <c r="B23" s="1102"/>
      <c r="C23" s="798">
        <v>102255.2</v>
      </c>
      <c r="D23" s="798">
        <v>10148.299999999999</v>
      </c>
      <c r="E23" s="798">
        <v>49754.2</v>
      </c>
      <c r="F23" s="798">
        <v>8712.2000000000007</v>
      </c>
      <c r="G23" s="798">
        <v>498</v>
      </c>
      <c r="H23" s="798">
        <f t="shared" si="2"/>
        <v>162655.70000000001</v>
      </c>
      <c r="I23" s="778"/>
      <c r="J23" s="413"/>
    </row>
    <row r="24" spans="1:10" s="779" customFormat="1" ht="13.9" customHeight="1">
      <c r="A24" s="889" t="s">
        <v>956</v>
      </c>
      <c r="B24" s="1067"/>
      <c r="C24" s="804">
        <v>93888.5</v>
      </c>
      <c r="D24" s="804">
        <v>8578</v>
      </c>
      <c r="E24" s="804">
        <v>61024.1</v>
      </c>
      <c r="F24" s="804">
        <v>6848.3</v>
      </c>
      <c r="G24" s="804">
        <v>509.1</v>
      </c>
      <c r="H24" s="804">
        <f t="shared" si="2"/>
        <v>163999.70000000001</v>
      </c>
      <c r="I24" s="778"/>
      <c r="J24" s="413"/>
    </row>
    <row r="25" spans="1:10" s="779" customFormat="1" ht="13.9" customHeight="1">
      <c r="A25" s="1259" t="s">
        <v>957</v>
      </c>
      <c r="B25" s="1260"/>
      <c r="C25" s="1261">
        <v>91554.7</v>
      </c>
      <c r="D25" s="1261">
        <v>9161.6</v>
      </c>
      <c r="E25" s="1261">
        <v>56421.3</v>
      </c>
      <c r="F25" s="1261">
        <v>6330.5</v>
      </c>
      <c r="G25" s="1261">
        <v>512.9</v>
      </c>
      <c r="H25" s="1261">
        <f t="shared" si="2"/>
        <v>157650.5</v>
      </c>
      <c r="I25" s="778"/>
      <c r="J25" s="413"/>
    </row>
    <row r="26" spans="1:10" s="779" customFormat="1" ht="13.9" customHeight="1">
      <c r="A26" s="1262" t="s">
        <v>950</v>
      </c>
      <c r="B26" s="1263"/>
      <c r="C26" s="908">
        <v>92545.3</v>
      </c>
      <c r="D26" s="908">
        <v>8765.4</v>
      </c>
      <c r="E26" s="908">
        <v>58358.3</v>
      </c>
      <c r="F26" s="908">
        <v>6356.7</v>
      </c>
      <c r="G26" s="908">
        <v>545.79999999999995</v>
      </c>
      <c r="H26" s="908">
        <f t="shared" si="2"/>
        <v>160214.79999999999</v>
      </c>
      <c r="I26" s="778"/>
      <c r="J26" s="413"/>
    </row>
    <row r="27" spans="1:10" s="779" customFormat="1" ht="13.9" customHeight="1">
      <c r="A27" s="1259" t="s">
        <v>958</v>
      </c>
      <c r="B27" s="1260"/>
      <c r="C27" s="1261">
        <v>92669.7</v>
      </c>
      <c r="D27" s="1261">
        <v>9829.7000000000007</v>
      </c>
      <c r="E27" s="1261">
        <v>58743.8</v>
      </c>
      <c r="F27" s="1261">
        <v>6749.7</v>
      </c>
      <c r="G27" s="1261">
        <v>525.20000000000005</v>
      </c>
      <c r="H27" s="1261">
        <f t="shared" si="2"/>
        <v>161768.40000000002</v>
      </c>
      <c r="I27" s="778"/>
      <c r="J27" s="413"/>
    </row>
    <row r="28" spans="1:10" s="779" customFormat="1" ht="13.9" customHeight="1">
      <c r="A28" s="1262" t="s">
        <v>959</v>
      </c>
      <c r="B28" s="1263"/>
      <c r="C28" s="908">
        <v>94137.4</v>
      </c>
      <c r="D28" s="908">
        <v>9627.4</v>
      </c>
      <c r="E28" s="908">
        <v>57394.9</v>
      </c>
      <c r="F28" s="908">
        <v>8178.6</v>
      </c>
      <c r="G28" s="908">
        <f>527.9+35.4</f>
        <v>563.29999999999995</v>
      </c>
      <c r="H28" s="908">
        <f t="shared" si="2"/>
        <v>161722.99999999997</v>
      </c>
      <c r="I28" s="778"/>
      <c r="J28" s="413"/>
    </row>
    <row r="29" spans="1:10" s="779" customFormat="1" ht="13.9" customHeight="1">
      <c r="A29" s="1259" t="s">
        <v>951</v>
      </c>
      <c r="B29" s="1260"/>
      <c r="C29" s="1261">
        <v>96596.2</v>
      </c>
      <c r="D29" s="1261">
        <v>8440.5</v>
      </c>
      <c r="E29" s="1261">
        <v>56247.8</v>
      </c>
      <c r="F29" s="1261">
        <v>7616.6</v>
      </c>
      <c r="G29" s="1261">
        <f>568.9+28.3</f>
        <v>597.19999999999993</v>
      </c>
      <c r="H29" s="1261">
        <f t="shared" si="2"/>
        <v>161881.70000000001</v>
      </c>
      <c r="I29" s="778"/>
      <c r="J29" s="413"/>
    </row>
    <row r="30" spans="1:10" s="779" customFormat="1" ht="13.9" customHeight="1">
      <c r="A30" s="1262" t="s">
        <v>960</v>
      </c>
      <c r="B30" s="1263"/>
      <c r="C30" s="908">
        <v>98745.5</v>
      </c>
      <c r="D30" s="908">
        <v>8313.2999999999993</v>
      </c>
      <c r="E30" s="908">
        <v>57605.7</v>
      </c>
      <c r="F30" s="908">
        <v>7478.6</v>
      </c>
      <c r="G30" s="908">
        <v>559</v>
      </c>
      <c r="H30" s="908">
        <f t="shared" si="2"/>
        <v>165223.5</v>
      </c>
      <c r="I30" s="778"/>
      <c r="J30" s="413"/>
    </row>
    <row r="31" spans="1:10" s="779" customFormat="1" ht="13.9" customHeight="1">
      <c r="A31" s="1259" t="s">
        <v>961</v>
      </c>
      <c r="B31" s="1260"/>
      <c r="C31" s="1261">
        <v>101562</v>
      </c>
      <c r="D31" s="1261">
        <v>9881.1</v>
      </c>
      <c r="E31" s="1261">
        <v>60901</v>
      </c>
      <c r="F31" s="1261">
        <v>6766.5</v>
      </c>
      <c r="G31" s="1261">
        <v>558.79999999999995</v>
      </c>
      <c r="H31" s="1261">
        <f t="shared" si="2"/>
        <v>172902.9</v>
      </c>
      <c r="I31" s="778"/>
      <c r="J31" s="413"/>
    </row>
    <row r="32" spans="1:10" s="779" customFormat="1" ht="13.9" customHeight="1">
      <c r="A32" s="1422" t="s">
        <v>952</v>
      </c>
      <c r="B32" s="412"/>
      <c r="C32" s="908">
        <v>122074.5</v>
      </c>
      <c r="D32" s="908">
        <v>10230.700000000001</v>
      </c>
      <c r="E32" s="908">
        <v>60299</v>
      </c>
      <c r="F32" s="908">
        <v>7133.4</v>
      </c>
      <c r="G32" s="908">
        <v>597.1</v>
      </c>
      <c r="H32" s="908">
        <f t="shared" si="2"/>
        <v>193201.30000000002</v>
      </c>
      <c r="I32" s="778"/>
      <c r="J32" s="413"/>
    </row>
    <row r="33" spans="1:10" s="779" customFormat="1" ht="13.9" customHeight="1">
      <c r="A33" s="606" t="s">
        <v>2384</v>
      </c>
      <c r="B33" s="497"/>
      <c r="C33" s="981">
        <f t="shared" ref="C33:H33" si="3">C45</f>
        <v>137531.79999999999</v>
      </c>
      <c r="D33" s="981">
        <f t="shared" si="3"/>
        <v>13733.4</v>
      </c>
      <c r="E33" s="981">
        <f t="shared" si="3"/>
        <v>72732.7</v>
      </c>
      <c r="F33" s="981">
        <f t="shared" si="3"/>
        <v>8987.9</v>
      </c>
      <c r="G33" s="981">
        <f t="shared" si="3"/>
        <v>661.5</v>
      </c>
      <c r="H33" s="981">
        <f t="shared" si="3"/>
        <v>224659.39999999997</v>
      </c>
      <c r="I33" s="778"/>
      <c r="J33" s="413"/>
    </row>
    <row r="34" spans="1:10" s="779" customFormat="1" ht="13.9" customHeight="1">
      <c r="A34" s="635" t="s">
        <v>954</v>
      </c>
      <c r="B34" s="412"/>
      <c r="C34" s="908">
        <v>109025</v>
      </c>
      <c r="D34" s="908">
        <v>10638.4</v>
      </c>
      <c r="E34" s="908">
        <v>61615</v>
      </c>
      <c r="F34" s="908">
        <v>7746.1</v>
      </c>
      <c r="G34" s="908">
        <v>579.79999999999995</v>
      </c>
      <c r="H34" s="908">
        <f t="shared" si="2"/>
        <v>181858.19999999998</v>
      </c>
      <c r="I34" s="778"/>
      <c r="J34" s="413"/>
    </row>
    <row r="35" spans="1:10" s="779" customFormat="1" ht="13.9" customHeight="1">
      <c r="A35" s="574" t="s">
        <v>955</v>
      </c>
      <c r="B35" s="497"/>
      <c r="C35" s="1261">
        <v>112113.8</v>
      </c>
      <c r="D35" s="1261">
        <v>10010</v>
      </c>
      <c r="E35" s="1261">
        <v>59999</v>
      </c>
      <c r="F35" s="1261">
        <v>8315.9</v>
      </c>
      <c r="G35" s="1261">
        <v>595.79999999999995</v>
      </c>
      <c r="H35" s="1261">
        <f t="shared" si="2"/>
        <v>182718.59999999998</v>
      </c>
      <c r="I35" s="778"/>
      <c r="J35" s="413"/>
    </row>
    <row r="36" spans="1:10" s="779" customFormat="1" ht="13.9" customHeight="1">
      <c r="A36" s="457" t="s">
        <v>949</v>
      </c>
      <c r="B36" s="412"/>
      <c r="C36" s="908">
        <v>118129.3</v>
      </c>
      <c r="D36" s="908">
        <v>10120.299999999999</v>
      </c>
      <c r="E36" s="908">
        <v>60919.7</v>
      </c>
      <c r="F36" s="908">
        <v>8762.2999999999993</v>
      </c>
      <c r="G36" s="908">
        <v>638.79999999999995</v>
      </c>
      <c r="H36" s="908">
        <f t="shared" si="2"/>
        <v>189808.09999999998</v>
      </c>
      <c r="I36" s="778"/>
      <c r="J36" s="413"/>
    </row>
    <row r="37" spans="1:10" s="779" customFormat="1" ht="13.9" customHeight="1">
      <c r="A37" s="574" t="s">
        <v>956</v>
      </c>
      <c r="B37" s="497"/>
      <c r="C37" s="1261">
        <v>112704.50000000001</v>
      </c>
      <c r="D37" s="1261">
        <v>10709.7</v>
      </c>
      <c r="E37" s="1261">
        <v>62601.7</v>
      </c>
      <c r="F37" s="1261">
        <v>7746.7</v>
      </c>
      <c r="G37" s="1261">
        <v>632.6</v>
      </c>
      <c r="H37" s="1261">
        <f t="shared" si="2"/>
        <v>186648.50000000003</v>
      </c>
      <c r="I37" s="778"/>
      <c r="J37" s="413"/>
    </row>
    <row r="38" spans="1:10" s="779" customFormat="1" ht="13.9" customHeight="1">
      <c r="A38" s="457" t="s">
        <v>957</v>
      </c>
      <c r="B38" s="412"/>
      <c r="C38" s="908">
        <v>111242</v>
      </c>
      <c r="D38" s="908">
        <v>10216.5</v>
      </c>
      <c r="E38" s="908">
        <v>64826</v>
      </c>
      <c r="F38" s="908">
        <v>6294.1</v>
      </c>
      <c r="G38" s="908">
        <v>639.29999999999995</v>
      </c>
      <c r="H38" s="908">
        <f t="shared" si="2"/>
        <v>186923.8</v>
      </c>
      <c r="I38" s="778"/>
      <c r="J38" s="413"/>
    </row>
    <row r="39" spans="1:10" s="779" customFormat="1" ht="13.9" customHeight="1">
      <c r="A39" s="1259" t="s">
        <v>950</v>
      </c>
      <c r="B39" s="497"/>
      <c r="C39" s="1261">
        <v>113153.4</v>
      </c>
      <c r="D39" s="1261">
        <v>10203.1</v>
      </c>
      <c r="E39" s="1261">
        <v>67509.5</v>
      </c>
      <c r="F39" s="1261">
        <v>7473.2</v>
      </c>
      <c r="G39" s="1261">
        <v>632.20000000000005</v>
      </c>
      <c r="H39" s="1261">
        <f t="shared" si="2"/>
        <v>191498.2</v>
      </c>
      <c r="I39" s="778"/>
      <c r="J39" s="413"/>
    </row>
    <row r="40" spans="1:10" s="779" customFormat="1" ht="13.9" customHeight="1">
      <c r="A40" s="1262" t="s">
        <v>958</v>
      </c>
      <c r="B40" s="412"/>
      <c r="C40" s="908">
        <v>112567.6</v>
      </c>
      <c r="D40" s="908">
        <v>10411.5</v>
      </c>
      <c r="E40" s="908">
        <v>64923.199999999997</v>
      </c>
      <c r="F40" s="908">
        <v>6122.5</v>
      </c>
      <c r="G40" s="908">
        <v>659.9</v>
      </c>
      <c r="H40" s="908">
        <f t="shared" si="2"/>
        <v>188562.19999999998</v>
      </c>
      <c r="I40" s="778"/>
      <c r="J40" s="413"/>
    </row>
    <row r="41" spans="1:10" s="779" customFormat="1" ht="13.9" customHeight="1">
      <c r="A41" s="1259" t="s">
        <v>959</v>
      </c>
      <c r="B41" s="497"/>
      <c r="C41" s="1261">
        <v>112499.7</v>
      </c>
      <c r="D41" s="1261">
        <v>11008.1</v>
      </c>
      <c r="E41" s="1261">
        <v>67105.2</v>
      </c>
      <c r="F41" s="1261">
        <v>6814.4</v>
      </c>
      <c r="G41" s="1261">
        <v>639.9</v>
      </c>
      <c r="H41" s="1261">
        <f t="shared" si="2"/>
        <v>191252.9</v>
      </c>
      <c r="I41" s="778"/>
      <c r="J41" s="413"/>
    </row>
    <row r="42" spans="1:10" s="779" customFormat="1" ht="13.9" customHeight="1">
      <c r="A42" s="1262" t="s">
        <v>951</v>
      </c>
      <c r="B42" s="412"/>
      <c r="C42" s="908">
        <v>114109.9</v>
      </c>
      <c r="D42" s="908">
        <v>10364.9</v>
      </c>
      <c r="E42" s="908">
        <v>67498.399999999994</v>
      </c>
      <c r="F42" s="908">
        <v>7067.5</v>
      </c>
      <c r="G42" s="908">
        <v>640</v>
      </c>
      <c r="H42" s="908">
        <f t="shared" si="2"/>
        <v>192613.19999999998</v>
      </c>
      <c r="I42" s="778"/>
      <c r="J42" s="413"/>
    </row>
    <row r="43" spans="1:10" s="779" customFormat="1" ht="13.9" customHeight="1">
      <c r="A43" s="1259" t="s">
        <v>960</v>
      </c>
      <c r="B43" s="497"/>
      <c r="C43" s="1261">
        <v>113757.5</v>
      </c>
      <c r="D43" s="1261">
        <v>11105.2</v>
      </c>
      <c r="E43" s="1261">
        <v>65980.2</v>
      </c>
      <c r="F43" s="1261">
        <v>5430.1</v>
      </c>
      <c r="G43" s="1261">
        <v>661.4</v>
      </c>
      <c r="H43" s="1261">
        <f t="shared" si="2"/>
        <v>191504.3</v>
      </c>
      <c r="I43" s="778"/>
      <c r="J43" s="413"/>
    </row>
    <row r="44" spans="1:10" s="779" customFormat="1" ht="13.9" customHeight="1">
      <c r="A44" s="1262" t="s">
        <v>961</v>
      </c>
      <c r="B44" s="412"/>
      <c r="C44" s="908">
        <v>117136.5</v>
      </c>
      <c r="D44" s="908">
        <v>11744.8</v>
      </c>
      <c r="E44" s="908">
        <v>66446.7</v>
      </c>
      <c r="F44" s="908">
        <v>7961.6</v>
      </c>
      <c r="G44" s="908">
        <v>640.6</v>
      </c>
      <c r="H44" s="908">
        <f t="shared" si="2"/>
        <v>195968.6</v>
      </c>
      <c r="I44" s="778"/>
      <c r="J44" s="413"/>
    </row>
    <row r="45" spans="1:10" s="779" customFormat="1" ht="13.9" customHeight="1" thickBot="1">
      <c r="A45" s="1549" t="s">
        <v>952</v>
      </c>
      <c r="B45" s="1418"/>
      <c r="C45" s="1550">
        <v>137531.79999999999</v>
      </c>
      <c r="D45" s="1550">
        <v>13733.4</v>
      </c>
      <c r="E45" s="1550">
        <v>72732.7</v>
      </c>
      <c r="F45" s="1550">
        <v>8987.9</v>
      </c>
      <c r="G45" s="1550">
        <v>661.5</v>
      </c>
      <c r="H45" s="1550">
        <f t="shared" si="2"/>
        <v>224659.39999999997</v>
      </c>
      <c r="I45" s="778"/>
      <c r="J45" s="413"/>
    </row>
    <row r="46" spans="1:10" s="298" customFormat="1" ht="9.9499999999999993" customHeight="1">
      <c r="A46" s="421"/>
      <c r="B46" s="421"/>
      <c r="C46" s="1773" t="s">
        <v>2694</v>
      </c>
      <c r="D46" s="1773"/>
      <c r="E46" s="1773"/>
      <c r="F46" s="1773"/>
      <c r="G46" s="1773"/>
      <c r="H46" s="1773"/>
    </row>
    <row r="47" spans="1:10" s="11" customFormat="1" ht="9.9499999999999993" customHeight="1">
      <c r="A47" s="766" t="s">
        <v>303</v>
      </c>
      <c r="B47" s="77" t="s">
        <v>304</v>
      </c>
      <c r="C47" s="1727" t="s">
        <v>2507</v>
      </c>
      <c r="D47" s="1727"/>
      <c r="E47" s="1727"/>
      <c r="F47" s="1484"/>
      <c r="G47" s="1484"/>
      <c r="H47" s="1484"/>
    </row>
    <row r="48" spans="1:10" s="11" customFormat="1" ht="9.9499999999999993" customHeight="1">
      <c r="C48" s="85"/>
      <c r="D48" s="85"/>
      <c r="E48" s="85"/>
      <c r="F48" s="85"/>
      <c r="G48" s="85"/>
      <c r="H48" s="85"/>
    </row>
    <row r="49" spans="3:8" s="11" customFormat="1" ht="9.9499999999999993" customHeight="1"/>
    <row r="50" spans="3:8" s="11" customFormat="1">
      <c r="C50" s="103"/>
      <c r="H50" s="250"/>
    </row>
    <row r="52" spans="3:8">
      <c r="H52" s="54"/>
    </row>
    <row r="53" spans="3:8">
      <c r="H53" s="54"/>
    </row>
  </sheetData>
  <mergeCells count="14">
    <mergeCell ref="C46:H46"/>
    <mergeCell ref="E5:E6"/>
    <mergeCell ref="E4:F4"/>
    <mergeCell ref="E3:G3"/>
    <mergeCell ref="C47:E47"/>
    <mergeCell ref="G1:H1"/>
    <mergeCell ref="A1:F1"/>
    <mergeCell ref="A3:B7"/>
    <mergeCell ref="F5:F6"/>
    <mergeCell ref="D3:D6"/>
    <mergeCell ref="C3:C6"/>
    <mergeCell ref="G2:H2"/>
    <mergeCell ref="H3:H6"/>
    <mergeCell ref="G4:G6"/>
  </mergeCells>
  <phoneticPr fontId="0" type="noConversion"/>
  <pageMargins left="0.62992125984252001" right="0.511811023622047" top="0.511811023622047" bottom="0.511811023622047" header="0" footer="0.39370078740157499"/>
  <pageSetup paperSize="151" firstPageNumber="16" orientation="portrait" useFirstPageNumber="1" r:id="rId1"/>
  <headerFooter alignWithMargins="0">
    <oddFooter>&amp;C&amp;"Times New Roman,Regular"&amp;8&amp;P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M48"/>
  <sheetViews>
    <sheetView zoomScale="130" zoomScaleNormal="130" workbookViewId="0">
      <pane xSplit="2" ySplit="7" topLeftCell="C16" activePane="bottomRight" state="frozen"/>
      <selection pane="topRight" activeCell="C1" sqref="C1"/>
      <selection pane="bottomLeft" activeCell="A8" sqref="A8"/>
      <selection pane="bottomRight" activeCell="A18" sqref="A18:XFD18"/>
    </sheetView>
  </sheetViews>
  <sheetFormatPr defaultColWidth="9.140625" defaultRowHeight="11.25"/>
  <cols>
    <col min="1" max="1" width="7.7109375" style="300" customWidth="1"/>
    <col min="2" max="2" width="1.42578125" style="300" customWidth="1"/>
    <col min="3" max="3" width="7.42578125" style="300" customWidth="1"/>
    <col min="4" max="4" width="7.140625" style="300" customWidth="1"/>
    <col min="5" max="5" width="7" style="300" customWidth="1"/>
    <col min="6" max="6" width="6.42578125" style="300" customWidth="1"/>
    <col min="7" max="7" width="7.42578125" style="300" customWidth="1"/>
    <col min="8" max="8" width="8.28515625" style="300" customWidth="1"/>
    <col min="9" max="9" width="6.85546875" style="300" customWidth="1"/>
    <col min="10" max="10" width="8" style="300" customWidth="1"/>
    <col min="11" max="11" width="7.5703125" style="300" customWidth="1"/>
    <col min="12" max="16384" width="9.140625" style="300"/>
  </cols>
  <sheetData>
    <row r="1" spans="1:12" s="303" customFormat="1" ht="13.5" customHeight="1">
      <c r="A1" s="1775" t="s">
        <v>2560</v>
      </c>
      <c r="B1" s="1775"/>
      <c r="C1" s="1775"/>
      <c r="D1" s="1775"/>
      <c r="E1" s="1775"/>
      <c r="F1" s="1775"/>
      <c r="G1" s="1775"/>
      <c r="H1" s="1775"/>
      <c r="I1" s="1775"/>
      <c r="J1" s="1776" t="s">
        <v>336</v>
      </c>
      <c r="K1" s="1776"/>
    </row>
    <row r="2" spans="1:12" s="306" customFormat="1" ht="12">
      <c r="J2" s="1777" t="s">
        <v>41</v>
      </c>
      <c r="K2" s="1777"/>
    </row>
    <row r="3" spans="1:12" s="701" customFormat="1" ht="15" customHeight="1">
      <c r="A3" s="1761" t="s">
        <v>1655</v>
      </c>
      <c r="B3" s="1762"/>
      <c r="C3" s="1634" t="s">
        <v>337</v>
      </c>
      <c r="D3" s="1696" t="s">
        <v>877</v>
      </c>
      <c r="E3" s="1697"/>
      <c r="F3" s="1697"/>
      <c r="G3" s="1697"/>
      <c r="H3" s="1698"/>
      <c r="I3" s="1634" t="s">
        <v>1656</v>
      </c>
      <c r="J3" s="1634" t="s">
        <v>340</v>
      </c>
      <c r="K3" s="1634" t="s">
        <v>341</v>
      </c>
    </row>
    <row r="4" spans="1:12" s="701" customFormat="1" ht="12.75" customHeight="1">
      <c r="A4" s="1763"/>
      <c r="B4" s="1764"/>
      <c r="C4" s="1665"/>
      <c r="D4" s="1634" t="s">
        <v>1378</v>
      </c>
      <c r="E4" s="1634" t="s">
        <v>879</v>
      </c>
      <c r="F4" s="1634" t="s">
        <v>993</v>
      </c>
      <c r="G4" s="1634" t="s">
        <v>338</v>
      </c>
      <c r="H4" s="1634" t="s">
        <v>339</v>
      </c>
      <c r="I4" s="1665"/>
      <c r="J4" s="1665"/>
      <c r="K4" s="1665"/>
    </row>
    <row r="5" spans="1:12" s="309" customFormat="1" ht="19.5" customHeight="1">
      <c r="A5" s="1763"/>
      <c r="B5" s="1764"/>
      <c r="C5" s="1665"/>
      <c r="D5" s="1665"/>
      <c r="E5" s="1665"/>
      <c r="F5" s="1770"/>
      <c r="G5" s="1665"/>
      <c r="H5" s="1665"/>
      <c r="I5" s="1665"/>
      <c r="J5" s="1665"/>
      <c r="K5" s="1665"/>
    </row>
    <row r="6" spans="1:12" s="309" customFormat="1" ht="14.25" customHeight="1">
      <c r="A6" s="1763"/>
      <c r="B6" s="1764"/>
      <c r="C6" s="1635"/>
      <c r="D6" s="1635"/>
      <c r="E6" s="1635"/>
      <c r="F6" s="1769"/>
      <c r="G6" s="1635"/>
      <c r="H6" s="1635"/>
      <c r="I6" s="1635"/>
      <c r="J6" s="1635"/>
      <c r="K6" s="1635"/>
    </row>
    <row r="7" spans="1:12" s="409" customFormat="1" ht="10.5" customHeight="1">
      <c r="A7" s="1765"/>
      <c r="B7" s="1766"/>
      <c r="C7" s="906">
        <v>1</v>
      </c>
      <c r="D7" s="907">
        <v>2</v>
      </c>
      <c r="E7" s="907">
        <v>3</v>
      </c>
      <c r="F7" s="907">
        <v>4</v>
      </c>
      <c r="G7" s="907">
        <v>5</v>
      </c>
      <c r="H7" s="907">
        <v>6</v>
      </c>
      <c r="I7" s="907">
        <v>7</v>
      </c>
      <c r="J7" s="907">
        <v>8</v>
      </c>
      <c r="K7" s="907">
        <v>9</v>
      </c>
    </row>
    <row r="8" spans="1:12" s="471" customFormat="1" ht="13.9" customHeight="1">
      <c r="A8" s="426" t="s">
        <v>947</v>
      </c>
      <c r="B8" s="426"/>
      <c r="C8" s="420">
        <f>13959.5-417.2</f>
        <v>13542.3</v>
      </c>
      <c r="D8" s="40">
        <f>11897.6-50</f>
        <v>11847.6</v>
      </c>
      <c r="E8" s="40">
        <f>1191.1+50</f>
        <v>1241.0999999999999</v>
      </c>
      <c r="F8" s="40">
        <f>6.4+1234.9</f>
        <v>1241.3000000000002</v>
      </c>
      <c r="G8" s="40">
        <v>5852.1</v>
      </c>
      <c r="H8" s="40">
        <f t="shared" ref="H8:H16" si="0">D8+E8+F8+G8</f>
        <v>20182.099999999999</v>
      </c>
      <c r="I8" s="86">
        <f>-6650.3-52.2-1234.9+417.2-2333.8</f>
        <v>-9854</v>
      </c>
      <c r="J8" s="40">
        <f t="shared" ref="J8:J16" si="1">H8+I8</f>
        <v>10328.099999999999</v>
      </c>
      <c r="K8" s="86">
        <f t="shared" ref="K8:K16" si="2">C8+J8</f>
        <v>23870.399999999998</v>
      </c>
    </row>
    <row r="9" spans="1:12" s="426" customFormat="1" ht="13.9" customHeight="1">
      <c r="A9" s="1063" t="s">
        <v>948</v>
      </c>
      <c r="B9" s="1063"/>
      <c r="C9" s="800">
        <v>14678.2</v>
      </c>
      <c r="D9" s="508">
        <v>15674.3</v>
      </c>
      <c r="E9" s="508">
        <f>67.9+20+1017.7</f>
        <v>1105.6000000000001</v>
      </c>
      <c r="F9" s="508">
        <f>65.1+1276.3</f>
        <v>1341.3999999999999</v>
      </c>
      <c r="G9" s="508">
        <v>6132.5</v>
      </c>
      <c r="H9" s="508">
        <f>D9+E9+F9+G9</f>
        <v>24253.8</v>
      </c>
      <c r="I9" s="800">
        <v>-11531.6</v>
      </c>
      <c r="J9" s="508">
        <f t="shared" si="1"/>
        <v>12722.199999999999</v>
      </c>
      <c r="K9" s="503">
        <f t="shared" si="2"/>
        <v>27400.400000000001</v>
      </c>
    </row>
    <row r="10" spans="1:12" s="426" customFormat="1" ht="13.9" customHeight="1">
      <c r="A10" s="426" t="s">
        <v>953</v>
      </c>
      <c r="C10" s="799">
        <v>18640.3</v>
      </c>
      <c r="D10" s="799">
        <v>24982.7</v>
      </c>
      <c r="E10" s="86">
        <f>966+50</f>
        <v>1016</v>
      </c>
      <c r="F10" s="40">
        <f>85.7+1344.2</f>
        <v>1429.9</v>
      </c>
      <c r="G10" s="40">
        <v>6346.3</v>
      </c>
      <c r="H10" s="40">
        <f t="shared" si="0"/>
        <v>33774.9</v>
      </c>
      <c r="I10" s="799">
        <v>-18460.5</v>
      </c>
      <c r="J10" s="40">
        <f t="shared" si="1"/>
        <v>15314.400000000001</v>
      </c>
      <c r="K10" s="86">
        <f t="shared" si="2"/>
        <v>33954.699999999997</v>
      </c>
    </row>
    <row r="11" spans="1:12" s="426" customFormat="1" ht="13.9" customHeight="1">
      <c r="A11" s="1063" t="s">
        <v>962</v>
      </c>
      <c r="B11" s="1063"/>
      <c r="C11" s="800">
        <v>28758.400000000001</v>
      </c>
      <c r="D11" s="800">
        <v>25074.9</v>
      </c>
      <c r="E11" s="503">
        <v>988</v>
      </c>
      <c r="F11" s="508">
        <f>171.2+1404.9</f>
        <v>1576.1000000000001</v>
      </c>
      <c r="G11" s="1495">
        <v>6442.1</v>
      </c>
      <c r="H11" s="508">
        <f>D11+E11+F11+G11</f>
        <v>34081.1</v>
      </c>
      <c r="I11" s="800">
        <v>-23416.799999999999</v>
      </c>
      <c r="J11" s="508">
        <f>H11+I11</f>
        <v>10664.3</v>
      </c>
      <c r="K11" s="503">
        <f t="shared" si="2"/>
        <v>39422.699999999997</v>
      </c>
    </row>
    <row r="12" spans="1:12" s="426" customFormat="1" ht="13.9" customHeight="1">
      <c r="A12" s="426" t="s">
        <v>675</v>
      </c>
      <c r="C12" s="799">
        <v>32813.800000000003</v>
      </c>
      <c r="D12" s="799">
        <v>25927.7</v>
      </c>
      <c r="E12" s="40">
        <v>946.4</v>
      </c>
      <c r="F12" s="40">
        <v>1696.8</v>
      </c>
      <c r="G12" s="40">
        <v>7334.2</v>
      </c>
      <c r="H12" s="40">
        <f t="shared" si="0"/>
        <v>35905.1</v>
      </c>
      <c r="I12" s="799">
        <v>-21156.799999999999</v>
      </c>
      <c r="J12" s="86">
        <f t="shared" si="1"/>
        <v>14748.3</v>
      </c>
      <c r="K12" s="86">
        <f t="shared" si="2"/>
        <v>47562.100000000006</v>
      </c>
    </row>
    <row r="13" spans="1:12" s="426" customFormat="1" ht="13.9" customHeight="1">
      <c r="A13" s="1063" t="s">
        <v>141</v>
      </c>
      <c r="B13" s="1063"/>
      <c r="C13" s="800">
        <v>43227.5</v>
      </c>
      <c r="D13" s="800">
        <v>28471.5</v>
      </c>
      <c r="E13" s="508">
        <v>853.1</v>
      </c>
      <c r="F13" s="508">
        <v>2022.1</v>
      </c>
      <c r="G13" s="508">
        <v>6846.8</v>
      </c>
      <c r="H13" s="508">
        <f t="shared" si="0"/>
        <v>38193.5</v>
      </c>
      <c r="I13" s="800">
        <v>-18671.599999999999</v>
      </c>
      <c r="J13" s="503">
        <f t="shared" si="1"/>
        <v>19521.900000000001</v>
      </c>
      <c r="K13" s="503">
        <f t="shared" si="2"/>
        <v>62749.4</v>
      </c>
      <c r="L13" s="1060"/>
    </row>
    <row r="14" spans="1:12" s="426" customFormat="1" ht="13.9" customHeight="1">
      <c r="A14" s="426" t="s">
        <v>136</v>
      </c>
      <c r="C14" s="799">
        <v>61181</v>
      </c>
      <c r="D14" s="799">
        <v>21471.200000000001</v>
      </c>
      <c r="E14" s="40">
        <v>830.7</v>
      </c>
      <c r="F14" s="40">
        <v>2588.6999999999998</v>
      </c>
      <c r="G14" s="40">
        <v>6613.9</v>
      </c>
      <c r="H14" s="40">
        <f t="shared" si="0"/>
        <v>31504.5</v>
      </c>
      <c r="I14" s="799">
        <v>-18542.7</v>
      </c>
      <c r="J14" s="86">
        <f t="shared" si="1"/>
        <v>12961.8</v>
      </c>
      <c r="K14" s="86">
        <f t="shared" si="2"/>
        <v>74142.8</v>
      </c>
      <c r="L14" s="1060"/>
    </row>
    <row r="15" spans="1:12" s="426" customFormat="1" ht="13.9" customHeight="1">
      <c r="A15" s="1063" t="s">
        <v>317</v>
      </c>
      <c r="B15" s="1063"/>
      <c r="C15" s="800">
        <v>61342.1</v>
      </c>
      <c r="D15" s="800">
        <v>31710.5</v>
      </c>
      <c r="E15" s="508">
        <v>776.7</v>
      </c>
      <c r="F15" s="508">
        <v>3143.7</v>
      </c>
      <c r="G15" s="508">
        <v>18608.8</v>
      </c>
      <c r="H15" s="508">
        <f t="shared" si="0"/>
        <v>54239.7</v>
      </c>
      <c r="I15" s="800">
        <v>-25847.4</v>
      </c>
      <c r="J15" s="503">
        <f t="shared" si="1"/>
        <v>28392.299999999996</v>
      </c>
      <c r="K15" s="503">
        <f t="shared" si="2"/>
        <v>89734.399999999994</v>
      </c>
      <c r="L15" s="1060"/>
    </row>
    <row r="16" spans="1:12" s="426" customFormat="1" ht="13.9" customHeight="1">
      <c r="A16" s="426" t="s">
        <v>1299</v>
      </c>
      <c r="C16" s="799">
        <v>68930.100000000006</v>
      </c>
      <c r="D16" s="799">
        <v>37854.9</v>
      </c>
      <c r="E16" s="40">
        <v>1181.9000000000001</v>
      </c>
      <c r="F16" s="40">
        <v>3598.7</v>
      </c>
      <c r="G16" s="40">
        <v>22627.4</v>
      </c>
      <c r="H16" s="40">
        <f t="shared" si="0"/>
        <v>65262.9</v>
      </c>
      <c r="I16" s="799">
        <v>-36390.300000000003</v>
      </c>
      <c r="J16" s="86">
        <f t="shared" si="1"/>
        <v>28872.6</v>
      </c>
      <c r="K16" s="86">
        <f t="shared" si="2"/>
        <v>97802.700000000012</v>
      </c>
      <c r="L16" s="1060"/>
    </row>
    <row r="17" spans="1:13" s="426" customFormat="1" ht="13.9" customHeight="1">
      <c r="A17" s="1063" t="s">
        <v>1505</v>
      </c>
      <c r="B17" s="1063"/>
      <c r="C17" s="800">
        <v>103246</v>
      </c>
      <c r="D17" s="800">
        <v>27069</v>
      </c>
      <c r="E17" s="508">
        <v>1354.5</v>
      </c>
      <c r="F17" s="508">
        <v>4180.2</v>
      </c>
      <c r="G17" s="508">
        <v>10219</v>
      </c>
      <c r="H17" s="508">
        <v>42822.7</v>
      </c>
      <c r="I17" s="800">
        <v>-33579.300000000003</v>
      </c>
      <c r="J17" s="503">
        <v>9243.3999999999942</v>
      </c>
      <c r="K17" s="503">
        <v>112489.4</v>
      </c>
      <c r="L17" s="1060"/>
    </row>
    <row r="18" spans="1:13" s="1062" customFormat="1" ht="13.9" customHeight="1">
      <c r="A18" s="889" t="s">
        <v>1886</v>
      </c>
      <c r="C18" s="86">
        <v>147496.6</v>
      </c>
      <c r="D18" s="799">
        <v>3840.6</v>
      </c>
      <c r="E18" s="799">
        <v>1202.7</v>
      </c>
      <c r="F18" s="799">
        <v>4272.7</v>
      </c>
      <c r="G18" s="799">
        <v>6279.2</v>
      </c>
      <c r="H18" s="799">
        <v>15595.2</v>
      </c>
      <c r="I18" s="799">
        <v>-33216.5</v>
      </c>
      <c r="J18" s="799">
        <v>-17621.3</v>
      </c>
      <c r="K18" s="799">
        <v>129875.3</v>
      </c>
    </row>
    <row r="19" spans="1:13" s="1065" customFormat="1" ht="13.9" customHeight="1">
      <c r="A19" s="1064" t="s">
        <v>2017</v>
      </c>
      <c r="B19" s="1496"/>
      <c r="C19" s="982">
        <v>177401.3</v>
      </c>
      <c r="D19" s="982">
        <v>810.5</v>
      </c>
      <c r="E19" s="982">
        <v>2160.8000000000002</v>
      </c>
      <c r="F19" s="982">
        <v>4645.6000000000004</v>
      </c>
      <c r="G19" s="982">
        <v>5659.2</v>
      </c>
      <c r="H19" s="982">
        <v>13276.1</v>
      </c>
      <c r="I19" s="982">
        <v>-42194.9</v>
      </c>
      <c r="J19" s="982">
        <v>-28918.800000000003</v>
      </c>
      <c r="K19" s="982">
        <v>148482.5</v>
      </c>
      <c r="M19" s="1066"/>
    </row>
    <row r="20" spans="1:13" s="779" customFormat="1" ht="13.9" customHeight="1">
      <c r="A20" s="872" t="s">
        <v>2226</v>
      </c>
      <c r="C20" s="977">
        <f>C32</f>
        <v>218904.1</v>
      </c>
      <c r="D20" s="977">
        <f t="shared" ref="D20:K20" si="3">D32</f>
        <v>13373.7</v>
      </c>
      <c r="E20" s="977">
        <f t="shared" si="3"/>
        <v>2015.5</v>
      </c>
      <c r="F20" s="977">
        <f t="shared" si="3"/>
        <v>4966.8999999999996</v>
      </c>
      <c r="G20" s="977">
        <f t="shared" si="3"/>
        <v>6024.4</v>
      </c>
      <c r="H20" s="977">
        <f t="shared" si="3"/>
        <v>26380.5</v>
      </c>
      <c r="I20" s="977">
        <f t="shared" si="3"/>
        <v>-52083.3</v>
      </c>
      <c r="J20" s="977">
        <f t="shared" si="3"/>
        <v>-25702.800000000003</v>
      </c>
      <c r="K20" s="977">
        <f t="shared" si="3"/>
        <v>193201.3</v>
      </c>
      <c r="M20" s="778"/>
    </row>
    <row r="21" spans="1:13" s="779" customFormat="1" ht="13.9" customHeight="1">
      <c r="A21" s="496" t="s">
        <v>954</v>
      </c>
      <c r="B21" s="1103"/>
      <c r="C21" s="798">
        <v>184570.8</v>
      </c>
      <c r="D21" s="798">
        <v>3032.3</v>
      </c>
      <c r="E21" s="798">
        <v>2238.6999999999998</v>
      </c>
      <c r="F21" s="798">
        <v>4607.6000000000004</v>
      </c>
      <c r="G21" s="798">
        <v>6101.1</v>
      </c>
      <c r="H21" s="798">
        <f t="shared" ref="H21:H26" si="4">D21+E21+F21+G21</f>
        <v>15979.7</v>
      </c>
      <c r="I21" s="798">
        <v>-44916.5</v>
      </c>
      <c r="J21" s="498">
        <f t="shared" ref="J21:J26" si="5">H21+I21</f>
        <v>-28936.799999999999</v>
      </c>
      <c r="K21" s="498">
        <f t="shared" ref="K21:K26" si="6">C21+J21</f>
        <v>155634</v>
      </c>
      <c r="M21" s="778"/>
    </row>
    <row r="22" spans="1:13" s="779" customFormat="1" ht="13.9" customHeight="1">
      <c r="A22" s="411" t="s">
        <v>955</v>
      </c>
      <c r="C22" s="804">
        <v>186355.4</v>
      </c>
      <c r="D22" s="804">
        <v>-6762.2</v>
      </c>
      <c r="E22" s="804">
        <v>2174.6</v>
      </c>
      <c r="F22" s="804">
        <v>4595.7</v>
      </c>
      <c r="G22" s="804">
        <v>5832.6</v>
      </c>
      <c r="H22" s="804">
        <f t="shared" si="4"/>
        <v>5840.7</v>
      </c>
      <c r="I22" s="804">
        <v>-40362</v>
      </c>
      <c r="J22" s="413">
        <f t="shared" si="5"/>
        <v>-34521.300000000003</v>
      </c>
      <c r="K22" s="413">
        <f t="shared" si="6"/>
        <v>151834.09999999998</v>
      </c>
      <c r="M22" s="778"/>
    </row>
    <row r="23" spans="1:13" s="779" customFormat="1" ht="13.9" customHeight="1">
      <c r="A23" s="496" t="s">
        <v>949</v>
      </c>
      <c r="B23" s="1103"/>
      <c r="C23" s="798">
        <v>191613.9</v>
      </c>
      <c r="D23" s="798">
        <v>-4916.6000000000004</v>
      </c>
      <c r="E23" s="798">
        <v>2127.8000000000002</v>
      </c>
      <c r="F23" s="798">
        <v>4701.7</v>
      </c>
      <c r="G23" s="798">
        <v>6044</v>
      </c>
      <c r="H23" s="798">
        <f t="shared" si="4"/>
        <v>7956.9</v>
      </c>
      <c r="I23" s="798">
        <v>-36915.1</v>
      </c>
      <c r="J23" s="498">
        <f t="shared" si="5"/>
        <v>-28958.199999999997</v>
      </c>
      <c r="K23" s="498">
        <f t="shared" si="6"/>
        <v>162655.70000000001</v>
      </c>
      <c r="M23" s="778"/>
    </row>
    <row r="24" spans="1:13" s="779" customFormat="1" ht="13.9" customHeight="1">
      <c r="A24" s="411" t="s">
        <v>956</v>
      </c>
      <c r="C24" s="804">
        <v>191643.1</v>
      </c>
      <c r="D24" s="804">
        <v>-5215.6000000000004</v>
      </c>
      <c r="E24" s="804">
        <v>2123.8000000000002</v>
      </c>
      <c r="F24" s="804">
        <v>4776.2</v>
      </c>
      <c r="G24" s="804">
        <v>6045.5</v>
      </c>
      <c r="H24" s="804">
        <f t="shared" si="4"/>
        <v>7729.9</v>
      </c>
      <c r="I24" s="804">
        <v>-35373.300000000003</v>
      </c>
      <c r="J24" s="413">
        <f t="shared" si="5"/>
        <v>-27643.4</v>
      </c>
      <c r="K24" s="413">
        <f t="shared" si="6"/>
        <v>163999.70000000001</v>
      </c>
      <c r="M24" s="778"/>
    </row>
    <row r="25" spans="1:13" s="779" customFormat="1" ht="13.9" customHeight="1">
      <c r="A25" s="496" t="s">
        <v>957</v>
      </c>
      <c r="B25" s="1103"/>
      <c r="C25" s="798">
        <v>193250.9</v>
      </c>
      <c r="D25" s="798">
        <v>-4296.5</v>
      </c>
      <c r="E25" s="798">
        <v>2116.1999999999998</v>
      </c>
      <c r="F25" s="798">
        <v>4817.5</v>
      </c>
      <c r="G25" s="798">
        <v>6102</v>
      </c>
      <c r="H25" s="798">
        <f t="shared" si="4"/>
        <v>8739.2000000000007</v>
      </c>
      <c r="I25" s="798">
        <v>-44339.6</v>
      </c>
      <c r="J25" s="498">
        <f t="shared" si="5"/>
        <v>-35600.399999999994</v>
      </c>
      <c r="K25" s="498">
        <f t="shared" si="6"/>
        <v>157650.5</v>
      </c>
      <c r="M25" s="778"/>
    </row>
    <row r="26" spans="1:13" s="779" customFormat="1" ht="13.9" customHeight="1">
      <c r="A26" s="411" t="s">
        <v>950</v>
      </c>
      <c r="C26" s="804">
        <v>196508</v>
      </c>
      <c r="D26" s="804">
        <v>-3321.5</v>
      </c>
      <c r="E26" s="804">
        <v>2110</v>
      </c>
      <c r="F26" s="804">
        <v>4890.3999999999996</v>
      </c>
      <c r="G26" s="804">
        <v>5946.3</v>
      </c>
      <c r="H26" s="804">
        <f t="shared" si="4"/>
        <v>9625.2000000000007</v>
      </c>
      <c r="I26" s="804">
        <v>-45918.400000000001</v>
      </c>
      <c r="J26" s="413">
        <f t="shared" si="5"/>
        <v>-36293.199999999997</v>
      </c>
      <c r="K26" s="413">
        <f t="shared" si="6"/>
        <v>160214.79999999999</v>
      </c>
      <c r="M26" s="778"/>
    </row>
    <row r="27" spans="1:13" s="779" customFormat="1" ht="13.9" customHeight="1">
      <c r="A27" s="496" t="s">
        <v>958</v>
      </c>
      <c r="B27" s="1103"/>
      <c r="C27" s="798">
        <v>197995.7</v>
      </c>
      <c r="D27" s="798">
        <v>-5345.9</v>
      </c>
      <c r="E27" s="798">
        <v>2100.5</v>
      </c>
      <c r="F27" s="798">
        <v>4850.6000000000004</v>
      </c>
      <c r="G27" s="798">
        <v>5969</v>
      </c>
      <c r="H27" s="798">
        <f t="shared" ref="H27:H45" si="7">D27+E27+F27+G27</f>
        <v>7574.2000000000007</v>
      </c>
      <c r="I27" s="798">
        <v>-43801.5</v>
      </c>
      <c r="J27" s="498">
        <f t="shared" ref="J27:J32" si="8">H27+I27</f>
        <v>-36227.300000000003</v>
      </c>
      <c r="K27" s="498">
        <f t="shared" ref="K27:K32" si="9">C27+J27</f>
        <v>161768.40000000002</v>
      </c>
      <c r="M27" s="778"/>
    </row>
    <row r="28" spans="1:13" s="779" customFormat="1" ht="13.9" customHeight="1">
      <c r="A28" s="411" t="s">
        <v>959</v>
      </c>
      <c r="C28" s="804">
        <v>203032.4</v>
      </c>
      <c r="D28" s="804">
        <v>1100.9000000000001</v>
      </c>
      <c r="E28" s="804">
        <v>2081.4</v>
      </c>
      <c r="F28" s="804">
        <v>4823.3999999999996</v>
      </c>
      <c r="G28" s="804">
        <v>5956.5</v>
      </c>
      <c r="H28" s="804">
        <f t="shared" si="7"/>
        <v>13962.2</v>
      </c>
      <c r="I28" s="804">
        <v>-55271.6</v>
      </c>
      <c r="J28" s="413">
        <f t="shared" si="8"/>
        <v>-41309.399999999994</v>
      </c>
      <c r="K28" s="413">
        <f t="shared" si="9"/>
        <v>161723</v>
      </c>
      <c r="M28" s="778"/>
    </row>
    <row r="29" spans="1:13" s="779" customFormat="1" ht="13.9" customHeight="1">
      <c r="A29" s="496" t="s">
        <v>951</v>
      </c>
      <c r="B29" s="1103"/>
      <c r="C29" s="798">
        <v>207417.5</v>
      </c>
      <c r="D29" s="798">
        <v>4723.6000000000004</v>
      </c>
      <c r="E29" s="798">
        <v>2031.3</v>
      </c>
      <c r="F29" s="798">
        <v>4813.8999999999996</v>
      </c>
      <c r="G29" s="798">
        <v>5347.9</v>
      </c>
      <c r="H29" s="798">
        <f t="shared" si="7"/>
        <v>16916.699999999997</v>
      </c>
      <c r="I29" s="798">
        <v>-62452.5</v>
      </c>
      <c r="J29" s="498">
        <f t="shared" si="8"/>
        <v>-45535.8</v>
      </c>
      <c r="K29" s="498">
        <f t="shared" si="9"/>
        <v>161881.70000000001</v>
      </c>
      <c r="M29" s="778"/>
    </row>
    <row r="30" spans="1:13" s="779" customFormat="1" ht="13.9" customHeight="1">
      <c r="A30" s="411" t="s">
        <v>960</v>
      </c>
      <c r="C30" s="804">
        <v>210707.20000000001</v>
      </c>
      <c r="D30" s="804">
        <v>831</v>
      </c>
      <c r="E30" s="804">
        <v>2035.6</v>
      </c>
      <c r="F30" s="804">
        <v>4847.3</v>
      </c>
      <c r="G30" s="804">
        <v>5430.4</v>
      </c>
      <c r="H30" s="804">
        <f t="shared" si="7"/>
        <v>13144.3</v>
      </c>
      <c r="I30" s="804">
        <v>-58628</v>
      </c>
      <c r="J30" s="413">
        <f t="shared" si="8"/>
        <v>-45483.7</v>
      </c>
      <c r="K30" s="413">
        <f t="shared" si="9"/>
        <v>165223.5</v>
      </c>
      <c r="M30" s="778"/>
    </row>
    <row r="31" spans="1:13" s="779" customFormat="1" ht="13.9" customHeight="1">
      <c r="A31" s="507" t="s">
        <v>961</v>
      </c>
      <c r="B31" s="1103"/>
      <c r="C31" s="798">
        <v>211693.2</v>
      </c>
      <c r="D31" s="798">
        <v>2794.7</v>
      </c>
      <c r="E31" s="798">
        <v>2015.1</v>
      </c>
      <c r="F31" s="798">
        <v>4860.3</v>
      </c>
      <c r="G31" s="798">
        <v>5403.5</v>
      </c>
      <c r="H31" s="798">
        <f t="shared" si="7"/>
        <v>15073.599999999999</v>
      </c>
      <c r="I31" s="798">
        <v>-53863.9</v>
      </c>
      <c r="J31" s="498">
        <f t="shared" si="8"/>
        <v>-38790.300000000003</v>
      </c>
      <c r="K31" s="498">
        <f t="shared" si="9"/>
        <v>172902.90000000002</v>
      </c>
      <c r="M31" s="778"/>
    </row>
    <row r="32" spans="1:13" s="779" customFormat="1" ht="13.9" customHeight="1">
      <c r="A32" s="694" t="s">
        <v>952</v>
      </c>
      <c r="C32" s="804">
        <v>218904.1</v>
      </c>
      <c r="D32" s="804">
        <v>13373.7</v>
      </c>
      <c r="E32" s="804">
        <v>2015.5</v>
      </c>
      <c r="F32" s="804">
        <v>4966.8999999999996</v>
      </c>
      <c r="G32" s="804">
        <v>6024.4</v>
      </c>
      <c r="H32" s="804">
        <f t="shared" si="7"/>
        <v>26380.5</v>
      </c>
      <c r="I32" s="804">
        <v>-52083.3</v>
      </c>
      <c r="J32" s="413">
        <f t="shared" si="8"/>
        <v>-25702.800000000003</v>
      </c>
      <c r="K32" s="413">
        <f t="shared" si="9"/>
        <v>193201.3</v>
      </c>
      <c r="M32" s="778"/>
    </row>
    <row r="33" spans="1:13" s="779" customFormat="1" ht="13.9" customHeight="1">
      <c r="A33" s="606" t="s">
        <v>2384</v>
      </c>
      <c r="B33" s="1103"/>
      <c r="C33" s="981">
        <f>C45</f>
        <v>251326.9</v>
      </c>
      <c r="D33" s="981">
        <f t="shared" ref="D33:K33" si="10">D45</f>
        <v>12978.2</v>
      </c>
      <c r="E33" s="981">
        <f t="shared" si="10"/>
        <v>2157.8000000000002</v>
      </c>
      <c r="F33" s="981">
        <f t="shared" si="10"/>
        <v>4978.8</v>
      </c>
      <c r="G33" s="981">
        <f t="shared" si="10"/>
        <v>5056.8999999999996</v>
      </c>
      <c r="H33" s="981">
        <f t="shared" si="10"/>
        <v>25171.699999999997</v>
      </c>
      <c r="I33" s="981">
        <f t="shared" si="10"/>
        <v>-51839.199999999997</v>
      </c>
      <c r="J33" s="981">
        <f t="shared" si="10"/>
        <v>-26667.5</v>
      </c>
      <c r="K33" s="981">
        <f t="shared" si="10"/>
        <v>224659.4</v>
      </c>
      <c r="M33" s="778"/>
    </row>
    <row r="34" spans="1:13" s="779" customFormat="1" ht="13.9" customHeight="1">
      <c r="A34" s="457" t="s">
        <v>954</v>
      </c>
      <c r="C34" s="804">
        <v>222971.6</v>
      </c>
      <c r="D34" s="804">
        <v>-254.7</v>
      </c>
      <c r="E34" s="804">
        <v>2006.8</v>
      </c>
      <c r="F34" s="804">
        <v>4923.1000000000004</v>
      </c>
      <c r="G34" s="804">
        <v>4936.7</v>
      </c>
      <c r="H34" s="804">
        <f t="shared" si="7"/>
        <v>11611.900000000001</v>
      </c>
      <c r="I34" s="804">
        <v>-52725.3</v>
      </c>
      <c r="J34" s="413">
        <f t="shared" ref="J34:J45" si="11">H34+I34</f>
        <v>-41113.4</v>
      </c>
      <c r="K34" s="413">
        <f t="shared" ref="K34:K45" si="12">C34+J34</f>
        <v>181858.2</v>
      </c>
      <c r="M34" s="778"/>
    </row>
    <row r="35" spans="1:13" s="779" customFormat="1" ht="13.9" customHeight="1">
      <c r="A35" s="574" t="s">
        <v>955</v>
      </c>
      <c r="B35" s="1103"/>
      <c r="C35" s="798">
        <v>227994.8</v>
      </c>
      <c r="D35" s="798">
        <v>-1519.1</v>
      </c>
      <c r="E35" s="798">
        <v>2009.6</v>
      </c>
      <c r="F35" s="798">
        <v>4820.5</v>
      </c>
      <c r="G35" s="798">
        <v>5256.8</v>
      </c>
      <c r="H35" s="798">
        <f t="shared" si="7"/>
        <v>10567.8</v>
      </c>
      <c r="I35" s="798">
        <v>-55844</v>
      </c>
      <c r="J35" s="498">
        <f t="shared" si="11"/>
        <v>-45276.2</v>
      </c>
      <c r="K35" s="498">
        <f t="shared" si="12"/>
        <v>182718.59999999998</v>
      </c>
      <c r="M35" s="778"/>
    </row>
    <row r="36" spans="1:13" s="779" customFormat="1" ht="13.9" customHeight="1">
      <c r="A36" s="457" t="s">
        <v>949</v>
      </c>
      <c r="C36" s="804">
        <v>233071.6</v>
      </c>
      <c r="D36" s="804">
        <v>1004.4</v>
      </c>
      <c r="E36" s="804">
        <v>1986.2</v>
      </c>
      <c r="F36" s="804">
        <v>4830.8</v>
      </c>
      <c r="G36" s="804">
        <v>5228.3999999999996</v>
      </c>
      <c r="H36" s="804">
        <f t="shared" si="7"/>
        <v>13049.8</v>
      </c>
      <c r="I36" s="804">
        <v>-56313.3</v>
      </c>
      <c r="J36" s="413">
        <f t="shared" si="11"/>
        <v>-43263.5</v>
      </c>
      <c r="K36" s="413">
        <f t="shared" si="12"/>
        <v>189808.1</v>
      </c>
      <c r="M36" s="778"/>
    </row>
    <row r="37" spans="1:13" s="779" customFormat="1" ht="13.9" customHeight="1">
      <c r="A37" s="574" t="s">
        <v>956</v>
      </c>
      <c r="B37" s="1103"/>
      <c r="C37" s="798">
        <v>234188.5</v>
      </c>
      <c r="D37" s="798">
        <v>1350.8</v>
      </c>
      <c r="E37" s="798">
        <v>1988.9</v>
      </c>
      <c r="F37" s="798">
        <v>4860.5</v>
      </c>
      <c r="G37" s="798">
        <v>5210.7</v>
      </c>
      <c r="H37" s="798">
        <f t="shared" si="7"/>
        <v>13410.900000000001</v>
      </c>
      <c r="I37" s="798">
        <v>-60950.9</v>
      </c>
      <c r="J37" s="498">
        <f t="shared" si="11"/>
        <v>-47540</v>
      </c>
      <c r="K37" s="498">
        <f t="shared" si="12"/>
        <v>186648.5</v>
      </c>
      <c r="M37" s="778"/>
    </row>
    <row r="38" spans="1:13" s="779" customFormat="1" ht="13.9" customHeight="1">
      <c r="A38" s="457" t="s">
        <v>957</v>
      </c>
      <c r="C38" s="804">
        <v>233489.3</v>
      </c>
      <c r="D38" s="804">
        <v>3205.6</v>
      </c>
      <c r="E38" s="804">
        <v>1994</v>
      </c>
      <c r="F38" s="804">
        <v>4877.1000000000004</v>
      </c>
      <c r="G38" s="804">
        <v>4923.3999999999996</v>
      </c>
      <c r="H38" s="804">
        <f t="shared" si="7"/>
        <v>15000.1</v>
      </c>
      <c r="I38" s="804">
        <v>-61565.599999999999</v>
      </c>
      <c r="J38" s="413">
        <f t="shared" si="11"/>
        <v>-46565.5</v>
      </c>
      <c r="K38" s="413">
        <f t="shared" si="12"/>
        <v>186923.8</v>
      </c>
      <c r="M38" s="778"/>
    </row>
    <row r="39" spans="1:13" s="779" customFormat="1" ht="13.9" customHeight="1">
      <c r="A39" s="574" t="s">
        <v>950</v>
      </c>
      <c r="B39" s="1103"/>
      <c r="C39" s="798">
        <v>235538.8</v>
      </c>
      <c r="D39" s="798">
        <v>4872.5</v>
      </c>
      <c r="E39" s="798">
        <v>1926.2</v>
      </c>
      <c r="F39" s="798">
        <v>4921.2</v>
      </c>
      <c r="G39" s="798">
        <v>4885</v>
      </c>
      <c r="H39" s="798">
        <f t="shared" si="7"/>
        <v>16604.900000000001</v>
      </c>
      <c r="I39" s="798">
        <v>-60645.5</v>
      </c>
      <c r="J39" s="498">
        <f t="shared" si="11"/>
        <v>-44040.6</v>
      </c>
      <c r="K39" s="498">
        <f t="shared" si="12"/>
        <v>191498.19999999998</v>
      </c>
      <c r="M39" s="778"/>
    </row>
    <row r="40" spans="1:13" s="779" customFormat="1" ht="13.9" customHeight="1">
      <c r="A40" s="457" t="s">
        <v>958</v>
      </c>
      <c r="C40" s="804">
        <v>236674.5</v>
      </c>
      <c r="D40" s="804">
        <v>923.2</v>
      </c>
      <c r="E40" s="804">
        <v>1868.6</v>
      </c>
      <c r="F40" s="804">
        <v>4865.5</v>
      </c>
      <c r="G40" s="804">
        <v>5119.8</v>
      </c>
      <c r="H40" s="804">
        <f t="shared" si="7"/>
        <v>12777.1</v>
      </c>
      <c r="I40" s="804">
        <v>-60889.4</v>
      </c>
      <c r="J40" s="413">
        <f t="shared" si="11"/>
        <v>-48112.3</v>
      </c>
      <c r="K40" s="413">
        <f t="shared" si="12"/>
        <v>188562.2</v>
      </c>
      <c r="M40" s="778"/>
    </row>
    <row r="41" spans="1:13" s="779" customFormat="1" ht="13.9" customHeight="1">
      <c r="A41" s="574" t="s">
        <v>959</v>
      </c>
      <c r="B41" s="1103"/>
      <c r="C41" s="798">
        <v>240191.5</v>
      </c>
      <c r="D41" s="798">
        <v>-470.3</v>
      </c>
      <c r="E41" s="798">
        <v>1871.3</v>
      </c>
      <c r="F41" s="798">
        <v>4840</v>
      </c>
      <c r="G41" s="798">
        <v>5097.5</v>
      </c>
      <c r="H41" s="798">
        <f t="shared" si="7"/>
        <v>11338.5</v>
      </c>
      <c r="I41" s="798">
        <v>-60277.1</v>
      </c>
      <c r="J41" s="498">
        <f t="shared" si="11"/>
        <v>-48938.6</v>
      </c>
      <c r="K41" s="498">
        <f t="shared" si="12"/>
        <v>191252.9</v>
      </c>
      <c r="M41" s="778"/>
    </row>
    <row r="42" spans="1:13" s="779" customFormat="1" ht="13.9" customHeight="1">
      <c r="A42" s="457" t="s">
        <v>951</v>
      </c>
      <c r="C42" s="804">
        <v>242368.9</v>
      </c>
      <c r="D42" s="804">
        <v>-218.8</v>
      </c>
      <c r="E42" s="804">
        <v>1849.4</v>
      </c>
      <c r="F42" s="804">
        <v>4866.8999999999996</v>
      </c>
      <c r="G42" s="804">
        <v>5137.8</v>
      </c>
      <c r="H42" s="804">
        <f t="shared" si="7"/>
        <v>11635.3</v>
      </c>
      <c r="I42" s="804">
        <v>-61391</v>
      </c>
      <c r="J42" s="413">
        <f t="shared" si="11"/>
        <v>-49755.7</v>
      </c>
      <c r="K42" s="413">
        <f t="shared" si="12"/>
        <v>192613.2</v>
      </c>
      <c r="M42" s="778"/>
    </row>
    <row r="43" spans="1:13" s="779" customFormat="1" ht="13.9" customHeight="1">
      <c r="A43" s="574" t="s">
        <v>960</v>
      </c>
      <c r="B43" s="1103"/>
      <c r="C43" s="798">
        <v>242030</v>
      </c>
      <c r="D43" s="798">
        <v>2900.4</v>
      </c>
      <c r="E43" s="798">
        <v>1851.9</v>
      </c>
      <c r="F43" s="798">
        <v>4873.1000000000004</v>
      </c>
      <c r="G43" s="798">
        <v>5301</v>
      </c>
      <c r="H43" s="798">
        <f t="shared" si="7"/>
        <v>14926.400000000001</v>
      </c>
      <c r="I43" s="798">
        <v>-65452.1</v>
      </c>
      <c r="J43" s="498">
        <f t="shared" si="11"/>
        <v>-50525.7</v>
      </c>
      <c r="K43" s="498">
        <f t="shared" si="12"/>
        <v>191504.3</v>
      </c>
      <c r="M43" s="778"/>
    </row>
    <row r="44" spans="1:13" s="779" customFormat="1" ht="13.9" customHeight="1">
      <c r="A44" s="457" t="s">
        <v>961</v>
      </c>
      <c r="C44" s="804">
        <v>246330.1</v>
      </c>
      <c r="D44" s="804">
        <v>8419.9</v>
      </c>
      <c r="E44" s="804">
        <v>2154</v>
      </c>
      <c r="F44" s="804">
        <v>4983</v>
      </c>
      <c r="G44" s="804">
        <v>5119.5</v>
      </c>
      <c r="H44" s="804">
        <f t="shared" si="7"/>
        <v>20676.400000000001</v>
      </c>
      <c r="I44" s="804">
        <v>-71037.899999999994</v>
      </c>
      <c r="J44" s="413">
        <f t="shared" si="11"/>
        <v>-50361.499999999993</v>
      </c>
      <c r="K44" s="413">
        <f t="shared" si="12"/>
        <v>195968.6</v>
      </c>
      <c r="M44" s="778"/>
    </row>
    <row r="45" spans="1:13" s="779" customFormat="1" ht="13.9" customHeight="1" thickBot="1">
      <c r="A45" s="1377" t="s">
        <v>952</v>
      </c>
      <c r="B45" s="1551"/>
      <c r="C45" s="1482">
        <v>251326.9</v>
      </c>
      <c r="D45" s="1482">
        <v>12978.2</v>
      </c>
      <c r="E45" s="1482">
        <v>2157.8000000000002</v>
      </c>
      <c r="F45" s="1482">
        <v>4978.8</v>
      </c>
      <c r="G45" s="1482">
        <v>5056.8999999999996</v>
      </c>
      <c r="H45" s="1482">
        <f t="shared" si="7"/>
        <v>25171.699999999997</v>
      </c>
      <c r="I45" s="1482">
        <v>-51839.199999999997</v>
      </c>
      <c r="J45" s="1419">
        <f t="shared" si="11"/>
        <v>-26667.5</v>
      </c>
      <c r="K45" s="1419">
        <f t="shared" si="12"/>
        <v>224659.4</v>
      </c>
      <c r="M45" s="778"/>
    </row>
    <row r="46" spans="1:13" s="400" customFormat="1" ht="11.85" customHeight="1">
      <c r="A46" s="909" t="s">
        <v>335</v>
      </c>
      <c r="B46" s="909" t="s">
        <v>304</v>
      </c>
      <c r="C46" s="1767" t="s">
        <v>2697</v>
      </c>
      <c r="D46" s="1767"/>
      <c r="E46" s="1767"/>
      <c r="F46" s="1767"/>
      <c r="G46" s="1767"/>
      <c r="H46" s="1767"/>
      <c r="I46" s="1767"/>
      <c r="J46" s="1767"/>
      <c r="K46" s="1767"/>
      <c r="L46" s="1294"/>
    </row>
    <row r="47" spans="1:13" s="400" customFormat="1" ht="9" customHeight="1">
      <c r="A47" s="909" t="s">
        <v>303</v>
      </c>
      <c r="B47" s="909" t="s">
        <v>304</v>
      </c>
      <c r="C47" s="1774" t="s">
        <v>2507</v>
      </c>
      <c r="D47" s="1774"/>
      <c r="E47" s="1774"/>
      <c r="F47" s="1774"/>
      <c r="G47" s="1774"/>
      <c r="H47" s="1774"/>
      <c r="I47" s="1774"/>
      <c r="J47" s="1774"/>
      <c r="K47" s="1774"/>
    </row>
    <row r="48" spans="1:13" ht="9.75" customHeight="1">
      <c r="C48" s="400"/>
    </row>
  </sheetData>
  <mergeCells count="16">
    <mergeCell ref="C47:K47"/>
    <mergeCell ref="D4:D6"/>
    <mergeCell ref="A3:B7"/>
    <mergeCell ref="C46:K46"/>
    <mergeCell ref="A1:I1"/>
    <mergeCell ref="G4:G6"/>
    <mergeCell ref="H4:H6"/>
    <mergeCell ref="C3:C6"/>
    <mergeCell ref="D3:H3"/>
    <mergeCell ref="I3:I6"/>
    <mergeCell ref="J1:K1"/>
    <mergeCell ref="J2:K2"/>
    <mergeCell ref="E4:E6"/>
    <mergeCell ref="F4:F6"/>
    <mergeCell ref="K3:K6"/>
    <mergeCell ref="J3:J6"/>
  </mergeCells>
  <phoneticPr fontId="58" type="noConversion"/>
  <conditionalFormatting sqref="H21:H32 H34:H45 A8:A33 C8:K18 B8:B45">
    <cfRule type="expression" dxfId="6" priority="35" stopIfTrue="1">
      <formula>MOD(ROW(),2)=1</formula>
    </cfRule>
    <cfRule type="expression" priority="36" stopIfTrue="1">
      <formula>MOD(ROW(),2)=1</formula>
    </cfRule>
  </conditionalFormatting>
  <conditionalFormatting sqref="A20:A33">
    <cfRule type="expression" priority="32" stopIfTrue="1">
      <formula>MOD(row,0)=0</formula>
    </cfRule>
  </conditionalFormatting>
  <conditionalFormatting sqref="A20:A33">
    <cfRule type="expression" priority="27" stopIfTrue="1">
      <formula>MOD((((#REF!))),0)=0</formula>
    </cfRule>
  </conditionalFormatting>
  <conditionalFormatting sqref="A32:A33">
    <cfRule type="expression" dxfId="5" priority="21" stopIfTrue="1">
      <formula>MOD(ROW(),2)=1</formula>
    </cfRule>
  </conditionalFormatting>
  <conditionalFormatting sqref="A32:A33">
    <cfRule type="expression" priority="18" stopIfTrue="1">
      <formula>MOD((((#REF!))),0)=0</formula>
    </cfRule>
  </conditionalFormatting>
  <pageMargins left="0.59055118110236204" right="0.511811023622047" top="0.511811023622047" bottom="0.511811023622047" header="0" footer="0.35433070866141703"/>
  <pageSetup paperSize="151" firstPageNumber="17" orientation="portrait" useFirstPageNumber="1" r:id="rId1"/>
  <headerFooter>
    <oddFooter>&amp;C&amp;"Times New Roman,Regular"&amp;8&amp;P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Y52"/>
  <sheetViews>
    <sheetView zoomScale="130" zoomScaleNormal="13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15" sqref="A15:XFD15"/>
    </sheetView>
  </sheetViews>
  <sheetFormatPr defaultColWidth="9.140625" defaultRowHeight="11.25"/>
  <cols>
    <col min="1" max="1" width="7.5703125" style="914" customWidth="1"/>
    <col min="2" max="2" width="1" style="914" customWidth="1"/>
    <col min="3" max="3" width="6.7109375" style="300" customWidth="1"/>
    <col min="4" max="4" width="5.85546875" style="300" customWidth="1"/>
    <col min="5" max="5" width="6.85546875" style="300" customWidth="1"/>
    <col min="6" max="6" width="7.28515625" style="300" customWidth="1"/>
    <col min="7" max="7" width="6.85546875" style="300" customWidth="1"/>
    <col min="8" max="8" width="5.7109375" style="300" customWidth="1"/>
    <col min="9" max="9" width="6.7109375" style="300" bestFit="1" customWidth="1"/>
    <col min="10" max="10" width="7.42578125" style="310" customWidth="1"/>
    <col min="11" max="11" width="6.5703125" style="300" customWidth="1"/>
    <col min="12" max="12" width="5.42578125" style="300" customWidth="1"/>
    <col min="13" max="13" width="6.28515625" style="300" customWidth="1"/>
    <col min="14" max="14" width="8.42578125" style="300" customWidth="1"/>
    <col min="15" max="15" width="8.28515625" style="300" customWidth="1"/>
    <col min="16" max="16" width="8.85546875" style="300" customWidth="1"/>
    <col min="17" max="17" width="9.5703125" style="300" customWidth="1"/>
    <col min="18" max="18" width="9.85546875" style="300" customWidth="1"/>
    <col min="19" max="19" width="10.28515625" style="300" customWidth="1"/>
    <col min="20" max="20" width="9.85546875" style="300" customWidth="1"/>
    <col min="21" max="21" width="9.140625" style="914" customWidth="1"/>
    <col min="22" max="16384" width="9.140625" style="300"/>
  </cols>
  <sheetData>
    <row r="1" spans="1:25" s="910" customFormat="1" ht="16.5" customHeight="1">
      <c r="C1" s="911"/>
      <c r="D1" s="911"/>
      <c r="E1" s="911"/>
      <c r="F1" s="911"/>
      <c r="G1" s="911"/>
      <c r="H1" s="911"/>
      <c r="I1" s="911"/>
      <c r="J1" s="912"/>
      <c r="K1" s="1780" t="s">
        <v>807</v>
      </c>
      <c r="L1" s="1780"/>
      <c r="M1" s="1780"/>
      <c r="N1" s="1781" t="s">
        <v>1761</v>
      </c>
      <c r="O1" s="1781"/>
      <c r="P1" s="913"/>
      <c r="Q1" s="913"/>
      <c r="R1" s="913"/>
      <c r="S1" s="913"/>
      <c r="T1" s="1778" t="s">
        <v>246</v>
      </c>
      <c r="U1" s="1778"/>
    </row>
    <row r="2" spans="1:25" ht="12" customHeight="1">
      <c r="C2" s="915"/>
      <c r="D2" s="915"/>
      <c r="E2" s="915"/>
      <c r="F2" s="915"/>
      <c r="G2" s="915"/>
      <c r="H2" s="915"/>
      <c r="M2" s="915"/>
      <c r="N2" s="915"/>
      <c r="O2" s="916"/>
      <c r="P2" s="915"/>
      <c r="Q2" s="915"/>
      <c r="R2" s="915"/>
      <c r="S2" s="915"/>
      <c r="T2" s="1783" t="s">
        <v>41</v>
      </c>
      <c r="U2" s="1783"/>
    </row>
    <row r="3" spans="1:25" s="919" customFormat="1" ht="12.75" customHeight="1">
      <c r="A3" s="1791" t="s">
        <v>1657</v>
      </c>
      <c r="B3" s="1792"/>
      <c r="C3" s="1779" t="s">
        <v>876</v>
      </c>
      <c r="D3" s="1779"/>
      <c r="E3" s="1779"/>
      <c r="F3" s="1779"/>
      <c r="G3" s="1800" t="s">
        <v>965</v>
      </c>
      <c r="H3" s="1785"/>
      <c r="I3" s="1785"/>
      <c r="J3" s="1785"/>
      <c r="K3" s="1785"/>
      <c r="L3" s="1785"/>
      <c r="M3" s="1785"/>
      <c r="N3" s="1785" t="s">
        <v>964</v>
      </c>
      <c r="O3" s="1785"/>
      <c r="P3" s="1785"/>
      <c r="Q3" s="917"/>
      <c r="R3" s="1784" t="s">
        <v>1659</v>
      </c>
      <c r="S3" s="1784" t="s">
        <v>1660</v>
      </c>
      <c r="T3" s="1782" t="s">
        <v>1762</v>
      </c>
      <c r="U3" s="1787" t="s">
        <v>869</v>
      </c>
    </row>
    <row r="4" spans="1:25" s="920" customFormat="1" ht="15" customHeight="1">
      <c r="A4" s="1793"/>
      <c r="B4" s="1794"/>
      <c r="C4" s="1784" t="s">
        <v>1379</v>
      </c>
      <c r="D4" s="1790" t="s">
        <v>260</v>
      </c>
      <c r="E4" s="1787" t="s">
        <v>721</v>
      </c>
      <c r="F4" s="1784" t="s">
        <v>1380</v>
      </c>
      <c r="G4" s="1797" t="s">
        <v>773</v>
      </c>
      <c r="H4" s="1798"/>
      <c r="I4" s="1798"/>
      <c r="J4" s="1798"/>
      <c r="K4" s="1798"/>
      <c r="L4" s="1798"/>
      <c r="M4" s="1799"/>
      <c r="N4" s="1779" t="s">
        <v>993</v>
      </c>
      <c r="O4" s="1779"/>
      <c r="P4" s="1779"/>
      <c r="Q4" s="1784" t="s">
        <v>1658</v>
      </c>
      <c r="R4" s="1784"/>
      <c r="S4" s="1784"/>
      <c r="T4" s="1782"/>
      <c r="U4" s="1789"/>
    </row>
    <row r="5" spans="1:25" s="920" customFormat="1" ht="15" customHeight="1">
      <c r="A5" s="1793"/>
      <c r="B5" s="1794"/>
      <c r="C5" s="1784"/>
      <c r="D5" s="1790"/>
      <c r="E5" s="1789"/>
      <c r="F5" s="1784"/>
      <c r="G5" s="1779" t="s">
        <v>1114</v>
      </c>
      <c r="H5" s="1779"/>
      <c r="I5" s="1779"/>
      <c r="J5" s="1779"/>
      <c r="K5" s="1779" t="s">
        <v>879</v>
      </c>
      <c r="L5" s="1779"/>
      <c r="M5" s="1779"/>
      <c r="N5" s="1787" t="s">
        <v>1383</v>
      </c>
      <c r="O5" s="1787" t="s">
        <v>260</v>
      </c>
      <c r="P5" s="1787" t="s">
        <v>1384</v>
      </c>
      <c r="Q5" s="1784"/>
      <c r="R5" s="1784"/>
      <c r="S5" s="1784"/>
      <c r="T5" s="1782"/>
      <c r="U5" s="1789"/>
    </row>
    <row r="6" spans="1:25" s="920" customFormat="1" ht="34.5" customHeight="1">
      <c r="A6" s="1793"/>
      <c r="B6" s="1794"/>
      <c r="C6" s="1784"/>
      <c r="D6" s="1790"/>
      <c r="E6" s="1788"/>
      <c r="F6" s="1784"/>
      <c r="G6" s="918" t="s">
        <v>198</v>
      </c>
      <c r="H6" s="921" t="s">
        <v>260</v>
      </c>
      <c r="I6" s="1381" t="s">
        <v>2536</v>
      </c>
      <c r="J6" s="918" t="s">
        <v>1381</v>
      </c>
      <c r="K6" s="918" t="s">
        <v>198</v>
      </c>
      <c r="L6" s="922" t="s">
        <v>260</v>
      </c>
      <c r="M6" s="918" t="s">
        <v>1382</v>
      </c>
      <c r="N6" s="1788"/>
      <c r="O6" s="1788"/>
      <c r="P6" s="1788"/>
      <c r="Q6" s="1784"/>
      <c r="R6" s="1784"/>
      <c r="S6" s="1784"/>
      <c r="T6" s="1782"/>
      <c r="U6" s="1789"/>
    </row>
    <row r="7" spans="1:25" s="924" customFormat="1" ht="10.5">
      <c r="A7" s="1795"/>
      <c r="B7" s="1796"/>
      <c r="C7" s="452">
        <v>1</v>
      </c>
      <c r="D7" s="452">
        <v>2</v>
      </c>
      <c r="E7" s="452">
        <v>3</v>
      </c>
      <c r="F7" s="452">
        <v>4</v>
      </c>
      <c r="G7" s="452">
        <v>5</v>
      </c>
      <c r="H7" s="452">
        <v>6</v>
      </c>
      <c r="I7" s="452">
        <v>7</v>
      </c>
      <c r="J7" s="452">
        <v>8</v>
      </c>
      <c r="K7" s="452">
        <v>9</v>
      </c>
      <c r="L7" s="452">
        <v>10</v>
      </c>
      <c r="M7" s="452">
        <v>11</v>
      </c>
      <c r="N7" s="452">
        <v>12</v>
      </c>
      <c r="O7" s="452">
        <v>13</v>
      </c>
      <c r="P7" s="452">
        <v>14</v>
      </c>
      <c r="Q7" s="452">
        <v>15</v>
      </c>
      <c r="R7" s="452">
        <v>16</v>
      </c>
      <c r="S7" s="452">
        <v>17</v>
      </c>
      <c r="T7" s="923">
        <v>18</v>
      </c>
      <c r="U7" s="1788"/>
    </row>
    <row r="8" spans="1:25" ht="13.9" customHeight="1">
      <c r="A8" s="427" t="s">
        <v>962</v>
      </c>
      <c r="B8" s="427"/>
      <c r="C8" s="716">
        <v>32381.200000000001</v>
      </c>
      <c r="D8" s="716">
        <v>-306.5</v>
      </c>
      <c r="E8" s="716">
        <v>-3467.2</v>
      </c>
      <c r="F8" s="716">
        <v>28607.5</v>
      </c>
      <c r="G8" s="925">
        <v>35910.1</v>
      </c>
      <c r="H8" s="716">
        <v>29.2</v>
      </c>
      <c r="I8" s="716">
        <v>43639.199999999997</v>
      </c>
      <c r="J8" s="716">
        <f t="shared" ref="J8:J13" si="0">G8+H8+I8</f>
        <v>79578.5</v>
      </c>
      <c r="K8" s="925">
        <v>15759.5</v>
      </c>
      <c r="L8" s="716">
        <v>41.4</v>
      </c>
      <c r="M8" s="716">
        <f t="shared" ref="M8:M13" si="1">K8+L8</f>
        <v>15800.9</v>
      </c>
      <c r="N8" s="716">
        <v>147755.1</v>
      </c>
      <c r="O8" s="716">
        <v>12529</v>
      </c>
      <c r="P8" s="716">
        <v>160284.1</v>
      </c>
      <c r="Q8" s="716">
        <f t="shared" ref="Q8:Q13" si="2">J8+M8+P8</f>
        <v>255663.5</v>
      </c>
      <c r="R8" s="899">
        <v>-28025</v>
      </c>
      <c r="S8" s="716">
        <f t="shared" ref="S8:S13" si="3">Q8+R8</f>
        <v>227638.5</v>
      </c>
      <c r="T8" s="716">
        <f t="shared" ref="T8:T13" si="4">F8+S8</f>
        <v>256246</v>
      </c>
      <c r="U8" s="429" t="s">
        <v>962</v>
      </c>
      <c r="V8" s="316"/>
      <c r="W8" s="316"/>
      <c r="X8" s="316"/>
      <c r="Y8" s="316"/>
    </row>
    <row r="9" spans="1:25" ht="13.9" customHeight="1">
      <c r="A9" s="526" t="s">
        <v>675</v>
      </c>
      <c r="B9" s="526"/>
      <c r="C9" s="1437">
        <v>37295.9</v>
      </c>
      <c r="D9" s="1437">
        <v>-268</v>
      </c>
      <c r="E9" s="1437">
        <v>-4108</v>
      </c>
      <c r="F9" s="1437">
        <v>32919.9</v>
      </c>
      <c r="G9" s="1438">
        <v>46720.800000000003</v>
      </c>
      <c r="H9" s="1437">
        <v>66</v>
      </c>
      <c r="I9" s="1437">
        <v>46157.5</v>
      </c>
      <c r="J9" s="1437">
        <f t="shared" si="0"/>
        <v>92944.3</v>
      </c>
      <c r="K9" s="1438">
        <v>10113.5</v>
      </c>
      <c r="L9" s="1437">
        <v>27.3</v>
      </c>
      <c r="M9" s="1437">
        <f t="shared" si="1"/>
        <v>10140.799999999999</v>
      </c>
      <c r="N9" s="1437">
        <v>184305.4</v>
      </c>
      <c r="O9" s="1437">
        <v>14936.2</v>
      </c>
      <c r="P9" s="1437">
        <v>199241.60000000001</v>
      </c>
      <c r="Q9" s="1437">
        <f t="shared" si="2"/>
        <v>302326.7</v>
      </c>
      <c r="R9" s="1436">
        <v>-38741.400000000023</v>
      </c>
      <c r="S9" s="1437">
        <f t="shared" si="3"/>
        <v>263585.3</v>
      </c>
      <c r="T9" s="1437">
        <f t="shared" si="4"/>
        <v>296505.2</v>
      </c>
      <c r="U9" s="527" t="s">
        <v>675</v>
      </c>
      <c r="V9" s="316"/>
      <c r="W9" s="316"/>
      <c r="X9" s="316"/>
      <c r="Y9" s="316"/>
    </row>
    <row r="10" spans="1:25" ht="13.9" customHeight="1">
      <c r="A10" s="427" t="s">
        <v>141</v>
      </c>
      <c r="B10" s="427"/>
      <c r="C10" s="716">
        <v>47442</v>
      </c>
      <c r="D10" s="716">
        <v>-242.5</v>
      </c>
      <c r="E10" s="716">
        <v>-4794.1000000000004</v>
      </c>
      <c r="F10" s="716">
        <v>42405.4</v>
      </c>
      <c r="G10" s="925">
        <v>57982.1</v>
      </c>
      <c r="H10" s="716">
        <v>56.3</v>
      </c>
      <c r="I10" s="716">
        <v>49790.8</v>
      </c>
      <c r="J10" s="716">
        <f t="shared" si="0"/>
        <v>107829.20000000001</v>
      </c>
      <c r="K10" s="925">
        <v>10883.7</v>
      </c>
      <c r="L10" s="716">
        <v>71.7</v>
      </c>
      <c r="M10" s="716">
        <f t="shared" si="1"/>
        <v>10955.400000000001</v>
      </c>
      <c r="N10" s="716">
        <v>210497.4</v>
      </c>
      <c r="O10" s="716">
        <v>18617.3</v>
      </c>
      <c r="P10" s="716">
        <v>229114.69999999998</v>
      </c>
      <c r="Q10" s="716">
        <f t="shared" si="2"/>
        <v>347899.3</v>
      </c>
      <c r="R10" s="899">
        <v>-41248.899999999958</v>
      </c>
      <c r="S10" s="716">
        <f t="shared" si="3"/>
        <v>306650.40000000002</v>
      </c>
      <c r="T10" s="716">
        <f t="shared" si="4"/>
        <v>349055.80000000005</v>
      </c>
      <c r="U10" s="429" t="s">
        <v>141</v>
      </c>
      <c r="V10" s="316"/>
      <c r="W10" s="316"/>
      <c r="X10" s="316"/>
      <c r="Y10" s="316"/>
    </row>
    <row r="11" spans="1:25" ht="13.9" customHeight="1">
      <c r="A11" s="526" t="s">
        <v>136</v>
      </c>
      <c r="B11" s="526"/>
      <c r="C11" s="1437">
        <v>67049.8</v>
      </c>
      <c r="D11" s="1437">
        <v>-221.7</v>
      </c>
      <c r="E11" s="1437">
        <v>-5768.2</v>
      </c>
      <c r="F11" s="1437">
        <v>61059.900000000009</v>
      </c>
      <c r="G11" s="1438">
        <v>54225</v>
      </c>
      <c r="H11" s="1437">
        <v>175.5</v>
      </c>
      <c r="I11" s="1437">
        <v>61381.4</v>
      </c>
      <c r="J11" s="1437">
        <f t="shared" si="0"/>
        <v>115781.9</v>
      </c>
      <c r="K11" s="1438">
        <v>12762.9</v>
      </c>
      <c r="L11" s="1437">
        <v>93.8</v>
      </c>
      <c r="M11" s="1437">
        <f t="shared" si="1"/>
        <v>12856.699999999999</v>
      </c>
      <c r="N11" s="1437">
        <v>261852</v>
      </c>
      <c r="O11" s="1437">
        <v>23541.3</v>
      </c>
      <c r="P11" s="1437">
        <v>285393.3</v>
      </c>
      <c r="Q11" s="1437">
        <f t="shared" si="2"/>
        <v>414031.89999999997</v>
      </c>
      <c r="R11" s="1436">
        <v>-45754.599999999977</v>
      </c>
      <c r="S11" s="1437">
        <f t="shared" si="3"/>
        <v>368277.3</v>
      </c>
      <c r="T11" s="1437">
        <f t="shared" si="4"/>
        <v>429337.2</v>
      </c>
      <c r="U11" s="527" t="s">
        <v>136</v>
      </c>
      <c r="V11" s="316"/>
      <c r="W11" s="316"/>
      <c r="X11" s="316"/>
      <c r="Y11" s="316"/>
    </row>
    <row r="12" spans="1:25" ht="13.9" customHeight="1">
      <c r="A12" s="427" t="s">
        <v>317</v>
      </c>
      <c r="B12" s="427"/>
      <c r="C12" s="716">
        <v>70573.399999999994</v>
      </c>
      <c r="D12" s="716">
        <v>-404.7</v>
      </c>
      <c r="E12" s="716">
        <v>-6049.4</v>
      </c>
      <c r="F12" s="716">
        <v>64119.299999999996</v>
      </c>
      <c r="G12" s="925">
        <v>73200.600000000006</v>
      </c>
      <c r="H12" s="716">
        <v>372.6</v>
      </c>
      <c r="I12" s="716">
        <v>63438.3</v>
      </c>
      <c r="J12" s="716">
        <f t="shared" si="0"/>
        <v>137011.5</v>
      </c>
      <c r="K12" s="925">
        <v>16901.400000000001</v>
      </c>
      <c r="L12" s="716">
        <v>108</v>
      </c>
      <c r="M12" s="716">
        <f t="shared" si="1"/>
        <v>17009.400000000001</v>
      </c>
      <c r="N12" s="716">
        <v>332161.3</v>
      </c>
      <c r="O12" s="716">
        <v>27348.5</v>
      </c>
      <c r="P12" s="716">
        <v>359509.8</v>
      </c>
      <c r="Q12" s="716">
        <f t="shared" si="2"/>
        <v>513530.69999999995</v>
      </c>
      <c r="R12" s="899">
        <v>-67193.599999999977</v>
      </c>
      <c r="S12" s="716">
        <f t="shared" si="3"/>
        <v>446337.1</v>
      </c>
      <c r="T12" s="716">
        <f t="shared" si="4"/>
        <v>510456.39999999997</v>
      </c>
      <c r="U12" s="429" t="s">
        <v>317</v>
      </c>
      <c r="V12" s="316"/>
      <c r="W12" s="316"/>
      <c r="X12" s="316"/>
      <c r="Y12" s="316"/>
    </row>
    <row r="13" spans="1:25" ht="13.9" customHeight="1">
      <c r="A13" s="526" t="s">
        <v>1299</v>
      </c>
      <c r="B13" s="526"/>
      <c r="C13" s="1437">
        <v>78818.7</v>
      </c>
      <c r="D13" s="1437">
        <v>-378.5</v>
      </c>
      <c r="E13" s="1437">
        <v>-6273.8</v>
      </c>
      <c r="F13" s="1437">
        <v>72166.399999999994</v>
      </c>
      <c r="G13" s="1439">
        <v>91700.5</v>
      </c>
      <c r="H13" s="1437">
        <v>261.89999999999998</v>
      </c>
      <c r="I13" s="1437">
        <v>63861.3</v>
      </c>
      <c r="J13" s="1437">
        <f t="shared" si="0"/>
        <v>155823.70000000001</v>
      </c>
      <c r="K13" s="1439">
        <v>15284.1</v>
      </c>
      <c r="L13" s="1437">
        <v>46</v>
      </c>
      <c r="M13" s="1437">
        <f t="shared" si="1"/>
        <v>15330.1</v>
      </c>
      <c r="N13" s="1437">
        <v>398311.5</v>
      </c>
      <c r="O13" s="1437">
        <v>31174.9</v>
      </c>
      <c r="P13" s="1437">
        <v>429486.4</v>
      </c>
      <c r="Q13" s="1437">
        <f t="shared" si="2"/>
        <v>600640.20000000007</v>
      </c>
      <c r="R13" s="1436">
        <v>-82966.200000000099</v>
      </c>
      <c r="S13" s="1437">
        <f t="shared" si="3"/>
        <v>517674</v>
      </c>
      <c r="T13" s="1437">
        <f t="shared" si="4"/>
        <v>589840.4</v>
      </c>
      <c r="U13" s="527" t="s">
        <v>1299</v>
      </c>
      <c r="V13" s="316"/>
      <c r="W13" s="316"/>
      <c r="X13" s="316"/>
      <c r="Y13" s="316"/>
    </row>
    <row r="14" spans="1:25" ht="13.9" customHeight="1">
      <c r="A14" s="427" t="s">
        <v>1505</v>
      </c>
      <c r="B14" s="427"/>
      <c r="C14" s="716">
        <v>113250.1</v>
      </c>
      <c r="D14" s="716">
        <v>-344.5</v>
      </c>
      <c r="E14" s="716">
        <v>-6493.8</v>
      </c>
      <c r="F14" s="716">
        <v>106411.8</v>
      </c>
      <c r="G14" s="926">
        <v>110094.5</v>
      </c>
      <c r="H14" s="716">
        <v>249.7</v>
      </c>
      <c r="I14" s="716">
        <v>64634.2</v>
      </c>
      <c r="J14" s="716">
        <v>174978.4</v>
      </c>
      <c r="K14" s="926">
        <v>9376.7999999999993</v>
      </c>
      <c r="L14" s="716">
        <v>43.7</v>
      </c>
      <c r="M14" s="716">
        <v>9420.5</v>
      </c>
      <c r="N14" s="716">
        <v>440915.1</v>
      </c>
      <c r="O14" s="716">
        <v>36526.800000000003</v>
      </c>
      <c r="P14" s="716">
        <v>477441.89999999997</v>
      </c>
      <c r="Q14" s="716">
        <v>661840.79999999993</v>
      </c>
      <c r="R14" s="899">
        <v>-88069.7</v>
      </c>
      <c r="S14" s="716">
        <v>573771.1</v>
      </c>
      <c r="T14" s="716">
        <v>680182.9</v>
      </c>
      <c r="U14" s="429" t="s">
        <v>1505</v>
      </c>
      <c r="V14" s="316"/>
      <c r="W14" s="316"/>
      <c r="X14" s="316"/>
      <c r="Y14" s="316"/>
    </row>
    <row r="15" spans="1:25" s="298" customFormat="1" ht="13.9" customHeight="1">
      <c r="A15" s="1578" t="s">
        <v>1886</v>
      </c>
      <c r="B15" s="1578"/>
      <c r="C15" s="503">
        <v>160056.6</v>
      </c>
      <c r="D15" s="503">
        <v>-318.89999999999998</v>
      </c>
      <c r="E15" s="503">
        <v>-6695</v>
      </c>
      <c r="F15" s="503">
        <v>153042.70000000001</v>
      </c>
      <c r="G15" s="503">
        <v>117498.3</v>
      </c>
      <c r="H15" s="503">
        <v>266.89999999999998</v>
      </c>
      <c r="I15" s="503">
        <v>76341.3</v>
      </c>
      <c r="J15" s="503">
        <v>194106.5</v>
      </c>
      <c r="K15" s="503">
        <v>12612.9</v>
      </c>
      <c r="L15" s="503">
        <v>40.6</v>
      </c>
      <c r="M15" s="503">
        <v>12653.5</v>
      </c>
      <c r="N15" s="503">
        <v>493936.5</v>
      </c>
      <c r="O15" s="503">
        <v>43834.8</v>
      </c>
      <c r="P15" s="503">
        <v>537771.30000000005</v>
      </c>
      <c r="Q15" s="503">
        <v>744531.3</v>
      </c>
      <c r="R15" s="1436">
        <v>-105128.7</v>
      </c>
      <c r="S15" s="503">
        <v>639402.60000000009</v>
      </c>
      <c r="T15" s="503">
        <v>792445.3</v>
      </c>
      <c r="U15" s="1579" t="s">
        <v>1886</v>
      </c>
    </row>
    <row r="16" spans="1:25" s="861" customFormat="1" ht="13.9" customHeight="1">
      <c r="A16" s="1006" t="s">
        <v>2017</v>
      </c>
      <c r="B16" s="1497"/>
      <c r="C16" s="1007">
        <v>189228.79999999999</v>
      </c>
      <c r="D16" s="1007">
        <v>-274.10000000000002</v>
      </c>
      <c r="E16" s="1007">
        <v>-7257.5</v>
      </c>
      <c r="F16" s="1007">
        <v>181697.19999999998</v>
      </c>
      <c r="G16" s="1007">
        <v>110224.8</v>
      </c>
      <c r="H16" s="1007">
        <v>183.4</v>
      </c>
      <c r="I16" s="1007">
        <v>105074</v>
      </c>
      <c r="J16" s="1007">
        <v>215482.2</v>
      </c>
      <c r="K16" s="1007">
        <v>16448.8</v>
      </c>
      <c r="L16" s="1007">
        <v>80.3</v>
      </c>
      <c r="M16" s="1007">
        <v>16529.099999999999</v>
      </c>
      <c r="N16" s="1007">
        <v>557021.80000000005</v>
      </c>
      <c r="O16" s="1007">
        <v>50121.5</v>
      </c>
      <c r="P16" s="1007">
        <v>607143.30000000005</v>
      </c>
      <c r="Q16" s="1007">
        <v>839154.60000000009</v>
      </c>
      <c r="R16" s="1007">
        <v>-110802.8</v>
      </c>
      <c r="S16" s="1007">
        <v>728351.8</v>
      </c>
      <c r="T16" s="1007">
        <v>910049</v>
      </c>
      <c r="U16" s="1008" t="s">
        <v>2017</v>
      </c>
      <c r="V16" s="621"/>
    </row>
    <row r="17" spans="1:22" s="459" customFormat="1" ht="13.9" customHeight="1">
      <c r="A17" s="1268" t="s">
        <v>2226</v>
      </c>
      <c r="B17" s="719"/>
      <c r="C17" s="1440">
        <f>C29</f>
        <v>233135.6</v>
      </c>
      <c r="D17" s="1440">
        <f t="shared" ref="D17:T17" si="5">D29</f>
        <v>-83</v>
      </c>
      <c r="E17" s="1440">
        <f t="shared" si="5"/>
        <v>-8475.2000000000007</v>
      </c>
      <c r="F17" s="1440">
        <f t="shared" si="5"/>
        <v>224577.4</v>
      </c>
      <c r="G17" s="1440">
        <f t="shared" si="5"/>
        <v>114189.1</v>
      </c>
      <c r="H17" s="1440">
        <f t="shared" si="5"/>
        <v>-89.1</v>
      </c>
      <c r="I17" s="1440">
        <f t="shared" si="5"/>
        <v>138762.6</v>
      </c>
      <c r="J17" s="1440">
        <f t="shared" si="5"/>
        <v>252862.6</v>
      </c>
      <c r="K17" s="1440">
        <f t="shared" si="5"/>
        <v>15573</v>
      </c>
      <c r="L17" s="1440">
        <f t="shared" si="5"/>
        <v>108.3</v>
      </c>
      <c r="M17" s="1440">
        <f t="shared" si="5"/>
        <v>15681.3</v>
      </c>
      <c r="N17" s="1440">
        <f t="shared" si="5"/>
        <v>650644</v>
      </c>
      <c r="O17" s="1440">
        <f t="shared" si="5"/>
        <v>60778.8</v>
      </c>
      <c r="P17" s="1440">
        <f t="shared" si="5"/>
        <v>711422.8</v>
      </c>
      <c r="Q17" s="1440">
        <f t="shared" si="5"/>
        <v>979966.70000000007</v>
      </c>
      <c r="R17" s="1440">
        <f t="shared" si="5"/>
        <v>-127800.9</v>
      </c>
      <c r="S17" s="1440">
        <f t="shared" si="5"/>
        <v>852165.8</v>
      </c>
      <c r="T17" s="1440">
        <f t="shared" si="5"/>
        <v>1076743.2</v>
      </c>
      <c r="U17" s="970" t="s">
        <v>2226</v>
      </c>
      <c r="V17" s="413"/>
    </row>
    <row r="18" spans="1:22" s="459" customFormat="1" ht="13.9" customHeight="1">
      <c r="A18" s="953" t="s">
        <v>954</v>
      </c>
      <c r="B18" s="698"/>
      <c r="C18" s="856">
        <v>196820.2</v>
      </c>
      <c r="D18" s="856">
        <v>-274.3</v>
      </c>
      <c r="E18" s="413">
        <v>-7324.4</v>
      </c>
      <c r="F18" s="856">
        <f t="shared" ref="F18:F23" si="6">E18+D18+C18</f>
        <v>189221.5</v>
      </c>
      <c r="G18" s="856">
        <v>121706.8</v>
      </c>
      <c r="H18" s="856">
        <v>189.3</v>
      </c>
      <c r="I18" s="413">
        <v>107050.3</v>
      </c>
      <c r="J18" s="856">
        <f t="shared" ref="J18:J23" si="7">I18+H18+G18</f>
        <v>228946.40000000002</v>
      </c>
      <c r="K18" s="856">
        <v>15192.9</v>
      </c>
      <c r="L18" s="856">
        <v>79</v>
      </c>
      <c r="M18" s="856">
        <f t="shared" ref="M18:M23" si="8">K18+L18</f>
        <v>15271.9</v>
      </c>
      <c r="N18" s="856">
        <v>555844.6</v>
      </c>
      <c r="O18" s="856">
        <v>50644.4</v>
      </c>
      <c r="P18" s="856">
        <f t="shared" ref="P18:P23" si="9">N18+O18</f>
        <v>606489</v>
      </c>
      <c r="Q18" s="856">
        <f t="shared" ref="Q18:Q23" si="10">J18+M18+P18</f>
        <v>850707.3</v>
      </c>
      <c r="R18" s="856">
        <v>-110702.39999999999</v>
      </c>
      <c r="S18" s="856">
        <f t="shared" ref="S18:S23" si="11">Q18+R18</f>
        <v>740004.9</v>
      </c>
      <c r="T18" s="856">
        <f t="shared" ref="T18:T23" si="12">F18+S18</f>
        <v>929226.4</v>
      </c>
      <c r="U18" s="954" t="s">
        <v>954</v>
      </c>
      <c r="V18" s="413"/>
    </row>
    <row r="19" spans="1:22" s="459" customFormat="1" ht="13.9" customHeight="1">
      <c r="A19" s="1054" t="s">
        <v>955</v>
      </c>
      <c r="B19" s="719"/>
      <c r="C19" s="900">
        <v>198475</v>
      </c>
      <c r="D19" s="900">
        <v>-274.7</v>
      </c>
      <c r="E19" s="498">
        <v>-7499.8</v>
      </c>
      <c r="F19" s="900">
        <f t="shared" si="6"/>
        <v>190700.5</v>
      </c>
      <c r="G19" s="900">
        <v>115652.9</v>
      </c>
      <c r="H19" s="900">
        <v>171</v>
      </c>
      <c r="I19" s="498">
        <v>109701.2</v>
      </c>
      <c r="J19" s="900">
        <f t="shared" si="7"/>
        <v>225525.09999999998</v>
      </c>
      <c r="K19" s="900">
        <v>15339.9</v>
      </c>
      <c r="L19" s="900">
        <v>81.2</v>
      </c>
      <c r="M19" s="900">
        <f t="shared" si="8"/>
        <v>15421.1</v>
      </c>
      <c r="N19" s="900">
        <v>559927.30000000005</v>
      </c>
      <c r="O19" s="900">
        <v>51032.6</v>
      </c>
      <c r="P19" s="900">
        <f t="shared" si="9"/>
        <v>610959.9</v>
      </c>
      <c r="Q19" s="900">
        <f t="shared" si="10"/>
        <v>851906.1</v>
      </c>
      <c r="R19" s="900">
        <v>-109240.3</v>
      </c>
      <c r="S19" s="900">
        <f t="shared" si="11"/>
        <v>742665.79999999993</v>
      </c>
      <c r="T19" s="900">
        <f t="shared" si="12"/>
        <v>933366.29999999993</v>
      </c>
      <c r="U19" s="985" t="s">
        <v>955</v>
      </c>
      <c r="V19" s="413"/>
    </row>
    <row r="20" spans="1:22" s="459" customFormat="1" ht="13.9" customHeight="1">
      <c r="A20" s="953" t="s">
        <v>949</v>
      </c>
      <c r="B20" s="698"/>
      <c r="C20" s="856">
        <v>203775.9</v>
      </c>
      <c r="D20" s="856">
        <v>-266.89999999999998</v>
      </c>
      <c r="E20" s="413">
        <v>-7590.5</v>
      </c>
      <c r="F20" s="856">
        <f t="shared" si="6"/>
        <v>195918.5</v>
      </c>
      <c r="G20" s="856">
        <v>118140.2</v>
      </c>
      <c r="H20" s="856">
        <v>15.6</v>
      </c>
      <c r="I20" s="413">
        <v>111755</v>
      </c>
      <c r="J20" s="856">
        <f t="shared" si="7"/>
        <v>229910.8</v>
      </c>
      <c r="K20" s="856">
        <v>15435.1</v>
      </c>
      <c r="L20" s="856">
        <v>99.6</v>
      </c>
      <c r="M20" s="856">
        <f t="shared" si="8"/>
        <v>15534.7</v>
      </c>
      <c r="N20" s="856">
        <v>571404.5</v>
      </c>
      <c r="O20" s="856">
        <v>51851.1</v>
      </c>
      <c r="P20" s="856">
        <f t="shared" si="9"/>
        <v>623255.6</v>
      </c>
      <c r="Q20" s="856">
        <f t="shared" si="10"/>
        <v>868701.1</v>
      </c>
      <c r="R20" s="856">
        <v>-113091.8</v>
      </c>
      <c r="S20" s="856">
        <f t="shared" si="11"/>
        <v>755609.29999999993</v>
      </c>
      <c r="T20" s="856">
        <f t="shared" si="12"/>
        <v>951527.79999999993</v>
      </c>
      <c r="U20" s="954" t="s">
        <v>949</v>
      </c>
      <c r="V20" s="413"/>
    </row>
    <row r="21" spans="1:22" s="459" customFormat="1" ht="13.9" customHeight="1">
      <c r="A21" s="1054" t="s">
        <v>956</v>
      </c>
      <c r="B21" s="719"/>
      <c r="C21" s="900">
        <v>203356.7</v>
      </c>
      <c r="D21" s="900">
        <v>-267</v>
      </c>
      <c r="E21" s="498">
        <v>-7687.7</v>
      </c>
      <c r="F21" s="900">
        <f t="shared" si="6"/>
        <v>195402</v>
      </c>
      <c r="G21" s="900">
        <v>112618.5</v>
      </c>
      <c r="H21" s="900">
        <v>-31.6</v>
      </c>
      <c r="I21" s="498">
        <v>114107.7</v>
      </c>
      <c r="J21" s="900">
        <f t="shared" si="7"/>
        <v>226694.59999999998</v>
      </c>
      <c r="K21" s="900">
        <v>15778.7</v>
      </c>
      <c r="L21" s="900">
        <v>99.6</v>
      </c>
      <c r="M21" s="900">
        <f t="shared" si="8"/>
        <v>15878.300000000001</v>
      </c>
      <c r="N21" s="900">
        <v>576260.5</v>
      </c>
      <c r="O21" s="900">
        <v>52138.400000000001</v>
      </c>
      <c r="P21" s="900">
        <f t="shared" si="9"/>
        <v>628398.9</v>
      </c>
      <c r="Q21" s="900">
        <f t="shared" si="10"/>
        <v>870971.8</v>
      </c>
      <c r="R21" s="900">
        <v>-114631.2</v>
      </c>
      <c r="S21" s="900">
        <f t="shared" si="11"/>
        <v>756340.60000000009</v>
      </c>
      <c r="T21" s="900">
        <f t="shared" si="12"/>
        <v>951742.60000000009</v>
      </c>
      <c r="U21" s="985" t="s">
        <v>956</v>
      </c>
      <c r="V21" s="413"/>
    </row>
    <row r="22" spans="1:22" s="459" customFormat="1" ht="13.9" customHeight="1">
      <c r="A22" s="953" t="s">
        <v>957</v>
      </c>
      <c r="B22" s="698"/>
      <c r="C22" s="856">
        <v>205753.7</v>
      </c>
      <c r="D22" s="856">
        <v>-267.10000000000002</v>
      </c>
      <c r="E22" s="413">
        <v>-7829.7</v>
      </c>
      <c r="F22" s="856">
        <f t="shared" si="6"/>
        <v>197656.90000000002</v>
      </c>
      <c r="G22" s="856">
        <v>110075.8</v>
      </c>
      <c r="H22" s="856">
        <v>-33</v>
      </c>
      <c r="I22" s="413">
        <v>116399.9</v>
      </c>
      <c r="J22" s="856">
        <f t="shared" si="7"/>
        <v>226442.7</v>
      </c>
      <c r="K22" s="856">
        <v>15864.6</v>
      </c>
      <c r="L22" s="856">
        <v>99.8</v>
      </c>
      <c r="M22" s="856">
        <f t="shared" si="8"/>
        <v>15964.4</v>
      </c>
      <c r="N22" s="856">
        <v>584825.4</v>
      </c>
      <c r="O22" s="856">
        <v>53682.7</v>
      </c>
      <c r="P22" s="856">
        <f t="shared" si="9"/>
        <v>638508.1</v>
      </c>
      <c r="Q22" s="856">
        <f t="shared" si="10"/>
        <v>880915.2</v>
      </c>
      <c r="R22" s="856">
        <v>-119084.1</v>
      </c>
      <c r="S22" s="856">
        <f t="shared" si="11"/>
        <v>761831.1</v>
      </c>
      <c r="T22" s="856">
        <f t="shared" si="12"/>
        <v>959488</v>
      </c>
      <c r="U22" s="954" t="s">
        <v>957</v>
      </c>
      <c r="V22" s="413"/>
    </row>
    <row r="23" spans="1:22" s="459" customFormat="1" ht="13.9" customHeight="1">
      <c r="A23" s="1054" t="s">
        <v>950</v>
      </c>
      <c r="B23" s="719"/>
      <c r="C23" s="900">
        <v>209317.4</v>
      </c>
      <c r="D23" s="900">
        <v>-229.9</v>
      </c>
      <c r="E23" s="498">
        <v>-7869.5</v>
      </c>
      <c r="F23" s="900">
        <f t="shared" si="6"/>
        <v>201218</v>
      </c>
      <c r="G23" s="900">
        <v>103457.8</v>
      </c>
      <c r="H23" s="900">
        <v>-26.3</v>
      </c>
      <c r="I23" s="498">
        <v>118379.6</v>
      </c>
      <c r="J23" s="900">
        <f t="shared" si="7"/>
        <v>221811.1</v>
      </c>
      <c r="K23" s="900">
        <v>16269.4</v>
      </c>
      <c r="L23" s="900">
        <v>87</v>
      </c>
      <c r="M23" s="900">
        <f t="shared" si="8"/>
        <v>16356.4</v>
      </c>
      <c r="N23" s="900">
        <v>601195.4</v>
      </c>
      <c r="O23" s="900">
        <v>55338.6</v>
      </c>
      <c r="P23" s="900">
        <f t="shared" si="9"/>
        <v>656534</v>
      </c>
      <c r="Q23" s="900">
        <f t="shared" si="10"/>
        <v>894701.5</v>
      </c>
      <c r="R23" s="900">
        <v>-119588.9</v>
      </c>
      <c r="S23" s="900">
        <f t="shared" si="11"/>
        <v>775112.6</v>
      </c>
      <c r="T23" s="900">
        <f t="shared" si="12"/>
        <v>976330.6</v>
      </c>
      <c r="U23" s="985" t="s">
        <v>950</v>
      </c>
      <c r="V23" s="413"/>
    </row>
    <row r="24" spans="1:22" s="459" customFormat="1" ht="13.9" customHeight="1">
      <c r="A24" s="953" t="s">
        <v>958</v>
      </c>
      <c r="B24" s="698"/>
      <c r="C24" s="856">
        <v>210592.6</v>
      </c>
      <c r="D24" s="856">
        <v>-229.9</v>
      </c>
      <c r="E24" s="413">
        <v>-8020</v>
      </c>
      <c r="F24" s="856">
        <f t="shared" ref="F24:F42" si="13">E24+D24+C24</f>
        <v>202342.7</v>
      </c>
      <c r="G24" s="856">
        <v>100079.6</v>
      </c>
      <c r="H24" s="856">
        <v>-30.9</v>
      </c>
      <c r="I24" s="413">
        <v>121677</v>
      </c>
      <c r="J24" s="856">
        <f t="shared" ref="J24:J42" si="14">I24+H24+G24</f>
        <v>221725.7</v>
      </c>
      <c r="K24" s="856">
        <v>17422.5</v>
      </c>
      <c r="L24" s="856">
        <v>88.1</v>
      </c>
      <c r="M24" s="856">
        <f t="shared" ref="M24:M42" si="15">K24+L24</f>
        <v>17510.599999999999</v>
      </c>
      <c r="N24" s="856">
        <v>602905.9</v>
      </c>
      <c r="O24" s="856">
        <v>55923.1</v>
      </c>
      <c r="P24" s="856">
        <f t="shared" ref="P24:P42" si="16">N24+O24</f>
        <v>658829</v>
      </c>
      <c r="Q24" s="856">
        <f t="shared" ref="Q24:Q42" si="17">J24+M24+P24</f>
        <v>898065.3</v>
      </c>
      <c r="R24" s="856">
        <v>-123725.4</v>
      </c>
      <c r="S24" s="856">
        <f t="shared" ref="S24:S29" si="18">Q24+R24</f>
        <v>774339.9</v>
      </c>
      <c r="T24" s="856">
        <f t="shared" ref="T24:T29" si="19">F24+S24</f>
        <v>976682.60000000009</v>
      </c>
      <c r="U24" s="954" t="s">
        <v>958</v>
      </c>
      <c r="V24" s="413"/>
    </row>
    <row r="25" spans="1:22" s="459" customFormat="1" ht="13.9" customHeight="1">
      <c r="A25" s="1054" t="s">
        <v>959</v>
      </c>
      <c r="B25" s="719"/>
      <c r="C25" s="900">
        <v>214670.6</v>
      </c>
      <c r="D25" s="900">
        <v>-102.1</v>
      </c>
      <c r="E25" s="498">
        <v>-8145.2</v>
      </c>
      <c r="F25" s="900">
        <f t="shared" si="13"/>
        <v>206423.30000000002</v>
      </c>
      <c r="G25" s="900">
        <v>102659</v>
      </c>
      <c r="H25" s="900">
        <v>-45.6</v>
      </c>
      <c r="I25" s="498">
        <v>124964.5</v>
      </c>
      <c r="J25" s="900">
        <f t="shared" si="14"/>
        <v>227577.9</v>
      </c>
      <c r="K25" s="900">
        <v>16638.5</v>
      </c>
      <c r="L25" s="900">
        <v>92.9</v>
      </c>
      <c r="M25" s="900">
        <f t="shared" si="15"/>
        <v>16731.400000000001</v>
      </c>
      <c r="N25" s="900">
        <v>608706.9</v>
      </c>
      <c r="O25" s="900">
        <v>56932.2</v>
      </c>
      <c r="P25" s="900">
        <f t="shared" si="16"/>
        <v>665639.1</v>
      </c>
      <c r="Q25" s="900">
        <f t="shared" si="17"/>
        <v>909948.39999999991</v>
      </c>
      <c r="R25" s="900">
        <v>-126109.3</v>
      </c>
      <c r="S25" s="900">
        <f t="shared" si="18"/>
        <v>783839.09999999986</v>
      </c>
      <c r="T25" s="900">
        <f t="shared" si="19"/>
        <v>990262.39999999991</v>
      </c>
      <c r="U25" s="985" t="s">
        <v>959</v>
      </c>
      <c r="V25" s="413"/>
    </row>
    <row r="26" spans="1:22" s="459" customFormat="1" ht="13.9" customHeight="1">
      <c r="A26" s="953" t="s">
        <v>951</v>
      </c>
      <c r="B26" s="698"/>
      <c r="C26" s="856">
        <v>220327.5</v>
      </c>
      <c r="D26" s="856">
        <v>-98.7</v>
      </c>
      <c r="E26" s="413">
        <v>-8245.7000000000007</v>
      </c>
      <c r="F26" s="856">
        <f t="shared" si="13"/>
        <v>211983.1</v>
      </c>
      <c r="G26" s="856">
        <v>99749.2</v>
      </c>
      <c r="H26" s="856">
        <v>-49.7</v>
      </c>
      <c r="I26" s="413">
        <v>128262.2</v>
      </c>
      <c r="J26" s="856">
        <f t="shared" si="14"/>
        <v>227961.7</v>
      </c>
      <c r="K26" s="856">
        <v>16808.099999999999</v>
      </c>
      <c r="L26" s="856">
        <v>101.1</v>
      </c>
      <c r="M26" s="856">
        <f t="shared" si="15"/>
        <v>16909.199999999997</v>
      </c>
      <c r="N26" s="856">
        <v>617325.69999999995</v>
      </c>
      <c r="O26" s="856">
        <v>57492.3</v>
      </c>
      <c r="P26" s="856">
        <f t="shared" si="16"/>
        <v>674818</v>
      </c>
      <c r="Q26" s="856">
        <f t="shared" si="17"/>
        <v>919688.9</v>
      </c>
      <c r="R26" s="856">
        <v>-129157.6</v>
      </c>
      <c r="S26" s="856">
        <f t="shared" si="18"/>
        <v>790531.3</v>
      </c>
      <c r="T26" s="856">
        <f t="shared" si="19"/>
        <v>1002514.4</v>
      </c>
      <c r="U26" s="954" t="s">
        <v>951</v>
      </c>
      <c r="V26" s="413"/>
    </row>
    <row r="27" spans="1:22" s="459" customFormat="1" ht="13.9" customHeight="1">
      <c r="A27" s="1054" t="s">
        <v>960</v>
      </c>
      <c r="B27" s="719"/>
      <c r="C27" s="900">
        <v>222688.1</v>
      </c>
      <c r="D27" s="900">
        <v>-98.6</v>
      </c>
      <c r="E27" s="498">
        <v>-8345.6</v>
      </c>
      <c r="F27" s="900">
        <f t="shared" si="13"/>
        <v>214243.9</v>
      </c>
      <c r="G27" s="900">
        <v>97531.199999999997</v>
      </c>
      <c r="H27" s="900">
        <v>-57.9</v>
      </c>
      <c r="I27" s="498">
        <v>131561.70000000001</v>
      </c>
      <c r="J27" s="900">
        <f t="shared" si="14"/>
        <v>229035</v>
      </c>
      <c r="K27" s="900">
        <v>16675.2</v>
      </c>
      <c r="L27" s="900">
        <v>109.2</v>
      </c>
      <c r="M27" s="900">
        <f t="shared" si="15"/>
        <v>16784.400000000001</v>
      </c>
      <c r="N27" s="900">
        <v>625421.6</v>
      </c>
      <c r="O27" s="900">
        <v>58627</v>
      </c>
      <c r="P27" s="900">
        <f t="shared" si="16"/>
        <v>684048.6</v>
      </c>
      <c r="Q27" s="900">
        <f t="shared" si="17"/>
        <v>929868</v>
      </c>
      <c r="R27" s="900">
        <v>-129023.4</v>
      </c>
      <c r="S27" s="900">
        <f t="shared" si="18"/>
        <v>800844.6</v>
      </c>
      <c r="T27" s="900">
        <f t="shared" si="19"/>
        <v>1015088.5</v>
      </c>
      <c r="U27" s="985" t="s">
        <v>960</v>
      </c>
      <c r="V27" s="413"/>
    </row>
    <row r="28" spans="1:22" s="459" customFormat="1" ht="13.9" customHeight="1">
      <c r="A28" s="953" t="s">
        <v>961</v>
      </c>
      <c r="B28" s="698"/>
      <c r="C28" s="856">
        <v>223727.3</v>
      </c>
      <c r="D28" s="856">
        <v>-98.5</v>
      </c>
      <c r="E28" s="413">
        <v>-8430.2999999999993</v>
      </c>
      <c r="F28" s="856">
        <f t="shared" si="13"/>
        <v>215198.5</v>
      </c>
      <c r="G28" s="856">
        <v>102077.9</v>
      </c>
      <c r="H28" s="856">
        <v>-59.3</v>
      </c>
      <c r="I28" s="413">
        <v>135166.70000000001</v>
      </c>
      <c r="J28" s="856">
        <f t="shared" si="14"/>
        <v>237185.30000000002</v>
      </c>
      <c r="K28" s="856">
        <v>16607.900000000001</v>
      </c>
      <c r="L28" s="856">
        <v>110.9</v>
      </c>
      <c r="M28" s="856">
        <f t="shared" si="15"/>
        <v>16718.800000000003</v>
      </c>
      <c r="N28" s="856">
        <v>634238.30000000005</v>
      </c>
      <c r="O28" s="856">
        <v>59458.9</v>
      </c>
      <c r="P28" s="856">
        <f t="shared" si="16"/>
        <v>693697.20000000007</v>
      </c>
      <c r="Q28" s="856">
        <f t="shared" si="17"/>
        <v>947601.3</v>
      </c>
      <c r="R28" s="856">
        <v>-129693.1</v>
      </c>
      <c r="S28" s="856">
        <f t="shared" si="18"/>
        <v>817908.20000000007</v>
      </c>
      <c r="T28" s="856">
        <f t="shared" si="19"/>
        <v>1033106.7000000001</v>
      </c>
      <c r="U28" s="954" t="s">
        <v>961</v>
      </c>
      <c r="V28" s="413"/>
    </row>
    <row r="29" spans="1:22" s="459" customFormat="1" ht="13.9" customHeight="1">
      <c r="A29" s="767" t="s">
        <v>952</v>
      </c>
      <c r="B29" s="719"/>
      <c r="C29" s="900">
        <v>233135.6</v>
      </c>
      <c r="D29" s="900">
        <v>-83</v>
      </c>
      <c r="E29" s="498">
        <v>-8475.2000000000007</v>
      </c>
      <c r="F29" s="900">
        <f t="shared" si="13"/>
        <v>224577.4</v>
      </c>
      <c r="G29" s="900">
        <v>114189.1</v>
      </c>
      <c r="H29" s="900">
        <v>-89.1</v>
      </c>
      <c r="I29" s="498">
        <v>138762.6</v>
      </c>
      <c r="J29" s="900">
        <f t="shared" si="14"/>
        <v>252862.6</v>
      </c>
      <c r="K29" s="900">
        <v>15573</v>
      </c>
      <c r="L29" s="900">
        <v>108.3</v>
      </c>
      <c r="M29" s="900">
        <f t="shared" si="15"/>
        <v>15681.3</v>
      </c>
      <c r="N29" s="900">
        <v>650644</v>
      </c>
      <c r="O29" s="900">
        <v>60778.8</v>
      </c>
      <c r="P29" s="900">
        <f t="shared" si="16"/>
        <v>711422.8</v>
      </c>
      <c r="Q29" s="900">
        <f t="shared" si="17"/>
        <v>979966.70000000007</v>
      </c>
      <c r="R29" s="900">
        <v>-127800.9</v>
      </c>
      <c r="S29" s="900">
        <f t="shared" si="18"/>
        <v>852165.8</v>
      </c>
      <c r="T29" s="900">
        <f t="shared" si="19"/>
        <v>1076743.2</v>
      </c>
      <c r="U29" s="546" t="s">
        <v>952</v>
      </c>
      <c r="V29" s="413"/>
    </row>
    <row r="30" spans="1:22" s="459" customFormat="1" ht="13.9" customHeight="1">
      <c r="A30" s="1006" t="s">
        <v>2384</v>
      </c>
      <c r="B30" s="698"/>
      <c r="C30" s="1007">
        <f>C42</f>
        <v>265996.90000000002</v>
      </c>
      <c r="D30" s="1007">
        <f t="shared" ref="D30:T30" si="20">D42</f>
        <v>-46.6</v>
      </c>
      <c r="E30" s="1007">
        <f t="shared" si="20"/>
        <v>-9534.1</v>
      </c>
      <c r="F30" s="1007">
        <f t="shared" si="20"/>
        <v>256416.2</v>
      </c>
      <c r="G30" s="1007">
        <f t="shared" si="20"/>
        <v>97307.599999999991</v>
      </c>
      <c r="H30" s="1007">
        <f t="shared" si="20"/>
        <v>-108.6</v>
      </c>
      <c r="I30" s="1007">
        <f t="shared" si="20"/>
        <v>191178.6</v>
      </c>
      <c r="J30" s="1007">
        <f t="shared" si="20"/>
        <v>288377.59999999998</v>
      </c>
      <c r="K30" s="1007">
        <f t="shared" si="20"/>
        <v>16744.2</v>
      </c>
      <c r="L30" s="1007">
        <f t="shared" si="20"/>
        <v>142.6</v>
      </c>
      <c r="M30" s="1007">
        <f t="shared" si="20"/>
        <v>16886.8</v>
      </c>
      <c r="N30" s="1007">
        <f t="shared" si="20"/>
        <v>752988.79999999993</v>
      </c>
      <c r="O30" s="1007">
        <f t="shared" si="20"/>
        <v>71394.7</v>
      </c>
      <c r="P30" s="1007">
        <f t="shared" si="20"/>
        <v>824383.49999999988</v>
      </c>
      <c r="Q30" s="1007">
        <f t="shared" si="20"/>
        <v>1129647.8999999999</v>
      </c>
      <c r="R30" s="1007">
        <f t="shared" si="20"/>
        <v>-152598.6</v>
      </c>
      <c r="S30" s="1007">
        <f t="shared" si="20"/>
        <v>977049.29999999993</v>
      </c>
      <c r="T30" s="1007">
        <f t="shared" si="20"/>
        <v>1233465.5</v>
      </c>
      <c r="U30" s="1008" t="s">
        <v>2384</v>
      </c>
      <c r="V30" s="413"/>
    </row>
    <row r="31" spans="1:22" s="459" customFormat="1" ht="13.9" customHeight="1">
      <c r="A31" s="574" t="s">
        <v>954</v>
      </c>
      <c r="B31" s="719"/>
      <c r="C31" s="900">
        <v>235885.4</v>
      </c>
      <c r="D31" s="900">
        <v>-82.9</v>
      </c>
      <c r="E31" s="498">
        <v>-8610.6</v>
      </c>
      <c r="F31" s="900">
        <f t="shared" si="13"/>
        <v>227191.9</v>
      </c>
      <c r="G31" s="900">
        <v>116648.3</v>
      </c>
      <c r="H31" s="900">
        <v>-52.9</v>
      </c>
      <c r="I31" s="498">
        <v>142260.9</v>
      </c>
      <c r="J31" s="900">
        <f t="shared" si="14"/>
        <v>258856.3</v>
      </c>
      <c r="K31" s="900">
        <v>15529.7</v>
      </c>
      <c r="L31" s="900">
        <v>113.4</v>
      </c>
      <c r="M31" s="900">
        <f t="shared" si="15"/>
        <v>15643.1</v>
      </c>
      <c r="N31" s="900">
        <v>644864.30000000005</v>
      </c>
      <c r="O31" s="900">
        <v>61192.5</v>
      </c>
      <c r="P31" s="900">
        <f t="shared" si="16"/>
        <v>706056.8</v>
      </c>
      <c r="Q31" s="900">
        <f t="shared" si="17"/>
        <v>980556.2</v>
      </c>
      <c r="R31" s="900">
        <v>-130812.1</v>
      </c>
      <c r="S31" s="900">
        <f t="shared" ref="S31:S42" si="21">Q31+R31</f>
        <v>849744.1</v>
      </c>
      <c r="T31" s="900">
        <f t="shared" ref="T31:T42" si="22">F31+S31</f>
        <v>1076936</v>
      </c>
      <c r="U31" s="639" t="s">
        <v>954</v>
      </c>
      <c r="V31" s="413"/>
    </row>
    <row r="32" spans="1:22" s="459" customFormat="1" ht="13.9" customHeight="1">
      <c r="A32" s="457" t="s">
        <v>955</v>
      </c>
      <c r="B32" s="698"/>
      <c r="C32" s="856">
        <v>241535</v>
      </c>
      <c r="D32" s="856">
        <v>-82.9</v>
      </c>
      <c r="E32" s="413">
        <v>-8757.5</v>
      </c>
      <c r="F32" s="856">
        <f t="shared" si="13"/>
        <v>232694.6</v>
      </c>
      <c r="G32" s="856">
        <v>113296.3</v>
      </c>
      <c r="H32" s="856">
        <v>-60</v>
      </c>
      <c r="I32" s="413">
        <v>146558.1</v>
      </c>
      <c r="J32" s="856">
        <f t="shared" si="14"/>
        <v>259794.40000000002</v>
      </c>
      <c r="K32" s="856">
        <v>15633</v>
      </c>
      <c r="L32" s="856">
        <v>118.7</v>
      </c>
      <c r="M32" s="856">
        <f t="shared" si="15"/>
        <v>15751.7</v>
      </c>
      <c r="N32" s="856">
        <v>651267.9</v>
      </c>
      <c r="O32" s="856">
        <v>61740.4</v>
      </c>
      <c r="P32" s="856">
        <f t="shared" si="16"/>
        <v>713008.3</v>
      </c>
      <c r="Q32" s="856">
        <f t="shared" si="17"/>
        <v>988554.40000000014</v>
      </c>
      <c r="R32" s="856">
        <v>-130725.2</v>
      </c>
      <c r="S32" s="856">
        <f t="shared" si="21"/>
        <v>857829.20000000019</v>
      </c>
      <c r="T32" s="856">
        <f t="shared" si="22"/>
        <v>1090523.8000000003</v>
      </c>
      <c r="U32" s="693" t="s">
        <v>955</v>
      </c>
      <c r="V32" s="413"/>
    </row>
    <row r="33" spans="1:22" s="459" customFormat="1" ht="13.9" customHeight="1">
      <c r="A33" s="574" t="s">
        <v>949</v>
      </c>
      <c r="B33" s="719"/>
      <c r="C33" s="900">
        <v>246745.8</v>
      </c>
      <c r="D33" s="900">
        <v>-79.599999999999994</v>
      </c>
      <c r="E33" s="498">
        <v>-8801</v>
      </c>
      <c r="F33" s="900">
        <f t="shared" si="13"/>
        <v>237865.19999999998</v>
      </c>
      <c r="G33" s="900">
        <v>113640.1</v>
      </c>
      <c r="H33" s="900">
        <v>-53.3</v>
      </c>
      <c r="I33" s="498">
        <v>150412.6</v>
      </c>
      <c r="J33" s="900">
        <f t="shared" si="14"/>
        <v>263999.40000000002</v>
      </c>
      <c r="K33" s="900">
        <v>15429.5</v>
      </c>
      <c r="L33" s="900">
        <v>119.6</v>
      </c>
      <c r="M33" s="900">
        <f t="shared" si="15"/>
        <v>15549.1</v>
      </c>
      <c r="N33" s="900">
        <v>659321.59999999998</v>
      </c>
      <c r="O33" s="900">
        <v>62392.3</v>
      </c>
      <c r="P33" s="900">
        <f t="shared" si="16"/>
        <v>721713.9</v>
      </c>
      <c r="Q33" s="900">
        <f t="shared" si="17"/>
        <v>1001262.4</v>
      </c>
      <c r="R33" s="900">
        <v>-135906.5</v>
      </c>
      <c r="S33" s="900">
        <f t="shared" si="21"/>
        <v>865355.9</v>
      </c>
      <c r="T33" s="900">
        <f t="shared" si="22"/>
        <v>1103221.1000000001</v>
      </c>
      <c r="U33" s="639" t="s">
        <v>949</v>
      </c>
      <c r="V33" s="413"/>
    </row>
    <row r="34" spans="1:22" s="459" customFormat="1" ht="13.9" customHeight="1">
      <c r="A34" s="457" t="s">
        <v>956</v>
      </c>
      <c r="B34" s="698"/>
      <c r="C34" s="856">
        <v>247313.7</v>
      </c>
      <c r="D34" s="856">
        <v>-79.400000000000006</v>
      </c>
      <c r="E34" s="413">
        <v>-8873.6</v>
      </c>
      <c r="F34" s="856">
        <f t="shared" si="13"/>
        <v>238360.7</v>
      </c>
      <c r="G34" s="856">
        <v>110003</v>
      </c>
      <c r="H34" s="856">
        <v>-93.5</v>
      </c>
      <c r="I34" s="413">
        <v>154679.29999999999</v>
      </c>
      <c r="J34" s="856">
        <f t="shared" si="14"/>
        <v>264588.79999999999</v>
      </c>
      <c r="K34" s="856">
        <v>14933.8</v>
      </c>
      <c r="L34" s="856">
        <v>121.5</v>
      </c>
      <c r="M34" s="856">
        <f t="shared" si="15"/>
        <v>15055.3</v>
      </c>
      <c r="N34" s="856">
        <v>663877.80000000005</v>
      </c>
      <c r="O34" s="856">
        <v>62802.1</v>
      </c>
      <c r="P34" s="856">
        <f t="shared" si="16"/>
        <v>726679.9</v>
      </c>
      <c r="Q34" s="856">
        <f t="shared" si="17"/>
        <v>1006324</v>
      </c>
      <c r="R34" s="856">
        <v>-135056.9</v>
      </c>
      <c r="S34" s="856">
        <f t="shared" si="21"/>
        <v>871267.1</v>
      </c>
      <c r="T34" s="856">
        <f t="shared" si="22"/>
        <v>1109627.8</v>
      </c>
      <c r="U34" s="693" t="s">
        <v>956</v>
      </c>
      <c r="V34" s="413"/>
    </row>
    <row r="35" spans="1:22" s="459" customFormat="1" ht="13.9" customHeight="1">
      <c r="A35" s="574" t="s">
        <v>957</v>
      </c>
      <c r="B35" s="719"/>
      <c r="C35" s="900">
        <v>245055.9</v>
      </c>
      <c r="D35" s="900">
        <v>-79.400000000000006</v>
      </c>
      <c r="E35" s="498">
        <v>-8963</v>
      </c>
      <c r="F35" s="900">
        <f t="shared" si="13"/>
        <v>236013.5</v>
      </c>
      <c r="G35" s="900">
        <v>108618.9</v>
      </c>
      <c r="H35" s="900">
        <v>-77.5</v>
      </c>
      <c r="I35" s="498">
        <v>159082.1</v>
      </c>
      <c r="J35" s="900">
        <f t="shared" si="14"/>
        <v>267623.5</v>
      </c>
      <c r="K35" s="900">
        <v>15233.5</v>
      </c>
      <c r="L35" s="900">
        <v>123.8</v>
      </c>
      <c r="M35" s="900">
        <f t="shared" si="15"/>
        <v>15357.3</v>
      </c>
      <c r="N35" s="900">
        <v>672927.1</v>
      </c>
      <c r="O35" s="900">
        <v>63846.8</v>
      </c>
      <c r="P35" s="900">
        <f t="shared" si="16"/>
        <v>736773.9</v>
      </c>
      <c r="Q35" s="900">
        <f t="shared" si="17"/>
        <v>1019754.7</v>
      </c>
      <c r="R35" s="900">
        <v>-135614.29999999999</v>
      </c>
      <c r="S35" s="900">
        <f t="shared" si="21"/>
        <v>884140.39999999991</v>
      </c>
      <c r="T35" s="900">
        <f t="shared" si="22"/>
        <v>1120153.8999999999</v>
      </c>
      <c r="U35" s="639" t="s">
        <v>957</v>
      </c>
      <c r="V35" s="413"/>
    </row>
    <row r="36" spans="1:22" s="459" customFormat="1" ht="13.9" customHeight="1">
      <c r="A36" s="457" t="s">
        <v>950</v>
      </c>
      <c r="B36" s="698"/>
      <c r="C36" s="856">
        <v>247248.3</v>
      </c>
      <c r="D36" s="856">
        <v>-63.8</v>
      </c>
      <c r="E36" s="413">
        <v>-9026.9</v>
      </c>
      <c r="F36" s="856">
        <f t="shared" si="13"/>
        <v>238157.59999999998</v>
      </c>
      <c r="G36" s="856">
        <v>98616.8</v>
      </c>
      <c r="H36" s="856">
        <v>-77.3</v>
      </c>
      <c r="I36" s="413">
        <v>162236.1</v>
      </c>
      <c r="J36" s="856">
        <f t="shared" si="14"/>
        <v>260775.60000000003</v>
      </c>
      <c r="K36" s="856">
        <v>15860.7</v>
      </c>
      <c r="L36" s="856">
        <v>126.3</v>
      </c>
      <c r="M36" s="856">
        <f t="shared" si="15"/>
        <v>15987</v>
      </c>
      <c r="N36" s="856">
        <v>695351.7</v>
      </c>
      <c r="O36" s="856">
        <v>64571</v>
      </c>
      <c r="P36" s="856">
        <f t="shared" si="16"/>
        <v>759922.7</v>
      </c>
      <c r="Q36" s="856">
        <f t="shared" si="17"/>
        <v>1036685.3</v>
      </c>
      <c r="R36" s="856">
        <v>-134877.4</v>
      </c>
      <c r="S36" s="856">
        <f t="shared" si="21"/>
        <v>901807.9</v>
      </c>
      <c r="T36" s="856">
        <f t="shared" si="22"/>
        <v>1139965.5</v>
      </c>
      <c r="U36" s="693" t="s">
        <v>950</v>
      </c>
      <c r="V36" s="413"/>
    </row>
    <row r="37" spans="1:22" s="459" customFormat="1" ht="13.9" customHeight="1">
      <c r="A37" s="574" t="s">
        <v>958</v>
      </c>
      <c r="B37" s="719"/>
      <c r="C37" s="900">
        <f>236674.5+11331.7</f>
        <v>248006.2</v>
      </c>
      <c r="D37" s="900">
        <v>-63.6</v>
      </c>
      <c r="E37" s="498">
        <v>-9076.7999999999993</v>
      </c>
      <c r="F37" s="498">
        <f t="shared" si="13"/>
        <v>238865.80000000002</v>
      </c>
      <c r="G37" s="900">
        <f>923.2+95426.8</f>
        <v>96350</v>
      </c>
      <c r="H37" s="900">
        <v>-82.3</v>
      </c>
      <c r="I37" s="498">
        <v>167656.79999999999</v>
      </c>
      <c r="J37" s="498">
        <f t="shared" si="14"/>
        <v>263924.5</v>
      </c>
      <c r="K37" s="900">
        <f>1621.2+14096.2</f>
        <v>15717.400000000001</v>
      </c>
      <c r="L37" s="900">
        <v>129</v>
      </c>
      <c r="M37" s="900">
        <f t="shared" si="15"/>
        <v>15846.400000000001</v>
      </c>
      <c r="N37" s="900">
        <f>3684.7+693643.9</f>
        <v>697328.6</v>
      </c>
      <c r="O37" s="900">
        <v>65115.9</v>
      </c>
      <c r="P37" s="900">
        <f t="shared" si="16"/>
        <v>762444.5</v>
      </c>
      <c r="Q37" s="900">
        <f t="shared" si="17"/>
        <v>1042215.4</v>
      </c>
      <c r="R37" s="900">
        <v>-137810.29999999999</v>
      </c>
      <c r="S37" s="900">
        <f t="shared" si="21"/>
        <v>904405.10000000009</v>
      </c>
      <c r="T37" s="900">
        <f t="shared" si="22"/>
        <v>1143270.9000000001</v>
      </c>
      <c r="U37" s="639" t="s">
        <v>958</v>
      </c>
      <c r="V37" s="413"/>
    </row>
    <row r="38" spans="1:22" s="459" customFormat="1" ht="13.9" customHeight="1">
      <c r="A38" s="457" t="s">
        <v>959</v>
      </c>
      <c r="B38" s="698"/>
      <c r="C38" s="856">
        <f>240191.5+12306.8</f>
        <v>252498.3</v>
      </c>
      <c r="D38" s="856">
        <v>-63.6</v>
      </c>
      <c r="E38" s="413">
        <v>-9135.4</v>
      </c>
      <c r="F38" s="413">
        <f t="shared" si="13"/>
        <v>243299.3</v>
      </c>
      <c r="G38" s="856">
        <f>-470.3+93969.3</f>
        <v>93499</v>
      </c>
      <c r="H38" s="856">
        <v>-96.3</v>
      </c>
      <c r="I38" s="413">
        <v>172045.2</v>
      </c>
      <c r="J38" s="413">
        <f t="shared" si="14"/>
        <v>265447.90000000002</v>
      </c>
      <c r="K38" s="856">
        <f>1622.9+13509.8</f>
        <v>15132.699999999999</v>
      </c>
      <c r="L38" s="856">
        <v>131.30000000000001</v>
      </c>
      <c r="M38" s="856">
        <f t="shared" si="15"/>
        <v>15263.999999999998</v>
      </c>
      <c r="N38" s="856">
        <f>3676.6+701802.5</f>
        <v>705479.1</v>
      </c>
      <c r="O38" s="856">
        <v>66149.100000000006</v>
      </c>
      <c r="P38" s="856">
        <f t="shared" si="16"/>
        <v>771628.2</v>
      </c>
      <c r="Q38" s="856">
        <f t="shared" si="17"/>
        <v>1052340.1000000001</v>
      </c>
      <c r="R38" s="856">
        <v>-141475.1</v>
      </c>
      <c r="S38" s="856">
        <f t="shared" si="21"/>
        <v>910865.00000000012</v>
      </c>
      <c r="T38" s="856">
        <f t="shared" si="22"/>
        <v>1154164.3</v>
      </c>
      <c r="U38" s="693" t="s">
        <v>959</v>
      </c>
      <c r="V38" s="413"/>
    </row>
    <row r="39" spans="1:22" s="459" customFormat="1" ht="13.9" customHeight="1">
      <c r="A39" s="574" t="s">
        <v>951</v>
      </c>
      <c r="B39" s="719"/>
      <c r="C39" s="900">
        <f>242368.9+11777</f>
        <v>254145.9</v>
      </c>
      <c r="D39" s="900">
        <v>-62.1</v>
      </c>
      <c r="E39" s="498">
        <v>-9271.2000000000007</v>
      </c>
      <c r="F39" s="498">
        <f t="shared" si="13"/>
        <v>244812.6</v>
      </c>
      <c r="G39" s="900">
        <f>-218.8+90507.2</f>
        <v>90288.4</v>
      </c>
      <c r="H39" s="900">
        <v>-78.900000000000006</v>
      </c>
      <c r="I39" s="498">
        <v>176411</v>
      </c>
      <c r="J39" s="498">
        <f t="shared" si="14"/>
        <v>266620.5</v>
      </c>
      <c r="K39" s="900">
        <f>1599.3+14158.5</f>
        <v>15757.8</v>
      </c>
      <c r="L39" s="900">
        <v>134.80000000000001</v>
      </c>
      <c r="M39" s="900">
        <f t="shared" si="15"/>
        <v>15892.599999999999</v>
      </c>
      <c r="N39" s="900">
        <f>3729.4+712208.2</f>
        <v>715937.6</v>
      </c>
      <c r="O39" s="900">
        <v>67404.7</v>
      </c>
      <c r="P39" s="900">
        <f t="shared" si="16"/>
        <v>783342.29999999993</v>
      </c>
      <c r="Q39" s="900">
        <f t="shared" si="17"/>
        <v>1065855.3999999999</v>
      </c>
      <c r="R39" s="900">
        <v>-144771.6</v>
      </c>
      <c r="S39" s="900">
        <f t="shared" si="21"/>
        <v>921083.79999999993</v>
      </c>
      <c r="T39" s="900">
        <f t="shared" si="22"/>
        <v>1165896.3999999999</v>
      </c>
      <c r="U39" s="639" t="s">
        <v>951</v>
      </c>
      <c r="V39" s="413"/>
    </row>
    <row r="40" spans="1:22" s="459" customFormat="1" ht="13.9" customHeight="1">
      <c r="A40" s="457" t="s">
        <v>960</v>
      </c>
      <c r="B40" s="698"/>
      <c r="C40" s="856">
        <f>242030+12307.1</f>
        <v>254337.1</v>
      </c>
      <c r="D40" s="856">
        <v>-62.1</v>
      </c>
      <c r="E40" s="413">
        <v>-9392</v>
      </c>
      <c r="F40" s="413">
        <f t="shared" si="13"/>
        <v>244883</v>
      </c>
      <c r="G40" s="856">
        <f>2900.4+81255.3</f>
        <v>84155.7</v>
      </c>
      <c r="H40" s="856">
        <v>-91.6</v>
      </c>
      <c r="I40" s="413">
        <v>180860.79999999999</v>
      </c>
      <c r="J40" s="413">
        <f t="shared" si="14"/>
        <v>264924.89999999997</v>
      </c>
      <c r="K40" s="856">
        <f>1600.9+14721.7</f>
        <v>16322.6</v>
      </c>
      <c r="L40" s="856">
        <v>147.30000000000001</v>
      </c>
      <c r="M40" s="856">
        <f t="shared" si="15"/>
        <v>16469.900000000001</v>
      </c>
      <c r="N40" s="856">
        <f>3729.3+722632.6</f>
        <v>726361.9</v>
      </c>
      <c r="O40" s="856">
        <v>68513.600000000006</v>
      </c>
      <c r="P40" s="856">
        <f t="shared" si="16"/>
        <v>794875.5</v>
      </c>
      <c r="Q40" s="856">
        <f t="shared" si="17"/>
        <v>1076270.3</v>
      </c>
      <c r="R40" s="856">
        <v>-143770.5</v>
      </c>
      <c r="S40" s="856">
        <f t="shared" si="21"/>
        <v>932499.8</v>
      </c>
      <c r="T40" s="856">
        <f t="shared" si="22"/>
        <v>1177382.8</v>
      </c>
      <c r="U40" s="693" t="s">
        <v>960</v>
      </c>
      <c r="V40" s="413"/>
    </row>
    <row r="41" spans="1:22" s="459" customFormat="1" ht="13.9" customHeight="1">
      <c r="A41" s="574" t="s">
        <v>961</v>
      </c>
      <c r="B41" s="719"/>
      <c r="C41" s="900">
        <f>246330.1+11187.7</f>
        <v>257517.80000000002</v>
      </c>
      <c r="D41" s="900">
        <v>-62.1</v>
      </c>
      <c r="E41" s="498">
        <v>-9472.1</v>
      </c>
      <c r="F41" s="498">
        <f t="shared" si="13"/>
        <v>247983.6</v>
      </c>
      <c r="G41" s="900">
        <f>8419.9+74150.4</f>
        <v>82570.299999999988</v>
      </c>
      <c r="H41" s="900">
        <v>-86.7</v>
      </c>
      <c r="I41" s="498">
        <v>185730.1</v>
      </c>
      <c r="J41" s="498">
        <f t="shared" si="14"/>
        <v>268213.69999999995</v>
      </c>
      <c r="K41" s="900">
        <f>1900.7+14953</f>
        <v>16853.7</v>
      </c>
      <c r="L41" s="900">
        <v>144.1</v>
      </c>
      <c r="M41" s="900">
        <f t="shared" si="15"/>
        <v>16997.8</v>
      </c>
      <c r="N41" s="900">
        <f>3830.4+732454.7</f>
        <v>736285.1</v>
      </c>
      <c r="O41" s="900">
        <v>69618.7</v>
      </c>
      <c r="P41" s="900">
        <f t="shared" si="16"/>
        <v>805903.79999999993</v>
      </c>
      <c r="Q41" s="900">
        <f t="shared" si="17"/>
        <v>1091115.2999999998</v>
      </c>
      <c r="R41" s="900">
        <v>-148993</v>
      </c>
      <c r="S41" s="900">
        <f t="shared" si="21"/>
        <v>942122.29999999981</v>
      </c>
      <c r="T41" s="900">
        <f t="shared" si="22"/>
        <v>1190105.8999999999</v>
      </c>
      <c r="U41" s="639" t="s">
        <v>961</v>
      </c>
      <c r="V41" s="413"/>
    </row>
    <row r="42" spans="1:22" s="459" customFormat="1" ht="13.9" customHeight="1" thickBot="1">
      <c r="A42" s="885" t="s">
        <v>952</v>
      </c>
      <c r="B42" s="1552"/>
      <c r="C42" s="1553">
        <f>251326.9+14670</f>
        <v>265996.90000000002</v>
      </c>
      <c r="D42" s="1553">
        <v>-46.6</v>
      </c>
      <c r="E42" s="1374">
        <v>-9534.1</v>
      </c>
      <c r="F42" s="1374">
        <f t="shared" si="13"/>
        <v>256416.2</v>
      </c>
      <c r="G42" s="1553">
        <f>12978.2+84329.4</f>
        <v>97307.599999999991</v>
      </c>
      <c r="H42" s="1553">
        <v>-108.6</v>
      </c>
      <c r="I42" s="1374">
        <v>191178.6</v>
      </c>
      <c r="J42" s="1374">
        <f t="shared" si="14"/>
        <v>288377.59999999998</v>
      </c>
      <c r="K42" s="1553">
        <f>1902.3+14841.9</f>
        <v>16744.2</v>
      </c>
      <c r="L42" s="1553">
        <v>142.6</v>
      </c>
      <c r="M42" s="1553">
        <f t="shared" si="15"/>
        <v>16886.8</v>
      </c>
      <c r="N42" s="1553">
        <f>3822.1+749166.7</f>
        <v>752988.79999999993</v>
      </c>
      <c r="O42" s="1553">
        <v>71394.7</v>
      </c>
      <c r="P42" s="1553">
        <f t="shared" si="16"/>
        <v>824383.49999999988</v>
      </c>
      <c r="Q42" s="1553">
        <f t="shared" si="17"/>
        <v>1129647.8999999999</v>
      </c>
      <c r="R42" s="1553">
        <v>-152598.6</v>
      </c>
      <c r="S42" s="1553">
        <f t="shared" si="21"/>
        <v>977049.29999999993</v>
      </c>
      <c r="T42" s="1553">
        <f t="shared" si="22"/>
        <v>1233465.5</v>
      </c>
      <c r="U42" s="1491" t="s">
        <v>952</v>
      </c>
      <c r="V42" s="413"/>
    </row>
    <row r="43" spans="1:22" ht="9.6" customHeight="1">
      <c r="A43" s="336" t="s">
        <v>343</v>
      </c>
      <c r="B43" s="298" t="s">
        <v>304</v>
      </c>
      <c r="C43" s="1786" t="s">
        <v>2508</v>
      </c>
      <c r="D43" s="1786"/>
      <c r="E43" s="1786"/>
      <c r="F43" s="1786"/>
      <c r="G43" s="1786"/>
      <c r="H43" s="468"/>
      <c r="I43" s="468"/>
      <c r="J43" s="468"/>
      <c r="K43" s="468"/>
      <c r="L43" s="468"/>
      <c r="M43" s="468"/>
      <c r="N43" s="335" t="s">
        <v>344</v>
      </c>
      <c r="O43" s="1774" t="s">
        <v>1113</v>
      </c>
      <c r="P43" s="1774"/>
      <c r="Q43" s="1774"/>
      <c r="R43" s="1774"/>
      <c r="S43" s="1774"/>
      <c r="T43" s="1774"/>
      <c r="U43" s="1774"/>
      <c r="V43" s="316"/>
    </row>
    <row r="44" spans="1:22" ht="9.6" customHeight="1">
      <c r="C44" s="400"/>
      <c r="D44" s="935"/>
      <c r="E44" s="935"/>
      <c r="F44" s="935"/>
      <c r="G44" s="935"/>
      <c r="H44" s="935"/>
      <c r="I44" s="935"/>
      <c r="J44" s="935"/>
      <c r="K44" s="935"/>
      <c r="L44" s="935"/>
      <c r="M44" s="935"/>
      <c r="N44" s="927"/>
      <c r="O44" s="1767" t="s">
        <v>2641</v>
      </c>
      <c r="P44" s="1767"/>
      <c r="Q44" s="1767"/>
      <c r="R44" s="1767"/>
      <c r="S44" s="1767"/>
      <c r="T44" s="1767"/>
      <c r="U44" s="1767"/>
    </row>
    <row r="45" spans="1:22" ht="9.6" customHeight="1">
      <c r="O45" s="1427" t="s">
        <v>2643</v>
      </c>
      <c r="P45" s="1384"/>
      <c r="Q45" s="1384"/>
      <c r="R45" s="468" t="s">
        <v>2642</v>
      </c>
      <c r="S45" s="1384"/>
      <c r="T45" s="1384"/>
      <c r="U45" s="1384"/>
      <c r="V45" s="927"/>
    </row>
    <row r="46" spans="1:22" ht="9.6" customHeight="1">
      <c r="N46" s="336" t="s">
        <v>345</v>
      </c>
      <c r="O46" s="1786" t="s">
        <v>2508</v>
      </c>
      <c r="P46" s="1786"/>
      <c r="Q46" s="1786"/>
      <c r="R46" s="1786"/>
      <c r="S46" s="1786"/>
      <c r="T46" s="1786"/>
      <c r="U46" s="1786"/>
    </row>
    <row r="47" spans="1:22" ht="9.6" customHeight="1">
      <c r="A47" s="715"/>
      <c r="B47" s="715"/>
      <c r="C47" s="298"/>
      <c r="D47" s="298"/>
      <c r="E47" s="298"/>
      <c r="F47" s="890"/>
      <c r="G47" s="298"/>
      <c r="H47" s="298"/>
      <c r="I47" s="298"/>
      <c r="J47" s="40"/>
      <c r="K47" s="298"/>
      <c r="L47" s="298"/>
      <c r="M47" s="298"/>
    </row>
    <row r="48" spans="1:22" ht="11.1" customHeight="1">
      <c r="A48" s="715"/>
      <c r="B48" s="715"/>
      <c r="C48" s="298"/>
      <c r="D48" s="298"/>
      <c r="E48" s="298"/>
      <c r="F48" s="298"/>
      <c r="G48" s="298"/>
      <c r="H48" s="298"/>
      <c r="I48" s="298"/>
      <c r="J48" s="40"/>
      <c r="K48" s="298"/>
      <c r="L48" s="298"/>
      <c r="M48" s="298"/>
      <c r="Q48" s="298"/>
      <c r="R48" s="375"/>
      <c r="S48" s="375"/>
      <c r="T48" s="375"/>
      <c r="U48" s="763"/>
    </row>
    <row r="49" spans="1:21">
      <c r="A49" s="715"/>
      <c r="B49" s="715"/>
      <c r="C49" s="298"/>
      <c r="D49" s="298"/>
      <c r="E49" s="298"/>
      <c r="F49" s="298"/>
      <c r="G49" s="298"/>
      <c r="H49" s="298"/>
      <c r="I49" s="298"/>
      <c r="J49" s="40"/>
      <c r="K49" s="298"/>
      <c r="L49" s="298"/>
      <c r="M49" s="298"/>
      <c r="R49" s="375"/>
      <c r="S49" s="375"/>
      <c r="T49" s="298"/>
      <c r="U49" s="763"/>
    </row>
    <row r="50" spans="1:21">
      <c r="Q50" s="928"/>
      <c r="R50" s="375"/>
      <c r="S50" s="375"/>
      <c r="T50" s="298"/>
      <c r="U50" s="763"/>
    </row>
    <row r="51" spans="1:21">
      <c r="J51" s="300"/>
      <c r="U51" s="763"/>
    </row>
    <row r="52" spans="1:21">
      <c r="T52" s="316"/>
    </row>
  </sheetData>
  <mergeCells count="28">
    <mergeCell ref="A3:B7"/>
    <mergeCell ref="F4:F6"/>
    <mergeCell ref="G5:J5"/>
    <mergeCell ref="C3:F3"/>
    <mergeCell ref="G4:M4"/>
    <mergeCell ref="E4:E6"/>
    <mergeCell ref="K5:M5"/>
    <mergeCell ref="G3:M3"/>
    <mergeCell ref="C43:G43"/>
    <mergeCell ref="O46:U46"/>
    <mergeCell ref="N5:N6"/>
    <mergeCell ref="O5:O6"/>
    <mergeCell ref="O44:U44"/>
    <mergeCell ref="O43:U43"/>
    <mergeCell ref="U3:U7"/>
    <mergeCell ref="Q4:Q6"/>
    <mergeCell ref="P5:P6"/>
    <mergeCell ref="S3:S6"/>
    <mergeCell ref="D4:D6"/>
    <mergeCell ref="C4:C6"/>
    <mergeCell ref="T1:U1"/>
    <mergeCell ref="N4:P4"/>
    <mergeCell ref="K1:M1"/>
    <mergeCell ref="N1:O1"/>
    <mergeCell ref="T3:T6"/>
    <mergeCell ref="T2:U2"/>
    <mergeCell ref="R3:R6"/>
    <mergeCell ref="N3:P3"/>
  </mergeCells>
  <phoneticPr fontId="0" type="noConversion"/>
  <conditionalFormatting sqref="A15:U15 A17:A30 A8:T16 U8:U30 B17:T42">
    <cfRule type="expression" dxfId="4" priority="51" stopIfTrue="1">
      <formula>MOD(ROW(),2)=1</formula>
    </cfRule>
  </conditionalFormatting>
  <conditionalFormatting sqref="A16:A30 U16:U30">
    <cfRule type="expression" dxfId="3" priority="45" stopIfTrue="1">
      <formula>MOD(ROW(),2)=1</formula>
    </cfRule>
    <cfRule type="expression" priority="46" stopIfTrue="1">
      <formula>MOD(ROW(),2)=1</formula>
    </cfRule>
  </conditionalFormatting>
  <conditionalFormatting sqref="A17:A30 U17:U30">
    <cfRule type="expression" priority="42" stopIfTrue="1">
      <formula>MOD(row,0)=0</formula>
    </cfRule>
  </conditionalFormatting>
  <conditionalFormatting sqref="A17:A30 U17:U30">
    <cfRule type="expression" priority="37" stopIfTrue="1">
      <formula>MOD((((#REF!))),0)=0</formula>
    </cfRule>
  </conditionalFormatting>
  <pageMargins left="0.55118110236220497" right="0.47244094488188998" top="0.511811023622047" bottom="0.511811023622047" header="0" footer="0.39370078740157499"/>
  <pageSetup paperSize="151" firstPageNumber="18" orientation="portrait" useFirstPageNumber="1" r:id="rId1"/>
  <headerFooter alignWithMargins="0">
    <oddFooter>&amp;C&amp;"Times New Roman,Regular"&amp;8&amp;P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Cover Page</vt:lpstr>
      <vt:lpstr>Contents</vt:lpstr>
      <vt:lpstr>Table IA</vt:lpstr>
      <vt:lpstr>Table IB</vt:lpstr>
      <vt:lpstr>TableIIA</vt:lpstr>
      <vt:lpstr>TableIIB</vt:lpstr>
      <vt:lpstr>TableIIC </vt:lpstr>
      <vt:lpstr>Table IID</vt:lpstr>
      <vt:lpstr>Table IIE</vt:lpstr>
      <vt:lpstr>Table IIF</vt:lpstr>
      <vt:lpstr>Table IIG</vt:lpstr>
      <vt:lpstr>Table III A</vt:lpstr>
      <vt:lpstr>Table IIIB</vt:lpstr>
      <vt:lpstr>Table IV</vt:lpstr>
      <vt:lpstr>Table V</vt:lpstr>
      <vt:lpstr>Table VI</vt:lpstr>
      <vt:lpstr>Table VII</vt:lpstr>
      <vt:lpstr>Table VIII</vt:lpstr>
      <vt:lpstr>TableIXA</vt:lpstr>
      <vt:lpstr>TableIXB</vt:lpstr>
      <vt:lpstr>TableIXC</vt:lpstr>
      <vt:lpstr>TableX</vt:lpstr>
      <vt:lpstr>TableXI</vt:lpstr>
      <vt:lpstr>Table XIIA</vt:lpstr>
      <vt:lpstr>Table XIIB</vt:lpstr>
      <vt:lpstr>TableXIII</vt:lpstr>
      <vt:lpstr>Table XIV</vt:lpstr>
      <vt:lpstr>TableXV</vt:lpstr>
      <vt:lpstr>TableXVI</vt:lpstr>
      <vt:lpstr>Table XVII</vt:lpstr>
      <vt:lpstr>Table XVIII</vt:lpstr>
      <vt:lpstr>TableXIX</vt:lpstr>
      <vt:lpstr>TableXX</vt:lpstr>
      <vt:lpstr>TableXXI</vt:lpstr>
      <vt:lpstr>Table XXII</vt:lpstr>
      <vt:lpstr>Table XXIII</vt:lpstr>
      <vt:lpstr>Appendix- Weights &amp; Measures</vt:lpstr>
    </vt:vector>
  </TitlesOfParts>
  <Company>icsl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Infotech</dc:creator>
  <cp:lastModifiedBy>ayasha</cp:lastModifiedBy>
  <cp:lastPrinted>2017-08-21T07:09:59Z</cp:lastPrinted>
  <dcterms:created xsi:type="dcterms:W3CDTF">2007-04-10T13:42:14Z</dcterms:created>
  <dcterms:modified xsi:type="dcterms:W3CDTF">2017-09-14T10:19:13Z</dcterms:modified>
</cp:coreProperties>
</file>